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7.xml" ContentType="application/vnd.openxmlformats-officedocument.drawing+xml"/>
  <Override PartName="/xl/drawings/drawing18.xml" ContentType="application/vnd.openxmlformats-officedocument.drawing+xml"/>
  <Override PartName="/xl/charts/chartEx1.xml" ContentType="application/vnd.ms-office.chartex+xml"/>
  <Override PartName="/xl/charts/style18.xml" ContentType="application/vnd.ms-office.chartstyle+xml"/>
  <Override PartName="/xl/charts/colors18.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2.xml" ContentType="application/vnd.openxmlformats-officedocument.drawingml.chartshapes+xml"/>
  <Override PartName="/xl/drawings/drawing23.xml" ContentType="application/vnd.openxmlformats-officedocument.drawing+xml"/>
  <Override PartName="/xl/drawings/drawing24.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5.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6.xml" ContentType="application/vnd.openxmlformats-officedocument.drawing+xml"/>
  <Override PartName="/xl/drawings/drawing27.xml" ContentType="application/vnd.openxmlformats-officedocument.drawing+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Ex2.xml" ContentType="application/vnd.ms-office.chartex+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28.xml" ContentType="application/vnd.openxmlformats-officedocument.drawing+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9.xml" ContentType="application/vnd.openxmlformats-officedocument.drawing+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wati\Desktop\"/>
    </mc:Choice>
  </mc:AlternateContent>
  <xr:revisionPtr revIDLastSave="0" documentId="13_ncr:1_{FDDF3F43-3107-434E-8547-9C2F3F97F2DE}" xr6:coauthVersionLast="47" xr6:coauthVersionMax="47" xr10:uidLastSave="{00000000-0000-0000-0000-000000000000}"/>
  <bookViews>
    <workbookView xWindow="-108" yWindow="-108" windowWidth="23256" windowHeight="13896" firstSheet="1" activeTab="2" xr2:uid="{79E9FD4F-264D-4F9C-8036-866A62D39999}"/>
  </bookViews>
  <sheets>
    <sheet name="DATA SHEET" sheetId="1" r:id="rId1"/>
    <sheet name="STATEMENTS" sheetId="21" r:id="rId2"/>
    <sheet name="ABOUT" sheetId="22" r:id="rId3"/>
    <sheet name="P &amp; L ASSUMPTIONS" sheetId="5" r:id="rId4"/>
    <sheet name="PROFIT &amp; LOSS" sheetId="2" r:id="rId5"/>
    <sheet name="BALANCE SHEET ASSUMPTION" sheetId="6" r:id="rId6"/>
    <sheet name="BALANCE SHEET" sheetId="3" r:id="rId7"/>
    <sheet name="CASH FLOW ASSUMPTION" sheetId="7" r:id="rId8"/>
    <sheet name="CASH FLOW STATEMENT" sheetId="4" r:id="rId9"/>
    <sheet name="COMMON SIZE STATEMENT" sheetId="8" r:id="rId10"/>
    <sheet name="FORECASTING SIMPLIFY" sheetId="9" r:id="rId11"/>
    <sheet name="REGRESSION BETA" sheetId="11" r:id="rId12"/>
    <sheet name="COMPS. REGRESSION BETA" sheetId="12" r:id="rId13"/>
    <sheet name="WACC" sheetId="10" r:id="rId14"/>
    <sheet name="INTRINSIC GROWTH" sheetId="13" r:id="rId15"/>
    <sheet name="PV OF FCFF" sheetId="14" r:id="rId16"/>
    <sheet name="RELATIVE VALUATION" sheetId="15" r:id="rId17"/>
    <sheet name="RATIO ANALYSIS" sheetId="16" r:id="rId18"/>
    <sheet name="VAR" sheetId="17" r:id="rId19"/>
    <sheet name="ALTMAN'S Z SCORE" sheetId="18" r:id="rId20"/>
    <sheet name="DUPONT ANALYSIS" sheetId="19" r:id="rId21"/>
    <sheet name="FOOTBALL FIELD ANALYSIS" sheetId="20" r:id="rId22"/>
    <sheet name="EQUITY RESEARCH REPORT" sheetId="23" r:id="rId23"/>
    <sheet name="CALCULATION" sheetId="25" r:id="rId24"/>
    <sheet name="COVER" sheetId="24" r:id="rId25"/>
    <sheet name="BUSINESS DESCRIPTION" sheetId="26" r:id="rId26"/>
    <sheet name="COMPETETIVE POSITION" sheetId="27" r:id="rId27"/>
    <sheet name="WIPRO'S PRESENSE" sheetId="29" r:id="rId28"/>
    <sheet name="YEARLY STATEMENT ANALYSIS" sheetId="28" r:id="rId29"/>
    <sheet name="PEER STOCK PERFORMANCE" sheetId="30" r:id="rId30"/>
    <sheet name="RATIO ANALYSIS &amp; DCF" sheetId="35" r:id="rId31"/>
    <sheet name="GDP ESTIMATION" sheetId="31" r:id="rId32"/>
    <sheet name="CONCALL" sheetId="33" r:id="rId33"/>
    <sheet name="ANALYST COVERAGE" sheetId="32" r:id="rId34"/>
    <sheet name="FINAL CONCLUSION" sheetId="34" r:id="rId35"/>
  </sheets>
  <definedNames>
    <definedName name="_xlnm._FilterDatabase" localSheetId="18" hidden="1">VAR!$B$6:$C$4218</definedName>
    <definedName name="_xlchart.v1.0" hidden="1">VAR!$G$8:$G$4217</definedName>
    <definedName name="_xlchart.v1.1" hidden="1">'YEARLY STATEMENT ANALYSIS'!$B$10:$K$10</definedName>
    <definedName name="_xlchart.v1.2" hidden="1">'YEARLY STATEMENT ANALYSIS'!$B$52:$K$52</definedName>
    <definedName name="_xlnm.Print_Area" localSheetId="2">ABOUT!$B$1:$L$67</definedName>
    <definedName name="_xlnm.Print_Area" localSheetId="19">'ALTMAN''S Z SCORE'!$B$1:$H$1306</definedName>
    <definedName name="_xlnm.Print_Area" localSheetId="33">'ANALYST COVERAGE'!$B$1:$J$90</definedName>
    <definedName name="_xlnm.Print_Area" localSheetId="6">'BALANCE SHEET'!$B$1:$O$83</definedName>
    <definedName name="_xlnm.Print_Area" localSheetId="5">'BALANCE SHEET ASSUMPTION'!$B$1:$AC$171</definedName>
    <definedName name="_xlnm.Print_Area" localSheetId="25">'BUSINESS DESCRIPTION'!$B$1:$L$90</definedName>
    <definedName name="_xlnm.Print_Area" localSheetId="7">'CASH FLOW ASSUMPTION'!$B$1:$V$64</definedName>
    <definedName name="_xlnm.Print_Area" localSheetId="8">'CASH FLOW STATEMENT'!$B$1:$O$64</definedName>
    <definedName name="_xlnm.Print_Area" localSheetId="9">'COMMON SIZE STATEMENT'!$B$1:$O$95</definedName>
    <definedName name="_xlnm.Print_Area" localSheetId="26">'COMPETETIVE POSITION'!$B$1:$L$90</definedName>
    <definedName name="_xlnm.Print_Area" localSheetId="32">CONCALL!$B$1:$K$90</definedName>
    <definedName name="_xlnm.Print_Area" localSheetId="24">COVER!$B$1:$L$90</definedName>
    <definedName name="_xlnm.Print_Area" localSheetId="20">'DUPONT ANALYSIS'!$B$1:$H$57</definedName>
    <definedName name="_xlnm.Print_Area" localSheetId="34">'FINAL CONCLUSION'!$B$1:$J$90</definedName>
    <definedName name="_xlnm.Print_Area" localSheetId="21">'FOOTBALL FIELD ANALYSIS'!$B$1:$I$37</definedName>
    <definedName name="_xlnm.Print_Area" localSheetId="10">'FORECASTING SIMPLIFY'!$B$1:$O$86</definedName>
    <definedName name="_xlnm.Print_Area" localSheetId="31">'GDP ESTIMATION'!$B$1:$L$90</definedName>
    <definedName name="_xlnm.Print_Area" localSheetId="14">'INTRINSIC GROWTH'!$B$1:$H$91</definedName>
    <definedName name="_xlnm.Print_Area" localSheetId="3">'P &amp; L ASSUMPTIONS'!$B$1:$AC$106</definedName>
    <definedName name="_xlnm.Print_Area" localSheetId="29">'PEER STOCK PERFORMANCE'!$B$1:$L$90</definedName>
    <definedName name="_xlnm.Print_Area" localSheetId="4">'PROFIT &amp; LOSS'!$B$1:$O$50</definedName>
    <definedName name="_xlnm.Print_Area" localSheetId="15">'PV OF FCFF'!$B$1:$H$48</definedName>
    <definedName name="_xlnm.Print_Area" localSheetId="17">'RATIO ANALYSIS'!$B$1:$L$51</definedName>
    <definedName name="_xlnm.Print_Area" localSheetId="30">'RATIO ANALYSIS &amp; DCF'!$B$1:$L$90</definedName>
    <definedName name="_xlnm.Print_Area" localSheetId="11">'REGRESSION BETA'!$B$1:$Q$116</definedName>
    <definedName name="_xlnm.Print_Area" localSheetId="16">'RELATIVE VALUATION'!$B$1:$Q$56</definedName>
    <definedName name="_xlnm.Print_Area" localSheetId="18">VAR!$B$1:$M$4233</definedName>
    <definedName name="_xlnm.Print_Area" localSheetId="13">WACC!$B$1:$K$46</definedName>
    <definedName name="_xlnm.Print_Area" localSheetId="27">'WIPRO''S PRESENSE'!$B$1:$L$90</definedName>
    <definedName name="_xlnm.Print_Area" localSheetId="28">'YEARLY STATEMENT ANALYSIS'!$B$1:$K$90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7" i="32" l="1"/>
  <c r="C18" i="32"/>
  <c r="C16" i="32"/>
  <c r="C34" i="32"/>
  <c r="C32" i="32"/>
  <c r="C29" i="32"/>
  <c r="C24" i="32"/>
  <c r="C19" i="32"/>
  <c r="I10" i="32"/>
  <c r="I34" i="32"/>
  <c r="I33" i="32"/>
  <c r="I32" i="32"/>
  <c r="I31" i="32"/>
  <c r="I30" i="32"/>
  <c r="I29" i="32"/>
  <c r="I28" i="32"/>
  <c r="I27" i="32"/>
  <c r="I26" i="32"/>
  <c r="I25" i="32"/>
  <c r="I24" i="32"/>
  <c r="I23" i="32"/>
  <c r="I22" i="32"/>
  <c r="I21" i="32"/>
  <c r="I20" i="32"/>
  <c r="I19" i="32"/>
  <c r="I18" i="32"/>
  <c r="I17" i="32"/>
  <c r="I16" i="32"/>
  <c r="I15" i="32"/>
  <c r="I14" i="32"/>
  <c r="I13" i="32"/>
  <c r="I12" i="32"/>
  <c r="I11" i="32"/>
  <c r="H34" i="32"/>
  <c r="H33" i="32"/>
  <c r="H32" i="32"/>
  <c r="H31" i="32"/>
  <c r="H30" i="32"/>
  <c r="H29" i="32"/>
  <c r="H28" i="32"/>
  <c r="H27" i="32"/>
  <c r="H26" i="32"/>
  <c r="H25" i="32"/>
  <c r="H24" i="32"/>
  <c r="H23" i="32"/>
  <c r="H22" i="32"/>
  <c r="H21" i="32"/>
  <c r="H20" i="32"/>
  <c r="H19" i="32"/>
  <c r="H18" i="32"/>
  <c r="H17" i="32"/>
  <c r="H16" i="32"/>
  <c r="H15" i="32"/>
  <c r="H14" i="32"/>
  <c r="H13" i="32"/>
  <c r="H12" i="32"/>
  <c r="H11" i="32"/>
  <c r="H10" i="32"/>
  <c r="E34" i="32"/>
  <c r="E33" i="32"/>
  <c r="E32" i="32"/>
  <c r="E31" i="32"/>
  <c r="E30" i="32"/>
  <c r="E29" i="32"/>
  <c r="E28" i="32"/>
  <c r="E27" i="32"/>
  <c r="E26" i="32"/>
  <c r="E25" i="32"/>
  <c r="E24" i="32"/>
  <c r="E23" i="32"/>
  <c r="E22" i="32"/>
  <c r="E21" i="32"/>
  <c r="E20" i="32"/>
  <c r="E19" i="32"/>
  <c r="E18" i="32"/>
  <c r="E17" i="32"/>
  <c r="E16" i="32"/>
  <c r="E15" i="32"/>
  <c r="E14" i="32"/>
  <c r="E13" i="32"/>
  <c r="E12" i="32"/>
  <c r="E11" i="32"/>
  <c r="E10" i="32"/>
  <c r="C12" i="32"/>
  <c r="C10" i="32"/>
  <c r="B34" i="32"/>
  <c r="B33" i="32"/>
  <c r="B32" i="32"/>
  <c r="B31" i="32"/>
  <c r="B30" i="32"/>
  <c r="B29" i="32"/>
  <c r="B28" i="32"/>
  <c r="B27" i="32"/>
  <c r="B26" i="32"/>
  <c r="B25" i="32"/>
  <c r="B24" i="32"/>
  <c r="B23" i="32"/>
  <c r="B22" i="32"/>
  <c r="B21" i="32"/>
  <c r="B20" i="32"/>
  <c r="B19" i="32"/>
  <c r="B18" i="32"/>
  <c r="B17" i="32"/>
  <c r="B16" i="32"/>
  <c r="B15" i="32"/>
  <c r="B14" i="32"/>
  <c r="B13" i="32"/>
  <c r="B12" i="32"/>
  <c r="B11" i="32"/>
  <c r="B10" i="32"/>
  <c r="L85" i="35"/>
  <c r="K85" i="35"/>
  <c r="J85" i="35"/>
  <c r="L84" i="35"/>
  <c r="K84" i="35"/>
  <c r="J84" i="35"/>
  <c r="L83" i="35"/>
  <c r="K83" i="35"/>
  <c r="J83" i="35"/>
  <c r="L82" i="35"/>
  <c r="K82" i="35"/>
  <c r="J82" i="35"/>
  <c r="L76" i="35"/>
  <c r="K76" i="35"/>
  <c r="L75" i="35"/>
  <c r="K75" i="35"/>
  <c r="L74" i="35"/>
  <c r="K74" i="35"/>
  <c r="L73" i="35"/>
  <c r="K73" i="35"/>
  <c r="J76" i="35"/>
  <c r="J75" i="35"/>
  <c r="J74" i="35"/>
  <c r="J73" i="35"/>
  <c r="L67" i="35"/>
  <c r="K67" i="35"/>
  <c r="J67" i="35"/>
  <c r="L66" i="35"/>
  <c r="K66" i="35"/>
  <c r="J66" i="35"/>
  <c r="L65" i="35"/>
  <c r="K65" i="35"/>
  <c r="J65" i="35"/>
  <c r="L64" i="35"/>
  <c r="K64" i="35"/>
  <c r="J64" i="35"/>
  <c r="F85" i="35"/>
  <c r="F81" i="35"/>
  <c r="F80" i="35"/>
  <c r="C85" i="35"/>
  <c r="C79" i="35"/>
  <c r="C81" i="35"/>
  <c r="C80" i="35"/>
  <c r="G68" i="35"/>
  <c r="F68" i="35"/>
  <c r="E68" i="35"/>
  <c r="D68" i="35"/>
  <c r="C68" i="35"/>
  <c r="C70" i="35" s="1"/>
  <c r="G70" i="35"/>
  <c r="F70" i="35"/>
  <c r="E70" i="35"/>
  <c r="D70" i="35"/>
  <c r="C62" i="35"/>
  <c r="E67" i="35"/>
  <c r="F67" i="35" s="1"/>
  <c r="G67" i="35" s="1"/>
  <c r="D67" i="35"/>
  <c r="G66" i="35"/>
  <c r="F66" i="35"/>
  <c r="E66" i="35"/>
  <c r="D66" i="35"/>
  <c r="C67" i="35"/>
  <c r="G65" i="35"/>
  <c r="F65" i="35"/>
  <c r="E65" i="35"/>
  <c r="D65" i="35"/>
  <c r="C65" i="35"/>
  <c r="G64" i="35"/>
  <c r="F64" i="35"/>
  <c r="E64" i="35"/>
  <c r="D64" i="35"/>
  <c r="C64" i="35"/>
  <c r="C66" i="35" s="1"/>
  <c r="G62" i="35"/>
  <c r="F62" i="35"/>
  <c r="E62" i="35"/>
  <c r="D62" i="35"/>
  <c r="D60" i="35"/>
  <c r="E60" i="35" s="1"/>
  <c r="F60" i="35" s="1"/>
  <c r="G60" i="35" s="1"/>
  <c r="C15" i="35"/>
  <c r="C16" i="35"/>
  <c r="C17" i="35"/>
  <c r="C22" i="35"/>
  <c r="C23" i="35"/>
  <c r="C24" i="35"/>
  <c r="C25" i="35"/>
  <c r="C26" i="35"/>
  <c r="C27" i="35"/>
  <c r="C32" i="35"/>
  <c r="C33" i="35"/>
  <c r="C34" i="35"/>
  <c r="C35" i="35"/>
  <c r="C36" i="35"/>
  <c r="C37" i="35"/>
  <c r="C38" i="35"/>
  <c r="C39" i="35"/>
  <c r="C44" i="35"/>
  <c r="C45" i="35"/>
  <c r="C46" i="35"/>
  <c r="C47" i="35"/>
  <c r="C52" i="35"/>
  <c r="C53" i="35"/>
  <c r="C54" i="35"/>
  <c r="C55" i="35"/>
  <c r="D10" i="35"/>
  <c r="E10" i="35" s="1"/>
  <c r="F10" i="35" s="1"/>
  <c r="G10" i="35" s="1"/>
  <c r="G55" i="35"/>
  <c r="F55" i="35"/>
  <c r="E55" i="35"/>
  <c r="D55" i="35"/>
  <c r="G54" i="35"/>
  <c r="F54" i="35"/>
  <c r="E54" i="35"/>
  <c r="D54" i="35"/>
  <c r="G53" i="35"/>
  <c r="F53" i="35"/>
  <c r="E53" i="35"/>
  <c r="D53" i="35"/>
  <c r="G52" i="35"/>
  <c r="F52" i="35"/>
  <c r="E52" i="35"/>
  <c r="D52" i="35"/>
  <c r="G47" i="35"/>
  <c r="F47" i="35"/>
  <c r="E47" i="35"/>
  <c r="D47" i="35"/>
  <c r="G46" i="35"/>
  <c r="F46" i="35"/>
  <c r="E46" i="35"/>
  <c r="D46" i="35"/>
  <c r="G45" i="35"/>
  <c r="F45" i="35"/>
  <c r="E45" i="35"/>
  <c r="D45" i="35"/>
  <c r="G44" i="35"/>
  <c r="F44" i="35"/>
  <c r="E44" i="35"/>
  <c r="D44" i="35"/>
  <c r="G39" i="35"/>
  <c r="F39" i="35"/>
  <c r="E39" i="35"/>
  <c r="D39" i="35"/>
  <c r="G38" i="35"/>
  <c r="F38" i="35"/>
  <c r="E38" i="35"/>
  <c r="D38" i="35"/>
  <c r="G37" i="35"/>
  <c r="F37" i="35"/>
  <c r="E37" i="35"/>
  <c r="D37" i="35"/>
  <c r="G36" i="35"/>
  <c r="F36" i="35"/>
  <c r="E36" i="35"/>
  <c r="D36" i="35"/>
  <c r="G35" i="35"/>
  <c r="F35" i="35"/>
  <c r="E35" i="35"/>
  <c r="D35" i="35"/>
  <c r="G34" i="35"/>
  <c r="F34" i="35"/>
  <c r="E34" i="35"/>
  <c r="D34" i="35"/>
  <c r="G33" i="35"/>
  <c r="F33" i="35"/>
  <c r="E33" i="35"/>
  <c r="D33" i="35"/>
  <c r="G32" i="35"/>
  <c r="F32" i="35"/>
  <c r="E32" i="35"/>
  <c r="D32" i="35"/>
  <c r="G27" i="35"/>
  <c r="F27" i="35"/>
  <c r="E27" i="35"/>
  <c r="D27" i="35"/>
  <c r="G26" i="35"/>
  <c r="F26" i="35"/>
  <c r="E26" i="35"/>
  <c r="D26" i="35"/>
  <c r="G25" i="35"/>
  <c r="F25" i="35"/>
  <c r="E25" i="35"/>
  <c r="D25" i="35"/>
  <c r="G24" i="35"/>
  <c r="F24" i="35"/>
  <c r="E24" i="35"/>
  <c r="D24" i="35"/>
  <c r="G23" i="35"/>
  <c r="F23" i="35"/>
  <c r="E23" i="35"/>
  <c r="D23" i="35"/>
  <c r="G22" i="35"/>
  <c r="F22" i="35"/>
  <c r="E22" i="35"/>
  <c r="D22" i="35"/>
  <c r="G17" i="35"/>
  <c r="F17" i="35"/>
  <c r="E17" i="35"/>
  <c r="D17" i="35"/>
  <c r="G16" i="35"/>
  <c r="F16" i="35"/>
  <c r="E16" i="35"/>
  <c r="D16" i="35"/>
  <c r="G15" i="35"/>
  <c r="F15" i="35"/>
  <c r="E15" i="35"/>
  <c r="D15" i="35"/>
  <c r="G59" i="31"/>
  <c r="G60" i="31"/>
  <c r="G57" i="31"/>
  <c r="G55" i="31"/>
  <c r="G53" i="31"/>
  <c r="G51" i="31"/>
  <c r="G49" i="31"/>
  <c r="G47" i="31"/>
  <c r="G45" i="31"/>
  <c r="G43" i="31"/>
  <c r="G64" i="31"/>
  <c r="C66" i="31"/>
  <c r="L64" i="31"/>
  <c r="L63" i="31"/>
  <c r="L62" i="31"/>
  <c r="L61" i="31"/>
  <c r="L60" i="31"/>
  <c r="L59" i="31"/>
  <c r="L58" i="31"/>
  <c r="L57" i="31"/>
  <c r="L56" i="31"/>
  <c r="L55" i="31"/>
  <c r="L54" i="31"/>
  <c r="L53" i="31"/>
  <c r="L52" i="31"/>
  <c r="L51" i="31"/>
  <c r="L50" i="31"/>
  <c r="L49" i="31"/>
  <c r="L48" i="31"/>
  <c r="L47" i="31"/>
  <c r="L46" i="31"/>
  <c r="L45" i="31"/>
  <c r="L44" i="31"/>
  <c r="L43" i="31"/>
  <c r="G61" i="31"/>
  <c r="G58" i="31"/>
  <c r="G56" i="31"/>
  <c r="G54" i="31"/>
  <c r="G52" i="31"/>
  <c r="G50" i="31"/>
  <c r="G48" i="31"/>
  <c r="G46" i="31"/>
  <c r="G44" i="31"/>
  <c r="F53" i="31"/>
  <c r="E53" i="31"/>
  <c r="D53" i="31"/>
  <c r="F51" i="31"/>
  <c r="E51" i="31"/>
  <c r="D51" i="31"/>
  <c r="F49" i="31"/>
  <c r="E49" i="31"/>
  <c r="D49" i="31"/>
  <c r="F47" i="31"/>
  <c r="E47" i="31"/>
  <c r="D47" i="31"/>
  <c r="F45" i="31"/>
  <c r="E45" i="31"/>
  <c r="D45" i="31"/>
  <c r="F43" i="31"/>
  <c r="E43" i="31"/>
  <c r="D43" i="31"/>
  <c r="D55" i="31"/>
  <c r="E55" i="31"/>
  <c r="F55" i="31"/>
  <c r="D57" i="31"/>
  <c r="E57" i="31"/>
  <c r="F57" i="31"/>
  <c r="D59" i="31"/>
  <c r="D64" i="31" s="1"/>
  <c r="E59" i="31"/>
  <c r="E64" i="31" s="1"/>
  <c r="F59" i="31"/>
  <c r="F64" i="31" s="1"/>
  <c r="D60" i="31"/>
  <c r="E60" i="31"/>
  <c r="F60" i="31"/>
  <c r="D62" i="31"/>
  <c r="E62" i="31"/>
  <c r="F62" i="31"/>
  <c r="C62" i="31"/>
  <c r="C60" i="31"/>
  <c r="C59" i="31"/>
  <c r="C64" i="31" s="1"/>
  <c r="C57" i="31"/>
  <c r="C55" i="31"/>
  <c r="C53" i="31"/>
  <c r="C51" i="31"/>
  <c r="C49" i="31"/>
  <c r="C47" i="31"/>
  <c r="C45" i="31"/>
  <c r="C43" i="31"/>
  <c r="L33" i="31"/>
  <c r="L32" i="31"/>
  <c r="L31" i="31"/>
  <c r="L30" i="31"/>
  <c r="L29" i="31"/>
  <c r="L28" i="31"/>
  <c r="L27" i="31"/>
  <c r="L26" i="31"/>
  <c r="L25" i="31"/>
  <c r="L24" i="31"/>
  <c r="L23" i="31"/>
  <c r="L22" i="31"/>
  <c r="L21" i="31"/>
  <c r="L20" i="31"/>
  <c r="L19" i="31"/>
  <c r="L18" i="31"/>
  <c r="L17" i="31"/>
  <c r="L16" i="31"/>
  <c r="L15" i="31"/>
  <c r="L14" i="31"/>
  <c r="L13" i="31"/>
  <c r="L12" i="31"/>
  <c r="C35" i="31" s="1"/>
  <c r="B62" i="31"/>
  <c r="B61" i="31"/>
  <c r="B60" i="31"/>
  <c r="B59" i="31"/>
  <c r="B58" i="31"/>
  <c r="B57" i="31"/>
  <c r="B56" i="31"/>
  <c r="B55" i="31"/>
  <c r="B54" i="31"/>
  <c r="B53" i="31"/>
  <c r="B52" i="31"/>
  <c r="B51" i="31"/>
  <c r="B50" i="31"/>
  <c r="B49" i="31"/>
  <c r="B48" i="31"/>
  <c r="B47" i="31"/>
  <c r="B46" i="31"/>
  <c r="B45" i="31"/>
  <c r="B44" i="31"/>
  <c r="B43" i="31"/>
  <c r="G41" i="31"/>
  <c r="C41" i="31"/>
  <c r="F14" i="31"/>
  <c r="E14" i="31"/>
  <c r="D14" i="31"/>
  <c r="F20" i="31"/>
  <c r="E20" i="31"/>
  <c r="D20" i="31"/>
  <c r="F18" i="31"/>
  <c r="E18" i="31"/>
  <c r="D18" i="31"/>
  <c r="C20" i="31"/>
  <c r="C18" i="31"/>
  <c r="C14" i="31"/>
  <c r="K31" i="25"/>
  <c r="J31" i="25"/>
  <c r="I31" i="25"/>
  <c r="H31" i="25"/>
  <c r="F31" i="31"/>
  <c r="E31" i="31"/>
  <c r="D31" i="31"/>
  <c r="F29" i="31"/>
  <c r="E29" i="31"/>
  <c r="D29" i="31"/>
  <c r="F26" i="31"/>
  <c r="E26" i="31"/>
  <c r="D26" i="31"/>
  <c r="F24" i="31"/>
  <c r="E24" i="31"/>
  <c r="D24" i="31"/>
  <c r="F22" i="31"/>
  <c r="E22" i="31"/>
  <c r="D22" i="31"/>
  <c r="F16" i="31"/>
  <c r="E16" i="31"/>
  <c r="D16" i="31"/>
  <c r="F12" i="31"/>
  <c r="E12" i="31"/>
  <c r="D12" i="31"/>
  <c r="C31" i="31"/>
  <c r="C29" i="31"/>
  <c r="C26" i="31"/>
  <c r="C24" i="31"/>
  <c r="C22" i="31"/>
  <c r="C16" i="31"/>
  <c r="C12" i="31"/>
  <c r="D10" i="31"/>
  <c r="Y299" i="1"/>
  <c r="X299" i="1"/>
  <c r="W299" i="1"/>
  <c r="V299" i="1"/>
  <c r="U299" i="1"/>
  <c r="T299" i="1"/>
  <c r="S299" i="1"/>
  <c r="Y298" i="1"/>
  <c r="X298" i="1"/>
  <c r="W298" i="1"/>
  <c r="V298" i="1"/>
  <c r="U298" i="1"/>
  <c r="T298" i="1"/>
  <c r="S298" i="1"/>
  <c r="Y297" i="1"/>
  <c r="X297" i="1"/>
  <c r="W297" i="1"/>
  <c r="V297" i="1"/>
  <c r="U297" i="1"/>
  <c r="T297" i="1"/>
  <c r="S297" i="1"/>
  <c r="Y296" i="1"/>
  <c r="X296" i="1"/>
  <c r="W296" i="1"/>
  <c r="V296" i="1"/>
  <c r="U296" i="1"/>
  <c r="T296" i="1"/>
  <c r="S296" i="1"/>
  <c r="Y295" i="1"/>
  <c r="X295" i="1"/>
  <c r="W295" i="1"/>
  <c r="V295" i="1"/>
  <c r="U295" i="1"/>
  <c r="T295" i="1"/>
  <c r="S295" i="1"/>
  <c r="Y294" i="1"/>
  <c r="X294" i="1"/>
  <c r="W294" i="1"/>
  <c r="V294" i="1"/>
  <c r="U294" i="1"/>
  <c r="T294" i="1"/>
  <c r="S294" i="1"/>
  <c r="Y293" i="1"/>
  <c r="X293" i="1"/>
  <c r="W293" i="1"/>
  <c r="V293" i="1"/>
  <c r="U293" i="1"/>
  <c r="T293" i="1"/>
  <c r="S293" i="1"/>
  <c r="Y292" i="1"/>
  <c r="X292" i="1"/>
  <c r="W292" i="1"/>
  <c r="V292" i="1"/>
  <c r="U292" i="1"/>
  <c r="T292" i="1"/>
  <c r="S292" i="1"/>
  <c r="Y291" i="1"/>
  <c r="X291" i="1"/>
  <c r="W291" i="1"/>
  <c r="V291" i="1"/>
  <c r="U291" i="1"/>
  <c r="T291" i="1"/>
  <c r="S291" i="1"/>
  <c r="Y290" i="1"/>
  <c r="X290" i="1"/>
  <c r="W290" i="1"/>
  <c r="V290" i="1"/>
  <c r="U290" i="1"/>
  <c r="T290" i="1"/>
  <c r="S290" i="1"/>
  <c r="Y289" i="1"/>
  <c r="X289" i="1"/>
  <c r="W289" i="1"/>
  <c r="V289" i="1"/>
  <c r="U289" i="1"/>
  <c r="T289" i="1"/>
  <c r="S289" i="1"/>
  <c r="Y288" i="1"/>
  <c r="X288" i="1"/>
  <c r="W288" i="1"/>
  <c r="V288" i="1"/>
  <c r="U288" i="1"/>
  <c r="T288" i="1"/>
  <c r="S288" i="1"/>
  <c r="Y287" i="1"/>
  <c r="X287" i="1"/>
  <c r="W287" i="1"/>
  <c r="V287" i="1"/>
  <c r="U287" i="1"/>
  <c r="T287" i="1"/>
  <c r="S287" i="1"/>
  <c r="Y286" i="1"/>
  <c r="X286" i="1"/>
  <c r="W286" i="1"/>
  <c r="V286" i="1"/>
  <c r="U286" i="1"/>
  <c r="T286" i="1"/>
  <c r="S286" i="1"/>
  <c r="Y285" i="1"/>
  <c r="X285" i="1"/>
  <c r="W285" i="1"/>
  <c r="V285" i="1"/>
  <c r="U285" i="1"/>
  <c r="T285" i="1"/>
  <c r="S285" i="1"/>
  <c r="Y284" i="1"/>
  <c r="X284" i="1"/>
  <c r="W284" i="1"/>
  <c r="V284" i="1"/>
  <c r="U284" i="1"/>
  <c r="T284" i="1"/>
  <c r="S284" i="1"/>
  <c r="Y283" i="1"/>
  <c r="X283" i="1"/>
  <c r="W283" i="1"/>
  <c r="V283" i="1"/>
  <c r="U283" i="1"/>
  <c r="T283" i="1"/>
  <c r="S283" i="1"/>
  <c r="Y282" i="1"/>
  <c r="X282" i="1"/>
  <c r="W282" i="1"/>
  <c r="V282" i="1"/>
  <c r="U282" i="1"/>
  <c r="T282" i="1"/>
  <c r="S282" i="1"/>
  <c r="Y281" i="1"/>
  <c r="X281" i="1"/>
  <c r="W281" i="1"/>
  <c r="V281" i="1"/>
  <c r="U281" i="1"/>
  <c r="T281" i="1"/>
  <c r="S281" i="1"/>
  <c r="Y280" i="1"/>
  <c r="X280" i="1"/>
  <c r="W280" i="1"/>
  <c r="V280" i="1"/>
  <c r="U280" i="1"/>
  <c r="T280" i="1"/>
  <c r="S280" i="1"/>
  <c r="Y279" i="1"/>
  <c r="X279" i="1"/>
  <c r="W279" i="1"/>
  <c r="V279" i="1"/>
  <c r="U279" i="1"/>
  <c r="T279" i="1"/>
  <c r="S279" i="1"/>
  <c r="Y278" i="1"/>
  <c r="X278" i="1"/>
  <c r="W278" i="1"/>
  <c r="V278" i="1"/>
  <c r="U278" i="1"/>
  <c r="T278" i="1"/>
  <c r="S278" i="1"/>
  <c r="Y277" i="1"/>
  <c r="X277" i="1"/>
  <c r="W277" i="1"/>
  <c r="V277" i="1"/>
  <c r="U277" i="1"/>
  <c r="T277" i="1"/>
  <c r="S277" i="1"/>
  <c r="Y276" i="1"/>
  <c r="X276" i="1"/>
  <c r="W276" i="1"/>
  <c r="V276" i="1"/>
  <c r="U276" i="1"/>
  <c r="T276" i="1"/>
  <c r="S276" i="1"/>
  <c r="Y275" i="1"/>
  <c r="X275" i="1"/>
  <c r="W275" i="1"/>
  <c r="V275" i="1"/>
  <c r="U275" i="1"/>
  <c r="T275" i="1"/>
  <c r="S275" i="1"/>
  <c r="Y274" i="1"/>
  <c r="X274" i="1"/>
  <c r="W274" i="1"/>
  <c r="V274" i="1"/>
  <c r="U274" i="1"/>
  <c r="T274" i="1"/>
  <c r="S274" i="1"/>
  <c r="Y273" i="1"/>
  <c r="X273" i="1"/>
  <c r="W273" i="1"/>
  <c r="V273" i="1"/>
  <c r="U273" i="1"/>
  <c r="T273" i="1"/>
  <c r="S273" i="1"/>
  <c r="Y272" i="1"/>
  <c r="X272" i="1"/>
  <c r="W272" i="1"/>
  <c r="V272" i="1"/>
  <c r="U272" i="1"/>
  <c r="T272" i="1"/>
  <c r="S272" i="1"/>
  <c r="Y271" i="1"/>
  <c r="X271" i="1"/>
  <c r="W271" i="1"/>
  <c r="V271" i="1"/>
  <c r="U271" i="1"/>
  <c r="T271" i="1"/>
  <c r="S271" i="1"/>
  <c r="Y270" i="1"/>
  <c r="X270" i="1"/>
  <c r="W270" i="1"/>
  <c r="V270" i="1"/>
  <c r="U270" i="1"/>
  <c r="T270" i="1"/>
  <c r="S270" i="1"/>
  <c r="Y269" i="1"/>
  <c r="X269" i="1"/>
  <c r="W269" i="1"/>
  <c r="V269" i="1"/>
  <c r="U269" i="1"/>
  <c r="T269" i="1"/>
  <c r="S269" i="1"/>
  <c r="Y268" i="1"/>
  <c r="X268" i="1"/>
  <c r="W268" i="1"/>
  <c r="V268" i="1"/>
  <c r="U268" i="1"/>
  <c r="T268" i="1"/>
  <c r="S268" i="1"/>
  <c r="Y267" i="1"/>
  <c r="X267" i="1"/>
  <c r="W267" i="1"/>
  <c r="V267" i="1"/>
  <c r="U267" i="1"/>
  <c r="T267" i="1"/>
  <c r="S267" i="1"/>
  <c r="Y266" i="1"/>
  <c r="X266" i="1"/>
  <c r="W266" i="1"/>
  <c r="V266" i="1"/>
  <c r="U266" i="1"/>
  <c r="T266" i="1"/>
  <c r="S266" i="1"/>
  <c r="Y265" i="1"/>
  <c r="X265" i="1"/>
  <c r="W265" i="1"/>
  <c r="V265" i="1"/>
  <c r="U265" i="1"/>
  <c r="T265" i="1"/>
  <c r="S265" i="1"/>
  <c r="Y264" i="1"/>
  <c r="X264" i="1"/>
  <c r="W264" i="1"/>
  <c r="V264" i="1"/>
  <c r="U264" i="1"/>
  <c r="T264" i="1"/>
  <c r="S264" i="1"/>
  <c r="Y263" i="1"/>
  <c r="X263" i="1"/>
  <c r="W263" i="1"/>
  <c r="V263" i="1"/>
  <c r="U263" i="1"/>
  <c r="T263" i="1"/>
  <c r="S263" i="1"/>
  <c r="Y262" i="1"/>
  <c r="X262" i="1"/>
  <c r="W262" i="1"/>
  <c r="V262" i="1"/>
  <c r="U262" i="1"/>
  <c r="T262" i="1"/>
  <c r="S262" i="1"/>
  <c r="Y261" i="1"/>
  <c r="X261" i="1"/>
  <c r="W261" i="1"/>
  <c r="V261" i="1"/>
  <c r="U261" i="1"/>
  <c r="T261" i="1"/>
  <c r="S261" i="1"/>
  <c r="Y260" i="1"/>
  <c r="X260" i="1"/>
  <c r="W260" i="1"/>
  <c r="V260" i="1"/>
  <c r="U260" i="1"/>
  <c r="T260" i="1"/>
  <c r="S260" i="1"/>
  <c r="Y259" i="1"/>
  <c r="X259" i="1"/>
  <c r="W259" i="1"/>
  <c r="V259" i="1"/>
  <c r="U259" i="1"/>
  <c r="T259" i="1"/>
  <c r="S259" i="1"/>
  <c r="Y258" i="1"/>
  <c r="X258" i="1"/>
  <c r="W258" i="1"/>
  <c r="V258" i="1"/>
  <c r="U258" i="1"/>
  <c r="T258" i="1"/>
  <c r="S258" i="1"/>
  <c r="Y257" i="1"/>
  <c r="X257" i="1"/>
  <c r="W257" i="1"/>
  <c r="V257" i="1"/>
  <c r="U257" i="1"/>
  <c r="T257" i="1"/>
  <c r="S257" i="1"/>
  <c r="Y256" i="1"/>
  <c r="X256" i="1"/>
  <c r="W256" i="1"/>
  <c r="V256" i="1"/>
  <c r="U256" i="1"/>
  <c r="T256" i="1"/>
  <c r="S256" i="1"/>
  <c r="Y255" i="1"/>
  <c r="X255" i="1"/>
  <c r="W255" i="1"/>
  <c r="V255" i="1"/>
  <c r="U255" i="1"/>
  <c r="T255" i="1"/>
  <c r="S255" i="1"/>
  <c r="Y254" i="1"/>
  <c r="X254" i="1"/>
  <c r="W254" i="1"/>
  <c r="V254" i="1"/>
  <c r="U254" i="1"/>
  <c r="T254" i="1"/>
  <c r="S254" i="1"/>
  <c r="Y253" i="1"/>
  <c r="X253" i="1"/>
  <c r="W253" i="1"/>
  <c r="V253" i="1"/>
  <c r="U253" i="1"/>
  <c r="T253" i="1"/>
  <c r="S253" i="1"/>
  <c r="Y252" i="1"/>
  <c r="X252" i="1"/>
  <c r="W252" i="1"/>
  <c r="V252" i="1"/>
  <c r="U252" i="1"/>
  <c r="T252" i="1"/>
  <c r="S252" i="1"/>
  <c r="Y251" i="1"/>
  <c r="X251" i="1"/>
  <c r="W251" i="1"/>
  <c r="V251" i="1"/>
  <c r="U251" i="1"/>
  <c r="T251" i="1"/>
  <c r="S251" i="1"/>
  <c r="Y250" i="1"/>
  <c r="X250" i="1"/>
  <c r="W250" i="1"/>
  <c r="V250" i="1"/>
  <c r="U250" i="1"/>
  <c r="T250" i="1"/>
  <c r="S250" i="1"/>
  <c r="Y249" i="1"/>
  <c r="X249" i="1"/>
  <c r="W249" i="1"/>
  <c r="V249" i="1"/>
  <c r="U249" i="1"/>
  <c r="T249" i="1"/>
  <c r="S249" i="1"/>
  <c r="Y248" i="1"/>
  <c r="X248" i="1"/>
  <c r="W248" i="1"/>
  <c r="V248" i="1"/>
  <c r="U248" i="1"/>
  <c r="T248" i="1"/>
  <c r="S248" i="1"/>
  <c r="Y300" i="1"/>
  <c r="X300" i="1"/>
  <c r="W300" i="1"/>
  <c r="V300" i="1"/>
  <c r="U300" i="1"/>
  <c r="T300" i="1"/>
  <c r="S300" i="1"/>
  <c r="E18" i="24"/>
  <c r="C12" i="25"/>
  <c r="C13" i="25" s="1"/>
  <c r="K72" i="28"/>
  <c r="J72" i="28"/>
  <c r="I72" i="28"/>
  <c r="H72" i="28"/>
  <c r="G72" i="28"/>
  <c r="F72" i="28"/>
  <c r="E72" i="28"/>
  <c r="D72" i="28"/>
  <c r="C72" i="28"/>
  <c r="B72" i="28"/>
  <c r="K12" i="28"/>
  <c r="J12" i="28"/>
  <c r="I12" i="28"/>
  <c r="H12" i="28"/>
  <c r="G12" i="28"/>
  <c r="K32" i="28"/>
  <c r="J32" i="28"/>
  <c r="I32" i="28"/>
  <c r="H32" i="28"/>
  <c r="G32" i="28"/>
  <c r="K52" i="28"/>
  <c r="J52" i="28"/>
  <c r="I52" i="28"/>
  <c r="H52" i="28"/>
  <c r="G52" i="28"/>
  <c r="F52" i="28"/>
  <c r="E52" i="28"/>
  <c r="D52" i="28"/>
  <c r="C52" i="28"/>
  <c r="B52" i="28"/>
  <c r="F32" i="28"/>
  <c r="E32" i="28"/>
  <c r="D32" i="28"/>
  <c r="C32" i="28"/>
  <c r="B32" i="28"/>
  <c r="B12" i="28"/>
  <c r="C12" i="28"/>
  <c r="D12" i="28"/>
  <c r="E12" i="28"/>
  <c r="F12" i="28"/>
  <c r="H10" i="28"/>
  <c r="I10" i="28"/>
  <c r="J10" i="28" s="1"/>
  <c r="K10" i="28" s="1"/>
  <c r="C10" i="28"/>
  <c r="D10" i="28" s="1"/>
  <c r="E10" i="28" s="1"/>
  <c r="F10" i="28" s="1"/>
  <c r="E37" i="24"/>
  <c r="D37" i="24"/>
  <c r="C37" i="24"/>
  <c r="E44" i="24"/>
  <c r="E43" i="24"/>
  <c r="E42" i="24"/>
  <c r="E41" i="24"/>
  <c r="C9" i="25"/>
  <c r="E9" i="25" s="1"/>
  <c r="C8" i="25"/>
  <c r="C7" i="25"/>
  <c r="L79" i="27"/>
  <c r="L78" i="27"/>
  <c r="L77" i="27"/>
  <c r="L76" i="27"/>
  <c r="L75" i="27"/>
  <c r="L74" i="27"/>
  <c r="I77" i="27"/>
  <c r="K81" i="27"/>
  <c r="K79" i="27"/>
  <c r="K78" i="27"/>
  <c r="K77" i="27"/>
  <c r="K76" i="27"/>
  <c r="K75" i="27"/>
  <c r="K74" i="27"/>
  <c r="J81" i="27"/>
  <c r="I81" i="27"/>
  <c r="H81" i="27"/>
  <c r="J79" i="27"/>
  <c r="J78" i="27"/>
  <c r="J77" i="27"/>
  <c r="J76" i="27"/>
  <c r="J75" i="27"/>
  <c r="J74" i="27"/>
  <c r="I79" i="27"/>
  <c r="I78" i="27"/>
  <c r="I76" i="27"/>
  <c r="I75" i="27"/>
  <c r="I74" i="27"/>
  <c r="H74" i="27"/>
  <c r="H79" i="27"/>
  <c r="H78" i="27"/>
  <c r="H77" i="27"/>
  <c r="H76" i="27"/>
  <c r="H75" i="27"/>
  <c r="I82" i="21"/>
  <c r="I81" i="21"/>
  <c r="I80" i="21"/>
  <c r="I79" i="21"/>
  <c r="I78" i="21"/>
  <c r="I77" i="21"/>
  <c r="F81" i="27"/>
  <c r="E81" i="27"/>
  <c r="D81" i="27"/>
  <c r="F79" i="27"/>
  <c r="E79" i="27"/>
  <c r="D79" i="27"/>
  <c r="F78" i="27"/>
  <c r="E78" i="27"/>
  <c r="D78" i="27"/>
  <c r="F77" i="27"/>
  <c r="E77" i="27"/>
  <c r="D77" i="27"/>
  <c r="F76" i="27"/>
  <c r="E76" i="27"/>
  <c r="D76" i="27"/>
  <c r="F75" i="27"/>
  <c r="E75" i="27"/>
  <c r="D75" i="27"/>
  <c r="F74" i="27"/>
  <c r="E74" i="27"/>
  <c r="D74" i="27"/>
  <c r="B81" i="27"/>
  <c r="B79" i="27"/>
  <c r="B78" i="27"/>
  <c r="B77" i="27"/>
  <c r="B76" i="27"/>
  <c r="B75" i="27"/>
  <c r="B74" i="27"/>
  <c r="H72" i="27"/>
  <c r="L72" i="27"/>
  <c r="K72" i="27"/>
  <c r="J72" i="27"/>
  <c r="I72" i="27"/>
  <c r="F72" i="27"/>
  <c r="E72" i="27"/>
  <c r="D72" i="27"/>
  <c r="L70" i="27"/>
  <c r="K70" i="27"/>
  <c r="J70" i="27"/>
  <c r="L69" i="27"/>
  <c r="K69" i="27"/>
  <c r="J69" i="27"/>
  <c r="L68" i="27"/>
  <c r="K68" i="27"/>
  <c r="J68" i="27"/>
  <c r="L67" i="27"/>
  <c r="K67" i="27"/>
  <c r="J67" i="27"/>
  <c r="L66" i="27"/>
  <c r="K66" i="27"/>
  <c r="J66" i="27"/>
  <c r="L65" i="27"/>
  <c r="K65" i="27"/>
  <c r="D70" i="27"/>
  <c r="D69" i="27"/>
  <c r="D68" i="27"/>
  <c r="D67" i="27"/>
  <c r="D66" i="27"/>
  <c r="D65" i="27"/>
  <c r="J65" i="27"/>
  <c r="I70" i="27"/>
  <c r="H70" i="27"/>
  <c r="F70" i="27"/>
  <c r="E70" i="27"/>
  <c r="I69" i="27"/>
  <c r="H69" i="27"/>
  <c r="F69" i="27"/>
  <c r="E69" i="27"/>
  <c r="I68" i="27"/>
  <c r="H68" i="27"/>
  <c r="F68" i="27"/>
  <c r="E68" i="27"/>
  <c r="I67" i="27"/>
  <c r="H67" i="27"/>
  <c r="F67" i="27"/>
  <c r="E67" i="27"/>
  <c r="I66" i="27"/>
  <c r="H66" i="27"/>
  <c r="F66" i="27"/>
  <c r="E66" i="27"/>
  <c r="I65" i="27"/>
  <c r="H65" i="27"/>
  <c r="F65" i="27"/>
  <c r="E65" i="27"/>
  <c r="B70" i="27"/>
  <c r="B69" i="27"/>
  <c r="B68" i="27"/>
  <c r="B67" i="27"/>
  <c r="B66" i="27"/>
  <c r="B65" i="27"/>
  <c r="L42" i="27"/>
  <c r="K42" i="27"/>
  <c r="J42" i="27"/>
  <c r="L40" i="27"/>
  <c r="K40" i="27"/>
  <c r="J40" i="27"/>
  <c r="L38" i="27"/>
  <c r="K38" i="27"/>
  <c r="J38" i="27"/>
  <c r="F57" i="27"/>
  <c r="E57" i="27"/>
  <c r="D57" i="27"/>
  <c r="F56" i="27"/>
  <c r="E56" i="27"/>
  <c r="D56" i="27"/>
  <c r="F55" i="27"/>
  <c r="E55" i="27"/>
  <c r="D55" i="27"/>
  <c r="F54" i="27"/>
  <c r="E54" i="27"/>
  <c r="F42" i="27"/>
  <c r="E42" i="27"/>
  <c r="D42" i="27"/>
  <c r="F40" i="27"/>
  <c r="E40" i="27"/>
  <c r="D40" i="27"/>
  <c r="F38" i="27"/>
  <c r="E38" i="27"/>
  <c r="D38" i="27"/>
  <c r="D54" i="27"/>
  <c r="D52" i="27"/>
  <c r="D50" i="27"/>
  <c r="D51" i="27" s="1"/>
  <c r="E49" i="27"/>
  <c r="E52" i="27" s="1"/>
  <c r="D49" i="27"/>
  <c r="D44" i="27"/>
  <c r="F46" i="27"/>
  <c r="E46" i="27"/>
  <c r="D46" i="27"/>
  <c r="F45" i="27"/>
  <c r="E45" i="27"/>
  <c r="D45" i="27"/>
  <c r="L36" i="27"/>
  <c r="K36" i="27"/>
  <c r="J36" i="27"/>
  <c r="F36" i="27"/>
  <c r="E36" i="27"/>
  <c r="D36" i="27"/>
  <c r="K31" i="27"/>
  <c r="L31" i="27"/>
  <c r="K32" i="27"/>
  <c r="L32" i="27"/>
  <c r="K33" i="27"/>
  <c r="L33" i="27"/>
  <c r="J33" i="27"/>
  <c r="J32" i="27"/>
  <c r="J31" i="27"/>
  <c r="K30" i="27"/>
  <c r="L30" i="27"/>
  <c r="J30" i="27"/>
  <c r="K37" i="27"/>
  <c r="L37" i="27"/>
  <c r="K39" i="27"/>
  <c r="L39" i="27"/>
  <c r="K41" i="27"/>
  <c r="L41" i="27"/>
  <c r="J41" i="27"/>
  <c r="J39" i="27"/>
  <c r="L35" i="27"/>
  <c r="K35" i="27"/>
  <c r="J37" i="27"/>
  <c r="J35" i="27"/>
  <c r="N73" i="21"/>
  <c r="M73" i="21"/>
  <c r="L73" i="21"/>
  <c r="K73" i="21"/>
  <c r="N72" i="21"/>
  <c r="M72" i="21"/>
  <c r="L72" i="21"/>
  <c r="K72" i="21"/>
  <c r="N71" i="21"/>
  <c r="M71" i="21"/>
  <c r="L71" i="21"/>
  <c r="N70" i="21"/>
  <c r="M70" i="21"/>
  <c r="L70" i="21"/>
  <c r="K70" i="21"/>
  <c r="N69" i="21"/>
  <c r="M69" i="21"/>
  <c r="L69" i="21"/>
  <c r="K69" i="21"/>
  <c r="O73" i="21"/>
  <c r="O72" i="21"/>
  <c r="O71" i="21"/>
  <c r="O70" i="21"/>
  <c r="O69" i="21"/>
  <c r="C61" i="24"/>
  <c r="E66" i="24"/>
  <c r="D66" i="24"/>
  <c r="C66" i="24"/>
  <c r="E65" i="24"/>
  <c r="D65" i="24"/>
  <c r="C65" i="24"/>
  <c r="E64" i="24"/>
  <c r="D64" i="24"/>
  <c r="C64" i="24"/>
  <c r="E63" i="24"/>
  <c r="D63" i="24"/>
  <c r="C63" i="24"/>
  <c r="E62" i="24"/>
  <c r="D62" i="24"/>
  <c r="C62" i="24"/>
  <c r="E61" i="24"/>
  <c r="D61" i="24"/>
  <c r="B66" i="24"/>
  <c r="B65" i="24"/>
  <c r="B64" i="24"/>
  <c r="B63" i="24"/>
  <c r="B62" i="24"/>
  <c r="B61" i="24"/>
  <c r="E17" i="24"/>
  <c r="E16" i="24"/>
  <c r="E14" i="24"/>
  <c r="E8" i="24"/>
  <c r="K25" i="10"/>
  <c r="O15" i="3"/>
  <c r="N15" i="3"/>
  <c r="M15" i="3"/>
  <c r="L15" i="3"/>
  <c r="K15" i="3"/>
  <c r="D51" i="22"/>
  <c r="C51" i="22"/>
  <c r="B51" i="22"/>
  <c r="D50" i="22"/>
  <c r="C50" i="22"/>
  <c r="B50" i="22"/>
  <c r="D49" i="22"/>
  <c r="C49" i="22"/>
  <c r="B49" i="22"/>
  <c r="D48" i="22"/>
  <c r="C48" i="22"/>
  <c r="B48" i="22"/>
  <c r="D47" i="22"/>
  <c r="C47" i="22"/>
  <c r="B47" i="22"/>
  <c r="D46" i="22"/>
  <c r="C46" i="22"/>
  <c r="B46" i="22"/>
  <c r="D45" i="22"/>
  <c r="C45" i="22"/>
  <c r="B45" i="22"/>
  <c r="D44" i="22"/>
  <c r="C44" i="22"/>
  <c r="B44" i="22"/>
  <c r="D43" i="22"/>
  <c r="C43" i="22"/>
  <c r="B43" i="22"/>
  <c r="L58" i="22"/>
  <c r="L57" i="22"/>
  <c r="L59" i="22" s="1"/>
  <c r="I351" i="1"/>
  <c r="H351" i="1"/>
  <c r="I350" i="1"/>
  <c r="H350" i="1"/>
  <c r="I349" i="1"/>
  <c r="H349" i="1"/>
  <c r="I348" i="1"/>
  <c r="H348" i="1"/>
  <c r="I347" i="1"/>
  <c r="H347" i="1"/>
  <c r="I346" i="1"/>
  <c r="H346" i="1"/>
  <c r="I345" i="1"/>
  <c r="H345" i="1"/>
  <c r="I344" i="1"/>
  <c r="H344" i="1"/>
  <c r="I343" i="1"/>
  <c r="H343" i="1"/>
  <c r="I342" i="1"/>
  <c r="H342" i="1"/>
  <c r="I341" i="1"/>
  <c r="H341" i="1"/>
  <c r="I340" i="1"/>
  <c r="H340" i="1"/>
  <c r="I339" i="1"/>
  <c r="H339" i="1"/>
  <c r="I338" i="1"/>
  <c r="H338" i="1"/>
  <c r="I337" i="1"/>
  <c r="H337" i="1"/>
  <c r="I336" i="1"/>
  <c r="H336" i="1"/>
  <c r="I335" i="1"/>
  <c r="H335" i="1"/>
  <c r="I334" i="1"/>
  <c r="H334" i="1"/>
  <c r="I333" i="1"/>
  <c r="H333" i="1"/>
  <c r="I332" i="1"/>
  <c r="H332" i="1"/>
  <c r="I331" i="1"/>
  <c r="H331" i="1"/>
  <c r="I330" i="1"/>
  <c r="H330" i="1"/>
  <c r="I329" i="1"/>
  <c r="H329" i="1"/>
  <c r="I328" i="1"/>
  <c r="H328" i="1"/>
  <c r="I327" i="1"/>
  <c r="H327" i="1"/>
  <c r="I326" i="1"/>
  <c r="H326" i="1"/>
  <c r="I325" i="1"/>
  <c r="H325" i="1"/>
  <c r="I324" i="1"/>
  <c r="H324" i="1"/>
  <c r="I323" i="1"/>
  <c r="H323" i="1"/>
  <c r="I322" i="1"/>
  <c r="H322" i="1"/>
  <c r="I321" i="1"/>
  <c r="H321" i="1"/>
  <c r="I320" i="1"/>
  <c r="H320" i="1"/>
  <c r="I319" i="1"/>
  <c r="H319" i="1"/>
  <c r="I318" i="1"/>
  <c r="H318" i="1"/>
  <c r="I317" i="1"/>
  <c r="H317" i="1"/>
  <c r="I316" i="1"/>
  <c r="H316" i="1"/>
  <c r="I315" i="1"/>
  <c r="H315" i="1"/>
  <c r="I314" i="1"/>
  <c r="H314" i="1"/>
  <c r="I313" i="1"/>
  <c r="H313" i="1"/>
  <c r="I312" i="1"/>
  <c r="H312" i="1"/>
  <c r="I311" i="1"/>
  <c r="H311" i="1"/>
  <c r="I310" i="1"/>
  <c r="H310" i="1"/>
  <c r="I309" i="1"/>
  <c r="H309" i="1"/>
  <c r="I308" i="1"/>
  <c r="H308" i="1"/>
  <c r="I307" i="1"/>
  <c r="H307" i="1"/>
  <c r="I306" i="1"/>
  <c r="H306" i="1"/>
  <c r="I305" i="1"/>
  <c r="H305" i="1"/>
  <c r="I304" i="1"/>
  <c r="H304" i="1"/>
  <c r="I303" i="1"/>
  <c r="H303" i="1"/>
  <c r="I302" i="1"/>
  <c r="H302" i="1"/>
  <c r="I301" i="1"/>
  <c r="H301" i="1"/>
  <c r="I300" i="1"/>
  <c r="H300" i="1"/>
  <c r="I299" i="1"/>
  <c r="H299" i="1"/>
  <c r="I298" i="1"/>
  <c r="H298" i="1"/>
  <c r="I297" i="1"/>
  <c r="H297" i="1"/>
  <c r="I296" i="1"/>
  <c r="H296" i="1"/>
  <c r="I295" i="1"/>
  <c r="H295" i="1"/>
  <c r="I294" i="1"/>
  <c r="H294" i="1"/>
  <c r="I293" i="1"/>
  <c r="H293" i="1"/>
  <c r="I292" i="1"/>
  <c r="H292" i="1"/>
  <c r="I291" i="1"/>
  <c r="H291" i="1"/>
  <c r="I290" i="1"/>
  <c r="H290" i="1"/>
  <c r="I289" i="1"/>
  <c r="H289" i="1"/>
  <c r="I288" i="1"/>
  <c r="H288" i="1"/>
  <c r="I287" i="1"/>
  <c r="H287" i="1"/>
  <c r="I286" i="1"/>
  <c r="H286" i="1"/>
  <c r="I285" i="1"/>
  <c r="H285" i="1"/>
  <c r="I284" i="1"/>
  <c r="H284" i="1"/>
  <c r="I283" i="1"/>
  <c r="H283" i="1"/>
  <c r="I282" i="1"/>
  <c r="H282" i="1"/>
  <c r="I281" i="1"/>
  <c r="H281" i="1"/>
  <c r="I280" i="1"/>
  <c r="H280" i="1"/>
  <c r="I279" i="1"/>
  <c r="H279" i="1"/>
  <c r="I278" i="1"/>
  <c r="H278" i="1"/>
  <c r="I277" i="1"/>
  <c r="H277" i="1"/>
  <c r="I276" i="1"/>
  <c r="H276" i="1"/>
  <c r="I275" i="1"/>
  <c r="H275" i="1"/>
  <c r="I274" i="1"/>
  <c r="H274" i="1"/>
  <c r="I273" i="1"/>
  <c r="H273" i="1"/>
  <c r="I272" i="1"/>
  <c r="H272" i="1"/>
  <c r="I271" i="1"/>
  <c r="H271" i="1"/>
  <c r="I270" i="1"/>
  <c r="H270" i="1"/>
  <c r="I269" i="1"/>
  <c r="H269" i="1"/>
  <c r="I268" i="1"/>
  <c r="H268" i="1"/>
  <c r="I267" i="1"/>
  <c r="H267" i="1"/>
  <c r="I266" i="1"/>
  <c r="H266" i="1"/>
  <c r="I265" i="1"/>
  <c r="H265" i="1"/>
  <c r="I264" i="1"/>
  <c r="H264" i="1"/>
  <c r="I263" i="1"/>
  <c r="H263" i="1"/>
  <c r="I262" i="1"/>
  <c r="H262" i="1"/>
  <c r="I261" i="1"/>
  <c r="H261" i="1"/>
  <c r="I260" i="1"/>
  <c r="H260" i="1"/>
  <c r="I259" i="1"/>
  <c r="H259" i="1"/>
  <c r="I258" i="1"/>
  <c r="H258" i="1"/>
  <c r="I257" i="1"/>
  <c r="H257" i="1"/>
  <c r="I256" i="1"/>
  <c r="H256" i="1"/>
  <c r="I255" i="1"/>
  <c r="H255" i="1"/>
  <c r="I254" i="1"/>
  <c r="H254" i="1"/>
  <c r="I253" i="1"/>
  <c r="H253" i="1"/>
  <c r="I252" i="1"/>
  <c r="H252" i="1"/>
  <c r="I251" i="1"/>
  <c r="H251" i="1"/>
  <c r="I250" i="1"/>
  <c r="H250" i="1"/>
  <c r="I249" i="1"/>
  <c r="H249" i="1"/>
  <c r="I248" i="1"/>
  <c r="H248" i="1"/>
  <c r="I352" i="1"/>
  <c r="H352" i="1"/>
  <c r="L55" i="35" l="1"/>
  <c r="K55" i="35"/>
  <c r="K54" i="35"/>
  <c r="L54" i="35"/>
  <c r="L53" i="35"/>
  <c r="K53" i="35"/>
  <c r="K52" i="35"/>
  <c r="L52" i="35"/>
  <c r="L47" i="35"/>
  <c r="K47" i="35"/>
  <c r="K46" i="35"/>
  <c r="L46" i="35"/>
  <c r="L45" i="35"/>
  <c r="K45" i="35"/>
  <c r="K44" i="35"/>
  <c r="L44" i="35"/>
  <c r="K39" i="35"/>
  <c r="L39" i="35"/>
  <c r="L38" i="35"/>
  <c r="K38" i="35"/>
  <c r="K37" i="35"/>
  <c r="L37" i="35"/>
  <c r="L36" i="35"/>
  <c r="K36" i="35"/>
  <c r="L35" i="35"/>
  <c r="K35" i="35"/>
  <c r="K34" i="35"/>
  <c r="L34" i="35"/>
  <c r="L33" i="35"/>
  <c r="K33" i="35"/>
  <c r="L32" i="35"/>
  <c r="K32" i="35"/>
  <c r="L27" i="35"/>
  <c r="K27" i="35"/>
  <c r="K26" i="35"/>
  <c r="L26" i="35"/>
  <c r="L25" i="35"/>
  <c r="K25" i="35"/>
  <c r="K24" i="35"/>
  <c r="L24" i="35"/>
  <c r="L23" i="35"/>
  <c r="K23" i="35"/>
  <c r="K22" i="35"/>
  <c r="L22" i="35"/>
  <c r="L17" i="35"/>
  <c r="K17" i="35"/>
  <c r="K16" i="35"/>
  <c r="L16" i="35"/>
  <c r="L15" i="35"/>
  <c r="K15" i="35"/>
  <c r="D61" i="31"/>
  <c r="D58" i="31"/>
  <c r="D56" i="31"/>
  <c r="E61" i="31"/>
  <c r="E58" i="31"/>
  <c r="E56" i="31"/>
  <c r="F61" i="31"/>
  <c r="F58" i="31"/>
  <c r="F56" i="31"/>
  <c r="C44" i="31"/>
  <c r="C46" i="31"/>
  <c r="C48" i="31"/>
  <c r="C50" i="31"/>
  <c r="C52" i="31"/>
  <c r="C54" i="31"/>
  <c r="C56" i="31"/>
  <c r="C58" i="31"/>
  <c r="C61" i="31"/>
  <c r="F54" i="31"/>
  <c r="E54" i="31"/>
  <c r="D54" i="31"/>
  <c r="F52" i="31"/>
  <c r="E52" i="31"/>
  <c r="D52" i="31"/>
  <c r="F50" i="31"/>
  <c r="E50" i="31"/>
  <c r="D50" i="31"/>
  <c r="F48" i="31"/>
  <c r="E48" i="31"/>
  <c r="D48" i="31"/>
  <c r="F46" i="31"/>
  <c r="E46" i="31"/>
  <c r="D46" i="31"/>
  <c r="F44" i="31"/>
  <c r="E44" i="31"/>
  <c r="D44" i="31"/>
  <c r="F28" i="31"/>
  <c r="F33" i="31" s="1"/>
  <c r="E28" i="31"/>
  <c r="E33" i="31" s="1"/>
  <c r="E13" i="31" s="1"/>
  <c r="D28" i="31"/>
  <c r="D33" i="31" s="1"/>
  <c r="D13" i="31" s="1"/>
  <c r="C28" i="31"/>
  <c r="E10" i="31"/>
  <c r="D41" i="31"/>
  <c r="F49" i="27"/>
  <c r="E50" i="27"/>
  <c r="E51" i="27"/>
  <c r="C37" i="22"/>
  <c r="C35" i="22"/>
  <c r="D29" i="22"/>
  <c r="E29" i="22" s="1"/>
  <c r="F29" i="22" s="1"/>
  <c r="G29" i="22" s="1"/>
  <c r="C19" i="22"/>
  <c r="D15" i="22"/>
  <c r="E15" i="22" s="1"/>
  <c r="F15" i="22" s="1"/>
  <c r="G15" i="22" s="1"/>
  <c r="I15" i="20"/>
  <c r="H15" i="20"/>
  <c r="G15" i="20"/>
  <c r="I11" i="20"/>
  <c r="H11" i="20"/>
  <c r="G11" i="20"/>
  <c r="F13" i="31" l="1"/>
  <c r="G33" i="31"/>
  <c r="F17" i="31"/>
  <c r="F23" i="31"/>
  <c r="F25" i="31"/>
  <c r="F27" i="31"/>
  <c r="F30" i="31"/>
  <c r="F19" i="31"/>
  <c r="F21" i="31"/>
  <c r="F15" i="31"/>
  <c r="E17" i="31"/>
  <c r="E23" i="31"/>
  <c r="E25" i="31"/>
  <c r="E27" i="31"/>
  <c r="E30" i="31"/>
  <c r="E19" i="31"/>
  <c r="E21" i="31"/>
  <c r="E15" i="31"/>
  <c r="D17" i="31"/>
  <c r="D23" i="31"/>
  <c r="D25" i="31"/>
  <c r="D27" i="31"/>
  <c r="D30" i="31"/>
  <c r="D19" i="31"/>
  <c r="D21" i="31"/>
  <c r="D15" i="31"/>
  <c r="E41" i="31"/>
  <c r="F10" i="31"/>
  <c r="F41" i="31" s="1"/>
  <c r="F52" i="27"/>
  <c r="F50" i="27"/>
  <c r="F51" i="27" s="1"/>
  <c r="D51" i="19"/>
  <c r="D38" i="19"/>
  <c r="D28" i="19"/>
  <c r="D27" i="19"/>
  <c r="E4" i="19" l="1"/>
  <c r="F4" i="19" s="1"/>
  <c r="G4" i="19" s="1"/>
  <c r="H4" i="19" s="1"/>
  <c r="C52" i="13"/>
  <c r="G51" i="13"/>
  <c r="F51" i="13"/>
  <c r="E51" i="13"/>
  <c r="D51" i="13"/>
  <c r="C51" i="13"/>
  <c r="H50" i="13"/>
  <c r="G50" i="13"/>
  <c r="C50" i="13"/>
  <c r="F49" i="13"/>
  <c r="E49" i="13"/>
  <c r="C49" i="13"/>
  <c r="C48" i="13"/>
  <c r="C47" i="13"/>
  <c r="D46" i="13"/>
  <c r="C46" i="13"/>
  <c r="H45" i="13"/>
  <c r="G45" i="13"/>
  <c r="F45" i="13"/>
  <c r="E45" i="13"/>
  <c r="C45" i="13"/>
  <c r="H44" i="13"/>
  <c r="C44" i="13"/>
  <c r="C43" i="13"/>
  <c r="C42" i="13"/>
  <c r="B52" i="13"/>
  <c r="B51" i="13"/>
  <c r="B50" i="13"/>
  <c r="B49" i="13"/>
  <c r="B48" i="13"/>
  <c r="B47" i="13"/>
  <c r="B46" i="13"/>
  <c r="B45" i="13"/>
  <c r="B44" i="13"/>
  <c r="B43" i="13"/>
  <c r="B42" i="13"/>
  <c r="D33" i="13"/>
  <c r="C33" i="13"/>
  <c r="D32" i="13"/>
  <c r="C32" i="13"/>
  <c r="F31" i="13"/>
  <c r="C31" i="13"/>
  <c r="H30" i="13"/>
  <c r="G30" i="13"/>
  <c r="F30" i="13"/>
  <c r="E30" i="13"/>
  <c r="C30" i="13"/>
  <c r="H29" i="13"/>
  <c r="G29" i="13"/>
  <c r="F29" i="13"/>
  <c r="E29" i="13"/>
  <c r="D29" i="13"/>
  <c r="C29" i="13"/>
  <c r="H28" i="13"/>
  <c r="G28" i="13"/>
  <c r="C28" i="13"/>
  <c r="C27" i="13"/>
  <c r="F26" i="13"/>
  <c r="E26" i="13"/>
  <c r="C26" i="13"/>
  <c r="G25" i="13"/>
  <c r="F25" i="13"/>
  <c r="E25" i="13"/>
  <c r="C25" i="13"/>
  <c r="B33" i="13"/>
  <c r="B32" i="13"/>
  <c r="B31" i="13"/>
  <c r="B30" i="13"/>
  <c r="B29" i="13"/>
  <c r="B28" i="13"/>
  <c r="B27" i="13"/>
  <c r="B26" i="13"/>
  <c r="B25" i="13"/>
  <c r="D18" i="13"/>
  <c r="C18" i="13"/>
  <c r="C17" i="13"/>
  <c r="E16" i="13"/>
  <c r="D16" i="13"/>
  <c r="C16" i="13"/>
  <c r="H15" i="13"/>
  <c r="G15" i="13"/>
  <c r="F15" i="13"/>
  <c r="E15" i="13"/>
  <c r="D15" i="13"/>
  <c r="C15" i="13"/>
  <c r="H14" i="13"/>
  <c r="G14" i="13"/>
  <c r="F14" i="13"/>
  <c r="E14" i="13"/>
  <c r="D14" i="13"/>
  <c r="C14" i="13"/>
  <c r="C13" i="13"/>
  <c r="D12" i="13"/>
  <c r="C12" i="13"/>
  <c r="H11" i="13"/>
  <c r="G11" i="13"/>
  <c r="F11" i="13"/>
  <c r="E11" i="13"/>
  <c r="D11" i="13"/>
  <c r="C11" i="13"/>
  <c r="H10" i="13"/>
  <c r="E10" i="13"/>
  <c r="C10" i="13"/>
  <c r="H9" i="13"/>
  <c r="F9" i="13"/>
  <c r="E9" i="13"/>
  <c r="C9" i="13"/>
  <c r="B18" i="13"/>
  <c r="B17" i="13"/>
  <c r="B16" i="13"/>
  <c r="B15" i="13"/>
  <c r="B14" i="13"/>
  <c r="B13" i="13"/>
  <c r="B12" i="13"/>
  <c r="B11" i="13"/>
  <c r="B10" i="13"/>
  <c r="B9" i="13"/>
  <c r="H56" i="13"/>
  <c r="AC29" i="6"/>
  <c r="AB29" i="6"/>
  <c r="AA29" i="6"/>
  <c r="Z29" i="6"/>
  <c r="Y29" i="6"/>
  <c r="V29" i="6"/>
  <c r="U29" i="6"/>
  <c r="T29" i="6"/>
  <c r="S29" i="6"/>
  <c r="R29" i="6"/>
  <c r="O29" i="6"/>
  <c r="N29" i="6"/>
  <c r="M29" i="6"/>
  <c r="L29" i="6"/>
  <c r="K29" i="6"/>
  <c r="AC161" i="6"/>
  <c r="AB161" i="6"/>
  <c r="AA161" i="6"/>
  <c r="Z161" i="6"/>
  <c r="Y161" i="6"/>
  <c r="V161" i="6"/>
  <c r="U161" i="6"/>
  <c r="T161" i="6"/>
  <c r="S161" i="6"/>
  <c r="R161" i="6"/>
  <c r="O161" i="6"/>
  <c r="N161" i="6"/>
  <c r="M161" i="6"/>
  <c r="L161" i="6"/>
  <c r="K161" i="6"/>
  <c r="O91" i="8"/>
  <c r="N91" i="8"/>
  <c r="M91" i="8"/>
  <c r="M89" i="8"/>
  <c r="N80" i="8"/>
  <c r="M78" i="8"/>
  <c r="L78" i="8"/>
  <c r="O77" i="8"/>
  <c r="N75" i="8"/>
  <c r="M67" i="8"/>
  <c r="L67" i="8"/>
  <c r="O66" i="8"/>
  <c r="N66" i="8"/>
  <c r="M66" i="8"/>
  <c r="L66" i="8"/>
  <c r="M64" i="8"/>
  <c r="L64" i="8"/>
  <c r="O63" i="8"/>
  <c r="M62" i="8"/>
  <c r="N61" i="8"/>
  <c r="M61" i="8"/>
  <c r="N54" i="8"/>
  <c r="M54" i="8"/>
  <c r="L54" i="8"/>
  <c r="O53" i="8"/>
  <c r="N53" i="8"/>
  <c r="M53" i="8"/>
  <c r="L53" i="8"/>
  <c r="N49" i="8"/>
  <c r="M49" i="8"/>
  <c r="L49" i="8"/>
  <c r="O48" i="8"/>
  <c r="N48" i="8"/>
  <c r="M48" i="8"/>
  <c r="O47" i="8"/>
  <c r="N47" i="8"/>
  <c r="M47" i="8"/>
  <c r="M36" i="8"/>
  <c r="L36" i="8"/>
  <c r="O35" i="8"/>
  <c r="N35" i="8"/>
  <c r="M35" i="8"/>
  <c r="L35" i="8"/>
  <c r="N34" i="8"/>
  <c r="M31" i="8"/>
  <c r="L31" i="8"/>
  <c r="O30" i="8"/>
  <c r="N30" i="8"/>
  <c r="M30" i="8"/>
  <c r="L30" i="8"/>
  <c r="O62" i="4"/>
  <c r="N62" i="4"/>
  <c r="M62" i="4"/>
  <c r="L62" i="4"/>
  <c r="K62" i="4"/>
  <c r="O51" i="4"/>
  <c r="L51" i="4"/>
  <c r="L19" i="4"/>
  <c r="H61" i="7"/>
  <c r="G61" i="7"/>
  <c r="F61" i="7"/>
  <c r="E61" i="7"/>
  <c r="O61" i="7"/>
  <c r="N61" i="7"/>
  <c r="M61" i="7"/>
  <c r="L61" i="7"/>
  <c r="V61" i="7"/>
  <c r="U61" i="7"/>
  <c r="T61" i="7"/>
  <c r="S61" i="7"/>
  <c r="D61" i="7"/>
  <c r="R61" i="7" s="1"/>
  <c r="V51" i="7"/>
  <c r="U51" i="7"/>
  <c r="T51" i="7"/>
  <c r="S51" i="7"/>
  <c r="R51" i="7"/>
  <c r="O51" i="7"/>
  <c r="N51" i="7"/>
  <c r="M51" i="7"/>
  <c r="L51" i="7"/>
  <c r="K51" i="7"/>
  <c r="H51" i="7"/>
  <c r="G51" i="7"/>
  <c r="N51" i="4" s="1"/>
  <c r="F51" i="7"/>
  <c r="M51" i="4" s="1"/>
  <c r="E51" i="7"/>
  <c r="D51" i="7"/>
  <c r="K51" i="4" s="1"/>
  <c r="L19" i="7"/>
  <c r="E19" i="7"/>
  <c r="H32" i="4"/>
  <c r="G29" i="4"/>
  <c r="E30" i="4"/>
  <c r="E29" i="4"/>
  <c r="E28" i="4"/>
  <c r="H27" i="4"/>
  <c r="G27" i="4"/>
  <c r="G19" i="4"/>
  <c r="F19" i="4"/>
  <c r="H18" i="4"/>
  <c r="G18" i="4"/>
  <c r="F18" i="4"/>
  <c r="F15" i="4"/>
  <c r="H103" i="5"/>
  <c r="G103" i="5"/>
  <c r="F103" i="5"/>
  <c r="E103" i="5"/>
  <c r="D103" i="5"/>
  <c r="D11" i="6"/>
  <c r="AC11" i="6"/>
  <c r="AB11" i="6"/>
  <c r="AA11" i="6"/>
  <c r="Z11" i="6"/>
  <c r="Y11" i="6"/>
  <c r="S11" i="6"/>
  <c r="T11" i="6"/>
  <c r="U11" i="6"/>
  <c r="V11" i="6"/>
  <c r="R11" i="6"/>
  <c r="O11" i="6"/>
  <c r="N11" i="6"/>
  <c r="M11" i="6"/>
  <c r="L11" i="6"/>
  <c r="K11" i="6"/>
  <c r="S53" i="6"/>
  <c r="AA53" i="6"/>
  <c r="Y33" i="6"/>
  <c r="Z33" i="6" s="1"/>
  <c r="L33" i="6"/>
  <c r="K33" i="6"/>
  <c r="D18" i="2"/>
  <c r="G86" i="5"/>
  <c r="H80" i="5" s="1"/>
  <c r="AC53" i="6"/>
  <c r="AB53" i="6"/>
  <c r="Z53" i="6"/>
  <c r="V53" i="6"/>
  <c r="U53" i="6"/>
  <c r="T53" i="6"/>
  <c r="O53" i="6"/>
  <c r="N53" i="6"/>
  <c r="M53" i="6"/>
  <c r="L53" i="6"/>
  <c r="H53" i="4"/>
  <c r="G53" i="4"/>
  <c r="F53" i="4"/>
  <c r="E53" i="4"/>
  <c r="F52" i="4"/>
  <c r="G51" i="4"/>
  <c r="F44" i="4"/>
  <c r="E44" i="4"/>
  <c r="D42" i="4"/>
  <c r="V51" i="5"/>
  <c r="U51" i="5"/>
  <c r="T51" i="5"/>
  <c r="S51" i="5"/>
  <c r="V50" i="5"/>
  <c r="U50" i="5"/>
  <c r="T50" i="5"/>
  <c r="S50" i="5"/>
  <c r="V49" i="5"/>
  <c r="U49" i="5"/>
  <c r="T49" i="5"/>
  <c r="S49" i="5"/>
  <c r="R51" i="5"/>
  <c r="R50" i="5"/>
  <c r="R49" i="5"/>
  <c r="G168" i="6"/>
  <c r="F168" i="6"/>
  <c r="F169" i="6" s="1"/>
  <c r="E168" i="6"/>
  <c r="E169" i="6" s="1"/>
  <c r="D168" i="6"/>
  <c r="D169" i="6" s="1"/>
  <c r="H165" i="6"/>
  <c r="G165" i="6"/>
  <c r="D162" i="6"/>
  <c r="G162" i="6"/>
  <c r="G163" i="6" s="1"/>
  <c r="F162" i="6"/>
  <c r="D160" i="6"/>
  <c r="D161" i="6" s="1"/>
  <c r="AC144" i="6"/>
  <c r="AB144" i="6"/>
  <c r="AA144" i="6"/>
  <c r="Z144" i="6"/>
  <c r="Y144" i="6"/>
  <c r="V144" i="6"/>
  <c r="U144" i="6"/>
  <c r="T144" i="6"/>
  <c r="S144" i="6"/>
  <c r="R144" i="6"/>
  <c r="O144" i="6"/>
  <c r="N144" i="6"/>
  <c r="M144" i="6"/>
  <c r="L144" i="6"/>
  <c r="K144" i="6"/>
  <c r="D143" i="6"/>
  <c r="D139" i="6"/>
  <c r="AC155" i="6"/>
  <c r="AB155" i="6"/>
  <c r="AA155" i="6"/>
  <c r="Z155" i="6"/>
  <c r="Y155" i="6"/>
  <c r="V155" i="6"/>
  <c r="U155" i="6"/>
  <c r="T155" i="6"/>
  <c r="S155" i="6"/>
  <c r="R155" i="6"/>
  <c r="O155" i="6"/>
  <c r="N155" i="6"/>
  <c r="M155" i="6"/>
  <c r="L155" i="6"/>
  <c r="K155" i="6"/>
  <c r="H156" i="6"/>
  <c r="G156" i="6"/>
  <c r="F156" i="6"/>
  <c r="E156" i="6"/>
  <c r="D156" i="6"/>
  <c r="D154" i="6"/>
  <c r="D152" i="6"/>
  <c r="AC27" i="6"/>
  <c r="AB27" i="6"/>
  <c r="AA27" i="6"/>
  <c r="Z27" i="6"/>
  <c r="Y27" i="6"/>
  <c r="V27" i="6"/>
  <c r="U27" i="6"/>
  <c r="T27" i="6"/>
  <c r="S27" i="6"/>
  <c r="R27" i="6"/>
  <c r="O27" i="6"/>
  <c r="N27" i="6"/>
  <c r="M27" i="6"/>
  <c r="L27" i="6"/>
  <c r="K27" i="6"/>
  <c r="H30" i="6"/>
  <c r="E30" i="6"/>
  <c r="F28" i="6"/>
  <c r="E28" i="6"/>
  <c r="D28" i="6"/>
  <c r="H26" i="6"/>
  <c r="G26" i="6"/>
  <c r="H146" i="6"/>
  <c r="F146" i="6"/>
  <c r="E146" i="6"/>
  <c r="D136" i="6"/>
  <c r="H108" i="6"/>
  <c r="G108" i="6"/>
  <c r="D108" i="6"/>
  <c r="AC134" i="6"/>
  <c r="AB134" i="6"/>
  <c r="AA134" i="6"/>
  <c r="Z134" i="6"/>
  <c r="Y134" i="6"/>
  <c r="V134" i="6"/>
  <c r="U134" i="6"/>
  <c r="T134" i="6"/>
  <c r="S134" i="6"/>
  <c r="R134" i="6"/>
  <c r="O134" i="6"/>
  <c r="N134" i="6"/>
  <c r="M134" i="6"/>
  <c r="L134" i="6"/>
  <c r="K134" i="6"/>
  <c r="O130" i="6"/>
  <c r="N130" i="6"/>
  <c r="M130" i="6"/>
  <c r="L130" i="6"/>
  <c r="V130" i="6"/>
  <c r="U130" i="6"/>
  <c r="T130" i="6"/>
  <c r="S130" i="6"/>
  <c r="AC130" i="6"/>
  <c r="AB130" i="6"/>
  <c r="AA130" i="6"/>
  <c r="Z130" i="6"/>
  <c r="Y130" i="6"/>
  <c r="R130" i="6"/>
  <c r="K130" i="6"/>
  <c r="E131" i="6"/>
  <c r="F131" i="6"/>
  <c r="D133" i="6"/>
  <c r="AC127" i="6"/>
  <c r="AB127" i="6"/>
  <c r="AA127" i="6"/>
  <c r="Z127" i="6"/>
  <c r="Y127" i="6"/>
  <c r="V127" i="6"/>
  <c r="U127" i="6"/>
  <c r="T127" i="6"/>
  <c r="S127" i="6"/>
  <c r="R127" i="6"/>
  <c r="O127" i="6"/>
  <c r="N127" i="6"/>
  <c r="M127" i="6"/>
  <c r="L127" i="6"/>
  <c r="K127" i="6"/>
  <c r="D126" i="6"/>
  <c r="AC65" i="6"/>
  <c r="AB65" i="6"/>
  <c r="AA65" i="6"/>
  <c r="Z65" i="6"/>
  <c r="Y65" i="6"/>
  <c r="V65" i="6"/>
  <c r="U65" i="6"/>
  <c r="T65" i="6"/>
  <c r="S65" i="6"/>
  <c r="R65" i="6"/>
  <c r="O65" i="6"/>
  <c r="N65" i="6"/>
  <c r="M65" i="6"/>
  <c r="L65" i="6"/>
  <c r="K65" i="6"/>
  <c r="O62" i="6"/>
  <c r="N62" i="6"/>
  <c r="M62" i="6"/>
  <c r="L62" i="6"/>
  <c r="V62" i="6"/>
  <c r="U62" i="6"/>
  <c r="T62" i="6"/>
  <c r="S62" i="6"/>
  <c r="AC62" i="6"/>
  <c r="AB62" i="6"/>
  <c r="AA62" i="6"/>
  <c r="Z62" i="6"/>
  <c r="Y62" i="6"/>
  <c r="R62" i="6"/>
  <c r="K62" i="6"/>
  <c r="G61" i="6"/>
  <c r="G62" i="6" s="1"/>
  <c r="F61" i="6"/>
  <c r="F62" i="6" s="1"/>
  <c r="E61" i="6"/>
  <c r="E62" i="6" s="1"/>
  <c r="D61" i="6"/>
  <c r="D62" i="6" s="1"/>
  <c r="AC103" i="6"/>
  <c r="AB103" i="6"/>
  <c r="AA103" i="6"/>
  <c r="Z103" i="6"/>
  <c r="Y103" i="6"/>
  <c r="V103" i="6"/>
  <c r="U103" i="6"/>
  <c r="T103" i="6"/>
  <c r="S103" i="6"/>
  <c r="R103" i="6"/>
  <c r="O103" i="6"/>
  <c r="N103" i="6"/>
  <c r="M103" i="6"/>
  <c r="L103" i="6"/>
  <c r="K103" i="6"/>
  <c r="G58" i="6"/>
  <c r="F58" i="6"/>
  <c r="E58" i="6"/>
  <c r="D58" i="6"/>
  <c r="O56" i="6"/>
  <c r="N56" i="6"/>
  <c r="M56" i="6"/>
  <c r="L56" i="6"/>
  <c r="V56" i="6"/>
  <c r="U56" i="6"/>
  <c r="T56" i="6"/>
  <c r="S56" i="6"/>
  <c r="AC56" i="6"/>
  <c r="AB56" i="6"/>
  <c r="AA56" i="6"/>
  <c r="Z56" i="6"/>
  <c r="Y56" i="6"/>
  <c r="R56" i="6"/>
  <c r="K56" i="6"/>
  <c r="G55" i="6"/>
  <c r="F55" i="6"/>
  <c r="E55" i="6"/>
  <c r="D55" i="6"/>
  <c r="D70" i="5"/>
  <c r="D9" i="4"/>
  <c r="O50" i="6"/>
  <c r="N50" i="6"/>
  <c r="M50" i="6"/>
  <c r="L50" i="6"/>
  <c r="V50" i="6"/>
  <c r="U50" i="6"/>
  <c r="T50" i="6"/>
  <c r="S50" i="6"/>
  <c r="AC50" i="6"/>
  <c r="AB50" i="6"/>
  <c r="AA50" i="6"/>
  <c r="Z50" i="6"/>
  <c r="Y50" i="6"/>
  <c r="R50" i="6"/>
  <c r="K50" i="6"/>
  <c r="H49" i="6"/>
  <c r="G49" i="6"/>
  <c r="H46" i="6"/>
  <c r="O47" i="6"/>
  <c r="N47" i="6"/>
  <c r="M47" i="6"/>
  <c r="L47" i="6"/>
  <c r="V47" i="6"/>
  <c r="U47" i="6"/>
  <c r="T47" i="6"/>
  <c r="S47" i="6"/>
  <c r="AC47" i="6"/>
  <c r="AB47" i="6"/>
  <c r="AA47" i="6"/>
  <c r="Z47" i="6"/>
  <c r="Y47" i="6"/>
  <c r="R47" i="6"/>
  <c r="K47" i="6"/>
  <c r="AC13" i="6"/>
  <c r="AB13" i="6"/>
  <c r="AA13" i="6"/>
  <c r="Z13" i="6"/>
  <c r="Y13" i="6"/>
  <c r="V13" i="6"/>
  <c r="U13" i="6"/>
  <c r="T13" i="6"/>
  <c r="S13" i="6"/>
  <c r="R13" i="6"/>
  <c r="O13" i="6"/>
  <c r="N13" i="6"/>
  <c r="M13" i="6"/>
  <c r="L13" i="6"/>
  <c r="K13" i="6"/>
  <c r="H18" i="6"/>
  <c r="G18" i="6"/>
  <c r="F18" i="6"/>
  <c r="E18" i="6"/>
  <c r="O11" i="3"/>
  <c r="N11" i="3"/>
  <c r="M11" i="3"/>
  <c r="L11" i="3"/>
  <c r="K11" i="3"/>
  <c r="E52" i="6"/>
  <c r="S33" i="6"/>
  <c r="R106" i="6"/>
  <c r="D35" i="3"/>
  <c r="D52" i="13" s="1"/>
  <c r="D34" i="3"/>
  <c r="D33" i="3"/>
  <c r="D32" i="3"/>
  <c r="D31" i="3"/>
  <c r="D30" i="3"/>
  <c r="D47" i="13" s="1"/>
  <c r="D29" i="3"/>
  <c r="D28" i="3"/>
  <c r="D49" i="6" s="1"/>
  <c r="D27" i="3"/>
  <c r="D44" i="13" s="1"/>
  <c r="D26" i="3"/>
  <c r="H75" i="3"/>
  <c r="L64" i="22" s="1"/>
  <c r="G75" i="3"/>
  <c r="F75" i="3"/>
  <c r="E75" i="3"/>
  <c r="H74" i="3"/>
  <c r="G74" i="3"/>
  <c r="F74" i="3"/>
  <c r="E74" i="3"/>
  <c r="H73" i="3"/>
  <c r="G73" i="3"/>
  <c r="F73" i="3"/>
  <c r="E73" i="3"/>
  <c r="D75" i="3"/>
  <c r="K75" i="3" s="1"/>
  <c r="D74" i="3"/>
  <c r="D73" i="3"/>
  <c r="L89" i="8" s="1"/>
  <c r="H65" i="3"/>
  <c r="G65" i="3"/>
  <c r="F65" i="3"/>
  <c r="E65" i="3"/>
  <c r="L81" i="8" s="1"/>
  <c r="H64" i="3"/>
  <c r="G64" i="3"/>
  <c r="G159" i="6" s="1"/>
  <c r="F64" i="3"/>
  <c r="E64" i="3"/>
  <c r="H63" i="3"/>
  <c r="O79" i="8" s="1"/>
  <c r="G63" i="3"/>
  <c r="F63" i="3"/>
  <c r="E63" i="3"/>
  <c r="H62" i="3"/>
  <c r="G62" i="3"/>
  <c r="F62" i="3"/>
  <c r="E62" i="3"/>
  <c r="H61" i="3"/>
  <c r="H139" i="6" s="1"/>
  <c r="G61" i="3"/>
  <c r="F61" i="3"/>
  <c r="F143" i="6" s="1"/>
  <c r="E61" i="3"/>
  <c r="E143" i="6" s="1"/>
  <c r="H60" i="3"/>
  <c r="H133" i="6" s="1"/>
  <c r="G60" i="3"/>
  <c r="G133" i="6" s="1"/>
  <c r="F60" i="3"/>
  <c r="F129" i="6" s="1"/>
  <c r="E60" i="3"/>
  <c r="E129" i="6" s="1"/>
  <c r="H59" i="3"/>
  <c r="O75" i="8" s="1"/>
  <c r="G59" i="3"/>
  <c r="F59" i="3"/>
  <c r="E59" i="3"/>
  <c r="D65" i="3"/>
  <c r="D64" i="3"/>
  <c r="D63" i="3"/>
  <c r="D165" i="6" s="1"/>
  <c r="D62" i="3"/>
  <c r="D61" i="3"/>
  <c r="D60" i="3"/>
  <c r="D59" i="3"/>
  <c r="H53" i="3"/>
  <c r="H160" i="6" s="1"/>
  <c r="H161" i="6" s="1"/>
  <c r="G53" i="3"/>
  <c r="G33" i="13" s="1"/>
  <c r="F53" i="3"/>
  <c r="E53" i="3"/>
  <c r="H52" i="3"/>
  <c r="H31" i="4" s="1"/>
  <c r="G52" i="3"/>
  <c r="F52" i="3"/>
  <c r="E52" i="3"/>
  <c r="H51" i="3"/>
  <c r="G51" i="3"/>
  <c r="N67" i="8" s="1"/>
  <c r="F51" i="3"/>
  <c r="F30" i="4" s="1"/>
  <c r="E51" i="3"/>
  <c r="E31" i="13" s="1"/>
  <c r="H50" i="3"/>
  <c r="G50" i="3"/>
  <c r="F50" i="3"/>
  <c r="E50" i="3"/>
  <c r="F29" i="4" s="1"/>
  <c r="H49" i="3"/>
  <c r="G49" i="3"/>
  <c r="F49" i="3"/>
  <c r="F28" i="4" s="1"/>
  <c r="E49" i="3"/>
  <c r="H48" i="3"/>
  <c r="G48" i="3"/>
  <c r="F48" i="3"/>
  <c r="F28" i="13" s="1"/>
  <c r="E48" i="3"/>
  <c r="E28" i="13" s="1"/>
  <c r="H47" i="3"/>
  <c r="H27" i="13" s="1"/>
  <c r="G47" i="3"/>
  <c r="G27" i="13" s="1"/>
  <c r="F47" i="3"/>
  <c r="E47" i="3"/>
  <c r="L63" i="8" s="1"/>
  <c r="H46" i="3"/>
  <c r="G46" i="3"/>
  <c r="N62" i="8" s="1"/>
  <c r="F46" i="3"/>
  <c r="E46" i="3"/>
  <c r="H45" i="3"/>
  <c r="G45" i="3"/>
  <c r="F45" i="3"/>
  <c r="F86" i="5" s="1"/>
  <c r="G80" i="5" s="1"/>
  <c r="G83" i="5" s="1"/>
  <c r="E45" i="3"/>
  <c r="D53" i="3"/>
  <c r="D52" i="3"/>
  <c r="D51" i="3"/>
  <c r="D50" i="3"/>
  <c r="D30" i="13" s="1"/>
  <c r="D49" i="3"/>
  <c r="D141" i="6" s="1"/>
  <c r="D48" i="3"/>
  <c r="D28" i="13" s="1"/>
  <c r="D47" i="3"/>
  <c r="D27" i="13" s="1"/>
  <c r="D45" i="3"/>
  <c r="D46" i="3"/>
  <c r="H35" i="3"/>
  <c r="G35" i="3"/>
  <c r="F35" i="3"/>
  <c r="F52" i="13" s="1"/>
  <c r="E35" i="3"/>
  <c r="E52" i="13" s="1"/>
  <c r="H34" i="3"/>
  <c r="H51" i="13" s="1"/>
  <c r="G34" i="3"/>
  <c r="F34" i="3"/>
  <c r="E34" i="3"/>
  <c r="H33" i="3"/>
  <c r="G33" i="3"/>
  <c r="F33" i="3"/>
  <c r="F50" i="13" s="1"/>
  <c r="E33" i="3"/>
  <c r="E50" i="13" s="1"/>
  <c r="H32" i="3"/>
  <c r="H49" i="13" s="1"/>
  <c r="G32" i="3"/>
  <c r="N52" i="8" s="1"/>
  <c r="F32" i="3"/>
  <c r="F30" i="6" s="1"/>
  <c r="E32" i="3"/>
  <c r="E26" i="6" s="1"/>
  <c r="H31" i="3"/>
  <c r="G31" i="3"/>
  <c r="F31" i="3"/>
  <c r="E31" i="3"/>
  <c r="H30" i="3"/>
  <c r="G30" i="3"/>
  <c r="F30" i="3"/>
  <c r="E30" i="3"/>
  <c r="L50" i="8" s="1"/>
  <c r="H29" i="3"/>
  <c r="G29" i="3"/>
  <c r="G46" i="13" s="1"/>
  <c r="F29" i="3"/>
  <c r="F46" i="13" s="1"/>
  <c r="E29" i="3"/>
  <c r="H28" i="3"/>
  <c r="H45" i="4" s="1"/>
  <c r="G28" i="3"/>
  <c r="F28" i="3"/>
  <c r="E28" i="3"/>
  <c r="E49" i="6" s="1"/>
  <c r="H27" i="3"/>
  <c r="H43" i="6" s="1"/>
  <c r="G27" i="3"/>
  <c r="G43" i="6" s="1"/>
  <c r="F27" i="3"/>
  <c r="F43" i="6" s="1"/>
  <c r="E27" i="3"/>
  <c r="E43" i="6" s="1"/>
  <c r="H26" i="3"/>
  <c r="G26" i="3"/>
  <c r="F26" i="3"/>
  <c r="E26" i="3"/>
  <c r="E46" i="6" s="1"/>
  <c r="H25" i="3"/>
  <c r="G25" i="3"/>
  <c r="F25" i="3"/>
  <c r="F42" i="13" s="1"/>
  <c r="E25" i="3"/>
  <c r="E10" i="6" s="1"/>
  <c r="E11" i="6" s="1"/>
  <c r="D25" i="3"/>
  <c r="D18" i="6" s="1"/>
  <c r="E10" i="3"/>
  <c r="F10" i="3"/>
  <c r="G10" i="3"/>
  <c r="H10" i="3"/>
  <c r="E11" i="3"/>
  <c r="F11" i="3"/>
  <c r="G11" i="3"/>
  <c r="H11" i="3"/>
  <c r="E12" i="3"/>
  <c r="L32" i="8" s="1"/>
  <c r="F12" i="3"/>
  <c r="M32" i="8" s="1"/>
  <c r="G12" i="3"/>
  <c r="N32" i="8" s="1"/>
  <c r="H12" i="3"/>
  <c r="O32" i="8" s="1"/>
  <c r="E13" i="3"/>
  <c r="F13" i="3"/>
  <c r="G13" i="3"/>
  <c r="H13" i="3"/>
  <c r="E14" i="3"/>
  <c r="F14" i="3"/>
  <c r="G14" i="3"/>
  <c r="H14" i="3"/>
  <c r="O34" i="8" s="1"/>
  <c r="E15" i="3"/>
  <c r="F15" i="3"/>
  <c r="G15" i="3"/>
  <c r="H15" i="3"/>
  <c r="L62" i="22" s="1"/>
  <c r="E16" i="3"/>
  <c r="E18" i="4" s="1"/>
  <c r="F16" i="3"/>
  <c r="F26" i="6" s="1"/>
  <c r="G16" i="3"/>
  <c r="H16" i="3"/>
  <c r="E17" i="3"/>
  <c r="F17" i="3"/>
  <c r="G17" i="3"/>
  <c r="H17" i="3"/>
  <c r="E18" i="3"/>
  <c r="F18" i="3"/>
  <c r="M38" i="8" s="1"/>
  <c r="G18" i="3"/>
  <c r="G35" i="6" s="1"/>
  <c r="G36" i="6" s="1"/>
  <c r="H18" i="3"/>
  <c r="O38" i="8" s="1"/>
  <c r="E19" i="3"/>
  <c r="F19" i="3"/>
  <c r="G19" i="3"/>
  <c r="H19" i="3"/>
  <c r="H21" i="4" s="1"/>
  <c r="D19" i="3"/>
  <c r="D18" i="3"/>
  <c r="D35" i="6" s="1"/>
  <c r="D17" i="3"/>
  <c r="D33" i="6" s="1"/>
  <c r="D16" i="3"/>
  <c r="D15" i="3"/>
  <c r="D14" i="3"/>
  <c r="D13" i="13" s="1"/>
  <c r="D13" i="3"/>
  <c r="D99" i="6" s="1"/>
  <c r="D12" i="3"/>
  <c r="K12" i="3" s="1"/>
  <c r="O12" i="3" s="1"/>
  <c r="D11" i="3"/>
  <c r="D10" i="3"/>
  <c r="E15" i="4" s="1"/>
  <c r="K97" i="5"/>
  <c r="L97" i="5"/>
  <c r="M97" i="5"/>
  <c r="N97" i="5"/>
  <c r="O97" i="5"/>
  <c r="H88" i="5"/>
  <c r="G88" i="5"/>
  <c r="F88" i="5"/>
  <c r="E88" i="5"/>
  <c r="H90" i="5"/>
  <c r="G90" i="5"/>
  <c r="F90" i="5"/>
  <c r="E90" i="5"/>
  <c r="D90" i="5"/>
  <c r="D88" i="5"/>
  <c r="AC13" i="5"/>
  <c r="AC20" i="5" s="1"/>
  <c r="AB13" i="5"/>
  <c r="AB20" i="5" s="1"/>
  <c r="AA13" i="5"/>
  <c r="AA20" i="5" s="1"/>
  <c r="Z13" i="5"/>
  <c r="Z20" i="5" s="1"/>
  <c r="Y13" i="5"/>
  <c r="Y20" i="5" s="1"/>
  <c r="V13" i="5"/>
  <c r="V20" i="5" s="1"/>
  <c r="U13" i="5"/>
  <c r="U20" i="5" s="1"/>
  <c r="T13" i="5"/>
  <c r="T20" i="5" s="1"/>
  <c r="S13" i="5"/>
  <c r="S20" i="5" s="1"/>
  <c r="R13" i="5"/>
  <c r="R20" i="5" s="1"/>
  <c r="O13" i="5"/>
  <c r="O20" i="5" s="1"/>
  <c r="N13" i="5"/>
  <c r="N20" i="5" s="1"/>
  <c r="M13" i="5"/>
  <c r="M20" i="5" s="1"/>
  <c r="L13" i="5"/>
  <c r="L20" i="5" s="1"/>
  <c r="K13" i="5"/>
  <c r="K20" i="5" s="1"/>
  <c r="G65" i="21"/>
  <c r="F65" i="21"/>
  <c r="E65" i="21"/>
  <c r="D65" i="21"/>
  <c r="C65" i="21"/>
  <c r="H42" i="2"/>
  <c r="G42" i="2"/>
  <c r="F42" i="2"/>
  <c r="E42" i="2"/>
  <c r="H44" i="2"/>
  <c r="G44" i="2"/>
  <c r="F44" i="2"/>
  <c r="E25" i="22" s="1"/>
  <c r="E44" i="2"/>
  <c r="D44" i="2"/>
  <c r="D42" i="2"/>
  <c r="C23" i="22" s="1"/>
  <c r="E6" i="2"/>
  <c r="E29" i="16" s="1"/>
  <c r="F6" i="2"/>
  <c r="G6" i="2"/>
  <c r="H6" i="2"/>
  <c r="E8" i="2"/>
  <c r="E28" i="5" s="1"/>
  <c r="F8" i="2"/>
  <c r="F28" i="5" s="1"/>
  <c r="G8" i="2"/>
  <c r="G28" i="5" s="1"/>
  <c r="H8" i="2"/>
  <c r="H28" i="5" s="1"/>
  <c r="E12" i="2"/>
  <c r="F12" i="2"/>
  <c r="G12" i="2"/>
  <c r="H12" i="2"/>
  <c r="E18" i="2"/>
  <c r="F18" i="2"/>
  <c r="G18" i="2"/>
  <c r="H18" i="2"/>
  <c r="E24" i="2"/>
  <c r="F24" i="2"/>
  <c r="G24" i="2"/>
  <c r="H24" i="2"/>
  <c r="H9" i="4" s="1"/>
  <c r="E30" i="2"/>
  <c r="F30" i="2"/>
  <c r="G30" i="2"/>
  <c r="H30" i="2"/>
  <c r="E35" i="2"/>
  <c r="F35" i="2"/>
  <c r="G35" i="2"/>
  <c r="H35" i="2"/>
  <c r="D35" i="2"/>
  <c r="D12" i="2"/>
  <c r="D30" i="2"/>
  <c r="D24" i="2"/>
  <c r="D6" i="2"/>
  <c r="D13" i="2" s="1"/>
  <c r="D8" i="2"/>
  <c r="D28" i="5" s="1"/>
  <c r="D46" i="6" l="1"/>
  <c r="D43" i="13"/>
  <c r="O62" i="8"/>
  <c r="H31" i="13"/>
  <c r="H30" i="4"/>
  <c r="F21" i="4"/>
  <c r="F18" i="13"/>
  <c r="F126" i="6"/>
  <c r="M39" i="8"/>
  <c r="F13" i="13"/>
  <c r="M34" i="8"/>
  <c r="F23" i="6"/>
  <c r="F24" i="6" s="1"/>
  <c r="F17" i="4"/>
  <c r="M50" i="8"/>
  <c r="F47" i="13"/>
  <c r="E31" i="4"/>
  <c r="L68" i="8"/>
  <c r="M81" i="8"/>
  <c r="G59" i="6"/>
  <c r="C48" i="24"/>
  <c r="C55" i="24" s="1"/>
  <c r="F29" i="16"/>
  <c r="E21" i="4"/>
  <c r="E18" i="13"/>
  <c r="E126" i="6"/>
  <c r="L39" i="8"/>
  <c r="N50" i="8"/>
  <c r="G44" i="4"/>
  <c r="G47" i="13"/>
  <c r="M63" i="8"/>
  <c r="F31" i="4"/>
  <c r="M68" i="8"/>
  <c r="G136" i="6"/>
  <c r="N81" i="8"/>
  <c r="E47" i="13"/>
  <c r="H12" i="13"/>
  <c r="H20" i="13" s="1"/>
  <c r="H99" i="6"/>
  <c r="O33" i="8"/>
  <c r="H16" i="4"/>
  <c r="O45" i="8"/>
  <c r="H42" i="13"/>
  <c r="O55" i="8"/>
  <c r="H52" i="13"/>
  <c r="N68" i="8"/>
  <c r="G16" i="4"/>
  <c r="N33" i="8"/>
  <c r="G12" i="13"/>
  <c r="G99" i="6"/>
  <c r="E144" i="6"/>
  <c r="D48" i="13"/>
  <c r="D102" i="6"/>
  <c r="G25" i="2"/>
  <c r="M33" i="8"/>
  <c r="F12" i="13"/>
  <c r="F99" i="6"/>
  <c r="F16" i="4"/>
  <c r="F23" i="4" s="1"/>
  <c r="F43" i="13"/>
  <c r="F54" i="13" s="1"/>
  <c r="M46" i="8"/>
  <c r="D25" i="13"/>
  <c r="D35" i="13" s="1"/>
  <c r="D86" i="5"/>
  <c r="E80" i="5" s="1"/>
  <c r="D30" i="6"/>
  <c r="D26" i="6"/>
  <c r="D29" i="6" s="1"/>
  <c r="E154" i="6"/>
  <c r="D49" i="13"/>
  <c r="F25" i="2"/>
  <c r="D25" i="22"/>
  <c r="D26" i="22" s="1"/>
  <c r="E52" i="4"/>
  <c r="E55" i="4" s="1"/>
  <c r="E35" i="6"/>
  <c r="E36" i="6" s="1"/>
  <c r="E17" i="13"/>
  <c r="E20" i="4"/>
  <c r="E99" i="6"/>
  <c r="D29" i="16"/>
  <c r="E12" i="13"/>
  <c r="L33" i="8"/>
  <c r="G43" i="13"/>
  <c r="N46" i="8"/>
  <c r="N51" i="8"/>
  <c r="G102" i="6"/>
  <c r="G48" i="13"/>
  <c r="F33" i="13"/>
  <c r="M69" i="8"/>
  <c r="F160" i="6"/>
  <c r="F161" i="6" s="1"/>
  <c r="G143" i="6"/>
  <c r="G139" i="6"/>
  <c r="M75" i="3"/>
  <c r="L75" i="3"/>
  <c r="O75" i="3"/>
  <c r="N75" i="3"/>
  <c r="D50" i="13"/>
  <c r="K33" i="3"/>
  <c r="N33" i="3" s="1"/>
  <c r="F154" i="6"/>
  <c r="F32" i="4"/>
  <c r="L38" i="8"/>
  <c r="G26" i="13"/>
  <c r="G35" i="13" s="1"/>
  <c r="E26" i="22"/>
  <c r="G32" i="4"/>
  <c r="H26" i="13"/>
  <c r="K47" i="3"/>
  <c r="L47" i="3" s="1"/>
  <c r="M47" i="3" s="1"/>
  <c r="N47" i="3" s="1"/>
  <c r="O47" i="3" s="1"/>
  <c r="N38" i="8"/>
  <c r="O67" i="8"/>
  <c r="D42" i="13"/>
  <c r="K61" i="7"/>
  <c r="K61" i="4" s="1"/>
  <c r="E42" i="13"/>
  <c r="E139" i="6"/>
  <c r="F139" i="6"/>
  <c r="F32" i="13"/>
  <c r="L47" i="8"/>
  <c r="M76" i="8"/>
  <c r="G32" i="13"/>
  <c r="E133" i="6"/>
  <c r="E134" i="6" s="1"/>
  <c r="L61" i="8"/>
  <c r="F46" i="6"/>
  <c r="D45" i="13"/>
  <c r="G131" i="6"/>
  <c r="G132" i="6" s="1"/>
  <c r="G9" i="13"/>
  <c r="G15" i="4"/>
  <c r="G23" i="4" s="1"/>
  <c r="H15" i="4"/>
  <c r="H23" i="4" s="1"/>
  <c r="H36" i="4" s="1"/>
  <c r="M75" i="8"/>
  <c r="F51" i="4"/>
  <c r="E51" i="4"/>
  <c r="L75" i="8"/>
  <c r="G166" i="6"/>
  <c r="M77" i="8"/>
  <c r="H126" i="6"/>
  <c r="O39" i="8"/>
  <c r="H13" i="13"/>
  <c r="H17" i="4"/>
  <c r="H23" i="6"/>
  <c r="H24" i="6" s="1"/>
  <c r="H46" i="13"/>
  <c r="O49" i="8"/>
  <c r="H55" i="6"/>
  <c r="G146" i="6"/>
  <c r="G31" i="13"/>
  <c r="G30" i="4"/>
  <c r="O80" i="8"/>
  <c r="H159" i="6"/>
  <c r="E59" i="6"/>
  <c r="H10" i="2"/>
  <c r="E48" i="24"/>
  <c r="E55" i="24" s="1"/>
  <c r="G21" i="4"/>
  <c r="G126" i="6"/>
  <c r="N39" i="8"/>
  <c r="G13" i="13"/>
  <c r="G17" i="4"/>
  <c r="G23" i="6"/>
  <c r="G24" i="6" s="1"/>
  <c r="F59" i="6"/>
  <c r="G10" i="2"/>
  <c r="G15" i="2" s="1"/>
  <c r="D48" i="24"/>
  <c r="D55" i="24" s="1"/>
  <c r="G29" i="16"/>
  <c r="H61" i="6"/>
  <c r="H62" i="6" s="1"/>
  <c r="E13" i="13"/>
  <c r="E17" i="4"/>
  <c r="E23" i="4" s="1"/>
  <c r="E36" i="4" s="1"/>
  <c r="E23" i="6"/>
  <c r="E24" i="6" s="1"/>
  <c r="L34" i="8"/>
  <c r="N45" i="8"/>
  <c r="G42" i="13"/>
  <c r="N55" i="8"/>
  <c r="G52" i="13"/>
  <c r="G129" i="6"/>
  <c r="F152" i="6"/>
  <c r="F157" i="6" s="1"/>
  <c r="H35" i="6"/>
  <c r="H36" i="6" s="1"/>
  <c r="H20" i="4"/>
  <c r="H17" i="13"/>
  <c r="O50" i="8"/>
  <c r="H44" i="4"/>
  <c r="H58" i="6"/>
  <c r="H47" i="13"/>
  <c r="H129" i="6"/>
  <c r="H136" i="6"/>
  <c r="O81" i="8"/>
  <c r="G20" i="4"/>
  <c r="G17" i="13"/>
  <c r="E43" i="13"/>
  <c r="L46" i="8"/>
  <c r="E102" i="6"/>
  <c r="L51" i="8"/>
  <c r="E48" i="13"/>
  <c r="L62" i="8"/>
  <c r="D26" i="13"/>
  <c r="O68" i="8"/>
  <c r="G31" i="4"/>
  <c r="C25" i="22"/>
  <c r="D52" i="4"/>
  <c r="F35" i="6"/>
  <c r="F36" i="6" s="1"/>
  <c r="F20" i="4"/>
  <c r="F17" i="13"/>
  <c r="F102" i="6"/>
  <c r="M51" i="8"/>
  <c r="F48" i="13"/>
  <c r="L69" i="8"/>
  <c r="E32" i="4"/>
  <c r="E33" i="13"/>
  <c r="E160" i="6"/>
  <c r="E161" i="6" s="1"/>
  <c r="E25" i="2"/>
  <c r="G154" i="6"/>
  <c r="G155" i="6" s="1"/>
  <c r="D131" i="6"/>
  <c r="H154" i="6"/>
  <c r="E16" i="4"/>
  <c r="L91" i="8"/>
  <c r="G18" i="13"/>
  <c r="H18" i="13"/>
  <c r="D129" i="6"/>
  <c r="E108" i="6"/>
  <c r="L45" i="8"/>
  <c r="O54" i="8"/>
  <c r="E27" i="13"/>
  <c r="E35" i="13" s="1"/>
  <c r="E32" i="13"/>
  <c r="F108" i="6"/>
  <c r="H162" i="6"/>
  <c r="M45" i="8"/>
  <c r="L55" i="8"/>
  <c r="L76" i="8"/>
  <c r="F27" i="13"/>
  <c r="F35" i="13" s="1"/>
  <c r="D43" i="6"/>
  <c r="D44" i="6" s="1"/>
  <c r="F133" i="6"/>
  <c r="F134" i="6" s="1"/>
  <c r="M55" i="8"/>
  <c r="N76" i="8"/>
  <c r="H32" i="13"/>
  <c r="H131" i="6"/>
  <c r="O76" i="8"/>
  <c r="G46" i="6"/>
  <c r="E136" i="6"/>
  <c r="L77" i="8"/>
  <c r="E45" i="4"/>
  <c r="E46" i="13"/>
  <c r="L63" i="22"/>
  <c r="L65" i="22" s="1"/>
  <c r="H86" i="5"/>
  <c r="H51" i="4"/>
  <c r="H55" i="4" s="1"/>
  <c r="O61" i="8"/>
  <c r="H25" i="13"/>
  <c r="H29" i="4"/>
  <c r="H34" i="4" s="1"/>
  <c r="H168" i="6"/>
  <c r="H169" i="6" s="1"/>
  <c r="E159" i="6"/>
  <c r="E162" i="6"/>
  <c r="E163" i="6" s="1"/>
  <c r="M80" i="8"/>
  <c r="L80" i="8"/>
  <c r="F136" i="6"/>
  <c r="E27" i="4"/>
  <c r="L48" i="8"/>
  <c r="F159" i="6"/>
  <c r="F10" i="6"/>
  <c r="F42" i="4" s="1"/>
  <c r="H166" i="6"/>
  <c r="F27" i="4"/>
  <c r="F34" i="4" s="1"/>
  <c r="N63" i="8"/>
  <c r="N77" i="8"/>
  <c r="H19" i="2"/>
  <c r="O51" i="8"/>
  <c r="N64" i="8"/>
  <c r="G169" i="6"/>
  <c r="O64" i="8"/>
  <c r="E152" i="6"/>
  <c r="E157" i="6" s="1"/>
  <c r="D23" i="22"/>
  <c r="D24" i="22"/>
  <c r="N89" i="8"/>
  <c r="H33" i="13"/>
  <c r="O89" i="8"/>
  <c r="O36" i="8"/>
  <c r="H28" i="6"/>
  <c r="L90" i="8"/>
  <c r="L52" i="8"/>
  <c r="G52" i="6"/>
  <c r="G53" i="6" s="1"/>
  <c r="G10" i="13"/>
  <c r="N31" i="8"/>
  <c r="O65" i="8"/>
  <c r="H141" i="6"/>
  <c r="H142" i="6" s="1"/>
  <c r="E165" i="6"/>
  <c r="E166" i="6" s="1"/>
  <c r="L79" i="8"/>
  <c r="H143" i="6"/>
  <c r="H144" i="6" s="1"/>
  <c r="M52" i="8"/>
  <c r="E44" i="13"/>
  <c r="D15" i="2"/>
  <c r="D16" i="2" s="1"/>
  <c r="F49" i="6"/>
  <c r="F50" i="6" s="1"/>
  <c r="F45" i="4"/>
  <c r="D166" i="6"/>
  <c r="N90" i="8"/>
  <c r="L33" i="3"/>
  <c r="F44" i="13"/>
  <c r="F25" i="22"/>
  <c r="F26" i="22" s="1"/>
  <c r="G52" i="4"/>
  <c r="H33" i="6"/>
  <c r="O37" i="8"/>
  <c r="H16" i="13"/>
  <c r="H19" i="4"/>
  <c r="H43" i="13"/>
  <c r="O46" i="8"/>
  <c r="N69" i="8"/>
  <c r="G25" i="22"/>
  <c r="G26" i="22" s="1"/>
  <c r="H52" i="4"/>
  <c r="G33" i="6"/>
  <c r="N37" i="8"/>
  <c r="G16" i="13"/>
  <c r="O69" i="8"/>
  <c r="F19" i="2"/>
  <c r="F33" i="6"/>
  <c r="M37" i="8"/>
  <c r="F16" i="13"/>
  <c r="L65" i="8"/>
  <c r="C52" i="24"/>
  <c r="E23" i="22"/>
  <c r="E24" i="22"/>
  <c r="D52" i="6"/>
  <c r="E53" i="6" s="1"/>
  <c r="D10" i="13"/>
  <c r="E33" i="6"/>
  <c r="E19" i="4"/>
  <c r="L37" i="8"/>
  <c r="G30" i="6"/>
  <c r="G31" i="6" s="1"/>
  <c r="G49" i="13"/>
  <c r="D146" i="6"/>
  <c r="D31" i="13"/>
  <c r="M65" i="8"/>
  <c r="F141" i="6"/>
  <c r="F142" i="6" s="1"/>
  <c r="G152" i="6"/>
  <c r="G157" i="6" s="1"/>
  <c r="N78" i="8"/>
  <c r="D52" i="24"/>
  <c r="F23" i="22"/>
  <c r="F24" i="22"/>
  <c r="H52" i="6"/>
  <c r="K53" i="6" s="1"/>
  <c r="O31" i="8"/>
  <c r="N65" i="8"/>
  <c r="G141" i="6"/>
  <c r="H152" i="6"/>
  <c r="H157" i="6" s="1"/>
  <c r="O78" i="8"/>
  <c r="E141" i="6"/>
  <c r="G28" i="4"/>
  <c r="G34" i="4" s="1"/>
  <c r="D9" i="13"/>
  <c r="E52" i="24"/>
  <c r="G23" i="22"/>
  <c r="G24" i="22"/>
  <c r="N36" i="8"/>
  <c r="G28" i="6"/>
  <c r="G29" i="6" s="1"/>
  <c r="M90" i="8"/>
  <c r="G160" i="6"/>
  <c r="G161" i="6" s="1"/>
  <c r="H28" i="4"/>
  <c r="F52" i="6"/>
  <c r="F53" i="6" s="1"/>
  <c r="F10" i="13"/>
  <c r="E86" i="5"/>
  <c r="F80" i="5" s="1"/>
  <c r="F165" i="6"/>
  <c r="F166" i="6" s="1"/>
  <c r="M79" i="8"/>
  <c r="H102" i="6"/>
  <c r="G45" i="4"/>
  <c r="D159" i="6"/>
  <c r="N79" i="8"/>
  <c r="O90" i="8"/>
  <c r="M33" i="3"/>
  <c r="O52" i="8"/>
  <c r="G44" i="13"/>
  <c r="H48" i="13"/>
  <c r="H84" i="5"/>
  <c r="D36" i="6"/>
  <c r="R36" i="6" s="1"/>
  <c r="D17" i="13"/>
  <c r="D20" i="13" s="1"/>
  <c r="D19" i="2"/>
  <c r="H25" i="2"/>
  <c r="F13" i="2"/>
  <c r="G10" i="6"/>
  <c r="G42" i="4" s="1"/>
  <c r="H10" i="6"/>
  <c r="H42" i="4" s="1"/>
  <c r="E70" i="5"/>
  <c r="F70" i="5"/>
  <c r="G70" i="5"/>
  <c r="H70" i="5"/>
  <c r="E9" i="4"/>
  <c r="F9" i="4"/>
  <c r="G9" i="4"/>
  <c r="L61" i="4"/>
  <c r="M61" i="4"/>
  <c r="N61" i="4"/>
  <c r="O61" i="4"/>
  <c r="AA33" i="6"/>
  <c r="S19" i="7"/>
  <c r="K19" i="7"/>
  <c r="K19" i="4" s="1"/>
  <c r="D142" i="6"/>
  <c r="D144" i="6"/>
  <c r="H11" i="6"/>
  <c r="G11" i="6"/>
  <c r="G142" i="6"/>
  <c r="H59" i="6"/>
  <c r="F11" i="6"/>
  <c r="E20" i="13"/>
  <c r="F20" i="13"/>
  <c r="G20" i="13"/>
  <c r="E34" i="4"/>
  <c r="F55" i="4"/>
  <c r="G55" i="4"/>
  <c r="D155" i="6"/>
  <c r="E42" i="4"/>
  <c r="H53" i="6"/>
  <c r="E142" i="6"/>
  <c r="R53" i="6"/>
  <c r="K17" i="3"/>
  <c r="E84" i="5"/>
  <c r="E29" i="6"/>
  <c r="F31" i="6"/>
  <c r="H29" i="6"/>
  <c r="D31" i="6"/>
  <c r="E31" i="6"/>
  <c r="H31" i="6"/>
  <c r="F155" i="6"/>
  <c r="H155" i="6"/>
  <c r="D157" i="6"/>
  <c r="F29" i="6"/>
  <c r="F132" i="6"/>
  <c r="E132" i="6"/>
  <c r="H132" i="6"/>
  <c r="D132" i="6"/>
  <c r="D134" i="6"/>
  <c r="H134" i="6"/>
  <c r="G134" i="6"/>
  <c r="R49" i="6"/>
  <c r="S49" i="6" s="1"/>
  <c r="L45" i="7" s="1"/>
  <c r="O33" i="3"/>
  <c r="L12" i="3"/>
  <c r="M12" i="3"/>
  <c r="N12" i="3"/>
  <c r="H6" i="5"/>
  <c r="H18" i="5" s="1"/>
  <c r="H13" i="2"/>
  <c r="F10" i="2"/>
  <c r="E10" i="2"/>
  <c r="E13" i="2"/>
  <c r="G13" i="2"/>
  <c r="F83" i="5"/>
  <c r="D23" i="6"/>
  <c r="D24" i="6" s="1"/>
  <c r="Y49" i="6"/>
  <c r="E50" i="6"/>
  <c r="H50" i="6"/>
  <c r="K49" i="6"/>
  <c r="F44" i="6"/>
  <c r="G44" i="6"/>
  <c r="H44" i="6"/>
  <c r="E44" i="6"/>
  <c r="L17" i="3"/>
  <c r="T33" i="6"/>
  <c r="E21" i="3"/>
  <c r="E37" i="3"/>
  <c r="H21" i="3"/>
  <c r="F37" i="3"/>
  <c r="M57" i="8" s="1"/>
  <c r="G21" i="3"/>
  <c r="G37" i="3"/>
  <c r="N57" i="8" s="1"/>
  <c r="F21" i="3"/>
  <c r="M41" i="8" s="1"/>
  <c r="H37" i="3"/>
  <c r="O57" i="8" s="1"/>
  <c r="D10" i="2"/>
  <c r="D25" i="2" s="1"/>
  <c r="G6" i="5"/>
  <c r="G18" i="5" s="1"/>
  <c r="F6" i="5"/>
  <c r="F18" i="5" s="1"/>
  <c r="E6" i="5"/>
  <c r="E18" i="5" s="1"/>
  <c r="G16" i="2" l="1"/>
  <c r="G21" i="2"/>
  <c r="F140" i="6"/>
  <c r="H35" i="13"/>
  <c r="G50" i="6"/>
  <c r="K162" i="6"/>
  <c r="L162" i="6" s="1"/>
  <c r="Y162" i="6"/>
  <c r="Z162" i="6" s="1"/>
  <c r="AA162" i="6" s="1"/>
  <c r="AB162" i="6" s="1"/>
  <c r="R162" i="6"/>
  <c r="H163" i="6"/>
  <c r="E155" i="6"/>
  <c r="Y58" i="6"/>
  <c r="K58" i="6"/>
  <c r="N41" i="8"/>
  <c r="E27" i="18"/>
  <c r="D18" i="22"/>
  <c r="E18" i="19"/>
  <c r="E41" i="6"/>
  <c r="R58" i="6"/>
  <c r="K30" i="3" s="1"/>
  <c r="G144" i="6"/>
  <c r="G19" i="2"/>
  <c r="E19" i="2"/>
  <c r="F144" i="6"/>
  <c r="H54" i="13"/>
  <c r="F47" i="6"/>
  <c r="D27" i="18"/>
  <c r="C18" i="22"/>
  <c r="D18" i="19"/>
  <c r="D41" i="6"/>
  <c r="G27" i="18"/>
  <c r="F18" i="22"/>
  <c r="G18" i="19"/>
  <c r="G41" i="6"/>
  <c r="G140" i="6" s="1"/>
  <c r="O41" i="8"/>
  <c r="R19" i="7"/>
  <c r="D19" i="7"/>
  <c r="G47" i="6"/>
  <c r="E54" i="13"/>
  <c r="F15" i="2"/>
  <c r="F27" i="18"/>
  <c r="E18" i="22"/>
  <c r="F18" i="19"/>
  <c r="F41" i="6"/>
  <c r="D54" i="13"/>
  <c r="H27" i="18"/>
  <c r="G18" i="22"/>
  <c r="H18" i="19"/>
  <c r="H41" i="6"/>
  <c r="Y53" i="6"/>
  <c r="H15" i="2"/>
  <c r="G54" i="13"/>
  <c r="F163" i="6"/>
  <c r="D49" i="24"/>
  <c r="D50" i="24" s="1"/>
  <c r="G22" i="2"/>
  <c r="Z49" i="6"/>
  <c r="S45" i="7" s="1"/>
  <c r="R45" i="7"/>
  <c r="M33" i="6"/>
  <c r="F19" i="7" s="1"/>
  <c r="M19" i="7"/>
  <c r="M19" i="4" s="1"/>
  <c r="K28" i="3"/>
  <c r="AB33" i="6"/>
  <c r="T19" i="7"/>
  <c r="G36" i="4"/>
  <c r="F36" i="4"/>
  <c r="T49" i="6"/>
  <c r="M162" i="6"/>
  <c r="L49" i="6"/>
  <c r="E39" i="3"/>
  <c r="F39" i="3"/>
  <c r="F23" i="19" s="1"/>
  <c r="E15" i="2"/>
  <c r="E16" i="2" s="1"/>
  <c r="G39" i="3"/>
  <c r="G23" i="19" s="1"/>
  <c r="H39" i="3"/>
  <c r="H23" i="19" s="1"/>
  <c r="T36" i="6"/>
  <c r="AA36" i="6" s="1"/>
  <c r="S36" i="6"/>
  <c r="Z36" i="6" s="1"/>
  <c r="V36" i="6"/>
  <c r="AC36" i="6" s="1"/>
  <c r="K36" i="6"/>
  <c r="U36" i="6"/>
  <c r="Y36" i="6"/>
  <c r="U33" i="6"/>
  <c r="M17" i="3"/>
  <c r="D6" i="5"/>
  <c r="D18" i="5" s="1"/>
  <c r="G27" i="2"/>
  <c r="G28" i="2" s="1"/>
  <c r="E140" i="6" l="1"/>
  <c r="E47" i="6"/>
  <c r="G46" i="19"/>
  <c r="G50" i="19" s="1"/>
  <c r="G22" i="19"/>
  <c r="G25" i="19" s="1"/>
  <c r="R44" i="7"/>
  <c r="Z58" i="6"/>
  <c r="Y59" i="6"/>
  <c r="H140" i="6"/>
  <c r="H47" i="6"/>
  <c r="H46" i="19"/>
  <c r="H50" i="19" s="1"/>
  <c r="H22" i="19"/>
  <c r="H25" i="19" s="1"/>
  <c r="D22" i="19"/>
  <c r="D46" i="19"/>
  <c r="D50" i="19" s="1"/>
  <c r="S162" i="6"/>
  <c r="T162" i="6" s="1"/>
  <c r="U162" i="6" s="1"/>
  <c r="V162" i="6" s="1"/>
  <c r="K64" i="3"/>
  <c r="H27" i="19"/>
  <c r="H38" i="19"/>
  <c r="H51" i="19" s="1"/>
  <c r="H53" i="19" s="1"/>
  <c r="G27" i="19"/>
  <c r="G38" i="19"/>
  <c r="G51" i="19" s="1"/>
  <c r="G53" i="19" s="1"/>
  <c r="L64" i="3"/>
  <c r="F27" i="19"/>
  <c r="F38" i="19"/>
  <c r="F51" i="19" s="1"/>
  <c r="F53" i="19" s="1"/>
  <c r="F22" i="19"/>
  <c r="F25" i="19" s="1"/>
  <c r="F46" i="19"/>
  <c r="F50" i="19" s="1"/>
  <c r="E22" i="19"/>
  <c r="E46" i="19"/>
  <c r="E50" i="19" s="1"/>
  <c r="K59" i="6"/>
  <c r="L58" i="6"/>
  <c r="D44" i="7"/>
  <c r="H16" i="2"/>
  <c r="H21" i="2"/>
  <c r="S58" i="6"/>
  <c r="D140" i="6"/>
  <c r="D47" i="6"/>
  <c r="M64" i="3"/>
  <c r="R59" i="6"/>
  <c r="K44" i="7"/>
  <c r="K44" i="4" s="1"/>
  <c r="F16" i="2"/>
  <c r="F21" i="2"/>
  <c r="N33" i="6"/>
  <c r="G19" i="7" s="1"/>
  <c r="N19" i="7"/>
  <c r="N19" i="4" s="1"/>
  <c r="AC33" i="6"/>
  <c r="V19" i="7" s="1"/>
  <c r="U19" i="7"/>
  <c r="AA49" i="6"/>
  <c r="T45" i="7" s="1"/>
  <c r="G79" i="8"/>
  <c r="G75" i="8"/>
  <c r="G67" i="8"/>
  <c r="G63" i="8"/>
  <c r="G55" i="8"/>
  <c r="G51" i="8"/>
  <c r="G47" i="8"/>
  <c r="G39" i="8"/>
  <c r="G35" i="8"/>
  <c r="G31" i="8"/>
  <c r="G91" i="8"/>
  <c r="G78" i="8"/>
  <c r="G62" i="8"/>
  <c r="G50" i="8"/>
  <c r="G38" i="8"/>
  <c r="G66" i="8"/>
  <c r="G30" i="8"/>
  <c r="G54" i="8"/>
  <c r="G46" i="8"/>
  <c r="G34" i="8"/>
  <c r="G90" i="8"/>
  <c r="G81" i="8"/>
  <c r="G77" i="8"/>
  <c r="G69" i="8"/>
  <c r="G65" i="8"/>
  <c r="G61" i="8"/>
  <c r="G53" i="8"/>
  <c r="G49" i="8"/>
  <c r="G45" i="8"/>
  <c r="G37" i="8"/>
  <c r="G33" i="8"/>
  <c r="G89" i="8"/>
  <c r="G80" i="8"/>
  <c r="G76" i="8"/>
  <c r="G68" i="8"/>
  <c r="G64" i="8"/>
  <c r="G57" i="8"/>
  <c r="G52" i="8"/>
  <c r="G48" i="8"/>
  <c r="G41" i="8"/>
  <c r="G36" i="8"/>
  <c r="G32" i="8"/>
  <c r="H91" i="8"/>
  <c r="H54" i="8"/>
  <c r="H50" i="8"/>
  <c r="H38" i="8"/>
  <c r="H66" i="8"/>
  <c r="H34" i="8"/>
  <c r="H31" i="8"/>
  <c r="H78" i="8"/>
  <c r="H62" i="8"/>
  <c r="H46" i="8"/>
  <c r="H30" i="8"/>
  <c r="H39" i="8"/>
  <c r="H75" i="8"/>
  <c r="H63" i="8"/>
  <c r="H47" i="8"/>
  <c r="H90" i="8"/>
  <c r="H81" i="8"/>
  <c r="H77" i="8"/>
  <c r="H69" i="8"/>
  <c r="H65" i="8"/>
  <c r="H61" i="8"/>
  <c r="H53" i="8"/>
  <c r="H49" i="8"/>
  <c r="H45" i="8"/>
  <c r="H37" i="8"/>
  <c r="H33" i="8"/>
  <c r="H55" i="8"/>
  <c r="H35" i="8"/>
  <c r="H89" i="8"/>
  <c r="H80" i="8"/>
  <c r="H76" i="8"/>
  <c r="H68" i="8"/>
  <c r="H64" i="8"/>
  <c r="H57" i="8"/>
  <c r="H52" i="8"/>
  <c r="H48" i="8"/>
  <c r="H41" i="8"/>
  <c r="H36" i="8"/>
  <c r="H32" i="8"/>
  <c r="H79" i="8"/>
  <c r="H67" i="8"/>
  <c r="H51" i="8"/>
  <c r="E91" i="8"/>
  <c r="E78" i="8"/>
  <c r="E66" i="8"/>
  <c r="E50" i="8"/>
  <c r="E38" i="8"/>
  <c r="E30" i="8"/>
  <c r="E54" i="8"/>
  <c r="E79" i="8"/>
  <c r="E75" i="8"/>
  <c r="E67" i="8"/>
  <c r="E63" i="8"/>
  <c r="E55" i="8"/>
  <c r="E51" i="8"/>
  <c r="E47" i="8"/>
  <c r="E39" i="8"/>
  <c r="E35" i="8"/>
  <c r="E31" i="8"/>
  <c r="E62" i="8"/>
  <c r="E46" i="8"/>
  <c r="E34" i="8"/>
  <c r="E77" i="8"/>
  <c r="E65" i="8"/>
  <c r="E49" i="8"/>
  <c r="E33" i="8"/>
  <c r="E68" i="8"/>
  <c r="E36" i="8"/>
  <c r="E90" i="8"/>
  <c r="E61" i="8"/>
  <c r="E45" i="8"/>
  <c r="E52" i="8"/>
  <c r="E81" i="8"/>
  <c r="E69" i="8"/>
  <c r="E53" i="8"/>
  <c r="E37" i="8"/>
  <c r="E48" i="8"/>
  <c r="E89" i="8"/>
  <c r="E80" i="8"/>
  <c r="E76" i="8"/>
  <c r="E64" i="8"/>
  <c r="E57" i="8"/>
  <c r="E41" i="8"/>
  <c r="E32" i="8"/>
  <c r="F66" i="8"/>
  <c r="F54" i="8"/>
  <c r="F46" i="8"/>
  <c r="F79" i="8"/>
  <c r="F75" i="8"/>
  <c r="F67" i="8"/>
  <c r="F63" i="8"/>
  <c r="F55" i="8"/>
  <c r="F51" i="8"/>
  <c r="F47" i="8"/>
  <c r="F39" i="8"/>
  <c r="F35" i="8"/>
  <c r="F31" i="8"/>
  <c r="F30" i="8"/>
  <c r="F78" i="8"/>
  <c r="F62" i="8"/>
  <c r="F50" i="8"/>
  <c r="F38" i="8"/>
  <c r="F91" i="8"/>
  <c r="F34" i="8"/>
  <c r="F81" i="8"/>
  <c r="F69" i="8"/>
  <c r="F61" i="8"/>
  <c r="F45" i="8"/>
  <c r="F77" i="8"/>
  <c r="F53" i="8"/>
  <c r="F33" i="8"/>
  <c r="F90" i="8"/>
  <c r="F65" i="8"/>
  <c r="F49" i="8"/>
  <c r="F37" i="8"/>
  <c r="F89" i="8"/>
  <c r="F80" i="8"/>
  <c r="F76" i="8"/>
  <c r="F68" i="8"/>
  <c r="F64" i="8"/>
  <c r="F57" i="8"/>
  <c r="F52" i="8"/>
  <c r="F48" i="8"/>
  <c r="F41" i="8"/>
  <c r="F36" i="8"/>
  <c r="F32" i="8"/>
  <c r="AB49" i="6"/>
  <c r="U49" i="6"/>
  <c r="N17" i="3"/>
  <c r="AC162" i="6"/>
  <c r="N162" i="6"/>
  <c r="N64" i="3" s="1"/>
  <c r="L28" i="3"/>
  <c r="M49" i="6"/>
  <c r="L36" i="6"/>
  <c r="M36" i="6"/>
  <c r="E21" i="2"/>
  <c r="E22" i="2" s="1"/>
  <c r="O36" i="6"/>
  <c r="N36" i="6"/>
  <c r="AB36" i="6"/>
  <c r="V33" i="6"/>
  <c r="G32" i="2"/>
  <c r="G33" i="2" s="1"/>
  <c r="E49" i="24" l="1"/>
  <c r="E50" i="24" s="1"/>
  <c r="H27" i="2"/>
  <c r="H22" i="2"/>
  <c r="S44" i="7"/>
  <c r="Z59" i="6"/>
  <c r="AA58" i="6"/>
  <c r="C49" i="24"/>
  <c r="C50" i="24" s="1"/>
  <c r="F22" i="2"/>
  <c r="F27" i="2"/>
  <c r="L44" i="7"/>
  <c r="L44" i="4" s="1"/>
  <c r="S59" i="6"/>
  <c r="T58" i="6"/>
  <c r="L30" i="3"/>
  <c r="E44" i="7"/>
  <c r="L59" i="6"/>
  <c r="M58" i="6"/>
  <c r="O33" i="6"/>
  <c r="H19" i="7" s="1"/>
  <c r="O19" i="7"/>
  <c r="O19" i="4" s="1"/>
  <c r="V49" i="6"/>
  <c r="AC49" i="6"/>
  <c r="O162" i="6"/>
  <c r="M28" i="3"/>
  <c r="N49" i="6"/>
  <c r="E27" i="2"/>
  <c r="E28" i="2" s="1"/>
  <c r="O17" i="3"/>
  <c r="G38" i="2"/>
  <c r="G36" i="2"/>
  <c r="E4" i="18"/>
  <c r="F4" i="18" s="1"/>
  <c r="G4" i="18" s="1"/>
  <c r="H4" i="18" s="1"/>
  <c r="M22" i="17"/>
  <c r="F9" i="17"/>
  <c r="F10" i="17" s="1"/>
  <c r="F11" i="17" s="1"/>
  <c r="F12" i="17" s="1"/>
  <c r="F13" i="17" s="1"/>
  <c r="F14" i="17" s="1"/>
  <c r="F15" i="17" s="1"/>
  <c r="F16" i="17" s="1"/>
  <c r="F17" i="17" s="1"/>
  <c r="F18" i="17" s="1"/>
  <c r="F19" i="17" s="1"/>
  <c r="F20" i="17" s="1"/>
  <c r="F21" i="17" s="1"/>
  <c r="F22" i="17" s="1"/>
  <c r="F23" i="17" s="1"/>
  <c r="F24" i="17" s="1"/>
  <c r="F25" i="17" s="1"/>
  <c r="F26" i="17" s="1"/>
  <c r="F27" i="17" s="1"/>
  <c r="F28" i="17" s="1"/>
  <c r="F29" i="17" s="1"/>
  <c r="F30" i="17" s="1"/>
  <c r="F31" i="17" s="1"/>
  <c r="F32" i="17" s="1"/>
  <c r="F33" i="17" s="1"/>
  <c r="F34" i="17" s="1"/>
  <c r="F35" i="17" s="1"/>
  <c r="F36" i="17" s="1"/>
  <c r="F37" i="17" s="1"/>
  <c r="F38" i="17" s="1"/>
  <c r="F39" i="17" s="1"/>
  <c r="F40" i="17" s="1"/>
  <c r="F41" i="17" s="1"/>
  <c r="F42" i="17" s="1"/>
  <c r="F43" i="17" s="1"/>
  <c r="F44" i="17" s="1"/>
  <c r="F45" i="17" s="1"/>
  <c r="F46" i="17" s="1"/>
  <c r="F47" i="17" s="1"/>
  <c r="F48" i="17" s="1"/>
  <c r="F49" i="17" s="1"/>
  <c r="F50" i="17" s="1"/>
  <c r="F51" i="17" s="1"/>
  <c r="F52" i="17" s="1"/>
  <c r="F53" i="17" s="1"/>
  <c r="F54" i="17" s="1"/>
  <c r="F55" i="17" s="1"/>
  <c r="F56" i="17" s="1"/>
  <c r="F57" i="17" s="1"/>
  <c r="F58" i="17" s="1"/>
  <c r="F59" i="17" s="1"/>
  <c r="F60" i="17" s="1"/>
  <c r="F61" i="17" s="1"/>
  <c r="F62" i="17" s="1"/>
  <c r="F63" i="17" s="1"/>
  <c r="F64" i="17" s="1"/>
  <c r="F65" i="17" s="1"/>
  <c r="F66" i="17" s="1"/>
  <c r="F67" i="17" s="1"/>
  <c r="F68" i="17" s="1"/>
  <c r="F69" i="17" s="1"/>
  <c r="F70" i="17" s="1"/>
  <c r="F71" i="17" s="1"/>
  <c r="F72" i="17" s="1"/>
  <c r="F73" i="17" s="1"/>
  <c r="F74" i="17" s="1"/>
  <c r="F75" i="17" s="1"/>
  <c r="F76" i="17" s="1"/>
  <c r="F77" i="17" s="1"/>
  <c r="F78" i="17" s="1"/>
  <c r="F79" i="17" s="1"/>
  <c r="F80" i="17" s="1"/>
  <c r="F81" i="17" s="1"/>
  <c r="F82" i="17" s="1"/>
  <c r="F83" i="17" s="1"/>
  <c r="F84" i="17" s="1"/>
  <c r="F85" i="17" s="1"/>
  <c r="F86" i="17" s="1"/>
  <c r="F87" i="17" s="1"/>
  <c r="F88" i="17" s="1"/>
  <c r="F89" i="17" s="1"/>
  <c r="F90" i="17" s="1"/>
  <c r="F91" i="17" s="1"/>
  <c r="F92" i="17" s="1"/>
  <c r="F93" i="17" s="1"/>
  <c r="F94" i="17" s="1"/>
  <c r="F95" i="17" s="1"/>
  <c r="F96" i="17" s="1"/>
  <c r="F97" i="17" s="1"/>
  <c r="F98" i="17" s="1"/>
  <c r="F99" i="17" s="1"/>
  <c r="F100" i="17" s="1"/>
  <c r="F101" i="17" s="1"/>
  <c r="F102" i="17" s="1"/>
  <c r="F103" i="17" s="1"/>
  <c r="F104" i="17" s="1"/>
  <c r="F105" i="17" s="1"/>
  <c r="F106" i="17" s="1"/>
  <c r="F107" i="17" s="1"/>
  <c r="F108" i="17" s="1"/>
  <c r="F109" i="17" s="1"/>
  <c r="F110" i="17" s="1"/>
  <c r="F111" i="17" s="1"/>
  <c r="F112" i="17" s="1"/>
  <c r="F113" i="17" s="1"/>
  <c r="F114" i="17" s="1"/>
  <c r="F115" i="17" s="1"/>
  <c r="F116" i="17" s="1"/>
  <c r="F117" i="17" s="1"/>
  <c r="F118" i="17" s="1"/>
  <c r="F119" i="17" s="1"/>
  <c r="F120" i="17" s="1"/>
  <c r="F121" i="17" s="1"/>
  <c r="F122" i="17" s="1"/>
  <c r="F123" i="17" s="1"/>
  <c r="F124" i="17" s="1"/>
  <c r="F125" i="17" s="1"/>
  <c r="F126" i="17" s="1"/>
  <c r="F127" i="17" s="1"/>
  <c r="F128" i="17" s="1"/>
  <c r="F129" i="17" s="1"/>
  <c r="F130" i="17" s="1"/>
  <c r="F131" i="17" s="1"/>
  <c r="F132" i="17" s="1"/>
  <c r="F133" i="17" s="1"/>
  <c r="F134" i="17" s="1"/>
  <c r="F135" i="17" s="1"/>
  <c r="F136" i="17" s="1"/>
  <c r="F137" i="17" s="1"/>
  <c r="F138" i="17" s="1"/>
  <c r="F139" i="17" s="1"/>
  <c r="F140" i="17" s="1"/>
  <c r="F141" i="17" s="1"/>
  <c r="F142" i="17" s="1"/>
  <c r="F143" i="17" s="1"/>
  <c r="F144" i="17" s="1"/>
  <c r="F145" i="17" s="1"/>
  <c r="F146" i="17" s="1"/>
  <c r="F147" i="17" s="1"/>
  <c r="F148" i="17" s="1"/>
  <c r="F149" i="17" s="1"/>
  <c r="F150" i="17" s="1"/>
  <c r="F151" i="17" s="1"/>
  <c r="F152" i="17" s="1"/>
  <c r="F153" i="17" s="1"/>
  <c r="F154" i="17" s="1"/>
  <c r="F155" i="17" s="1"/>
  <c r="F156" i="17" s="1"/>
  <c r="F157" i="17" s="1"/>
  <c r="F158" i="17" s="1"/>
  <c r="F159" i="17" s="1"/>
  <c r="F160" i="17" s="1"/>
  <c r="F161" i="17" s="1"/>
  <c r="F162" i="17" s="1"/>
  <c r="F163" i="17" s="1"/>
  <c r="F164" i="17" s="1"/>
  <c r="F165" i="17" s="1"/>
  <c r="F166" i="17" s="1"/>
  <c r="F167" i="17" s="1"/>
  <c r="F168" i="17" s="1"/>
  <c r="F169" i="17" s="1"/>
  <c r="F170" i="17" s="1"/>
  <c r="F171" i="17" s="1"/>
  <c r="F172" i="17" s="1"/>
  <c r="F173" i="17" s="1"/>
  <c r="F174" i="17" s="1"/>
  <c r="F175" i="17" s="1"/>
  <c r="F176" i="17" s="1"/>
  <c r="F177" i="17" s="1"/>
  <c r="F178" i="17" s="1"/>
  <c r="F179" i="17" s="1"/>
  <c r="F180" i="17" s="1"/>
  <c r="F181" i="17" s="1"/>
  <c r="F182" i="17" s="1"/>
  <c r="F183" i="17" s="1"/>
  <c r="F184" i="17" s="1"/>
  <c r="F185" i="17" s="1"/>
  <c r="F186" i="17" s="1"/>
  <c r="F187" i="17" s="1"/>
  <c r="F188" i="17" s="1"/>
  <c r="F189" i="17" s="1"/>
  <c r="F190" i="17" s="1"/>
  <c r="F191" i="17" s="1"/>
  <c r="F192" i="17" s="1"/>
  <c r="F193" i="17" s="1"/>
  <c r="F194" i="17" s="1"/>
  <c r="F195" i="17" s="1"/>
  <c r="F196" i="17" s="1"/>
  <c r="F197" i="17" s="1"/>
  <c r="F198" i="17" s="1"/>
  <c r="F199" i="17" s="1"/>
  <c r="F200" i="17" s="1"/>
  <c r="F201" i="17" s="1"/>
  <c r="F202" i="17" s="1"/>
  <c r="F203" i="17" s="1"/>
  <c r="F204" i="17" s="1"/>
  <c r="F205" i="17" s="1"/>
  <c r="F206" i="17" s="1"/>
  <c r="F207" i="17" s="1"/>
  <c r="F208" i="17" s="1"/>
  <c r="F209" i="17" s="1"/>
  <c r="F210" i="17" s="1"/>
  <c r="F211" i="17" s="1"/>
  <c r="F212" i="17" s="1"/>
  <c r="F213" i="17" s="1"/>
  <c r="F214" i="17" s="1"/>
  <c r="F215" i="17" s="1"/>
  <c r="F216" i="17" s="1"/>
  <c r="F217" i="17" s="1"/>
  <c r="F218" i="17" s="1"/>
  <c r="F219" i="17" s="1"/>
  <c r="F220" i="17" s="1"/>
  <c r="F221" i="17" s="1"/>
  <c r="F222" i="17" s="1"/>
  <c r="F223" i="17" s="1"/>
  <c r="F224" i="17" s="1"/>
  <c r="F225" i="17" s="1"/>
  <c r="F226" i="17" s="1"/>
  <c r="F227" i="17" s="1"/>
  <c r="F228" i="17" s="1"/>
  <c r="F229" i="17" s="1"/>
  <c r="F230" i="17" s="1"/>
  <c r="F231" i="17" s="1"/>
  <c r="F232" i="17" s="1"/>
  <c r="F233" i="17" s="1"/>
  <c r="F234" i="17" s="1"/>
  <c r="F235" i="17" s="1"/>
  <c r="F236" i="17" s="1"/>
  <c r="F237" i="17" s="1"/>
  <c r="F238" i="17" s="1"/>
  <c r="F239" i="17" s="1"/>
  <c r="F240" i="17" s="1"/>
  <c r="F241" i="17" s="1"/>
  <c r="F242" i="17" s="1"/>
  <c r="F243" i="17" s="1"/>
  <c r="F244" i="17" s="1"/>
  <c r="F245" i="17" s="1"/>
  <c r="F246" i="17" s="1"/>
  <c r="F247" i="17" s="1"/>
  <c r="F248" i="17" s="1"/>
  <c r="F249" i="17" s="1"/>
  <c r="F250" i="17" s="1"/>
  <c r="F251" i="17" s="1"/>
  <c r="F252" i="17" s="1"/>
  <c r="F253" i="17" s="1"/>
  <c r="F254" i="17" s="1"/>
  <c r="F255" i="17" s="1"/>
  <c r="F256" i="17" s="1"/>
  <c r="F257" i="17" s="1"/>
  <c r="F258" i="17" s="1"/>
  <c r="F259" i="17" s="1"/>
  <c r="F260" i="17" s="1"/>
  <c r="F261" i="17" s="1"/>
  <c r="F262" i="17" s="1"/>
  <c r="F263" i="17" s="1"/>
  <c r="F264" i="17" s="1"/>
  <c r="F265" i="17" s="1"/>
  <c r="F266" i="17" s="1"/>
  <c r="F267" i="17" s="1"/>
  <c r="F268" i="17" s="1"/>
  <c r="F269" i="17" s="1"/>
  <c r="F270" i="17" s="1"/>
  <c r="F271" i="17" s="1"/>
  <c r="F272" i="17" s="1"/>
  <c r="F273" i="17" s="1"/>
  <c r="F274" i="17" s="1"/>
  <c r="F275" i="17" s="1"/>
  <c r="F276" i="17" s="1"/>
  <c r="F277" i="17" s="1"/>
  <c r="F278" i="17" s="1"/>
  <c r="F279" i="17" s="1"/>
  <c r="F280" i="17" s="1"/>
  <c r="F281" i="17" s="1"/>
  <c r="F282" i="17" s="1"/>
  <c r="F283" i="17" s="1"/>
  <c r="F284" i="17" s="1"/>
  <c r="F285" i="17" s="1"/>
  <c r="F286" i="17" s="1"/>
  <c r="F287" i="17" s="1"/>
  <c r="F288" i="17" s="1"/>
  <c r="F289" i="17" s="1"/>
  <c r="F290" i="17" s="1"/>
  <c r="F291" i="17" s="1"/>
  <c r="F292" i="17" s="1"/>
  <c r="F293" i="17" s="1"/>
  <c r="F294" i="17" s="1"/>
  <c r="F295" i="17" s="1"/>
  <c r="F296" i="17" s="1"/>
  <c r="F297" i="17" s="1"/>
  <c r="F298" i="17" s="1"/>
  <c r="F299" i="17" s="1"/>
  <c r="F300" i="17" s="1"/>
  <c r="F301" i="17" s="1"/>
  <c r="F302" i="17" s="1"/>
  <c r="F303" i="17" s="1"/>
  <c r="F304" i="17" s="1"/>
  <c r="F305" i="17" s="1"/>
  <c r="F306" i="17" s="1"/>
  <c r="F307" i="17" s="1"/>
  <c r="F308" i="17" s="1"/>
  <c r="F309" i="17" s="1"/>
  <c r="F310" i="17" s="1"/>
  <c r="F311" i="17" s="1"/>
  <c r="F312" i="17" s="1"/>
  <c r="F313" i="17" s="1"/>
  <c r="F314" i="17" s="1"/>
  <c r="F315" i="17" s="1"/>
  <c r="F316" i="17" s="1"/>
  <c r="F317" i="17" s="1"/>
  <c r="F318" i="17" s="1"/>
  <c r="F319" i="17" s="1"/>
  <c r="F320" i="17" s="1"/>
  <c r="F321" i="17" s="1"/>
  <c r="F322" i="17" s="1"/>
  <c r="F323" i="17" s="1"/>
  <c r="F324" i="17" s="1"/>
  <c r="F325" i="17" s="1"/>
  <c r="F326" i="17" s="1"/>
  <c r="F327" i="17" s="1"/>
  <c r="F328" i="17" s="1"/>
  <c r="F329" i="17" s="1"/>
  <c r="F330" i="17" s="1"/>
  <c r="F331" i="17" s="1"/>
  <c r="F332" i="17" s="1"/>
  <c r="F333" i="17" s="1"/>
  <c r="F334" i="17" s="1"/>
  <c r="F335" i="17" s="1"/>
  <c r="F336" i="17" s="1"/>
  <c r="F337" i="17" s="1"/>
  <c r="F338" i="17" s="1"/>
  <c r="F339" i="17" s="1"/>
  <c r="F340" i="17" s="1"/>
  <c r="F341" i="17" s="1"/>
  <c r="F342" i="17" s="1"/>
  <c r="F343" i="17" s="1"/>
  <c r="F344" i="17" s="1"/>
  <c r="F345" i="17" s="1"/>
  <c r="F346" i="17" s="1"/>
  <c r="F347" i="17" s="1"/>
  <c r="F348" i="17" s="1"/>
  <c r="F349" i="17" s="1"/>
  <c r="F350" i="17" s="1"/>
  <c r="F351" i="17" s="1"/>
  <c r="F352" i="17" s="1"/>
  <c r="F353" i="17" s="1"/>
  <c r="F354" i="17" s="1"/>
  <c r="F355" i="17" s="1"/>
  <c r="F356" i="17" s="1"/>
  <c r="F357" i="17" s="1"/>
  <c r="F358" i="17" s="1"/>
  <c r="F359" i="17" s="1"/>
  <c r="F360" i="17" s="1"/>
  <c r="F361" i="17" s="1"/>
  <c r="F362" i="17" s="1"/>
  <c r="F363" i="17" s="1"/>
  <c r="F364" i="17" s="1"/>
  <c r="F365" i="17" s="1"/>
  <c r="F366" i="17" s="1"/>
  <c r="F367" i="17" s="1"/>
  <c r="F368" i="17" s="1"/>
  <c r="F369" i="17" s="1"/>
  <c r="F370" i="17" s="1"/>
  <c r="F371" i="17" s="1"/>
  <c r="F372" i="17" s="1"/>
  <c r="F373" i="17" s="1"/>
  <c r="F374" i="17" s="1"/>
  <c r="F375" i="17" s="1"/>
  <c r="F376" i="17" s="1"/>
  <c r="F377" i="17" s="1"/>
  <c r="F378" i="17" s="1"/>
  <c r="F379" i="17" s="1"/>
  <c r="F380" i="17" s="1"/>
  <c r="F381" i="17" s="1"/>
  <c r="F382" i="17" s="1"/>
  <c r="F383" i="17" s="1"/>
  <c r="F384" i="17" s="1"/>
  <c r="F385" i="17" s="1"/>
  <c r="F386" i="17" s="1"/>
  <c r="F387" i="17" s="1"/>
  <c r="F388" i="17" s="1"/>
  <c r="F389" i="17" s="1"/>
  <c r="F390" i="17" s="1"/>
  <c r="F391" i="17" s="1"/>
  <c r="F392" i="17" s="1"/>
  <c r="F393" i="17" s="1"/>
  <c r="F394" i="17" s="1"/>
  <c r="F395" i="17" s="1"/>
  <c r="F396" i="17" s="1"/>
  <c r="F397" i="17" s="1"/>
  <c r="F398" i="17" s="1"/>
  <c r="F399" i="17" s="1"/>
  <c r="F400" i="17" s="1"/>
  <c r="F401" i="17" s="1"/>
  <c r="F402" i="17" s="1"/>
  <c r="F403" i="17" s="1"/>
  <c r="F404" i="17" s="1"/>
  <c r="F405" i="17" s="1"/>
  <c r="F406" i="17" s="1"/>
  <c r="F407" i="17" s="1"/>
  <c r="F408" i="17" s="1"/>
  <c r="F409" i="17" s="1"/>
  <c r="F410" i="17" s="1"/>
  <c r="F411" i="17" s="1"/>
  <c r="F412" i="17" s="1"/>
  <c r="F413" i="17" s="1"/>
  <c r="F414" i="17" s="1"/>
  <c r="F415" i="17" s="1"/>
  <c r="F416" i="17" s="1"/>
  <c r="F417" i="17" s="1"/>
  <c r="F418" i="17" s="1"/>
  <c r="F419" i="17" s="1"/>
  <c r="F420" i="17" s="1"/>
  <c r="F421" i="17" s="1"/>
  <c r="F422" i="17" s="1"/>
  <c r="F423" i="17" s="1"/>
  <c r="F424" i="17" s="1"/>
  <c r="F425" i="17" s="1"/>
  <c r="F426" i="17" s="1"/>
  <c r="F427" i="17" s="1"/>
  <c r="F428" i="17" s="1"/>
  <c r="F429" i="17" s="1"/>
  <c r="F430" i="17" s="1"/>
  <c r="F431" i="17" s="1"/>
  <c r="F432" i="17" s="1"/>
  <c r="F433" i="17" s="1"/>
  <c r="F434" i="17" s="1"/>
  <c r="F435" i="17" s="1"/>
  <c r="F436" i="17" s="1"/>
  <c r="F437" i="17" s="1"/>
  <c r="F438" i="17" s="1"/>
  <c r="F439" i="17" s="1"/>
  <c r="F440" i="17" s="1"/>
  <c r="F441" i="17" s="1"/>
  <c r="F442" i="17" s="1"/>
  <c r="F443" i="17" s="1"/>
  <c r="F444" i="17" s="1"/>
  <c r="F445" i="17" s="1"/>
  <c r="F446" i="17" s="1"/>
  <c r="F447" i="17" s="1"/>
  <c r="F448" i="17" s="1"/>
  <c r="F449" i="17" s="1"/>
  <c r="F450" i="17" s="1"/>
  <c r="F451" i="17" s="1"/>
  <c r="F452" i="17" s="1"/>
  <c r="F453" i="17" s="1"/>
  <c r="F454" i="17" s="1"/>
  <c r="F455" i="17" s="1"/>
  <c r="F456" i="17" s="1"/>
  <c r="F457" i="17" s="1"/>
  <c r="F458" i="17" s="1"/>
  <c r="F459" i="17" s="1"/>
  <c r="F460" i="17" s="1"/>
  <c r="F461" i="17" s="1"/>
  <c r="F462" i="17" s="1"/>
  <c r="F463" i="17" s="1"/>
  <c r="F464" i="17" s="1"/>
  <c r="F465" i="17" s="1"/>
  <c r="F466" i="17" s="1"/>
  <c r="F467" i="17" s="1"/>
  <c r="F468" i="17" s="1"/>
  <c r="F469" i="17" s="1"/>
  <c r="F470" i="17" s="1"/>
  <c r="F471" i="17" s="1"/>
  <c r="F472" i="17" s="1"/>
  <c r="F473" i="17" s="1"/>
  <c r="F474" i="17" s="1"/>
  <c r="F475" i="17" s="1"/>
  <c r="F476" i="17" s="1"/>
  <c r="F477" i="17" s="1"/>
  <c r="F478" i="17" s="1"/>
  <c r="F479" i="17" s="1"/>
  <c r="F480" i="17" s="1"/>
  <c r="F481" i="17" s="1"/>
  <c r="F482" i="17" s="1"/>
  <c r="F483" i="17" s="1"/>
  <c r="F484" i="17" s="1"/>
  <c r="F485" i="17" s="1"/>
  <c r="F486" i="17" s="1"/>
  <c r="F487" i="17" s="1"/>
  <c r="F488" i="17" s="1"/>
  <c r="F489" i="17" s="1"/>
  <c r="F490" i="17" s="1"/>
  <c r="F491" i="17" s="1"/>
  <c r="F492" i="17" s="1"/>
  <c r="F493" i="17" s="1"/>
  <c r="F494" i="17" s="1"/>
  <c r="F495" i="17" s="1"/>
  <c r="F496" i="17" s="1"/>
  <c r="F497" i="17" s="1"/>
  <c r="F498" i="17" s="1"/>
  <c r="F499" i="17" s="1"/>
  <c r="F500" i="17" s="1"/>
  <c r="F501" i="17" s="1"/>
  <c r="F502" i="17" s="1"/>
  <c r="F503" i="17" s="1"/>
  <c r="F504" i="17" s="1"/>
  <c r="F505" i="17" s="1"/>
  <c r="F506" i="17" s="1"/>
  <c r="F507" i="17" s="1"/>
  <c r="F508" i="17" s="1"/>
  <c r="F509" i="17" s="1"/>
  <c r="F510" i="17" s="1"/>
  <c r="F511" i="17" s="1"/>
  <c r="F512" i="17" s="1"/>
  <c r="F513" i="17" s="1"/>
  <c r="F514" i="17" s="1"/>
  <c r="F515" i="17" s="1"/>
  <c r="F516" i="17" s="1"/>
  <c r="F517" i="17" s="1"/>
  <c r="F518" i="17" s="1"/>
  <c r="F519" i="17" s="1"/>
  <c r="F520" i="17" s="1"/>
  <c r="F521" i="17" s="1"/>
  <c r="F522" i="17" s="1"/>
  <c r="F523" i="17" s="1"/>
  <c r="F524" i="17" s="1"/>
  <c r="F525" i="17" s="1"/>
  <c r="F526" i="17" s="1"/>
  <c r="F527" i="17" s="1"/>
  <c r="F528" i="17" s="1"/>
  <c r="F529" i="17" s="1"/>
  <c r="F530" i="17" s="1"/>
  <c r="F531" i="17" s="1"/>
  <c r="F532" i="17" s="1"/>
  <c r="F533" i="17" s="1"/>
  <c r="F534" i="17" s="1"/>
  <c r="F535" i="17" s="1"/>
  <c r="F536" i="17" s="1"/>
  <c r="F537" i="17" s="1"/>
  <c r="F538" i="17" s="1"/>
  <c r="F539" i="17" s="1"/>
  <c r="F540" i="17" s="1"/>
  <c r="F541" i="17" s="1"/>
  <c r="F542" i="17" s="1"/>
  <c r="F543" i="17" s="1"/>
  <c r="F544" i="17" s="1"/>
  <c r="F545" i="17" s="1"/>
  <c r="F546" i="17" s="1"/>
  <c r="F547" i="17" s="1"/>
  <c r="F548" i="17" s="1"/>
  <c r="F549" i="17" s="1"/>
  <c r="F550" i="17" s="1"/>
  <c r="F551" i="17" s="1"/>
  <c r="F552" i="17" s="1"/>
  <c r="F553" i="17" s="1"/>
  <c r="F554" i="17" s="1"/>
  <c r="F555" i="17" s="1"/>
  <c r="F556" i="17" s="1"/>
  <c r="F557" i="17" s="1"/>
  <c r="F558" i="17" s="1"/>
  <c r="F559" i="17" s="1"/>
  <c r="F560" i="17" s="1"/>
  <c r="F561" i="17" s="1"/>
  <c r="F562" i="17" s="1"/>
  <c r="F563" i="17" s="1"/>
  <c r="F564" i="17" s="1"/>
  <c r="F565" i="17" s="1"/>
  <c r="F566" i="17" s="1"/>
  <c r="F567" i="17" s="1"/>
  <c r="F568" i="17" s="1"/>
  <c r="F569" i="17" s="1"/>
  <c r="F570" i="17" s="1"/>
  <c r="F571" i="17" s="1"/>
  <c r="F572" i="17" s="1"/>
  <c r="F573" i="17" s="1"/>
  <c r="F574" i="17" s="1"/>
  <c r="F575" i="17" s="1"/>
  <c r="F576" i="17" s="1"/>
  <c r="F577" i="17" s="1"/>
  <c r="F578" i="17" s="1"/>
  <c r="F579" i="17" s="1"/>
  <c r="F580" i="17" s="1"/>
  <c r="F581" i="17" s="1"/>
  <c r="F582" i="17" s="1"/>
  <c r="F583" i="17" s="1"/>
  <c r="F584" i="17" s="1"/>
  <c r="F585" i="17" s="1"/>
  <c r="F586" i="17" s="1"/>
  <c r="F587" i="17" s="1"/>
  <c r="F588" i="17" s="1"/>
  <c r="F589" i="17" s="1"/>
  <c r="F590" i="17" s="1"/>
  <c r="F591" i="17" s="1"/>
  <c r="F592" i="17" s="1"/>
  <c r="F593" i="17" s="1"/>
  <c r="F594" i="17" s="1"/>
  <c r="F595" i="17" s="1"/>
  <c r="F596" i="17" s="1"/>
  <c r="F597" i="17" s="1"/>
  <c r="F598" i="17" s="1"/>
  <c r="F599" i="17" s="1"/>
  <c r="F600" i="17" s="1"/>
  <c r="F601" i="17" s="1"/>
  <c r="F602" i="17" s="1"/>
  <c r="F603" i="17" s="1"/>
  <c r="F604" i="17" s="1"/>
  <c r="F605" i="17" s="1"/>
  <c r="F606" i="17" s="1"/>
  <c r="F607" i="17" s="1"/>
  <c r="F608" i="17" s="1"/>
  <c r="F609" i="17" s="1"/>
  <c r="F610" i="17" s="1"/>
  <c r="F611" i="17" s="1"/>
  <c r="F612" i="17" s="1"/>
  <c r="F613" i="17" s="1"/>
  <c r="F614" i="17" s="1"/>
  <c r="F615" i="17" s="1"/>
  <c r="F616" i="17" s="1"/>
  <c r="F617" i="17" s="1"/>
  <c r="F618" i="17" s="1"/>
  <c r="F619" i="17" s="1"/>
  <c r="F620" i="17" s="1"/>
  <c r="F621" i="17" s="1"/>
  <c r="F622" i="17" s="1"/>
  <c r="F623" i="17" s="1"/>
  <c r="F624" i="17" s="1"/>
  <c r="F625" i="17" s="1"/>
  <c r="F626" i="17" s="1"/>
  <c r="F627" i="17" s="1"/>
  <c r="F628" i="17" s="1"/>
  <c r="F629" i="17" s="1"/>
  <c r="F630" i="17" s="1"/>
  <c r="F631" i="17" s="1"/>
  <c r="F632" i="17" s="1"/>
  <c r="F633" i="17" s="1"/>
  <c r="F634" i="17" s="1"/>
  <c r="F635" i="17" s="1"/>
  <c r="F636" i="17" s="1"/>
  <c r="F637" i="17" s="1"/>
  <c r="F638" i="17" s="1"/>
  <c r="F639" i="17" s="1"/>
  <c r="F640" i="17" s="1"/>
  <c r="F641" i="17" s="1"/>
  <c r="F642" i="17" s="1"/>
  <c r="F643" i="17" s="1"/>
  <c r="F644" i="17" s="1"/>
  <c r="F645" i="17" s="1"/>
  <c r="F646" i="17" s="1"/>
  <c r="F647" i="17" s="1"/>
  <c r="F648" i="17" s="1"/>
  <c r="F649" i="17" s="1"/>
  <c r="F650" i="17" s="1"/>
  <c r="F651" i="17" s="1"/>
  <c r="F652" i="17" s="1"/>
  <c r="F653" i="17" s="1"/>
  <c r="F654" i="17" s="1"/>
  <c r="F655" i="17" s="1"/>
  <c r="F656" i="17" s="1"/>
  <c r="F657" i="17" s="1"/>
  <c r="F658" i="17" s="1"/>
  <c r="F659" i="17" s="1"/>
  <c r="F660" i="17" s="1"/>
  <c r="F661" i="17" s="1"/>
  <c r="F662" i="17" s="1"/>
  <c r="F663" i="17" s="1"/>
  <c r="F664" i="17" s="1"/>
  <c r="F665" i="17" s="1"/>
  <c r="F666" i="17" s="1"/>
  <c r="F667" i="17" s="1"/>
  <c r="F668" i="17" s="1"/>
  <c r="F669" i="17" s="1"/>
  <c r="F670" i="17" s="1"/>
  <c r="F671" i="17" s="1"/>
  <c r="F672" i="17" s="1"/>
  <c r="F673" i="17" s="1"/>
  <c r="F674" i="17" s="1"/>
  <c r="F675" i="17" s="1"/>
  <c r="F676" i="17" s="1"/>
  <c r="F677" i="17" s="1"/>
  <c r="F678" i="17" s="1"/>
  <c r="F679" i="17" s="1"/>
  <c r="F680" i="17" s="1"/>
  <c r="F681" i="17" s="1"/>
  <c r="F682" i="17" s="1"/>
  <c r="F683" i="17" s="1"/>
  <c r="F684" i="17" s="1"/>
  <c r="F685" i="17" s="1"/>
  <c r="F686" i="17" s="1"/>
  <c r="F687" i="17" s="1"/>
  <c r="F688" i="17" s="1"/>
  <c r="F689" i="17" s="1"/>
  <c r="F690" i="17" s="1"/>
  <c r="F691" i="17" s="1"/>
  <c r="F692" i="17" s="1"/>
  <c r="F693" i="17" s="1"/>
  <c r="F694" i="17" s="1"/>
  <c r="F695" i="17" s="1"/>
  <c r="F696" i="17" s="1"/>
  <c r="F697" i="17" s="1"/>
  <c r="F698" i="17" s="1"/>
  <c r="F699" i="17" s="1"/>
  <c r="F700" i="17" s="1"/>
  <c r="F701" i="17" s="1"/>
  <c r="F702" i="17" s="1"/>
  <c r="F703" i="17" s="1"/>
  <c r="F704" i="17" s="1"/>
  <c r="F705" i="17" s="1"/>
  <c r="F706" i="17" s="1"/>
  <c r="F707" i="17" s="1"/>
  <c r="F708" i="17" s="1"/>
  <c r="F709" i="17" s="1"/>
  <c r="F710" i="17" s="1"/>
  <c r="F711" i="17" s="1"/>
  <c r="F712" i="17" s="1"/>
  <c r="F713" i="17" s="1"/>
  <c r="F714" i="17" s="1"/>
  <c r="F715" i="17" s="1"/>
  <c r="F716" i="17" s="1"/>
  <c r="F717" i="17" s="1"/>
  <c r="F718" i="17" s="1"/>
  <c r="F719" i="17" s="1"/>
  <c r="F720" i="17" s="1"/>
  <c r="F721" i="17" s="1"/>
  <c r="F722" i="17" s="1"/>
  <c r="F723" i="17" s="1"/>
  <c r="F724" i="17" s="1"/>
  <c r="F725" i="17" s="1"/>
  <c r="F726" i="17" s="1"/>
  <c r="F727" i="17" s="1"/>
  <c r="F728" i="17" s="1"/>
  <c r="F729" i="17" s="1"/>
  <c r="F730" i="17" s="1"/>
  <c r="F731" i="17" s="1"/>
  <c r="F732" i="17" s="1"/>
  <c r="F733" i="17" s="1"/>
  <c r="F734" i="17" s="1"/>
  <c r="F735" i="17" s="1"/>
  <c r="F736" i="17" s="1"/>
  <c r="F737" i="17" s="1"/>
  <c r="F738" i="17" s="1"/>
  <c r="F739" i="17" s="1"/>
  <c r="F740" i="17" s="1"/>
  <c r="F741" i="17" s="1"/>
  <c r="F742" i="17" s="1"/>
  <c r="F743" i="17" s="1"/>
  <c r="F744" i="17" s="1"/>
  <c r="F745" i="17" s="1"/>
  <c r="F746" i="17" s="1"/>
  <c r="F747" i="17" s="1"/>
  <c r="F748" i="17" s="1"/>
  <c r="F749" i="17" s="1"/>
  <c r="F750" i="17" s="1"/>
  <c r="F751" i="17" s="1"/>
  <c r="F752" i="17" s="1"/>
  <c r="F753" i="17" s="1"/>
  <c r="F754" i="17" s="1"/>
  <c r="F755" i="17" s="1"/>
  <c r="F756" i="17" s="1"/>
  <c r="F757" i="17" s="1"/>
  <c r="F758" i="17" s="1"/>
  <c r="F759" i="17" s="1"/>
  <c r="F760" i="17" s="1"/>
  <c r="F761" i="17" s="1"/>
  <c r="F762" i="17" s="1"/>
  <c r="F763" i="17" s="1"/>
  <c r="F764" i="17" s="1"/>
  <c r="F765" i="17" s="1"/>
  <c r="F766" i="17" s="1"/>
  <c r="F767" i="17" s="1"/>
  <c r="F768" i="17" s="1"/>
  <c r="F769" i="17" s="1"/>
  <c r="F770" i="17" s="1"/>
  <c r="F771" i="17" s="1"/>
  <c r="F772" i="17" s="1"/>
  <c r="F773" i="17" s="1"/>
  <c r="F774" i="17" s="1"/>
  <c r="F775" i="17" s="1"/>
  <c r="F776" i="17" s="1"/>
  <c r="F777" i="17" s="1"/>
  <c r="F778" i="17" s="1"/>
  <c r="F779" i="17" s="1"/>
  <c r="F780" i="17" s="1"/>
  <c r="F781" i="17" s="1"/>
  <c r="F782" i="17" s="1"/>
  <c r="F783" i="17" s="1"/>
  <c r="F784" i="17" s="1"/>
  <c r="F785" i="17" s="1"/>
  <c r="F786" i="17" s="1"/>
  <c r="F787" i="17" s="1"/>
  <c r="F788" i="17" s="1"/>
  <c r="F789" i="17" s="1"/>
  <c r="F790" i="17" s="1"/>
  <c r="F791" i="17" s="1"/>
  <c r="F792" i="17" s="1"/>
  <c r="F793" i="17" s="1"/>
  <c r="F794" i="17" s="1"/>
  <c r="F795" i="17" s="1"/>
  <c r="F796" i="17" s="1"/>
  <c r="F797" i="17" s="1"/>
  <c r="F798" i="17" s="1"/>
  <c r="F799" i="17" s="1"/>
  <c r="F800" i="17" s="1"/>
  <c r="F801" i="17" s="1"/>
  <c r="F802" i="17" s="1"/>
  <c r="F803" i="17" s="1"/>
  <c r="F804" i="17" s="1"/>
  <c r="F805" i="17" s="1"/>
  <c r="F806" i="17" s="1"/>
  <c r="F807" i="17" s="1"/>
  <c r="F808" i="17" s="1"/>
  <c r="F809" i="17" s="1"/>
  <c r="F810" i="17" s="1"/>
  <c r="F811" i="17" s="1"/>
  <c r="F812" i="17" s="1"/>
  <c r="F813" i="17" s="1"/>
  <c r="F814" i="17" s="1"/>
  <c r="F815" i="17" s="1"/>
  <c r="F816" i="17" s="1"/>
  <c r="F817" i="17" s="1"/>
  <c r="F818" i="17" s="1"/>
  <c r="F819" i="17" s="1"/>
  <c r="F820" i="17" s="1"/>
  <c r="F821" i="17" s="1"/>
  <c r="F822" i="17" s="1"/>
  <c r="F823" i="17" s="1"/>
  <c r="F824" i="17" s="1"/>
  <c r="F825" i="17" s="1"/>
  <c r="F826" i="17" s="1"/>
  <c r="F827" i="17" s="1"/>
  <c r="F828" i="17" s="1"/>
  <c r="F829" i="17" s="1"/>
  <c r="F830" i="17" s="1"/>
  <c r="F831" i="17" s="1"/>
  <c r="F832" i="17" s="1"/>
  <c r="F833" i="17" s="1"/>
  <c r="F834" i="17" s="1"/>
  <c r="F835" i="17" s="1"/>
  <c r="F836" i="17" s="1"/>
  <c r="F837" i="17" s="1"/>
  <c r="F838" i="17" s="1"/>
  <c r="F839" i="17" s="1"/>
  <c r="F840" i="17" s="1"/>
  <c r="F841" i="17" s="1"/>
  <c r="F842" i="17" s="1"/>
  <c r="F843" i="17" s="1"/>
  <c r="F844" i="17" s="1"/>
  <c r="F845" i="17" s="1"/>
  <c r="F846" i="17" s="1"/>
  <c r="F847" i="17" s="1"/>
  <c r="F848" i="17" s="1"/>
  <c r="F849" i="17" s="1"/>
  <c r="F850" i="17" s="1"/>
  <c r="F851" i="17" s="1"/>
  <c r="F852" i="17" s="1"/>
  <c r="F853" i="17" s="1"/>
  <c r="F854" i="17" s="1"/>
  <c r="F855" i="17" s="1"/>
  <c r="F856" i="17" s="1"/>
  <c r="F857" i="17" s="1"/>
  <c r="F858" i="17" s="1"/>
  <c r="F859" i="17" s="1"/>
  <c r="F860" i="17" s="1"/>
  <c r="F861" i="17" s="1"/>
  <c r="F862" i="17" s="1"/>
  <c r="F863" i="17" s="1"/>
  <c r="F864" i="17" s="1"/>
  <c r="F865" i="17" s="1"/>
  <c r="F866" i="17" s="1"/>
  <c r="F867" i="17" s="1"/>
  <c r="F868" i="17" s="1"/>
  <c r="F869" i="17" s="1"/>
  <c r="F870" i="17" s="1"/>
  <c r="F871" i="17" s="1"/>
  <c r="F872" i="17" s="1"/>
  <c r="F873" i="17" s="1"/>
  <c r="F874" i="17" s="1"/>
  <c r="F875" i="17" s="1"/>
  <c r="F876" i="17" s="1"/>
  <c r="F877" i="17" s="1"/>
  <c r="F878" i="17" s="1"/>
  <c r="F879" i="17" s="1"/>
  <c r="F880" i="17" s="1"/>
  <c r="F881" i="17" s="1"/>
  <c r="F882" i="17" s="1"/>
  <c r="F883" i="17" s="1"/>
  <c r="F884" i="17" s="1"/>
  <c r="F885" i="17" s="1"/>
  <c r="F886" i="17" s="1"/>
  <c r="F887" i="17" s="1"/>
  <c r="F888" i="17" s="1"/>
  <c r="F889" i="17" s="1"/>
  <c r="F890" i="17" s="1"/>
  <c r="F891" i="17" s="1"/>
  <c r="F892" i="17" s="1"/>
  <c r="F893" i="17" s="1"/>
  <c r="F894" i="17" s="1"/>
  <c r="F895" i="17" s="1"/>
  <c r="F896" i="17" s="1"/>
  <c r="F897" i="17" s="1"/>
  <c r="F898" i="17" s="1"/>
  <c r="F899" i="17" s="1"/>
  <c r="F900" i="17" s="1"/>
  <c r="F901" i="17" s="1"/>
  <c r="F902" i="17" s="1"/>
  <c r="F903" i="17" s="1"/>
  <c r="F904" i="17" s="1"/>
  <c r="F905" i="17" s="1"/>
  <c r="F906" i="17" s="1"/>
  <c r="F907" i="17" s="1"/>
  <c r="F908" i="17" s="1"/>
  <c r="F909" i="17" s="1"/>
  <c r="F910" i="17" s="1"/>
  <c r="F911" i="17" s="1"/>
  <c r="F912" i="17" s="1"/>
  <c r="F913" i="17" s="1"/>
  <c r="F914" i="17" s="1"/>
  <c r="F915" i="17" s="1"/>
  <c r="F916" i="17" s="1"/>
  <c r="F917" i="17" s="1"/>
  <c r="F918" i="17" s="1"/>
  <c r="F919" i="17" s="1"/>
  <c r="F920" i="17" s="1"/>
  <c r="F921" i="17" s="1"/>
  <c r="F922" i="17" s="1"/>
  <c r="F923" i="17" s="1"/>
  <c r="F924" i="17" s="1"/>
  <c r="F925" i="17" s="1"/>
  <c r="F926" i="17" s="1"/>
  <c r="F927" i="17" s="1"/>
  <c r="F928" i="17" s="1"/>
  <c r="F929" i="17" s="1"/>
  <c r="F930" i="17" s="1"/>
  <c r="F931" i="17" s="1"/>
  <c r="F932" i="17" s="1"/>
  <c r="F933" i="17" s="1"/>
  <c r="F934" i="17" s="1"/>
  <c r="F935" i="17" s="1"/>
  <c r="F936" i="17" s="1"/>
  <c r="F937" i="17" s="1"/>
  <c r="F938" i="17" s="1"/>
  <c r="F939" i="17" s="1"/>
  <c r="F940" i="17" s="1"/>
  <c r="F941" i="17" s="1"/>
  <c r="F942" i="17" s="1"/>
  <c r="F943" i="17" s="1"/>
  <c r="F944" i="17" s="1"/>
  <c r="F945" i="17" s="1"/>
  <c r="F946" i="17" s="1"/>
  <c r="F947" i="17" s="1"/>
  <c r="F948" i="17" s="1"/>
  <c r="F949" i="17" s="1"/>
  <c r="F950" i="17" s="1"/>
  <c r="F951" i="17" s="1"/>
  <c r="F952" i="17" s="1"/>
  <c r="F953" i="17" s="1"/>
  <c r="F954" i="17" s="1"/>
  <c r="F955" i="17" s="1"/>
  <c r="F956" i="17" s="1"/>
  <c r="F957" i="17" s="1"/>
  <c r="F958" i="17" s="1"/>
  <c r="F959" i="17" s="1"/>
  <c r="F960" i="17" s="1"/>
  <c r="F961" i="17" s="1"/>
  <c r="F962" i="17" s="1"/>
  <c r="F963" i="17" s="1"/>
  <c r="F964" i="17" s="1"/>
  <c r="F965" i="17" s="1"/>
  <c r="F966" i="17" s="1"/>
  <c r="F967" i="17" s="1"/>
  <c r="F968" i="17" s="1"/>
  <c r="F969" i="17" s="1"/>
  <c r="F970" i="17" s="1"/>
  <c r="F971" i="17" s="1"/>
  <c r="F972" i="17" s="1"/>
  <c r="F973" i="17" s="1"/>
  <c r="F974" i="17" s="1"/>
  <c r="F975" i="17" s="1"/>
  <c r="F976" i="17" s="1"/>
  <c r="F977" i="17" s="1"/>
  <c r="F978" i="17" s="1"/>
  <c r="F979" i="17" s="1"/>
  <c r="F980" i="17" s="1"/>
  <c r="F981" i="17" s="1"/>
  <c r="F982" i="17" s="1"/>
  <c r="F983" i="17" s="1"/>
  <c r="F984" i="17" s="1"/>
  <c r="F985" i="17" s="1"/>
  <c r="F986" i="17" s="1"/>
  <c r="F987" i="17" s="1"/>
  <c r="F988" i="17" s="1"/>
  <c r="F989" i="17" s="1"/>
  <c r="F990" i="17" s="1"/>
  <c r="F991" i="17" s="1"/>
  <c r="F992" i="17" s="1"/>
  <c r="F993" i="17" s="1"/>
  <c r="F994" i="17" s="1"/>
  <c r="F995" i="17" s="1"/>
  <c r="F996" i="17" s="1"/>
  <c r="F997" i="17" s="1"/>
  <c r="F998" i="17" s="1"/>
  <c r="F999" i="17" s="1"/>
  <c r="F1000" i="17" s="1"/>
  <c r="F1001" i="17" s="1"/>
  <c r="F1002" i="17" s="1"/>
  <c r="F1003" i="17" s="1"/>
  <c r="F1004" i="17" s="1"/>
  <c r="F1005" i="17" s="1"/>
  <c r="F1006" i="17" s="1"/>
  <c r="F1007" i="17" s="1"/>
  <c r="F1008" i="17" s="1"/>
  <c r="F1009" i="17" s="1"/>
  <c r="F1010" i="17" s="1"/>
  <c r="F1011" i="17" s="1"/>
  <c r="F1012" i="17" s="1"/>
  <c r="F1013" i="17" s="1"/>
  <c r="F1014" i="17" s="1"/>
  <c r="F1015" i="17" s="1"/>
  <c r="F1016" i="17" s="1"/>
  <c r="F1017" i="17" s="1"/>
  <c r="F1018" i="17" s="1"/>
  <c r="F1019" i="17" s="1"/>
  <c r="F1020" i="17" s="1"/>
  <c r="F1021" i="17" s="1"/>
  <c r="F1022" i="17" s="1"/>
  <c r="F1023" i="17" s="1"/>
  <c r="F1024" i="17" s="1"/>
  <c r="F1025" i="17" s="1"/>
  <c r="F1026" i="17" s="1"/>
  <c r="F1027" i="17" s="1"/>
  <c r="F1028" i="17" s="1"/>
  <c r="F1029" i="17" s="1"/>
  <c r="F1030" i="17" s="1"/>
  <c r="F1031" i="17" s="1"/>
  <c r="F1032" i="17" s="1"/>
  <c r="F1033" i="17" s="1"/>
  <c r="F1034" i="17" s="1"/>
  <c r="F1035" i="17" s="1"/>
  <c r="F1036" i="17" s="1"/>
  <c r="F1037" i="17" s="1"/>
  <c r="F1038" i="17" s="1"/>
  <c r="F1039" i="17" s="1"/>
  <c r="F1040" i="17" s="1"/>
  <c r="F1041" i="17" s="1"/>
  <c r="F1042" i="17" s="1"/>
  <c r="F1043" i="17" s="1"/>
  <c r="F1044" i="17" s="1"/>
  <c r="F1045" i="17" s="1"/>
  <c r="F1046" i="17" s="1"/>
  <c r="F1047" i="17" s="1"/>
  <c r="F1048" i="17" s="1"/>
  <c r="F1049" i="17" s="1"/>
  <c r="F1050" i="17" s="1"/>
  <c r="F1051" i="17" s="1"/>
  <c r="F1052" i="17" s="1"/>
  <c r="F1053" i="17" s="1"/>
  <c r="F1054" i="17" s="1"/>
  <c r="F1055" i="17" s="1"/>
  <c r="F1056" i="17" s="1"/>
  <c r="F1057" i="17" s="1"/>
  <c r="F1058" i="17" s="1"/>
  <c r="F1059" i="17" s="1"/>
  <c r="F1060" i="17" s="1"/>
  <c r="F1061" i="17" s="1"/>
  <c r="F1062" i="17" s="1"/>
  <c r="F1063" i="17" s="1"/>
  <c r="F1064" i="17" s="1"/>
  <c r="F1065" i="17" s="1"/>
  <c r="F1066" i="17" s="1"/>
  <c r="F1067" i="17" s="1"/>
  <c r="F1068" i="17" s="1"/>
  <c r="F1069" i="17" s="1"/>
  <c r="F1070" i="17" s="1"/>
  <c r="F1071" i="17" s="1"/>
  <c r="F1072" i="17" s="1"/>
  <c r="F1073" i="17" s="1"/>
  <c r="F1074" i="17" s="1"/>
  <c r="F1075" i="17" s="1"/>
  <c r="F1076" i="17" s="1"/>
  <c r="F1077" i="17" s="1"/>
  <c r="F1078" i="17" s="1"/>
  <c r="F1079" i="17" s="1"/>
  <c r="F1080" i="17" s="1"/>
  <c r="F1081" i="17" s="1"/>
  <c r="F1082" i="17" s="1"/>
  <c r="F1083" i="17" s="1"/>
  <c r="F1084" i="17" s="1"/>
  <c r="F1085" i="17" s="1"/>
  <c r="F1086" i="17" s="1"/>
  <c r="F1087" i="17" s="1"/>
  <c r="F1088" i="17" s="1"/>
  <c r="F1089" i="17" s="1"/>
  <c r="F1090" i="17" s="1"/>
  <c r="F1091" i="17" s="1"/>
  <c r="F1092" i="17" s="1"/>
  <c r="F1093" i="17" s="1"/>
  <c r="F1094" i="17" s="1"/>
  <c r="F1095" i="17" s="1"/>
  <c r="F1096" i="17" s="1"/>
  <c r="F1097" i="17" s="1"/>
  <c r="F1098" i="17" s="1"/>
  <c r="F1099" i="17" s="1"/>
  <c r="F1100" i="17" s="1"/>
  <c r="F1101" i="17" s="1"/>
  <c r="F1102" i="17" s="1"/>
  <c r="F1103" i="17" s="1"/>
  <c r="F1104" i="17" s="1"/>
  <c r="F1105" i="17" s="1"/>
  <c r="F1106" i="17" s="1"/>
  <c r="F1107" i="17" s="1"/>
  <c r="F1108" i="17" s="1"/>
  <c r="F1109" i="17" s="1"/>
  <c r="F1110" i="17" s="1"/>
  <c r="F1111" i="17" s="1"/>
  <c r="F1112" i="17" s="1"/>
  <c r="F1113" i="17" s="1"/>
  <c r="F1114" i="17" s="1"/>
  <c r="F1115" i="17" s="1"/>
  <c r="F1116" i="17" s="1"/>
  <c r="F1117" i="17" s="1"/>
  <c r="F1118" i="17" s="1"/>
  <c r="F1119" i="17" s="1"/>
  <c r="F1120" i="17" s="1"/>
  <c r="F1121" i="17" s="1"/>
  <c r="F1122" i="17" s="1"/>
  <c r="F1123" i="17" s="1"/>
  <c r="F1124" i="17" s="1"/>
  <c r="F1125" i="17" s="1"/>
  <c r="F1126" i="17" s="1"/>
  <c r="F1127" i="17" s="1"/>
  <c r="F1128" i="17" s="1"/>
  <c r="F1129" i="17" s="1"/>
  <c r="F1130" i="17" s="1"/>
  <c r="F1131" i="17" s="1"/>
  <c r="F1132" i="17" s="1"/>
  <c r="F1133" i="17" s="1"/>
  <c r="F1134" i="17" s="1"/>
  <c r="F1135" i="17" s="1"/>
  <c r="F1136" i="17" s="1"/>
  <c r="F1137" i="17" s="1"/>
  <c r="F1138" i="17" s="1"/>
  <c r="F1139" i="17" s="1"/>
  <c r="F1140" i="17" s="1"/>
  <c r="F1141" i="17" s="1"/>
  <c r="F1142" i="17" s="1"/>
  <c r="F1143" i="17" s="1"/>
  <c r="F1144" i="17" s="1"/>
  <c r="F1145" i="17" s="1"/>
  <c r="F1146" i="17" s="1"/>
  <c r="F1147" i="17" s="1"/>
  <c r="F1148" i="17" s="1"/>
  <c r="F1149" i="17" s="1"/>
  <c r="F1150" i="17" s="1"/>
  <c r="F1151" i="17" s="1"/>
  <c r="F1152" i="17" s="1"/>
  <c r="F1153" i="17" s="1"/>
  <c r="F1154" i="17" s="1"/>
  <c r="F1155" i="17" s="1"/>
  <c r="F1156" i="17" s="1"/>
  <c r="F1157" i="17" s="1"/>
  <c r="F1158" i="17" s="1"/>
  <c r="F1159" i="17" s="1"/>
  <c r="F1160" i="17" s="1"/>
  <c r="F1161" i="17" s="1"/>
  <c r="F1162" i="17" s="1"/>
  <c r="F1163" i="17" s="1"/>
  <c r="F1164" i="17" s="1"/>
  <c r="F1165" i="17" s="1"/>
  <c r="F1166" i="17" s="1"/>
  <c r="F1167" i="17" s="1"/>
  <c r="F1168" i="17" s="1"/>
  <c r="F1169" i="17" s="1"/>
  <c r="F1170" i="17" s="1"/>
  <c r="F1171" i="17" s="1"/>
  <c r="F1172" i="17" s="1"/>
  <c r="F1173" i="17" s="1"/>
  <c r="F1174" i="17" s="1"/>
  <c r="F1175" i="17" s="1"/>
  <c r="F1176" i="17" s="1"/>
  <c r="F1177" i="17" s="1"/>
  <c r="F1178" i="17" s="1"/>
  <c r="F1179" i="17" s="1"/>
  <c r="F1180" i="17" s="1"/>
  <c r="F1181" i="17" s="1"/>
  <c r="F1182" i="17" s="1"/>
  <c r="F1183" i="17" s="1"/>
  <c r="F1184" i="17" s="1"/>
  <c r="F1185" i="17" s="1"/>
  <c r="F1186" i="17" s="1"/>
  <c r="F1187" i="17" s="1"/>
  <c r="F1188" i="17" s="1"/>
  <c r="F1189" i="17" s="1"/>
  <c r="F1190" i="17" s="1"/>
  <c r="F1191" i="17" s="1"/>
  <c r="F1192" i="17" s="1"/>
  <c r="F1193" i="17" s="1"/>
  <c r="F1194" i="17" s="1"/>
  <c r="F1195" i="17" s="1"/>
  <c r="F1196" i="17" s="1"/>
  <c r="F1197" i="17" s="1"/>
  <c r="F1198" i="17" s="1"/>
  <c r="F1199" i="17" s="1"/>
  <c r="F1200" i="17" s="1"/>
  <c r="F1201" i="17" s="1"/>
  <c r="F1202" i="17" s="1"/>
  <c r="F1203" i="17" s="1"/>
  <c r="F1204" i="17" s="1"/>
  <c r="F1205" i="17" s="1"/>
  <c r="F1206" i="17" s="1"/>
  <c r="F1207" i="17" s="1"/>
  <c r="F1208" i="17" s="1"/>
  <c r="F1209" i="17" s="1"/>
  <c r="F1210" i="17" s="1"/>
  <c r="F1211" i="17" s="1"/>
  <c r="F1212" i="17" s="1"/>
  <c r="F1213" i="17" s="1"/>
  <c r="F1214" i="17" s="1"/>
  <c r="F1215" i="17" s="1"/>
  <c r="F1216" i="17" s="1"/>
  <c r="F1217" i="17" s="1"/>
  <c r="F1218" i="17" s="1"/>
  <c r="F1219" i="17" s="1"/>
  <c r="F1220" i="17" s="1"/>
  <c r="F1221" i="17" s="1"/>
  <c r="F1222" i="17" s="1"/>
  <c r="F1223" i="17" s="1"/>
  <c r="F1224" i="17" s="1"/>
  <c r="F1225" i="17" s="1"/>
  <c r="F1226" i="17" s="1"/>
  <c r="F1227" i="17" s="1"/>
  <c r="F1228" i="17" s="1"/>
  <c r="F1229" i="17" s="1"/>
  <c r="F1230" i="17" s="1"/>
  <c r="F1231" i="17" s="1"/>
  <c r="F1232" i="17" s="1"/>
  <c r="F1233" i="17" s="1"/>
  <c r="F1234" i="17" s="1"/>
  <c r="F1235" i="17" s="1"/>
  <c r="F1236" i="17" s="1"/>
  <c r="F1237" i="17" s="1"/>
  <c r="F1238" i="17" s="1"/>
  <c r="F1239" i="17" s="1"/>
  <c r="F1240" i="17" s="1"/>
  <c r="F1241" i="17" s="1"/>
  <c r="F1242" i="17" s="1"/>
  <c r="F1243" i="17" s="1"/>
  <c r="F1244" i="17" s="1"/>
  <c r="F1245" i="17" s="1"/>
  <c r="F1246" i="17" s="1"/>
  <c r="F1247" i="17" s="1"/>
  <c r="F1248" i="17" s="1"/>
  <c r="F1249" i="17" s="1"/>
  <c r="F1250" i="17" s="1"/>
  <c r="F1251" i="17" s="1"/>
  <c r="F1252" i="17" s="1"/>
  <c r="F1253" i="17" s="1"/>
  <c r="F1254" i="17" s="1"/>
  <c r="F1255" i="17" s="1"/>
  <c r="F1256" i="17" s="1"/>
  <c r="F1257" i="17" s="1"/>
  <c r="F1258" i="17" s="1"/>
  <c r="F1259" i="17" s="1"/>
  <c r="F1260" i="17" s="1"/>
  <c r="F1261" i="17" s="1"/>
  <c r="F1262" i="17" s="1"/>
  <c r="F1263" i="17" s="1"/>
  <c r="F1264" i="17" s="1"/>
  <c r="F1265" i="17" s="1"/>
  <c r="F1266" i="17" s="1"/>
  <c r="F1267" i="17" s="1"/>
  <c r="F1268" i="17" s="1"/>
  <c r="F1269" i="17" s="1"/>
  <c r="F1270" i="17" s="1"/>
  <c r="F1271" i="17" s="1"/>
  <c r="F1272" i="17" s="1"/>
  <c r="F1273" i="17" s="1"/>
  <c r="F1274" i="17" s="1"/>
  <c r="F1275" i="17" s="1"/>
  <c r="F1276" i="17" s="1"/>
  <c r="F1277" i="17" s="1"/>
  <c r="F1278" i="17" s="1"/>
  <c r="F1279" i="17" s="1"/>
  <c r="F1280" i="17" s="1"/>
  <c r="F1281" i="17" s="1"/>
  <c r="F1282" i="17" s="1"/>
  <c r="F1283" i="17" s="1"/>
  <c r="F1284" i="17" s="1"/>
  <c r="F1285" i="17" s="1"/>
  <c r="F1286" i="17" s="1"/>
  <c r="F1287" i="17" s="1"/>
  <c r="F1288" i="17" s="1"/>
  <c r="F1289" i="17" s="1"/>
  <c r="F1290" i="17" s="1"/>
  <c r="F1291" i="17" s="1"/>
  <c r="F1292" i="17" s="1"/>
  <c r="F1293" i="17" s="1"/>
  <c r="F1294" i="17" s="1"/>
  <c r="F1295" i="17" s="1"/>
  <c r="F1296" i="17" s="1"/>
  <c r="F1297" i="17" s="1"/>
  <c r="F1298" i="17" s="1"/>
  <c r="F1299" i="17" s="1"/>
  <c r="F1300" i="17" s="1"/>
  <c r="F1301" i="17" s="1"/>
  <c r="F1302" i="17" s="1"/>
  <c r="F1303" i="17" s="1"/>
  <c r="F1304" i="17" s="1"/>
  <c r="F1305" i="17" s="1"/>
  <c r="F1306" i="17" s="1"/>
  <c r="F1307" i="17" s="1"/>
  <c r="F1308" i="17" s="1"/>
  <c r="F1309" i="17" s="1"/>
  <c r="F1310" i="17" s="1"/>
  <c r="F1311" i="17" s="1"/>
  <c r="F1312" i="17" s="1"/>
  <c r="F1313" i="17" s="1"/>
  <c r="F1314" i="17" s="1"/>
  <c r="F1315" i="17" s="1"/>
  <c r="F1316" i="17" s="1"/>
  <c r="F1317" i="17" s="1"/>
  <c r="F1318" i="17" s="1"/>
  <c r="F1319" i="17" s="1"/>
  <c r="F1320" i="17" s="1"/>
  <c r="F1321" i="17" s="1"/>
  <c r="F1322" i="17" s="1"/>
  <c r="F1323" i="17" s="1"/>
  <c r="F1324" i="17" s="1"/>
  <c r="F1325" i="17" s="1"/>
  <c r="F1326" i="17" s="1"/>
  <c r="F1327" i="17" s="1"/>
  <c r="F1328" i="17" s="1"/>
  <c r="F1329" i="17" s="1"/>
  <c r="F1330" i="17" s="1"/>
  <c r="F1331" i="17" s="1"/>
  <c r="F1332" i="17" s="1"/>
  <c r="F1333" i="17" s="1"/>
  <c r="F1334" i="17" s="1"/>
  <c r="F1335" i="17" s="1"/>
  <c r="F1336" i="17" s="1"/>
  <c r="F1337" i="17" s="1"/>
  <c r="F1338" i="17" s="1"/>
  <c r="F1339" i="17" s="1"/>
  <c r="F1340" i="17" s="1"/>
  <c r="F1341" i="17" s="1"/>
  <c r="F1342" i="17" s="1"/>
  <c r="F1343" i="17" s="1"/>
  <c r="F1344" i="17" s="1"/>
  <c r="F1345" i="17" s="1"/>
  <c r="F1346" i="17" s="1"/>
  <c r="F1347" i="17" s="1"/>
  <c r="F1348" i="17" s="1"/>
  <c r="F1349" i="17" s="1"/>
  <c r="F1350" i="17" s="1"/>
  <c r="F1351" i="17" s="1"/>
  <c r="F1352" i="17" s="1"/>
  <c r="F1353" i="17" s="1"/>
  <c r="F1354" i="17" s="1"/>
  <c r="F1355" i="17" s="1"/>
  <c r="F1356" i="17" s="1"/>
  <c r="F1357" i="17" s="1"/>
  <c r="F1358" i="17" s="1"/>
  <c r="F1359" i="17" s="1"/>
  <c r="F1360" i="17" s="1"/>
  <c r="F1361" i="17" s="1"/>
  <c r="F1362" i="17" s="1"/>
  <c r="F1363" i="17" s="1"/>
  <c r="F1364" i="17" s="1"/>
  <c r="F1365" i="17" s="1"/>
  <c r="F1366" i="17" s="1"/>
  <c r="F1367" i="17" s="1"/>
  <c r="F1368" i="17" s="1"/>
  <c r="F1369" i="17" s="1"/>
  <c r="F1370" i="17" s="1"/>
  <c r="F1371" i="17" s="1"/>
  <c r="F1372" i="17" s="1"/>
  <c r="F1373" i="17" s="1"/>
  <c r="F1374" i="17" s="1"/>
  <c r="F1375" i="17" s="1"/>
  <c r="F1376" i="17" s="1"/>
  <c r="F1377" i="17" s="1"/>
  <c r="F1378" i="17" s="1"/>
  <c r="F1379" i="17" s="1"/>
  <c r="F1380" i="17" s="1"/>
  <c r="F1381" i="17" s="1"/>
  <c r="F1382" i="17" s="1"/>
  <c r="F1383" i="17" s="1"/>
  <c r="F1384" i="17" s="1"/>
  <c r="F1385" i="17" s="1"/>
  <c r="F1386" i="17" s="1"/>
  <c r="F1387" i="17" s="1"/>
  <c r="F1388" i="17" s="1"/>
  <c r="F1389" i="17" s="1"/>
  <c r="F1390" i="17" s="1"/>
  <c r="F1391" i="17" s="1"/>
  <c r="F1392" i="17" s="1"/>
  <c r="F1393" i="17" s="1"/>
  <c r="F1394" i="17" s="1"/>
  <c r="F1395" i="17" s="1"/>
  <c r="F1396" i="17" s="1"/>
  <c r="F1397" i="17" s="1"/>
  <c r="F1398" i="17" s="1"/>
  <c r="F1399" i="17" s="1"/>
  <c r="F1400" i="17" s="1"/>
  <c r="F1401" i="17" s="1"/>
  <c r="F1402" i="17" s="1"/>
  <c r="F1403" i="17" s="1"/>
  <c r="F1404" i="17" s="1"/>
  <c r="F1405" i="17" s="1"/>
  <c r="F1406" i="17" s="1"/>
  <c r="F1407" i="17" s="1"/>
  <c r="F1408" i="17" s="1"/>
  <c r="F1409" i="17" s="1"/>
  <c r="F1410" i="17" s="1"/>
  <c r="F1411" i="17" s="1"/>
  <c r="F1412" i="17" s="1"/>
  <c r="F1413" i="17" s="1"/>
  <c r="F1414" i="17" s="1"/>
  <c r="F1415" i="17" s="1"/>
  <c r="F1416" i="17" s="1"/>
  <c r="F1417" i="17" s="1"/>
  <c r="F1418" i="17" s="1"/>
  <c r="F1419" i="17" s="1"/>
  <c r="F1420" i="17" s="1"/>
  <c r="F1421" i="17" s="1"/>
  <c r="F1422" i="17" s="1"/>
  <c r="F1423" i="17" s="1"/>
  <c r="F1424" i="17" s="1"/>
  <c r="F1425" i="17" s="1"/>
  <c r="F1426" i="17" s="1"/>
  <c r="F1427" i="17" s="1"/>
  <c r="F1428" i="17" s="1"/>
  <c r="F1429" i="17" s="1"/>
  <c r="F1430" i="17" s="1"/>
  <c r="F1431" i="17" s="1"/>
  <c r="F1432" i="17" s="1"/>
  <c r="F1433" i="17" s="1"/>
  <c r="F1434" i="17" s="1"/>
  <c r="F1435" i="17" s="1"/>
  <c r="F1436" i="17" s="1"/>
  <c r="F1437" i="17" s="1"/>
  <c r="F1438" i="17" s="1"/>
  <c r="F1439" i="17" s="1"/>
  <c r="F1440" i="17" s="1"/>
  <c r="F1441" i="17" s="1"/>
  <c r="F1442" i="17" s="1"/>
  <c r="F1443" i="17" s="1"/>
  <c r="F1444" i="17" s="1"/>
  <c r="F1445" i="17" s="1"/>
  <c r="F1446" i="17" s="1"/>
  <c r="F1447" i="17" s="1"/>
  <c r="F1448" i="17" s="1"/>
  <c r="F1449" i="17" s="1"/>
  <c r="F1450" i="17" s="1"/>
  <c r="F1451" i="17" s="1"/>
  <c r="F1452" i="17" s="1"/>
  <c r="F1453" i="17" s="1"/>
  <c r="F1454" i="17" s="1"/>
  <c r="F1455" i="17" s="1"/>
  <c r="F1456" i="17" s="1"/>
  <c r="F1457" i="17" s="1"/>
  <c r="F1458" i="17" s="1"/>
  <c r="F1459" i="17" s="1"/>
  <c r="F1460" i="17" s="1"/>
  <c r="F1461" i="17" s="1"/>
  <c r="F1462" i="17" s="1"/>
  <c r="F1463" i="17" s="1"/>
  <c r="F1464" i="17" s="1"/>
  <c r="F1465" i="17" s="1"/>
  <c r="F1466" i="17" s="1"/>
  <c r="F1467" i="17" s="1"/>
  <c r="F1468" i="17" s="1"/>
  <c r="F1469" i="17" s="1"/>
  <c r="F1470" i="17" s="1"/>
  <c r="F1471" i="17" s="1"/>
  <c r="F1472" i="17" s="1"/>
  <c r="F1473" i="17" s="1"/>
  <c r="F1474" i="17" s="1"/>
  <c r="F1475" i="17" s="1"/>
  <c r="F1476" i="17" s="1"/>
  <c r="F1477" i="17" s="1"/>
  <c r="F1478" i="17" s="1"/>
  <c r="F1479" i="17" s="1"/>
  <c r="F1480" i="17" s="1"/>
  <c r="F1481" i="17" s="1"/>
  <c r="F1482" i="17" s="1"/>
  <c r="F1483" i="17" s="1"/>
  <c r="F1484" i="17" s="1"/>
  <c r="F1485" i="17" s="1"/>
  <c r="F1486" i="17" s="1"/>
  <c r="F1487" i="17" s="1"/>
  <c r="F1488" i="17" s="1"/>
  <c r="F1489" i="17" s="1"/>
  <c r="F1490" i="17" s="1"/>
  <c r="F1491" i="17" s="1"/>
  <c r="F1492" i="17" s="1"/>
  <c r="F1493" i="17" s="1"/>
  <c r="F1494" i="17" s="1"/>
  <c r="F1495" i="17" s="1"/>
  <c r="F1496" i="17" s="1"/>
  <c r="F1497" i="17" s="1"/>
  <c r="F1498" i="17" s="1"/>
  <c r="F1499" i="17" s="1"/>
  <c r="F1500" i="17" s="1"/>
  <c r="F1501" i="17" s="1"/>
  <c r="F1502" i="17" s="1"/>
  <c r="F1503" i="17" s="1"/>
  <c r="F1504" i="17" s="1"/>
  <c r="F1505" i="17" s="1"/>
  <c r="F1506" i="17" s="1"/>
  <c r="F1507" i="17" s="1"/>
  <c r="F1508" i="17" s="1"/>
  <c r="F1509" i="17" s="1"/>
  <c r="F1510" i="17" s="1"/>
  <c r="F1511" i="17" s="1"/>
  <c r="F1512" i="17" s="1"/>
  <c r="F1513" i="17" s="1"/>
  <c r="F1514" i="17" s="1"/>
  <c r="F1515" i="17" s="1"/>
  <c r="F1516" i="17" s="1"/>
  <c r="F1517" i="17" s="1"/>
  <c r="F1518" i="17" s="1"/>
  <c r="F1519" i="17" s="1"/>
  <c r="F1520" i="17" s="1"/>
  <c r="F1521" i="17" s="1"/>
  <c r="F1522" i="17" s="1"/>
  <c r="F1523" i="17" s="1"/>
  <c r="F1524" i="17" s="1"/>
  <c r="F1525" i="17" s="1"/>
  <c r="F1526" i="17" s="1"/>
  <c r="F1527" i="17" s="1"/>
  <c r="F1528" i="17" s="1"/>
  <c r="F1529" i="17" s="1"/>
  <c r="F1530" i="17" s="1"/>
  <c r="F1531" i="17" s="1"/>
  <c r="F1532" i="17" s="1"/>
  <c r="F1533" i="17" s="1"/>
  <c r="F1534" i="17" s="1"/>
  <c r="F1535" i="17" s="1"/>
  <c r="F1536" i="17" s="1"/>
  <c r="F1537" i="17" s="1"/>
  <c r="F1538" i="17" s="1"/>
  <c r="F1539" i="17" s="1"/>
  <c r="F1540" i="17" s="1"/>
  <c r="F1541" i="17" s="1"/>
  <c r="F1542" i="17" s="1"/>
  <c r="F1543" i="17" s="1"/>
  <c r="F1544" i="17" s="1"/>
  <c r="F1545" i="17" s="1"/>
  <c r="F1546" i="17" s="1"/>
  <c r="F1547" i="17" s="1"/>
  <c r="F1548" i="17" s="1"/>
  <c r="F1549" i="17" s="1"/>
  <c r="F1550" i="17" s="1"/>
  <c r="F1551" i="17" s="1"/>
  <c r="F1552" i="17" s="1"/>
  <c r="F1553" i="17" s="1"/>
  <c r="F1554" i="17" s="1"/>
  <c r="F1555" i="17" s="1"/>
  <c r="F1556" i="17" s="1"/>
  <c r="F1557" i="17" s="1"/>
  <c r="F1558" i="17" s="1"/>
  <c r="F1559" i="17" s="1"/>
  <c r="F1560" i="17" s="1"/>
  <c r="F1561" i="17" s="1"/>
  <c r="F1562" i="17" s="1"/>
  <c r="F1563" i="17" s="1"/>
  <c r="F1564" i="17" s="1"/>
  <c r="F1565" i="17" s="1"/>
  <c r="F1566" i="17" s="1"/>
  <c r="F1567" i="17" s="1"/>
  <c r="F1568" i="17" s="1"/>
  <c r="F1569" i="17" s="1"/>
  <c r="F1570" i="17" s="1"/>
  <c r="F1571" i="17" s="1"/>
  <c r="F1572" i="17" s="1"/>
  <c r="F1573" i="17" s="1"/>
  <c r="F1574" i="17" s="1"/>
  <c r="F1575" i="17" s="1"/>
  <c r="F1576" i="17" s="1"/>
  <c r="F1577" i="17" s="1"/>
  <c r="F1578" i="17" s="1"/>
  <c r="F1579" i="17" s="1"/>
  <c r="F1580" i="17" s="1"/>
  <c r="F1581" i="17" s="1"/>
  <c r="F1582" i="17" s="1"/>
  <c r="F1583" i="17" s="1"/>
  <c r="F1584" i="17" s="1"/>
  <c r="F1585" i="17" s="1"/>
  <c r="F1586" i="17" s="1"/>
  <c r="F1587" i="17" s="1"/>
  <c r="F1588" i="17" s="1"/>
  <c r="F1589" i="17" s="1"/>
  <c r="F1590" i="17" s="1"/>
  <c r="F1591" i="17" s="1"/>
  <c r="F1592" i="17" s="1"/>
  <c r="F1593" i="17" s="1"/>
  <c r="F1594" i="17" s="1"/>
  <c r="F1595" i="17" s="1"/>
  <c r="F1596" i="17" s="1"/>
  <c r="F1597" i="17" s="1"/>
  <c r="F1598" i="17" s="1"/>
  <c r="F1599" i="17" s="1"/>
  <c r="F1600" i="17" s="1"/>
  <c r="F1601" i="17" s="1"/>
  <c r="F1602" i="17" s="1"/>
  <c r="F1603" i="17" s="1"/>
  <c r="F1604" i="17" s="1"/>
  <c r="F1605" i="17" s="1"/>
  <c r="F1606" i="17" s="1"/>
  <c r="F1607" i="17" s="1"/>
  <c r="F1608" i="17" s="1"/>
  <c r="F1609" i="17" s="1"/>
  <c r="F1610" i="17" s="1"/>
  <c r="F1611" i="17" s="1"/>
  <c r="F1612" i="17" s="1"/>
  <c r="F1613" i="17" s="1"/>
  <c r="F1614" i="17" s="1"/>
  <c r="F1615" i="17" s="1"/>
  <c r="F1616" i="17" s="1"/>
  <c r="F1617" i="17" s="1"/>
  <c r="F1618" i="17" s="1"/>
  <c r="F1619" i="17" s="1"/>
  <c r="F1620" i="17" s="1"/>
  <c r="F1621" i="17" s="1"/>
  <c r="F1622" i="17" s="1"/>
  <c r="F1623" i="17" s="1"/>
  <c r="F1624" i="17" s="1"/>
  <c r="F1625" i="17" s="1"/>
  <c r="F1626" i="17" s="1"/>
  <c r="F1627" i="17" s="1"/>
  <c r="F1628" i="17" s="1"/>
  <c r="F1629" i="17" s="1"/>
  <c r="F1630" i="17" s="1"/>
  <c r="F1631" i="17" s="1"/>
  <c r="F1632" i="17" s="1"/>
  <c r="F1633" i="17" s="1"/>
  <c r="F1634" i="17" s="1"/>
  <c r="F1635" i="17" s="1"/>
  <c r="F1636" i="17" s="1"/>
  <c r="F1637" i="17" s="1"/>
  <c r="F1638" i="17" s="1"/>
  <c r="F1639" i="17" s="1"/>
  <c r="F1640" i="17" s="1"/>
  <c r="F1641" i="17" s="1"/>
  <c r="F1642" i="17" s="1"/>
  <c r="F1643" i="17" s="1"/>
  <c r="F1644" i="17" s="1"/>
  <c r="F1645" i="17" s="1"/>
  <c r="F1646" i="17" s="1"/>
  <c r="F1647" i="17" s="1"/>
  <c r="F1648" i="17" s="1"/>
  <c r="F1649" i="17" s="1"/>
  <c r="F1650" i="17" s="1"/>
  <c r="F1651" i="17" s="1"/>
  <c r="F1652" i="17" s="1"/>
  <c r="F1653" i="17" s="1"/>
  <c r="F1654" i="17" s="1"/>
  <c r="F1655" i="17" s="1"/>
  <c r="F1656" i="17" s="1"/>
  <c r="F1657" i="17" s="1"/>
  <c r="F1658" i="17" s="1"/>
  <c r="F1659" i="17" s="1"/>
  <c r="F1660" i="17" s="1"/>
  <c r="F1661" i="17" s="1"/>
  <c r="F1662" i="17" s="1"/>
  <c r="F1663" i="17" s="1"/>
  <c r="F1664" i="17" s="1"/>
  <c r="F1665" i="17" s="1"/>
  <c r="F1666" i="17" s="1"/>
  <c r="F1667" i="17" s="1"/>
  <c r="F1668" i="17" s="1"/>
  <c r="F1669" i="17" s="1"/>
  <c r="F1670" i="17" s="1"/>
  <c r="F1671" i="17" s="1"/>
  <c r="F1672" i="17" s="1"/>
  <c r="F1673" i="17" s="1"/>
  <c r="F1674" i="17" s="1"/>
  <c r="F1675" i="17" s="1"/>
  <c r="F1676" i="17" s="1"/>
  <c r="F1677" i="17" s="1"/>
  <c r="F1678" i="17" s="1"/>
  <c r="F1679" i="17" s="1"/>
  <c r="F1680" i="17" s="1"/>
  <c r="F1681" i="17" s="1"/>
  <c r="F1682" i="17" s="1"/>
  <c r="F1683" i="17" s="1"/>
  <c r="F1684" i="17" s="1"/>
  <c r="F1685" i="17" s="1"/>
  <c r="F1686" i="17" s="1"/>
  <c r="F1687" i="17" s="1"/>
  <c r="F1688" i="17" s="1"/>
  <c r="F1689" i="17" s="1"/>
  <c r="F1690" i="17" s="1"/>
  <c r="F1691" i="17" s="1"/>
  <c r="F1692" i="17" s="1"/>
  <c r="F1693" i="17" s="1"/>
  <c r="F1694" i="17" s="1"/>
  <c r="F1695" i="17" s="1"/>
  <c r="F1696" i="17" s="1"/>
  <c r="F1697" i="17" s="1"/>
  <c r="F1698" i="17" s="1"/>
  <c r="F1699" i="17" s="1"/>
  <c r="F1700" i="17" s="1"/>
  <c r="F1701" i="17" s="1"/>
  <c r="F1702" i="17" s="1"/>
  <c r="F1703" i="17" s="1"/>
  <c r="F1704" i="17" s="1"/>
  <c r="F1705" i="17" s="1"/>
  <c r="F1706" i="17" s="1"/>
  <c r="F1707" i="17" s="1"/>
  <c r="F1708" i="17" s="1"/>
  <c r="F1709" i="17" s="1"/>
  <c r="F1710" i="17" s="1"/>
  <c r="F1711" i="17" s="1"/>
  <c r="F1712" i="17" s="1"/>
  <c r="F1713" i="17" s="1"/>
  <c r="F1714" i="17" s="1"/>
  <c r="F1715" i="17" s="1"/>
  <c r="F1716" i="17" s="1"/>
  <c r="F1717" i="17" s="1"/>
  <c r="F1718" i="17" s="1"/>
  <c r="F1719" i="17" s="1"/>
  <c r="F1720" i="17" s="1"/>
  <c r="F1721" i="17" s="1"/>
  <c r="F1722" i="17" s="1"/>
  <c r="F1723" i="17" s="1"/>
  <c r="F1724" i="17" s="1"/>
  <c r="F1725" i="17" s="1"/>
  <c r="F1726" i="17" s="1"/>
  <c r="F1727" i="17" s="1"/>
  <c r="F1728" i="17" s="1"/>
  <c r="F1729" i="17" s="1"/>
  <c r="F1730" i="17" s="1"/>
  <c r="F1731" i="17" s="1"/>
  <c r="F1732" i="17" s="1"/>
  <c r="F1733" i="17" s="1"/>
  <c r="F1734" i="17" s="1"/>
  <c r="F1735" i="17" s="1"/>
  <c r="F1736" i="17" s="1"/>
  <c r="F1737" i="17" s="1"/>
  <c r="F1738" i="17" s="1"/>
  <c r="F1739" i="17" s="1"/>
  <c r="F1740" i="17" s="1"/>
  <c r="F1741" i="17" s="1"/>
  <c r="F1742" i="17" s="1"/>
  <c r="F1743" i="17" s="1"/>
  <c r="F1744" i="17" s="1"/>
  <c r="F1745" i="17" s="1"/>
  <c r="F1746" i="17" s="1"/>
  <c r="F1747" i="17" s="1"/>
  <c r="F1748" i="17" s="1"/>
  <c r="F1749" i="17" s="1"/>
  <c r="F1750" i="17" s="1"/>
  <c r="F1751" i="17" s="1"/>
  <c r="F1752" i="17" s="1"/>
  <c r="F1753" i="17" s="1"/>
  <c r="F1754" i="17" s="1"/>
  <c r="F1755" i="17" s="1"/>
  <c r="F1756" i="17" s="1"/>
  <c r="F1757" i="17" s="1"/>
  <c r="F1758" i="17" s="1"/>
  <c r="F1759" i="17" s="1"/>
  <c r="F1760" i="17" s="1"/>
  <c r="F1761" i="17" s="1"/>
  <c r="F1762" i="17" s="1"/>
  <c r="F1763" i="17" s="1"/>
  <c r="F1764" i="17" s="1"/>
  <c r="F1765" i="17" s="1"/>
  <c r="F1766" i="17" s="1"/>
  <c r="F1767" i="17" s="1"/>
  <c r="F1768" i="17" s="1"/>
  <c r="F1769" i="17" s="1"/>
  <c r="F1770" i="17" s="1"/>
  <c r="F1771" i="17" s="1"/>
  <c r="F1772" i="17" s="1"/>
  <c r="F1773" i="17" s="1"/>
  <c r="F1774" i="17" s="1"/>
  <c r="F1775" i="17" s="1"/>
  <c r="F1776" i="17" s="1"/>
  <c r="F1777" i="17" s="1"/>
  <c r="F1778" i="17" s="1"/>
  <c r="F1779" i="17" s="1"/>
  <c r="F1780" i="17" s="1"/>
  <c r="F1781" i="17" s="1"/>
  <c r="F1782" i="17" s="1"/>
  <c r="F1783" i="17" s="1"/>
  <c r="F1784" i="17" s="1"/>
  <c r="F1785" i="17" s="1"/>
  <c r="F1786" i="17" s="1"/>
  <c r="F1787" i="17" s="1"/>
  <c r="F1788" i="17" s="1"/>
  <c r="F1789" i="17" s="1"/>
  <c r="F1790" i="17" s="1"/>
  <c r="F1791" i="17" s="1"/>
  <c r="F1792" i="17" s="1"/>
  <c r="F1793" i="17" s="1"/>
  <c r="F1794" i="17" s="1"/>
  <c r="F1795" i="17" s="1"/>
  <c r="F1796" i="17" s="1"/>
  <c r="F1797" i="17" s="1"/>
  <c r="F1798" i="17" s="1"/>
  <c r="F1799" i="17" s="1"/>
  <c r="F1800" i="17" s="1"/>
  <c r="F1801" i="17" s="1"/>
  <c r="F1802" i="17" s="1"/>
  <c r="F1803" i="17" s="1"/>
  <c r="F1804" i="17" s="1"/>
  <c r="F1805" i="17" s="1"/>
  <c r="F1806" i="17" s="1"/>
  <c r="F1807" i="17" s="1"/>
  <c r="F1808" i="17" s="1"/>
  <c r="F1809" i="17" s="1"/>
  <c r="F1810" i="17" s="1"/>
  <c r="F1811" i="17" s="1"/>
  <c r="F1812" i="17" s="1"/>
  <c r="F1813" i="17" s="1"/>
  <c r="F1814" i="17" s="1"/>
  <c r="F1815" i="17" s="1"/>
  <c r="F1816" i="17" s="1"/>
  <c r="F1817" i="17" s="1"/>
  <c r="F1818" i="17" s="1"/>
  <c r="F1819" i="17" s="1"/>
  <c r="F1820" i="17" s="1"/>
  <c r="F1821" i="17" s="1"/>
  <c r="F1822" i="17" s="1"/>
  <c r="F1823" i="17" s="1"/>
  <c r="F1824" i="17" s="1"/>
  <c r="F1825" i="17" s="1"/>
  <c r="F1826" i="17" s="1"/>
  <c r="F1827" i="17" s="1"/>
  <c r="F1828" i="17" s="1"/>
  <c r="F1829" i="17" s="1"/>
  <c r="F1830" i="17" s="1"/>
  <c r="F1831" i="17" s="1"/>
  <c r="F1832" i="17" s="1"/>
  <c r="F1833" i="17" s="1"/>
  <c r="F1834" i="17" s="1"/>
  <c r="F1835" i="17" s="1"/>
  <c r="F1836" i="17" s="1"/>
  <c r="F1837" i="17" s="1"/>
  <c r="F1838" i="17" s="1"/>
  <c r="F1839" i="17" s="1"/>
  <c r="F1840" i="17" s="1"/>
  <c r="F1841" i="17" s="1"/>
  <c r="F1842" i="17" s="1"/>
  <c r="F1843" i="17" s="1"/>
  <c r="F1844" i="17" s="1"/>
  <c r="F1845" i="17" s="1"/>
  <c r="F1846" i="17" s="1"/>
  <c r="F1847" i="17" s="1"/>
  <c r="F1848" i="17" s="1"/>
  <c r="F1849" i="17" s="1"/>
  <c r="F1850" i="17" s="1"/>
  <c r="F1851" i="17" s="1"/>
  <c r="F1852" i="17" s="1"/>
  <c r="F1853" i="17" s="1"/>
  <c r="F1854" i="17" s="1"/>
  <c r="F1855" i="17" s="1"/>
  <c r="F1856" i="17" s="1"/>
  <c r="F1857" i="17" s="1"/>
  <c r="F1858" i="17" s="1"/>
  <c r="F1859" i="17" s="1"/>
  <c r="F1860" i="17" s="1"/>
  <c r="F1861" i="17" s="1"/>
  <c r="F1862" i="17" s="1"/>
  <c r="F1863" i="17" s="1"/>
  <c r="F1864" i="17" s="1"/>
  <c r="F1865" i="17" s="1"/>
  <c r="F1866" i="17" s="1"/>
  <c r="F1867" i="17" s="1"/>
  <c r="F1868" i="17" s="1"/>
  <c r="F1869" i="17" s="1"/>
  <c r="F1870" i="17" s="1"/>
  <c r="F1871" i="17" s="1"/>
  <c r="F1872" i="17" s="1"/>
  <c r="F1873" i="17" s="1"/>
  <c r="F1874" i="17" s="1"/>
  <c r="F1875" i="17" s="1"/>
  <c r="F1876" i="17" s="1"/>
  <c r="F1877" i="17" s="1"/>
  <c r="F1878" i="17" s="1"/>
  <c r="F1879" i="17" s="1"/>
  <c r="F1880" i="17" s="1"/>
  <c r="F1881" i="17" s="1"/>
  <c r="F1882" i="17" s="1"/>
  <c r="F1883" i="17" s="1"/>
  <c r="F1884" i="17" s="1"/>
  <c r="F1885" i="17" s="1"/>
  <c r="F1886" i="17" s="1"/>
  <c r="F1887" i="17" s="1"/>
  <c r="F1888" i="17" s="1"/>
  <c r="F1889" i="17" s="1"/>
  <c r="F1890" i="17" s="1"/>
  <c r="F1891" i="17" s="1"/>
  <c r="F1892" i="17" s="1"/>
  <c r="F1893" i="17" s="1"/>
  <c r="F1894" i="17" s="1"/>
  <c r="F1895" i="17" s="1"/>
  <c r="F1896" i="17" s="1"/>
  <c r="F1897" i="17" s="1"/>
  <c r="F1898" i="17" s="1"/>
  <c r="F1899" i="17" s="1"/>
  <c r="F1900" i="17" s="1"/>
  <c r="F1901" i="17" s="1"/>
  <c r="F1902" i="17" s="1"/>
  <c r="F1903" i="17" s="1"/>
  <c r="F1904" i="17" s="1"/>
  <c r="F1905" i="17" s="1"/>
  <c r="F1906" i="17" s="1"/>
  <c r="F1907" i="17" s="1"/>
  <c r="F1908" i="17" s="1"/>
  <c r="F1909" i="17" s="1"/>
  <c r="F1910" i="17" s="1"/>
  <c r="F1911" i="17" s="1"/>
  <c r="F1912" i="17" s="1"/>
  <c r="F1913" i="17" s="1"/>
  <c r="F1914" i="17" s="1"/>
  <c r="F1915" i="17" s="1"/>
  <c r="F1916" i="17" s="1"/>
  <c r="F1917" i="17" s="1"/>
  <c r="F1918" i="17" s="1"/>
  <c r="F1919" i="17" s="1"/>
  <c r="F1920" i="17" s="1"/>
  <c r="F1921" i="17" s="1"/>
  <c r="F1922" i="17" s="1"/>
  <c r="F1923" i="17" s="1"/>
  <c r="F1924" i="17" s="1"/>
  <c r="F1925" i="17" s="1"/>
  <c r="F1926" i="17" s="1"/>
  <c r="F1927" i="17" s="1"/>
  <c r="F1928" i="17" s="1"/>
  <c r="F1929" i="17" s="1"/>
  <c r="F1930" i="17" s="1"/>
  <c r="F1931" i="17" s="1"/>
  <c r="F1932" i="17" s="1"/>
  <c r="F1933" i="17" s="1"/>
  <c r="F1934" i="17" s="1"/>
  <c r="F1935" i="17" s="1"/>
  <c r="F1936" i="17" s="1"/>
  <c r="F1937" i="17" s="1"/>
  <c r="F1938" i="17" s="1"/>
  <c r="F1939" i="17" s="1"/>
  <c r="F1940" i="17" s="1"/>
  <c r="F1941" i="17" s="1"/>
  <c r="F1942" i="17" s="1"/>
  <c r="F1943" i="17" s="1"/>
  <c r="F1944" i="17" s="1"/>
  <c r="F1945" i="17" s="1"/>
  <c r="F1946" i="17" s="1"/>
  <c r="F1947" i="17" s="1"/>
  <c r="F1948" i="17" s="1"/>
  <c r="F1949" i="17" s="1"/>
  <c r="F1950" i="17" s="1"/>
  <c r="F1951" i="17" s="1"/>
  <c r="F1952" i="17" s="1"/>
  <c r="F1953" i="17" s="1"/>
  <c r="F1954" i="17" s="1"/>
  <c r="F1955" i="17" s="1"/>
  <c r="F1956" i="17" s="1"/>
  <c r="F1957" i="17" s="1"/>
  <c r="F1958" i="17" s="1"/>
  <c r="F1959" i="17" s="1"/>
  <c r="F1960" i="17" s="1"/>
  <c r="F1961" i="17" s="1"/>
  <c r="F1962" i="17" s="1"/>
  <c r="F1963" i="17" s="1"/>
  <c r="F1964" i="17" s="1"/>
  <c r="F1965" i="17" s="1"/>
  <c r="F1966" i="17" s="1"/>
  <c r="F1967" i="17" s="1"/>
  <c r="F1968" i="17" s="1"/>
  <c r="F1969" i="17" s="1"/>
  <c r="F1970" i="17" s="1"/>
  <c r="F1971" i="17" s="1"/>
  <c r="F1972" i="17" s="1"/>
  <c r="F1973" i="17" s="1"/>
  <c r="F1974" i="17" s="1"/>
  <c r="F1975" i="17" s="1"/>
  <c r="F1976" i="17" s="1"/>
  <c r="F1977" i="17" s="1"/>
  <c r="F1978" i="17" s="1"/>
  <c r="F1979" i="17" s="1"/>
  <c r="F1980" i="17" s="1"/>
  <c r="F1981" i="17" s="1"/>
  <c r="F1982" i="17" s="1"/>
  <c r="F1983" i="17" s="1"/>
  <c r="F1984" i="17" s="1"/>
  <c r="F1985" i="17" s="1"/>
  <c r="F1986" i="17" s="1"/>
  <c r="F1987" i="17" s="1"/>
  <c r="F1988" i="17" s="1"/>
  <c r="F1989" i="17" s="1"/>
  <c r="F1990" i="17" s="1"/>
  <c r="F1991" i="17" s="1"/>
  <c r="F1992" i="17" s="1"/>
  <c r="F1993" i="17" s="1"/>
  <c r="F1994" i="17" s="1"/>
  <c r="F1995" i="17" s="1"/>
  <c r="F1996" i="17" s="1"/>
  <c r="F1997" i="17" s="1"/>
  <c r="F1998" i="17" s="1"/>
  <c r="F1999" i="17" s="1"/>
  <c r="F2000" i="17" s="1"/>
  <c r="F2001" i="17" s="1"/>
  <c r="F2002" i="17" s="1"/>
  <c r="F2003" i="17" s="1"/>
  <c r="F2004" i="17" s="1"/>
  <c r="F2005" i="17" s="1"/>
  <c r="F2006" i="17" s="1"/>
  <c r="F2007" i="17" s="1"/>
  <c r="F2008" i="17" s="1"/>
  <c r="F2009" i="17" s="1"/>
  <c r="F2010" i="17" s="1"/>
  <c r="F2011" i="17" s="1"/>
  <c r="F2012" i="17" s="1"/>
  <c r="F2013" i="17" s="1"/>
  <c r="F2014" i="17" s="1"/>
  <c r="F2015" i="17" s="1"/>
  <c r="F2016" i="17" s="1"/>
  <c r="F2017" i="17" s="1"/>
  <c r="F2018" i="17" s="1"/>
  <c r="F2019" i="17" s="1"/>
  <c r="F2020" i="17" s="1"/>
  <c r="F2021" i="17" s="1"/>
  <c r="F2022" i="17" s="1"/>
  <c r="F2023" i="17" s="1"/>
  <c r="F2024" i="17" s="1"/>
  <c r="F2025" i="17" s="1"/>
  <c r="F2026" i="17" s="1"/>
  <c r="F2027" i="17" s="1"/>
  <c r="F2028" i="17" s="1"/>
  <c r="F2029" i="17" s="1"/>
  <c r="F2030" i="17" s="1"/>
  <c r="F2031" i="17" s="1"/>
  <c r="F2032" i="17" s="1"/>
  <c r="F2033" i="17" s="1"/>
  <c r="F2034" i="17" s="1"/>
  <c r="F2035" i="17" s="1"/>
  <c r="F2036" i="17" s="1"/>
  <c r="F2037" i="17" s="1"/>
  <c r="F2038" i="17" s="1"/>
  <c r="F2039" i="17" s="1"/>
  <c r="F2040" i="17" s="1"/>
  <c r="F2041" i="17" s="1"/>
  <c r="F2042" i="17" s="1"/>
  <c r="F2043" i="17" s="1"/>
  <c r="F2044" i="17" s="1"/>
  <c r="F2045" i="17" s="1"/>
  <c r="F2046" i="17" s="1"/>
  <c r="F2047" i="17" s="1"/>
  <c r="F2048" i="17" s="1"/>
  <c r="F2049" i="17" s="1"/>
  <c r="F2050" i="17" s="1"/>
  <c r="F2051" i="17" s="1"/>
  <c r="F2052" i="17" s="1"/>
  <c r="F2053" i="17" s="1"/>
  <c r="F2054" i="17" s="1"/>
  <c r="F2055" i="17" s="1"/>
  <c r="F2056" i="17" s="1"/>
  <c r="F2057" i="17" s="1"/>
  <c r="F2058" i="17" s="1"/>
  <c r="F2059" i="17" s="1"/>
  <c r="F2060" i="17" s="1"/>
  <c r="F2061" i="17" s="1"/>
  <c r="F2062" i="17" s="1"/>
  <c r="F2063" i="17" s="1"/>
  <c r="F2064" i="17" s="1"/>
  <c r="F2065" i="17" s="1"/>
  <c r="F2066" i="17" s="1"/>
  <c r="F2067" i="17" s="1"/>
  <c r="F2068" i="17" s="1"/>
  <c r="F2069" i="17" s="1"/>
  <c r="F2070" i="17" s="1"/>
  <c r="F2071" i="17" s="1"/>
  <c r="F2072" i="17" s="1"/>
  <c r="F2073" i="17" s="1"/>
  <c r="F2074" i="17" s="1"/>
  <c r="F2075" i="17" s="1"/>
  <c r="F2076" i="17" s="1"/>
  <c r="F2077" i="17" s="1"/>
  <c r="F2078" i="17" s="1"/>
  <c r="F2079" i="17" s="1"/>
  <c r="F2080" i="17" s="1"/>
  <c r="F2081" i="17" s="1"/>
  <c r="F2082" i="17" s="1"/>
  <c r="F2083" i="17" s="1"/>
  <c r="F2084" i="17" s="1"/>
  <c r="F2085" i="17" s="1"/>
  <c r="F2086" i="17" s="1"/>
  <c r="F2087" i="17" s="1"/>
  <c r="F2088" i="17" s="1"/>
  <c r="F2089" i="17" s="1"/>
  <c r="F2090" i="17" s="1"/>
  <c r="F2091" i="17" s="1"/>
  <c r="F2092" i="17" s="1"/>
  <c r="F2093" i="17" s="1"/>
  <c r="F2094" i="17" s="1"/>
  <c r="F2095" i="17" s="1"/>
  <c r="F2096" i="17" s="1"/>
  <c r="F2097" i="17" s="1"/>
  <c r="F2098" i="17" s="1"/>
  <c r="F2099" i="17" s="1"/>
  <c r="F2100" i="17" s="1"/>
  <c r="F2101" i="17" s="1"/>
  <c r="F2102" i="17" s="1"/>
  <c r="F2103" i="17" s="1"/>
  <c r="F2104" i="17" s="1"/>
  <c r="F2105" i="17" s="1"/>
  <c r="F2106" i="17" s="1"/>
  <c r="F2107" i="17" s="1"/>
  <c r="F2108" i="17" s="1"/>
  <c r="F2109" i="17" s="1"/>
  <c r="F2110" i="17" s="1"/>
  <c r="F2111" i="17" s="1"/>
  <c r="F2112" i="17" s="1"/>
  <c r="F2113" i="17" s="1"/>
  <c r="F2114" i="17" s="1"/>
  <c r="F2115" i="17" s="1"/>
  <c r="F2116" i="17" s="1"/>
  <c r="F2117" i="17" s="1"/>
  <c r="F2118" i="17" s="1"/>
  <c r="F2119" i="17" s="1"/>
  <c r="F2120" i="17" s="1"/>
  <c r="F2121" i="17" s="1"/>
  <c r="F2122" i="17" s="1"/>
  <c r="F2123" i="17" s="1"/>
  <c r="F2124" i="17" s="1"/>
  <c r="F2125" i="17" s="1"/>
  <c r="F2126" i="17" s="1"/>
  <c r="F2127" i="17" s="1"/>
  <c r="F2128" i="17" s="1"/>
  <c r="F2129" i="17" s="1"/>
  <c r="F2130" i="17" s="1"/>
  <c r="F2131" i="17" s="1"/>
  <c r="F2132" i="17" s="1"/>
  <c r="F2133" i="17" s="1"/>
  <c r="F2134" i="17" s="1"/>
  <c r="F2135" i="17" s="1"/>
  <c r="F2136" i="17" s="1"/>
  <c r="F2137" i="17" s="1"/>
  <c r="F2138" i="17" s="1"/>
  <c r="F2139" i="17" s="1"/>
  <c r="F2140" i="17" s="1"/>
  <c r="F2141" i="17" s="1"/>
  <c r="F2142" i="17" s="1"/>
  <c r="F2143" i="17" s="1"/>
  <c r="F2144" i="17" s="1"/>
  <c r="F2145" i="17" s="1"/>
  <c r="F2146" i="17" s="1"/>
  <c r="F2147" i="17" s="1"/>
  <c r="F2148" i="17" s="1"/>
  <c r="F2149" i="17" s="1"/>
  <c r="F2150" i="17" s="1"/>
  <c r="F2151" i="17" s="1"/>
  <c r="F2152" i="17" s="1"/>
  <c r="F2153" i="17" s="1"/>
  <c r="F2154" i="17" s="1"/>
  <c r="F2155" i="17" s="1"/>
  <c r="F2156" i="17" s="1"/>
  <c r="F2157" i="17" s="1"/>
  <c r="F2158" i="17" s="1"/>
  <c r="F2159" i="17" s="1"/>
  <c r="F2160" i="17" s="1"/>
  <c r="F2161" i="17" s="1"/>
  <c r="F2162" i="17" s="1"/>
  <c r="F2163" i="17" s="1"/>
  <c r="F2164" i="17" s="1"/>
  <c r="F2165" i="17" s="1"/>
  <c r="F2166" i="17" s="1"/>
  <c r="F2167" i="17" s="1"/>
  <c r="F2168" i="17" s="1"/>
  <c r="F2169" i="17" s="1"/>
  <c r="F2170" i="17" s="1"/>
  <c r="F2171" i="17" s="1"/>
  <c r="F2172" i="17" s="1"/>
  <c r="F2173" i="17" s="1"/>
  <c r="F2174" i="17" s="1"/>
  <c r="F2175" i="17" s="1"/>
  <c r="F2176" i="17" s="1"/>
  <c r="F2177" i="17" s="1"/>
  <c r="F2178" i="17" s="1"/>
  <c r="F2179" i="17" s="1"/>
  <c r="F2180" i="17" s="1"/>
  <c r="F2181" i="17" s="1"/>
  <c r="F2182" i="17" s="1"/>
  <c r="F2183" i="17" s="1"/>
  <c r="F2184" i="17" s="1"/>
  <c r="F2185" i="17" s="1"/>
  <c r="F2186" i="17" s="1"/>
  <c r="F2187" i="17" s="1"/>
  <c r="F2188" i="17" s="1"/>
  <c r="F2189" i="17" s="1"/>
  <c r="F2190" i="17" s="1"/>
  <c r="F2191" i="17" s="1"/>
  <c r="F2192" i="17" s="1"/>
  <c r="F2193" i="17" s="1"/>
  <c r="F2194" i="17" s="1"/>
  <c r="F2195" i="17" s="1"/>
  <c r="F2196" i="17" s="1"/>
  <c r="F2197" i="17" s="1"/>
  <c r="F2198" i="17" s="1"/>
  <c r="F2199" i="17" s="1"/>
  <c r="F2200" i="17" s="1"/>
  <c r="F2201" i="17" s="1"/>
  <c r="F2202" i="17" s="1"/>
  <c r="F2203" i="17" s="1"/>
  <c r="F2204" i="17" s="1"/>
  <c r="F2205" i="17" s="1"/>
  <c r="F2206" i="17" s="1"/>
  <c r="F2207" i="17" s="1"/>
  <c r="F2208" i="17" s="1"/>
  <c r="F2209" i="17" s="1"/>
  <c r="F2210" i="17" s="1"/>
  <c r="F2211" i="17" s="1"/>
  <c r="F2212" i="17" s="1"/>
  <c r="F2213" i="17" s="1"/>
  <c r="F2214" i="17" s="1"/>
  <c r="F2215" i="17" s="1"/>
  <c r="F2216" i="17" s="1"/>
  <c r="F2217" i="17" s="1"/>
  <c r="F2218" i="17" s="1"/>
  <c r="F2219" i="17" s="1"/>
  <c r="F2220" i="17" s="1"/>
  <c r="F2221" i="17" s="1"/>
  <c r="F2222" i="17" s="1"/>
  <c r="F2223" i="17" s="1"/>
  <c r="F2224" i="17" s="1"/>
  <c r="F2225" i="17" s="1"/>
  <c r="F2226" i="17" s="1"/>
  <c r="F2227" i="17" s="1"/>
  <c r="F2228" i="17" s="1"/>
  <c r="F2229" i="17" s="1"/>
  <c r="F2230" i="17" s="1"/>
  <c r="F2231" i="17" s="1"/>
  <c r="F2232" i="17" s="1"/>
  <c r="F2233" i="17" s="1"/>
  <c r="F2234" i="17" s="1"/>
  <c r="F2235" i="17" s="1"/>
  <c r="F2236" i="17" s="1"/>
  <c r="F2237" i="17" s="1"/>
  <c r="F2238" i="17" s="1"/>
  <c r="F2239" i="17" s="1"/>
  <c r="F2240" i="17" s="1"/>
  <c r="F2241" i="17" s="1"/>
  <c r="F2242" i="17" s="1"/>
  <c r="F2243" i="17" s="1"/>
  <c r="F2244" i="17" s="1"/>
  <c r="F2245" i="17" s="1"/>
  <c r="F2246" i="17" s="1"/>
  <c r="F2247" i="17" s="1"/>
  <c r="F2248" i="17" s="1"/>
  <c r="F2249" i="17" s="1"/>
  <c r="F2250" i="17" s="1"/>
  <c r="F2251" i="17" s="1"/>
  <c r="F2252" i="17" s="1"/>
  <c r="F2253" i="17" s="1"/>
  <c r="F2254" i="17" s="1"/>
  <c r="F2255" i="17" s="1"/>
  <c r="F2256" i="17" s="1"/>
  <c r="F2257" i="17" s="1"/>
  <c r="F2258" i="17" s="1"/>
  <c r="F2259" i="17" s="1"/>
  <c r="F2260" i="17" s="1"/>
  <c r="F2261" i="17" s="1"/>
  <c r="F2262" i="17" s="1"/>
  <c r="F2263" i="17" s="1"/>
  <c r="F2264" i="17" s="1"/>
  <c r="F2265" i="17" s="1"/>
  <c r="F2266" i="17" s="1"/>
  <c r="F2267" i="17" s="1"/>
  <c r="F2268" i="17" s="1"/>
  <c r="F2269" i="17" s="1"/>
  <c r="F2270" i="17" s="1"/>
  <c r="F2271" i="17" s="1"/>
  <c r="F2272" i="17" s="1"/>
  <c r="F2273" i="17" s="1"/>
  <c r="F2274" i="17" s="1"/>
  <c r="F2275" i="17" s="1"/>
  <c r="F2276" i="17" s="1"/>
  <c r="F2277" i="17" s="1"/>
  <c r="F2278" i="17" s="1"/>
  <c r="F2279" i="17" s="1"/>
  <c r="F2280" i="17" s="1"/>
  <c r="F2281" i="17" s="1"/>
  <c r="F2282" i="17" s="1"/>
  <c r="F2283" i="17" s="1"/>
  <c r="F2284" i="17" s="1"/>
  <c r="F2285" i="17" s="1"/>
  <c r="F2286" i="17" s="1"/>
  <c r="F2287" i="17" s="1"/>
  <c r="F2288" i="17" s="1"/>
  <c r="F2289" i="17" s="1"/>
  <c r="F2290" i="17" s="1"/>
  <c r="F2291" i="17" s="1"/>
  <c r="F2292" i="17" s="1"/>
  <c r="F2293" i="17" s="1"/>
  <c r="F2294" i="17" s="1"/>
  <c r="F2295" i="17" s="1"/>
  <c r="F2296" i="17" s="1"/>
  <c r="F2297" i="17" s="1"/>
  <c r="F2298" i="17" s="1"/>
  <c r="F2299" i="17" s="1"/>
  <c r="F2300" i="17" s="1"/>
  <c r="F2301" i="17" s="1"/>
  <c r="F2302" i="17" s="1"/>
  <c r="F2303" i="17" s="1"/>
  <c r="F2304" i="17" s="1"/>
  <c r="F2305" i="17" s="1"/>
  <c r="F2306" i="17" s="1"/>
  <c r="F2307" i="17" s="1"/>
  <c r="F2308" i="17" s="1"/>
  <c r="F2309" i="17" s="1"/>
  <c r="F2310" i="17" s="1"/>
  <c r="F2311" i="17" s="1"/>
  <c r="F2312" i="17" s="1"/>
  <c r="F2313" i="17" s="1"/>
  <c r="F2314" i="17" s="1"/>
  <c r="F2315" i="17" s="1"/>
  <c r="F2316" i="17" s="1"/>
  <c r="F2317" i="17" s="1"/>
  <c r="F2318" i="17" s="1"/>
  <c r="F2319" i="17" s="1"/>
  <c r="F2320" i="17" s="1"/>
  <c r="F2321" i="17" s="1"/>
  <c r="F2322" i="17" s="1"/>
  <c r="F2323" i="17" s="1"/>
  <c r="F2324" i="17" s="1"/>
  <c r="F2325" i="17" s="1"/>
  <c r="F2326" i="17" s="1"/>
  <c r="F2327" i="17" s="1"/>
  <c r="F2328" i="17" s="1"/>
  <c r="F2329" i="17" s="1"/>
  <c r="F2330" i="17" s="1"/>
  <c r="F2331" i="17" s="1"/>
  <c r="F2332" i="17" s="1"/>
  <c r="F2333" i="17" s="1"/>
  <c r="F2334" i="17" s="1"/>
  <c r="F2335" i="17" s="1"/>
  <c r="F2336" i="17" s="1"/>
  <c r="F2337" i="17" s="1"/>
  <c r="F2338" i="17" s="1"/>
  <c r="F2339" i="17" s="1"/>
  <c r="F2340" i="17" s="1"/>
  <c r="F2341" i="17" s="1"/>
  <c r="F2342" i="17" s="1"/>
  <c r="F2343" i="17" s="1"/>
  <c r="F2344" i="17" s="1"/>
  <c r="F2345" i="17" s="1"/>
  <c r="F2346" i="17" s="1"/>
  <c r="F2347" i="17" s="1"/>
  <c r="F2348" i="17" s="1"/>
  <c r="F2349" i="17" s="1"/>
  <c r="F2350" i="17" s="1"/>
  <c r="F2351" i="17" s="1"/>
  <c r="F2352" i="17" s="1"/>
  <c r="F2353" i="17" s="1"/>
  <c r="F2354" i="17" s="1"/>
  <c r="F2355" i="17" s="1"/>
  <c r="F2356" i="17" s="1"/>
  <c r="F2357" i="17" s="1"/>
  <c r="F2358" i="17" s="1"/>
  <c r="F2359" i="17" s="1"/>
  <c r="F2360" i="17" s="1"/>
  <c r="F2361" i="17" s="1"/>
  <c r="F2362" i="17" s="1"/>
  <c r="F2363" i="17" s="1"/>
  <c r="F2364" i="17" s="1"/>
  <c r="F2365" i="17" s="1"/>
  <c r="F2366" i="17" s="1"/>
  <c r="F2367" i="17" s="1"/>
  <c r="F2368" i="17" s="1"/>
  <c r="F2369" i="17" s="1"/>
  <c r="F2370" i="17" s="1"/>
  <c r="F2371" i="17" s="1"/>
  <c r="F2372" i="17" s="1"/>
  <c r="F2373" i="17" s="1"/>
  <c r="F2374" i="17" s="1"/>
  <c r="F2375" i="17" s="1"/>
  <c r="F2376" i="17" s="1"/>
  <c r="F2377" i="17" s="1"/>
  <c r="F2378" i="17" s="1"/>
  <c r="F2379" i="17" s="1"/>
  <c r="F2380" i="17" s="1"/>
  <c r="F2381" i="17" s="1"/>
  <c r="F2382" i="17" s="1"/>
  <c r="F2383" i="17" s="1"/>
  <c r="F2384" i="17" s="1"/>
  <c r="F2385" i="17" s="1"/>
  <c r="F2386" i="17" s="1"/>
  <c r="F2387" i="17" s="1"/>
  <c r="F2388" i="17" s="1"/>
  <c r="F2389" i="17" s="1"/>
  <c r="F2390" i="17" s="1"/>
  <c r="F2391" i="17" s="1"/>
  <c r="F2392" i="17" s="1"/>
  <c r="F2393" i="17" s="1"/>
  <c r="F2394" i="17" s="1"/>
  <c r="F2395" i="17" s="1"/>
  <c r="F2396" i="17" s="1"/>
  <c r="F2397" i="17" s="1"/>
  <c r="F2398" i="17" s="1"/>
  <c r="F2399" i="17" s="1"/>
  <c r="F2400" i="17" s="1"/>
  <c r="F2401" i="17" s="1"/>
  <c r="F2402" i="17" s="1"/>
  <c r="F2403" i="17" s="1"/>
  <c r="F2404" i="17" s="1"/>
  <c r="F2405" i="17" s="1"/>
  <c r="F2406" i="17" s="1"/>
  <c r="F2407" i="17" s="1"/>
  <c r="F2408" i="17" s="1"/>
  <c r="F2409" i="17" s="1"/>
  <c r="F2410" i="17" s="1"/>
  <c r="F2411" i="17" s="1"/>
  <c r="F2412" i="17" s="1"/>
  <c r="F2413" i="17" s="1"/>
  <c r="F2414" i="17" s="1"/>
  <c r="F2415" i="17" s="1"/>
  <c r="F2416" i="17" s="1"/>
  <c r="F2417" i="17" s="1"/>
  <c r="F2418" i="17" s="1"/>
  <c r="F2419" i="17" s="1"/>
  <c r="F2420" i="17" s="1"/>
  <c r="F2421" i="17" s="1"/>
  <c r="F2422" i="17" s="1"/>
  <c r="F2423" i="17" s="1"/>
  <c r="F2424" i="17" s="1"/>
  <c r="F2425" i="17" s="1"/>
  <c r="F2426" i="17" s="1"/>
  <c r="F2427" i="17" s="1"/>
  <c r="F2428" i="17" s="1"/>
  <c r="F2429" i="17" s="1"/>
  <c r="F2430" i="17" s="1"/>
  <c r="F2431" i="17" s="1"/>
  <c r="F2432" i="17" s="1"/>
  <c r="F2433" i="17" s="1"/>
  <c r="F2434" i="17" s="1"/>
  <c r="F2435" i="17" s="1"/>
  <c r="F2436" i="17" s="1"/>
  <c r="F2437" i="17" s="1"/>
  <c r="F2438" i="17" s="1"/>
  <c r="F2439" i="17" s="1"/>
  <c r="F2440" i="17" s="1"/>
  <c r="F2441" i="17" s="1"/>
  <c r="F2442" i="17" s="1"/>
  <c r="F2443" i="17" s="1"/>
  <c r="F2444" i="17" s="1"/>
  <c r="F2445" i="17" s="1"/>
  <c r="F2446" i="17" s="1"/>
  <c r="F2447" i="17" s="1"/>
  <c r="F2448" i="17" s="1"/>
  <c r="F2449" i="17" s="1"/>
  <c r="F2450" i="17" s="1"/>
  <c r="F2451" i="17" s="1"/>
  <c r="F2452" i="17" s="1"/>
  <c r="F2453" i="17" s="1"/>
  <c r="F2454" i="17" s="1"/>
  <c r="F2455" i="17" s="1"/>
  <c r="F2456" i="17" s="1"/>
  <c r="F2457" i="17" s="1"/>
  <c r="F2458" i="17" s="1"/>
  <c r="F2459" i="17" s="1"/>
  <c r="F2460" i="17" s="1"/>
  <c r="F2461" i="17" s="1"/>
  <c r="F2462" i="17" s="1"/>
  <c r="F2463" i="17" s="1"/>
  <c r="F2464" i="17" s="1"/>
  <c r="F2465" i="17" s="1"/>
  <c r="F2466" i="17" s="1"/>
  <c r="F2467" i="17" s="1"/>
  <c r="F2468" i="17" s="1"/>
  <c r="F2469" i="17" s="1"/>
  <c r="F2470" i="17" s="1"/>
  <c r="F2471" i="17" s="1"/>
  <c r="F2472" i="17" s="1"/>
  <c r="F2473" i="17" s="1"/>
  <c r="F2474" i="17" s="1"/>
  <c r="F2475" i="17" s="1"/>
  <c r="F2476" i="17" s="1"/>
  <c r="F2477" i="17" s="1"/>
  <c r="F2478" i="17" s="1"/>
  <c r="F2479" i="17" s="1"/>
  <c r="F2480" i="17" s="1"/>
  <c r="F2481" i="17" s="1"/>
  <c r="F2482" i="17" s="1"/>
  <c r="F2483" i="17" s="1"/>
  <c r="F2484" i="17" s="1"/>
  <c r="F2485" i="17" s="1"/>
  <c r="F2486" i="17" s="1"/>
  <c r="F2487" i="17" s="1"/>
  <c r="F2488" i="17" s="1"/>
  <c r="F2489" i="17" s="1"/>
  <c r="F2490" i="17" s="1"/>
  <c r="F2491" i="17" s="1"/>
  <c r="F2492" i="17" s="1"/>
  <c r="F2493" i="17" s="1"/>
  <c r="F2494" i="17" s="1"/>
  <c r="F2495" i="17" s="1"/>
  <c r="F2496" i="17" s="1"/>
  <c r="F2497" i="17" s="1"/>
  <c r="F2498" i="17" s="1"/>
  <c r="F2499" i="17" s="1"/>
  <c r="F2500" i="17" s="1"/>
  <c r="F2501" i="17" s="1"/>
  <c r="F2502" i="17" s="1"/>
  <c r="F2503" i="17" s="1"/>
  <c r="F2504" i="17" s="1"/>
  <c r="F2505" i="17" s="1"/>
  <c r="F2506" i="17" s="1"/>
  <c r="F2507" i="17" s="1"/>
  <c r="F2508" i="17" s="1"/>
  <c r="F2509" i="17" s="1"/>
  <c r="F2510" i="17" s="1"/>
  <c r="F2511" i="17" s="1"/>
  <c r="F2512" i="17" s="1"/>
  <c r="F2513" i="17" s="1"/>
  <c r="F2514" i="17" s="1"/>
  <c r="F2515" i="17" s="1"/>
  <c r="F2516" i="17" s="1"/>
  <c r="F2517" i="17" s="1"/>
  <c r="F2518" i="17" s="1"/>
  <c r="F2519" i="17" s="1"/>
  <c r="F2520" i="17" s="1"/>
  <c r="F2521" i="17" s="1"/>
  <c r="F2522" i="17" s="1"/>
  <c r="F2523" i="17" s="1"/>
  <c r="F2524" i="17" s="1"/>
  <c r="F2525" i="17" s="1"/>
  <c r="F2526" i="17" s="1"/>
  <c r="F2527" i="17" s="1"/>
  <c r="F2528" i="17" s="1"/>
  <c r="F2529" i="17" s="1"/>
  <c r="F2530" i="17" s="1"/>
  <c r="F2531" i="17" s="1"/>
  <c r="F2532" i="17" s="1"/>
  <c r="F2533" i="17" s="1"/>
  <c r="F2534" i="17" s="1"/>
  <c r="F2535" i="17" s="1"/>
  <c r="F2536" i="17" s="1"/>
  <c r="F2537" i="17" s="1"/>
  <c r="F2538" i="17" s="1"/>
  <c r="F2539" i="17" s="1"/>
  <c r="F2540" i="17" s="1"/>
  <c r="F2541" i="17" s="1"/>
  <c r="F2542" i="17" s="1"/>
  <c r="F2543" i="17" s="1"/>
  <c r="F2544" i="17" s="1"/>
  <c r="F2545" i="17" s="1"/>
  <c r="F2546" i="17" s="1"/>
  <c r="F2547" i="17" s="1"/>
  <c r="F2548" i="17" s="1"/>
  <c r="F2549" i="17" s="1"/>
  <c r="F2550" i="17" s="1"/>
  <c r="F2551" i="17" s="1"/>
  <c r="F2552" i="17" s="1"/>
  <c r="F2553" i="17" s="1"/>
  <c r="F2554" i="17" s="1"/>
  <c r="F2555" i="17" s="1"/>
  <c r="F2556" i="17" s="1"/>
  <c r="F2557" i="17" s="1"/>
  <c r="F2558" i="17" s="1"/>
  <c r="F2559" i="17" s="1"/>
  <c r="F2560" i="17" s="1"/>
  <c r="F2561" i="17" s="1"/>
  <c r="F2562" i="17" s="1"/>
  <c r="F2563" i="17" s="1"/>
  <c r="F2564" i="17" s="1"/>
  <c r="F2565" i="17" s="1"/>
  <c r="F2566" i="17" s="1"/>
  <c r="F2567" i="17" s="1"/>
  <c r="F2568" i="17" s="1"/>
  <c r="F2569" i="17" s="1"/>
  <c r="F2570" i="17" s="1"/>
  <c r="F2571" i="17" s="1"/>
  <c r="F2572" i="17" s="1"/>
  <c r="F2573" i="17" s="1"/>
  <c r="F2574" i="17" s="1"/>
  <c r="F2575" i="17" s="1"/>
  <c r="F2576" i="17" s="1"/>
  <c r="F2577" i="17" s="1"/>
  <c r="F2578" i="17" s="1"/>
  <c r="F2579" i="17" s="1"/>
  <c r="F2580" i="17" s="1"/>
  <c r="F2581" i="17" s="1"/>
  <c r="F2582" i="17" s="1"/>
  <c r="F2583" i="17" s="1"/>
  <c r="F2584" i="17" s="1"/>
  <c r="F2585" i="17" s="1"/>
  <c r="F2586" i="17" s="1"/>
  <c r="F2587" i="17" s="1"/>
  <c r="F2588" i="17" s="1"/>
  <c r="F2589" i="17" s="1"/>
  <c r="F2590" i="17" s="1"/>
  <c r="F2591" i="17" s="1"/>
  <c r="F2592" i="17" s="1"/>
  <c r="F2593" i="17" s="1"/>
  <c r="F2594" i="17" s="1"/>
  <c r="F2595" i="17" s="1"/>
  <c r="F2596" i="17" s="1"/>
  <c r="F2597" i="17" s="1"/>
  <c r="F2598" i="17" s="1"/>
  <c r="F2599" i="17" s="1"/>
  <c r="F2600" i="17" s="1"/>
  <c r="F2601" i="17" s="1"/>
  <c r="F2602" i="17" s="1"/>
  <c r="F2603" i="17" s="1"/>
  <c r="F2604" i="17" s="1"/>
  <c r="F2605" i="17" s="1"/>
  <c r="F2606" i="17" s="1"/>
  <c r="F2607" i="17" s="1"/>
  <c r="F2608" i="17" s="1"/>
  <c r="F2609" i="17" s="1"/>
  <c r="F2610" i="17" s="1"/>
  <c r="F2611" i="17" s="1"/>
  <c r="F2612" i="17" s="1"/>
  <c r="F2613" i="17" s="1"/>
  <c r="F2614" i="17" s="1"/>
  <c r="F2615" i="17" s="1"/>
  <c r="F2616" i="17" s="1"/>
  <c r="F2617" i="17" s="1"/>
  <c r="F2618" i="17" s="1"/>
  <c r="F2619" i="17" s="1"/>
  <c r="F2620" i="17" s="1"/>
  <c r="F2621" i="17" s="1"/>
  <c r="F2622" i="17" s="1"/>
  <c r="F2623" i="17" s="1"/>
  <c r="F2624" i="17" s="1"/>
  <c r="F2625" i="17" s="1"/>
  <c r="F2626" i="17" s="1"/>
  <c r="F2627" i="17" s="1"/>
  <c r="F2628" i="17" s="1"/>
  <c r="F2629" i="17" s="1"/>
  <c r="F2630" i="17" s="1"/>
  <c r="F2631" i="17" s="1"/>
  <c r="F2632" i="17" s="1"/>
  <c r="F2633" i="17" s="1"/>
  <c r="F2634" i="17" s="1"/>
  <c r="F2635" i="17" s="1"/>
  <c r="F2636" i="17" s="1"/>
  <c r="F2637" i="17" s="1"/>
  <c r="F2638" i="17" s="1"/>
  <c r="F2639" i="17" s="1"/>
  <c r="F2640" i="17" s="1"/>
  <c r="F2641" i="17" s="1"/>
  <c r="F2642" i="17" s="1"/>
  <c r="F2643" i="17" s="1"/>
  <c r="F2644" i="17" s="1"/>
  <c r="F2645" i="17" s="1"/>
  <c r="F2646" i="17" s="1"/>
  <c r="F2647" i="17" s="1"/>
  <c r="F2648" i="17" s="1"/>
  <c r="F2649" i="17" s="1"/>
  <c r="F2650" i="17" s="1"/>
  <c r="F2651" i="17" s="1"/>
  <c r="F2652" i="17" s="1"/>
  <c r="F2653" i="17" s="1"/>
  <c r="F2654" i="17" s="1"/>
  <c r="F2655" i="17" s="1"/>
  <c r="F2656" i="17" s="1"/>
  <c r="F2657" i="17" s="1"/>
  <c r="F2658" i="17" s="1"/>
  <c r="F2659" i="17" s="1"/>
  <c r="F2660" i="17" s="1"/>
  <c r="F2661" i="17" s="1"/>
  <c r="F2662" i="17" s="1"/>
  <c r="F2663" i="17" s="1"/>
  <c r="F2664" i="17" s="1"/>
  <c r="F2665" i="17" s="1"/>
  <c r="F2666" i="17" s="1"/>
  <c r="F2667" i="17" s="1"/>
  <c r="F2668" i="17" s="1"/>
  <c r="F2669" i="17" s="1"/>
  <c r="F2670" i="17" s="1"/>
  <c r="F2671" i="17" s="1"/>
  <c r="F2672" i="17" s="1"/>
  <c r="F2673" i="17" s="1"/>
  <c r="F2674" i="17" s="1"/>
  <c r="F2675" i="17" s="1"/>
  <c r="F2676" i="17" s="1"/>
  <c r="F2677" i="17" s="1"/>
  <c r="F2678" i="17" s="1"/>
  <c r="F2679" i="17" s="1"/>
  <c r="F2680" i="17" s="1"/>
  <c r="F2681" i="17" s="1"/>
  <c r="F2682" i="17" s="1"/>
  <c r="F2683" i="17" s="1"/>
  <c r="F2684" i="17" s="1"/>
  <c r="F2685" i="17" s="1"/>
  <c r="F2686" i="17" s="1"/>
  <c r="F2687" i="17" s="1"/>
  <c r="F2688" i="17" s="1"/>
  <c r="F2689" i="17" s="1"/>
  <c r="F2690" i="17" s="1"/>
  <c r="F2691" i="17" s="1"/>
  <c r="F2692" i="17" s="1"/>
  <c r="F2693" i="17" s="1"/>
  <c r="F2694" i="17" s="1"/>
  <c r="F2695" i="17" s="1"/>
  <c r="F2696" i="17" s="1"/>
  <c r="F2697" i="17" s="1"/>
  <c r="F2698" i="17" s="1"/>
  <c r="F2699" i="17" s="1"/>
  <c r="F2700" i="17" s="1"/>
  <c r="F2701" i="17" s="1"/>
  <c r="F2702" i="17" s="1"/>
  <c r="F2703" i="17" s="1"/>
  <c r="F2704" i="17" s="1"/>
  <c r="F2705" i="17" s="1"/>
  <c r="F2706" i="17" s="1"/>
  <c r="F2707" i="17" s="1"/>
  <c r="F2708" i="17" s="1"/>
  <c r="F2709" i="17" s="1"/>
  <c r="F2710" i="17" s="1"/>
  <c r="F2711" i="17" s="1"/>
  <c r="F2712" i="17" s="1"/>
  <c r="F2713" i="17" s="1"/>
  <c r="F2714" i="17" s="1"/>
  <c r="F2715" i="17" s="1"/>
  <c r="F2716" i="17" s="1"/>
  <c r="F2717" i="17" s="1"/>
  <c r="F2718" i="17" s="1"/>
  <c r="F2719" i="17" s="1"/>
  <c r="F2720" i="17" s="1"/>
  <c r="F2721" i="17" s="1"/>
  <c r="F2722" i="17" s="1"/>
  <c r="F2723" i="17" s="1"/>
  <c r="F2724" i="17" s="1"/>
  <c r="F2725" i="17" s="1"/>
  <c r="F2726" i="17" s="1"/>
  <c r="F2727" i="17" s="1"/>
  <c r="F2728" i="17" s="1"/>
  <c r="F2729" i="17" s="1"/>
  <c r="F2730" i="17" s="1"/>
  <c r="F2731" i="17" s="1"/>
  <c r="F2732" i="17" s="1"/>
  <c r="F2733" i="17" s="1"/>
  <c r="F2734" i="17" s="1"/>
  <c r="F2735" i="17" s="1"/>
  <c r="F2736" i="17" s="1"/>
  <c r="F2737" i="17" s="1"/>
  <c r="F2738" i="17" s="1"/>
  <c r="F2739" i="17" s="1"/>
  <c r="F2740" i="17" s="1"/>
  <c r="F2741" i="17" s="1"/>
  <c r="F2742" i="17" s="1"/>
  <c r="F2743" i="17" s="1"/>
  <c r="F2744" i="17" s="1"/>
  <c r="F2745" i="17" s="1"/>
  <c r="F2746" i="17" s="1"/>
  <c r="F2747" i="17" s="1"/>
  <c r="F2748" i="17" s="1"/>
  <c r="F2749" i="17" s="1"/>
  <c r="F2750" i="17" s="1"/>
  <c r="F2751" i="17" s="1"/>
  <c r="F2752" i="17" s="1"/>
  <c r="F2753" i="17" s="1"/>
  <c r="F2754" i="17" s="1"/>
  <c r="F2755" i="17" s="1"/>
  <c r="F2756" i="17" s="1"/>
  <c r="F2757" i="17" s="1"/>
  <c r="F2758" i="17" s="1"/>
  <c r="F2759" i="17" s="1"/>
  <c r="F2760" i="17" s="1"/>
  <c r="F2761" i="17" s="1"/>
  <c r="F2762" i="17" s="1"/>
  <c r="F2763" i="17" s="1"/>
  <c r="F2764" i="17" s="1"/>
  <c r="F2765" i="17" s="1"/>
  <c r="F2766" i="17" s="1"/>
  <c r="F2767" i="17" s="1"/>
  <c r="F2768" i="17" s="1"/>
  <c r="F2769" i="17" s="1"/>
  <c r="F2770" i="17" s="1"/>
  <c r="F2771" i="17" s="1"/>
  <c r="F2772" i="17" s="1"/>
  <c r="F2773" i="17" s="1"/>
  <c r="F2774" i="17" s="1"/>
  <c r="F2775" i="17" s="1"/>
  <c r="F2776" i="17" s="1"/>
  <c r="F2777" i="17" s="1"/>
  <c r="F2778" i="17" s="1"/>
  <c r="F2779" i="17" s="1"/>
  <c r="F2780" i="17" s="1"/>
  <c r="F2781" i="17" s="1"/>
  <c r="F2782" i="17" s="1"/>
  <c r="F2783" i="17" s="1"/>
  <c r="F2784" i="17" s="1"/>
  <c r="F2785" i="17" s="1"/>
  <c r="F2786" i="17" s="1"/>
  <c r="F2787" i="17" s="1"/>
  <c r="F2788" i="17" s="1"/>
  <c r="F2789" i="17" s="1"/>
  <c r="F2790" i="17" s="1"/>
  <c r="F2791" i="17" s="1"/>
  <c r="F2792" i="17" s="1"/>
  <c r="F2793" i="17" s="1"/>
  <c r="F2794" i="17" s="1"/>
  <c r="F2795" i="17" s="1"/>
  <c r="F2796" i="17" s="1"/>
  <c r="F2797" i="17" s="1"/>
  <c r="F2798" i="17" s="1"/>
  <c r="F2799" i="17" s="1"/>
  <c r="F2800" i="17" s="1"/>
  <c r="F2801" i="17" s="1"/>
  <c r="F2802" i="17" s="1"/>
  <c r="F2803" i="17" s="1"/>
  <c r="F2804" i="17" s="1"/>
  <c r="F2805" i="17" s="1"/>
  <c r="F2806" i="17" s="1"/>
  <c r="F2807" i="17" s="1"/>
  <c r="F2808" i="17" s="1"/>
  <c r="F2809" i="17" s="1"/>
  <c r="F2810" i="17" s="1"/>
  <c r="F2811" i="17" s="1"/>
  <c r="F2812" i="17" s="1"/>
  <c r="F2813" i="17" s="1"/>
  <c r="F2814" i="17" s="1"/>
  <c r="F2815" i="17" s="1"/>
  <c r="F2816" i="17" s="1"/>
  <c r="F2817" i="17" s="1"/>
  <c r="F2818" i="17" s="1"/>
  <c r="F2819" i="17" s="1"/>
  <c r="F2820" i="17" s="1"/>
  <c r="F2821" i="17" s="1"/>
  <c r="F2822" i="17" s="1"/>
  <c r="F2823" i="17" s="1"/>
  <c r="F2824" i="17" s="1"/>
  <c r="F2825" i="17" s="1"/>
  <c r="F2826" i="17" s="1"/>
  <c r="F2827" i="17" s="1"/>
  <c r="F2828" i="17" s="1"/>
  <c r="F2829" i="17" s="1"/>
  <c r="F2830" i="17" s="1"/>
  <c r="F2831" i="17" s="1"/>
  <c r="F2832" i="17" s="1"/>
  <c r="F2833" i="17" s="1"/>
  <c r="F2834" i="17" s="1"/>
  <c r="F2835" i="17" s="1"/>
  <c r="F2836" i="17" s="1"/>
  <c r="F2837" i="17" s="1"/>
  <c r="F2838" i="17" s="1"/>
  <c r="F2839" i="17" s="1"/>
  <c r="F2840" i="17" s="1"/>
  <c r="F2841" i="17" s="1"/>
  <c r="F2842" i="17" s="1"/>
  <c r="F2843" i="17" s="1"/>
  <c r="F2844" i="17" s="1"/>
  <c r="F2845" i="17" s="1"/>
  <c r="F2846" i="17" s="1"/>
  <c r="F2847" i="17" s="1"/>
  <c r="F2848" i="17" s="1"/>
  <c r="F2849" i="17" s="1"/>
  <c r="F2850" i="17" s="1"/>
  <c r="F2851" i="17" s="1"/>
  <c r="F2852" i="17" s="1"/>
  <c r="F2853" i="17" s="1"/>
  <c r="F2854" i="17" s="1"/>
  <c r="F2855" i="17" s="1"/>
  <c r="F2856" i="17" s="1"/>
  <c r="F2857" i="17" s="1"/>
  <c r="F2858" i="17" s="1"/>
  <c r="F2859" i="17" s="1"/>
  <c r="F2860" i="17" s="1"/>
  <c r="F2861" i="17" s="1"/>
  <c r="F2862" i="17" s="1"/>
  <c r="F2863" i="17" s="1"/>
  <c r="F2864" i="17" s="1"/>
  <c r="F2865" i="17" s="1"/>
  <c r="F2866" i="17" s="1"/>
  <c r="F2867" i="17" s="1"/>
  <c r="F2868" i="17" s="1"/>
  <c r="F2869" i="17" s="1"/>
  <c r="F2870" i="17" s="1"/>
  <c r="F2871" i="17" s="1"/>
  <c r="F2872" i="17" s="1"/>
  <c r="F2873" i="17" s="1"/>
  <c r="F2874" i="17" s="1"/>
  <c r="F2875" i="17" s="1"/>
  <c r="F2876" i="17" s="1"/>
  <c r="F2877" i="17" s="1"/>
  <c r="F2878" i="17" s="1"/>
  <c r="F2879" i="17" s="1"/>
  <c r="F2880" i="17" s="1"/>
  <c r="F2881" i="17" s="1"/>
  <c r="F2882" i="17" s="1"/>
  <c r="F2883" i="17" s="1"/>
  <c r="F2884" i="17" s="1"/>
  <c r="F2885" i="17" s="1"/>
  <c r="F2886" i="17" s="1"/>
  <c r="F2887" i="17" s="1"/>
  <c r="F2888" i="17" s="1"/>
  <c r="F2889" i="17" s="1"/>
  <c r="F2890" i="17" s="1"/>
  <c r="F2891" i="17" s="1"/>
  <c r="F2892" i="17" s="1"/>
  <c r="F2893" i="17" s="1"/>
  <c r="F2894" i="17" s="1"/>
  <c r="F2895" i="17" s="1"/>
  <c r="F2896" i="17" s="1"/>
  <c r="F2897" i="17" s="1"/>
  <c r="F2898" i="17" s="1"/>
  <c r="F2899" i="17" s="1"/>
  <c r="F2900" i="17" s="1"/>
  <c r="F2901" i="17" s="1"/>
  <c r="F2902" i="17" s="1"/>
  <c r="F2903" i="17" s="1"/>
  <c r="F2904" i="17" s="1"/>
  <c r="F2905" i="17" s="1"/>
  <c r="F2906" i="17" s="1"/>
  <c r="F2907" i="17" s="1"/>
  <c r="F2908" i="17" s="1"/>
  <c r="F2909" i="17" s="1"/>
  <c r="F2910" i="17" s="1"/>
  <c r="F2911" i="17" s="1"/>
  <c r="F2912" i="17" s="1"/>
  <c r="F2913" i="17" s="1"/>
  <c r="F2914" i="17" s="1"/>
  <c r="F2915" i="17" s="1"/>
  <c r="F2916" i="17" s="1"/>
  <c r="F2917" i="17" s="1"/>
  <c r="F2918" i="17" s="1"/>
  <c r="F2919" i="17" s="1"/>
  <c r="F2920" i="17" s="1"/>
  <c r="F2921" i="17" s="1"/>
  <c r="F2922" i="17" s="1"/>
  <c r="F2923" i="17" s="1"/>
  <c r="F2924" i="17" s="1"/>
  <c r="F2925" i="17" s="1"/>
  <c r="F2926" i="17" s="1"/>
  <c r="F2927" i="17" s="1"/>
  <c r="F2928" i="17" s="1"/>
  <c r="F2929" i="17" s="1"/>
  <c r="F2930" i="17" s="1"/>
  <c r="F2931" i="17" s="1"/>
  <c r="F2932" i="17" s="1"/>
  <c r="F2933" i="17" s="1"/>
  <c r="F2934" i="17" s="1"/>
  <c r="F2935" i="17" s="1"/>
  <c r="F2936" i="17" s="1"/>
  <c r="F2937" i="17" s="1"/>
  <c r="F2938" i="17" s="1"/>
  <c r="F2939" i="17" s="1"/>
  <c r="F2940" i="17" s="1"/>
  <c r="F2941" i="17" s="1"/>
  <c r="F2942" i="17" s="1"/>
  <c r="F2943" i="17" s="1"/>
  <c r="F2944" i="17" s="1"/>
  <c r="F2945" i="17" s="1"/>
  <c r="F2946" i="17" s="1"/>
  <c r="F2947" i="17" s="1"/>
  <c r="F2948" i="17" s="1"/>
  <c r="F2949" i="17" s="1"/>
  <c r="F2950" i="17" s="1"/>
  <c r="F2951" i="17" s="1"/>
  <c r="F2952" i="17" s="1"/>
  <c r="F2953" i="17" s="1"/>
  <c r="F2954" i="17" s="1"/>
  <c r="F2955" i="17" s="1"/>
  <c r="F2956" i="17" s="1"/>
  <c r="F2957" i="17" s="1"/>
  <c r="F2958" i="17" s="1"/>
  <c r="F2959" i="17" s="1"/>
  <c r="F2960" i="17" s="1"/>
  <c r="F2961" i="17" s="1"/>
  <c r="F2962" i="17" s="1"/>
  <c r="F2963" i="17" s="1"/>
  <c r="F2964" i="17" s="1"/>
  <c r="F2965" i="17" s="1"/>
  <c r="F2966" i="17" s="1"/>
  <c r="F2967" i="17" s="1"/>
  <c r="F2968" i="17" s="1"/>
  <c r="F2969" i="17" s="1"/>
  <c r="F2970" i="17" s="1"/>
  <c r="F2971" i="17" s="1"/>
  <c r="F2972" i="17" s="1"/>
  <c r="F2973" i="17" s="1"/>
  <c r="F2974" i="17" s="1"/>
  <c r="F2975" i="17" s="1"/>
  <c r="F2976" i="17" s="1"/>
  <c r="F2977" i="17" s="1"/>
  <c r="F2978" i="17" s="1"/>
  <c r="F2979" i="17" s="1"/>
  <c r="F2980" i="17" s="1"/>
  <c r="F2981" i="17" s="1"/>
  <c r="F2982" i="17" s="1"/>
  <c r="F2983" i="17" s="1"/>
  <c r="F2984" i="17" s="1"/>
  <c r="F2985" i="17" s="1"/>
  <c r="F2986" i="17" s="1"/>
  <c r="F2987" i="17" s="1"/>
  <c r="F2988" i="17" s="1"/>
  <c r="F2989" i="17" s="1"/>
  <c r="F2990" i="17" s="1"/>
  <c r="F2991" i="17" s="1"/>
  <c r="F2992" i="17" s="1"/>
  <c r="F2993" i="17" s="1"/>
  <c r="F2994" i="17" s="1"/>
  <c r="F2995" i="17" s="1"/>
  <c r="F2996" i="17" s="1"/>
  <c r="F2997" i="17" s="1"/>
  <c r="F2998" i="17" s="1"/>
  <c r="F2999" i="17" s="1"/>
  <c r="F3000" i="17" s="1"/>
  <c r="F3001" i="17" s="1"/>
  <c r="F3002" i="17" s="1"/>
  <c r="F3003" i="17" s="1"/>
  <c r="F3004" i="17" s="1"/>
  <c r="F3005" i="17" s="1"/>
  <c r="F3006" i="17" s="1"/>
  <c r="F3007" i="17" s="1"/>
  <c r="F3008" i="17" s="1"/>
  <c r="F3009" i="17" s="1"/>
  <c r="F3010" i="17" s="1"/>
  <c r="F3011" i="17" s="1"/>
  <c r="F3012" i="17" s="1"/>
  <c r="F3013" i="17" s="1"/>
  <c r="F3014" i="17" s="1"/>
  <c r="F3015" i="17" s="1"/>
  <c r="F3016" i="17" s="1"/>
  <c r="F3017" i="17" s="1"/>
  <c r="F3018" i="17" s="1"/>
  <c r="F3019" i="17" s="1"/>
  <c r="F3020" i="17" s="1"/>
  <c r="F3021" i="17" s="1"/>
  <c r="F3022" i="17" s="1"/>
  <c r="F3023" i="17" s="1"/>
  <c r="F3024" i="17" s="1"/>
  <c r="F3025" i="17" s="1"/>
  <c r="F3026" i="17" s="1"/>
  <c r="F3027" i="17" s="1"/>
  <c r="F3028" i="17" s="1"/>
  <c r="F3029" i="17" s="1"/>
  <c r="F3030" i="17" s="1"/>
  <c r="F3031" i="17" s="1"/>
  <c r="F3032" i="17" s="1"/>
  <c r="F3033" i="17" s="1"/>
  <c r="F3034" i="17" s="1"/>
  <c r="F3035" i="17" s="1"/>
  <c r="F3036" i="17" s="1"/>
  <c r="F3037" i="17" s="1"/>
  <c r="F3038" i="17" s="1"/>
  <c r="F3039" i="17" s="1"/>
  <c r="F3040" i="17" s="1"/>
  <c r="F3041" i="17" s="1"/>
  <c r="F3042" i="17" s="1"/>
  <c r="F3043" i="17" s="1"/>
  <c r="F3044" i="17" s="1"/>
  <c r="F3045" i="17" s="1"/>
  <c r="F3046" i="17" s="1"/>
  <c r="F3047" i="17" s="1"/>
  <c r="F3048" i="17" s="1"/>
  <c r="F3049" i="17" s="1"/>
  <c r="F3050" i="17" s="1"/>
  <c r="F3051" i="17" s="1"/>
  <c r="F3052" i="17" s="1"/>
  <c r="F3053" i="17" s="1"/>
  <c r="F3054" i="17" s="1"/>
  <c r="F3055" i="17" s="1"/>
  <c r="F3056" i="17" s="1"/>
  <c r="F3057" i="17" s="1"/>
  <c r="F3058" i="17" s="1"/>
  <c r="F3059" i="17" s="1"/>
  <c r="F3060" i="17" s="1"/>
  <c r="F3061" i="17" s="1"/>
  <c r="F3062" i="17" s="1"/>
  <c r="F3063" i="17" s="1"/>
  <c r="F3064" i="17" s="1"/>
  <c r="F3065" i="17" s="1"/>
  <c r="F3066" i="17" s="1"/>
  <c r="F3067" i="17" s="1"/>
  <c r="F3068" i="17" s="1"/>
  <c r="F3069" i="17" s="1"/>
  <c r="F3070" i="17" s="1"/>
  <c r="F3071" i="17" s="1"/>
  <c r="F3072" i="17" s="1"/>
  <c r="F3073" i="17" s="1"/>
  <c r="F3074" i="17" s="1"/>
  <c r="F3075" i="17" s="1"/>
  <c r="F3076" i="17" s="1"/>
  <c r="F3077" i="17" s="1"/>
  <c r="F3078" i="17" s="1"/>
  <c r="F3079" i="17" s="1"/>
  <c r="F3080" i="17" s="1"/>
  <c r="F3081" i="17" s="1"/>
  <c r="F3082" i="17" s="1"/>
  <c r="F3083" i="17" s="1"/>
  <c r="F3084" i="17" s="1"/>
  <c r="F3085" i="17" s="1"/>
  <c r="F3086" i="17" s="1"/>
  <c r="F3087" i="17" s="1"/>
  <c r="F3088" i="17" s="1"/>
  <c r="F3089" i="17" s="1"/>
  <c r="F3090" i="17" s="1"/>
  <c r="F3091" i="17" s="1"/>
  <c r="F3092" i="17" s="1"/>
  <c r="F3093" i="17" s="1"/>
  <c r="F3094" i="17" s="1"/>
  <c r="F3095" i="17" s="1"/>
  <c r="F3096" i="17" s="1"/>
  <c r="F3097" i="17" s="1"/>
  <c r="F3098" i="17" s="1"/>
  <c r="F3099" i="17" s="1"/>
  <c r="F3100" i="17" s="1"/>
  <c r="F3101" i="17" s="1"/>
  <c r="F3102" i="17" s="1"/>
  <c r="F3103" i="17" s="1"/>
  <c r="F3104" i="17" s="1"/>
  <c r="F3105" i="17" s="1"/>
  <c r="F3106" i="17" s="1"/>
  <c r="F3107" i="17" s="1"/>
  <c r="F3108" i="17" s="1"/>
  <c r="F3109" i="17" s="1"/>
  <c r="F3110" i="17" s="1"/>
  <c r="F3111" i="17" s="1"/>
  <c r="F3112" i="17" s="1"/>
  <c r="F3113" i="17" s="1"/>
  <c r="F3114" i="17" s="1"/>
  <c r="F3115" i="17" s="1"/>
  <c r="F3116" i="17" s="1"/>
  <c r="F3117" i="17" s="1"/>
  <c r="F3118" i="17" s="1"/>
  <c r="F3119" i="17" s="1"/>
  <c r="F3120" i="17" s="1"/>
  <c r="F3121" i="17" s="1"/>
  <c r="F3122" i="17" s="1"/>
  <c r="F3123" i="17" s="1"/>
  <c r="F3124" i="17" s="1"/>
  <c r="F3125" i="17" s="1"/>
  <c r="F3126" i="17" s="1"/>
  <c r="F3127" i="17" s="1"/>
  <c r="F3128" i="17" s="1"/>
  <c r="F3129" i="17" s="1"/>
  <c r="F3130" i="17" s="1"/>
  <c r="F3131" i="17" s="1"/>
  <c r="F3132" i="17" s="1"/>
  <c r="F3133" i="17" s="1"/>
  <c r="F3134" i="17" s="1"/>
  <c r="F3135" i="17" s="1"/>
  <c r="F3136" i="17" s="1"/>
  <c r="F3137" i="17" s="1"/>
  <c r="F3138" i="17" s="1"/>
  <c r="F3139" i="17" s="1"/>
  <c r="F3140" i="17" s="1"/>
  <c r="F3141" i="17" s="1"/>
  <c r="F3142" i="17" s="1"/>
  <c r="F3143" i="17" s="1"/>
  <c r="F3144" i="17" s="1"/>
  <c r="F3145" i="17" s="1"/>
  <c r="F3146" i="17" s="1"/>
  <c r="F3147" i="17" s="1"/>
  <c r="F3148" i="17" s="1"/>
  <c r="F3149" i="17" s="1"/>
  <c r="F3150" i="17" s="1"/>
  <c r="F3151" i="17" s="1"/>
  <c r="F3152" i="17" s="1"/>
  <c r="F3153" i="17" s="1"/>
  <c r="F3154" i="17" s="1"/>
  <c r="F3155" i="17" s="1"/>
  <c r="F3156" i="17" s="1"/>
  <c r="F3157" i="17" s="1"/>
  <c r="F3158" i="17" s="1"/>
  <c r="F3159" i="17" s="1"/>
  <c r="F3160" i="17" s="1"/>
  <c r="F3161" i="17" s="1"/>
  <c r="F3162" i="17" s="1"/>
  <c r="F3163" i="17" s="1"/>
  <c r="F3164" i="17" s="1"/>
  <c r="F3165" i="17" s="1"/>
  <c r="F3166" i="17" s="1"/>
  <c r="F3167" i="17" s="1"/>
  <c r="F3168" i="17" s="1"/>
  <c r="F3169" i="17" s="1"/>
  <c r="F3170" i="17" s="1"/>
  <c r="F3171" i="17" s="1"/>
  <c r="F3172" i="17" s="1"/>
  <c r="F3173" i="17" s="1"/>
  <c r="F3174" i="17" s="1"/>
  <c r="F3175" i="17" s="1"/>
  <c r="F3176" i="17" s="1"/>
  <c r="F3177" i="17" s="1"/>
  <c r="F3178" i="17" s="1"/>
  <c r="F3179" i="17" s="1"/>
  <c r="F3180" i="17" s="1"/>
  <c r="F3181" i="17" s="1"/>
  <c r="F3182" i="17" s="1"/>
  <c r="F3183" i="17" s="1"/>
  <c r="F3184" i="17" s="1"/>
  <c r="F3185" i="17" s="1"/>
  <c r="F3186" i="17" s="1"/>
  <c r="F3187" i="17" s="1"/>
  <c r="F3188" i="17" s="1"/>
  <c r="F3189" i="17" s="1"/>
  <c r="F3190" i="17" s="1"/>
  <c r="F3191" i="17" s="1"/>
  <c r="F3192" i="17" s="1"/>
  <c r="F3193" i="17" s="1"/>
  <c r="F3194" i="17" s="1"/>
  <c r="F3195" i="17" s="1"/>
  <c r="F3196" i="17" s="1"/>
  <c r="F3197" i="17" s="1"/>
  <c r="F3198" i="17" s="1"/>
  <c r="F3199" i="17" s="1"/>
  <c r="F3200" i="17" s="1"/>
  <c r="F3201" i="17" s="1"/>
  <c r="F3202" i="17" s="1"/>
  <c r="F3203" i="17" s="1"/>
  <c r="F3204" i="17" s="1"/>
  <c r="F3205" i="17" s="1"/>
  <c r="F3206" i="17" s="1"/>
  <c r="F3207" i="17" s="1"/>
  <c r="F3208" i="17" s="1"/>
  <c r="F3209" i="17" s="1"/>
  <c r="F3210" i="17" s="1"/>
  <c r="F3211" i="17" s="1"/>
  <c r="F3212" i="17" s="1"/>
  <c r="F3213" i="17" s="1"/>
  <c r="F3214" i="17" s="1"/>
  <c r="F3215" i="17" s="1"/>
  <c r="F3216" i="17" s="1"/>
  <c r="F3217" i="17" s="1"/>
  <c r="F3218" i="17" s="1"/>
  <c r="F3219" i="17" s="1"/>
  <c r="F3220" i="17" s="1"/>
  <c r="F3221" i="17" s="1"/>
  <c r="F3222" i="17" s="1"/>
  <c r="F3223" i="17" s="1"/>
  <c r="F3224" i="17" s="1"/>
  <c r="F3225" i="17" s="1"/>
  <c r="F3226" i="17" s="1"/>
  <c r="F3227" i="17" s="1"/>
  <c r="F3228" i="17" s="1"/>
  <c r="F3229" i="17" s="1"/>
  <c r="F3230" i="17" s="1"/>
  <c r="F3231" i="17" s="1"/>
  <c r="F3232" i="17" s="1"/>
  <c r="F3233" i="17" s="1"/>
  <c r="F3234" i="17" s="1"/>
  <c r="F3235" i="17" s="1"/>
  <c r="F3236" i="17" s="1"/>
  <c r="F3237" i="17" s="1"/>
  <c r="F3238" i="17" s="1"/>
  <c r="F3239" i="17" s="1"/>
  <c r="F3240" i="17" s="1"/>
  <c r="F3241" i="17" s="1"/>
  <c r="F3242" i="17" s="1"/>
  <c r="F3243" i="17" s="1"/>
  <c r="F3244" i="17" s="1"/>
  <c r="F3245" i="17" s="1"/>
  <c r="F3246" i="17" s="1"/>
  <c r="F3247" i="17" s="1"/>
  <c r="F3248" i="17" s="1"/>
  <c r="F3249" i="17" s="1"/>
  <c r="F3250" i="17" s="1"/>
  <c r="F3251" i="17" s="1"/>
  <c r="F3252" i="17" s="1"/>
  <c r="F3253" i="17" s="1"/>
  <c r="F3254" i="17" s="1"/>
  <c r="F3255" i="17" s="1"/>
  <c r="F3256" i="17" s="1"/>
  <c r="F3257" i="17" s="1"/>
  <c r="F3258" i="17" s="1"/>
  <c r="F3259" i="17" s="1"/>
  <c r="F3260" i="17" s="1"/>
  <c r="F3261" i="17" s="1"/>
  <c r="F3262" i="17" s="1"/>
  <c r="F3263" i="17" s="1"/>
  <c r="F3264" i="17" s="1"/>
  <c r="F3265" i="17" s="1"/>
  <c r="F3266" i="17" s="1"/>
  <c r="F3267" i="17" s="1"/>
  <c r="F3268" i="17" s="1"/>
  <c r="F3269" i="17" s="1"/>
  <c r="F3270" i="17" s="1"/>
  <c r="F3271" i="17" s="1"/>
  <c r="F3272" i="17" s="1"/>
  <c r="F3273" i="17" s="1"/>
  <c r="F3274" i="17" s="1"/>
  <c r="F3275" i="17" s="1"/>
  <c r="F3276" i="17" s="1"/>
  <c r="F3277" i="17" s="1"/>
  <c r="F3278" i="17" s="1"/>
  <c r="F3279" i="17" s="1"/>
  <c r="F3280" i="17" s="1"/>
  <c r="F3281" i="17" s="1"/>
  <c r="F3282" i="17" s="1"/>
  <c r="F3283" i="17" s="1"/>
  <c r="F3284" i="17" s="1"/>
  <c r="F3285" i="17" s="1"/>
  <c r="F3286" i="17" s="1"/>
  <c r="F3287" i="17" s="1"/>
  <c r="F3288" i="17" s="1"/>
  <c r="F3289" i="17" s="1"/>
  <c r="F3290" i="17" s="1"/>
  <c r="F3291" i="17" s="1"/>
  <c r="F3292" i="17" s="1"/>
  <c r="F3293" i="17" s="1"/>
  <c r="F3294" i="17" s="1"/>
  <c r="F3295" i="17" s="1"/>
  <c r="F3296" i="17" s="1"/>
  <c r="F3297" i="17" s="1"/>
  <c r="F3298" i="17" s="1"/>
  <c r="F3299" i="17" s="1"/>
  <c r="F3300" i="17" s="1"/>
  <c r="F3301" i="17" s="1"/>
  <c r="F3302" i="17" s="1"/>
  <c r="F3303" i="17" s="1"/>
  <c r="F3304" i="17" s="1"/>
  <c r="F3305" i="17" s="1"/>
  <c r="F3306" i="17" s="1"/>
  <c r="F3307" i="17" s="1"/>
  <c r="F3308" i="17" s="1"/>
  <c r="F3309" i="17" s="1"/>
  <c r="F3310" i="17" s="1"/>
  <c r="F3311" i="17" s="1"/>
  <c r="F3312" i="17" s="1"/>
  <c r="F3313" i="17" s="1"/>
  <c r="F3314" i="17" s="1"/>
  <c r="F3315" i="17" s="1"/>
  <c r="F3316" i="17" s="1"/>
  <c r="F3317" i="17" s="1"/>
  <c r="F3318" i="17" s="1"/>
  <c r="F3319" i="17" s="1"/>
  <c r="F3320" i="17" s="1"/>
  <c r="F3321" i="17" s="1"/>
  <c r="F3322" i="17" s="1"/>
  <c r="F3323" i="17" s="1"/>
  <c r="F3324" i="17" s="1"/>
  <c r="F3325" i="17" s="1"/>
  <c r="F3326" i="17" s="1"/>
  <c r="F3327" i="17" s="1"/>
  <c r="F3328" i="17" s="1"/>
  <c r="F3329" i="17" s="1"/>
  <c r="F3330" i="17" s="1"/>
  <c r="F3331" i="17" s="1"/>
  <c r="F3332" i="17" s="1"/>
  <c r="F3333" i="17" s="1"/>
  <c r="F3334" i="17" s="1"/>
  <c r="F3335" i="17" s="1"/>
  <c r="F3336" i="17" s="1"/>
  <c r="F3337" i="17" s="1"/>
  <c r="F3338" i="17" s="1"/>
  <c r="F3339" i="17" s="1"/>
  <c r="F3340" i="17" s="1"/>
  <c r="F3341" i="17" s="1"/>
  <c r="F3342" i="17" s="1"/>
  <c r="F3343" i="17" s="1"/>
  <c r="F3344" i="17" s="1"/>
  <c r="F3345" i="17" s="1"/>
  <c r="F3346" i="17" s="1"/>
  <c r="F3347" i="17" s="1"/>
  <c r="F3348" i="17" s="1"/>
  <c r="F3349" i="17" s="1"/>
  <c r="F3350" i="17" s="1"/>
  <c r="F3351" i="17" s="1"/>
  <c r="F3352" i="17" s="1"/>
  <c r="F3353" i="17" s="1"/>
  <c r="F3354" i="17" s="1"/>
  <c r="F3355" i="17" s="1"/>
  <c r="F3356" i="17" s="1"/>
  <c r="F3357" i="17" s="1"/>
  <c r="F3358" i="17" s="1"/>
  <c r="F3359" i="17" s="1"/>
  <c r="F3360" i="17" s="1"/>
  <c r="F3361" i="17" s="1"/>
  <c r="F3362" i="17" s="1"/>
  <c r="F3363" i="17" s="1"/>
  <c r="F3364" i="17" s="1"/>
  <c r="F3365" i="17" s="1"/>
  <c r="F3366" i="17" s="1"/>
  <c r="F3367" i="17" s="1"/>
  <c r="F3368" i="17" s="1"/>
  <c r="F3369" i="17" s="1"/>
  <c r="F3370" i="17" s="1"/>
  <c r="F3371" i="17" s="1"/>
  <c r="F3372" i="17" s="1"/>
  <c r="F3373" i="17" s="1"/>
  <c r="F3374" i="17" s="1"/>
  <c r="F3375" i="17" s="1"/>
  <c r="F3376" i="17" s="1"/>
  <c r="F3377" i="17" s="1"/>
  <c r="F3378" i="17" s="1"/>
  <c r="F3379" i="17" s="1"/>
  <c r="F3380" i="17" s="1"/>
  <c r="F3381" i="17" s="1"/>
  <c r="F3382" i="17" s="1"/>
  <c r="F3383" i="17" s="1"/>
  <c r="F3384" i="17" s="1"/>
  <c r="F3385" i="17" s="1"/>
  <c r="F3386" i="17" s="1"/>
  <c r="F3387" i="17" s="1"/>
  <c r="F3388" i="17" s="1"/>
  <c r="F3389" i="17" s="1"/>
  <c r="F3390" i="17" s="1"/>
  <c r="F3391" i="17" s="1"/>
  <c r="F3392" i="17" s="1"/>
  <c r="F3393" i="17" s="1"/>
  <c r="F3394" i="17" s="1"/>
  <c r="F3395" i="17" s="1"/>
  <c r="F3396" i="17" s="1"/>
  <c r="F3397" i="17" s="1"/>
  <c r="F3398" i="17" s="1"/>
  <c r="F3399" i="17" s="1"/>
  <c r="F3400" i="17" s="1"/>
  <c r="F3401" i="17" s="1"/>
  <c r="F3402" i="17" s="1"/>
  <c r="F3403" i="17" s="1"/>
  <c r="F3404" i="17" s="1"/>
  <c r="F3405" i="17" s="1"/>
  <c r="F3406" i="17" s="1"/>
  <c r="F3407" i="17" s="1"/>
  <c r="F3408" i="17" s="1"/>
  <c r="F3409" i="17" s="1"/>
  <c r="F3410" i="17" s="1"/>
  <c r="F3411" i="17" s="1"/>
  <c r="F3412" i="17" s="1"/>
  <c r="F3413" i="17" s="1"/>
  <c r="F3414" i="17" s="1"/>
  <c r="F3415" i="17" s="1"/>
  <c r="F3416" i="17" s="1"/>
  <c r="F3417" i="17" s="1"/>
  <c r="F3418" i="17" s="1"/>
  <c r="F3419" i="17" s="1"/>
  <c r="F3420" i="17" s="1"/>
  <c r="F3421" i="17" s="1"/>
  <c r="F3422" i="17" s="1"/>
  <c r="F3423" i="17" s="1"/>
  <c r="F3424" i="17" s="1"/>
  <c r="F3425" i="17" s="1"/>
  <c r="F3426" i="17" s="1"/>
  <c r="F3427" i="17" s="1"/>
  <c r="F3428" i="17" s="1"/>
  <c r="F3429" i="17" s="1"/>
  <c r="F3430" i="17" s="1"/>
  <c r="F3431" i="17" s="1"/>
  <c r="F3432" i="17" s="1"/>
  <c r="F3433" i="17" s="1"/>
  <c r="F3434" i="17" s="1"/>
  <c r="F3435" i="17" s="1"/>
  <c r="F3436" i="17" s="1"/>
  <c r="F3437" i="17" s="1"/>
  <c r="F3438" i="17" s="1"/>
  <c r="F3439" i="17" s="1"/>
  <c r="F3440" i="17" s="1"/>
  <c r="F3441" i="17" s="1"/>
  <c r="F3442" i="17" s="1"/>
  <c r="F3443" i="17" s="1"/>
  <c r="F3444" i="17" s="1"/>
  <c r="F3445" i="17" s="1"/>
  <c r="F3446" i="17" s="1"/>
  <c r="F3447" i="17" s="1"/>
  <c r="F3448" i="17" s="1"/>
  <c r="F3449" i="17" s="1"/>
  <c r="F3450" i="17" s="1"/>
  <c r="F3451" i="17" s="1"/>
  <c r="F3452" i="17" s="1"/>
  <c r="F3453" i="17" s="1"/>
  <c r="F3454" i="17" s="1"/>
  <c r="F3455" i="17" s="1"/>
  <c r="F3456" i="17" s="1"/>
  <c r="F3457" i="17" s="1"/>
  <c r="F3458" i="17" s="1"/>
  <c r="F3459" i="17" s="1"/>
  <c r="F3460" i="17" s="1"/>
  <c r="F3461" i="17" s="1"/>
  <c r="F3462" i="17" s="1"/>
  <c r="F3463" i="17" s="1"/>
  <c r="F3464" i="17" s="1"/>
  <c r="F3465" i="17" s="1"/>
  <c r="F3466" i="17" s="1"/>
  <c r="F3467" i="17" s="1"/>
  <c r="F3468" i="17" s="1"/>
  <c r="F3469" i="17" s="1"/>
  <c r="F3470" i="17" s="1"/>
  <c r="F3471" i="17" s="1"/>
  <c r="F3472" i="17" s="1"/>
  <c r="F3473" i="17" s="1"/>
  <c r="F3474" i="17" s="1"/>
  <c r="F3475" i="17" s="1"/>
  <c r="F3476" i="17" s="1"/>
  <c r="F3477" i="17" s="1"/>
  <c r="F3478" i="17" s="1"/>
  <c r="F3479" i="17" s="1"/>
  <c r="F3480" i="17" s="1"/>
  <c r="F3481" i="17" s="1"/>
  <c r="F3482" i="17" s="1"/>
  <c r="F3483" i="17" s="1"/>
  <c r="F3484" i="17" s="1"/>
  <c r="F3485" i="17" s="1"/>
  <c r="F3486" i="17" s="1"/>
  <c r="F3487" i="17" s="1"/>
  <c r="F3488" i="17" s="1"/>
  <c r="F3489" i="17" s="1"/>
  <c r="F3490" i="17" s="1"/>
  <c r="F3491" i="17" s="1"/>
  <c r="F3492" i="17" s="1"/>
  <c r="F3493" i="17" s="1"/>
  <c r="F3494" i="17" s="1"/>
  <c r="F3495" i="17" s="1"/>
  <c r="F3496" i="17" s="1"/>
  <c r="F3497" i="17" s="1"/>
  <c r="F3498" i="17" s="1"/>
  <c r="F3499" i="17" s="1"/>
  <c r="F3500" i="17" s="1"/>
  <c r="F3501" i="17" s="1"/>
  <c r="F3502" i="17" s="1"/>
  <c r="F3503" i="17" s="1"/>
  <c r="F3504" i="17" s="1"/>
  <c r="F3505" i="17" s="1"/>
  <c r="F3506" i="17" s="1"/>
  <c r="F3507" i="17" s="1"/>
  <c r="F3508" i="17" s="1"/>
  <c r="F3509" i="17" s="1"/>
  <c r="F3510" i="17" s="1"/>
  <c r="F3511" i="17" s="1"/>
  <c r="F3512" i="17" s="1"/>
  <c r="F3513" i="17" s="1"/>
  <c r="F3514" i="17" s="1"/>
  <c r="F3515" i="17" s="1"/>
  <c r="F3516" i="17" s="1"/>
  <c r="F3517" i="17" s="1"/>
  <c r="F3518" i="17" s="1"/>
  <c r="F3519" i="17" s="1"/>
  <c r="F3520" i="17" s="1"/>
  <c r="F3521" i="17" s="1"/>
  <c r="F3522" i="17" s="1"/>
  <c r="F3523" i="17" s="1"/>
  <c r="F3524" i="17" s="1"/>
  <c r="F3525" i="17" s="1"/>
  <c r="F3526" i="17" s="1"/>
  <c r="F3527" i="17" s="1"/>
  <c r="F3528" i="17" s="1"/>
  <c r="F3529" i="17" s="1"/>
  <c r="F3530" i="17" s="1"/>
  <c r="F3531" i="17" s="1"/>
  <c r="F3532" i="17" s="1"/>
  <c r="F3533" i="17" s="1"/>
  <c r="F3534" i="17" s="1"/>
  <c r="F3535" i="17" s="1"/>
  <c r="F3536" i="17" s="1"/>
  <c r="F3537" i="17" s="1"/>
  <c r="F3538" i="17" s="1"/>
  <c r="F3539" i="17" s="1"/>
  <c r="F3540" i="17" s="1"/>
  <c r="F3541" i="17" s="1"/>
  <c r="F3542" i="17" s="1"/>
  <c r="F3543" i="17" s="1"/>
  <c r="F3544" i="17" s="1"/>
  <c r="F3545" i="17" s="1"/>
  <c r="F3546" i="17" s="1"/>
  <c r="F3547" i="17" s="1"/>
  <c r="F3548" i="17" s="1"/>
  <c r="F3549" i="17" s="1"/>
  <c r="F3550" i="17" s="1"/>
  <c r="F3551" i="17" s="1"/>
  <c r="F3552" i="17" s="1"/>
  <c r="F3553" i="17" s="1"/>
  <c r="F3554" i="17" s="1"/>
  <c r="F3555" i="17" s="1"/>
  <c r="F3556" i="17" s="1"/>
  <c r="F3557" i="17" s="1"/>
  <c r="F3558" i="17" s="1"/>
  <c r="F3559" i="17" s="1"/>
  <c r="F3560" i="17" s="1"/>
  <c r="F3561" i="17" s="1"/>
  <c r="F3562" i="17" s="1"/>
  <c r="F3563" i="17" s="1"/>
  <c r="F3564" i="17" s="1"/>
  <c r="F3565" i="17" s="1"/>
  <c r="F3566" i="17" s="1"/>
  <c r="F3567" i="17" s="1"/>
  <c r="F3568" i="17" s="1"/>
  <c r="F3569" i="17" s="1"/>
  <c r="F3570" i="17" s="1"/>
  <c r="F3571" i="17" s="1"/>
  <c r="F3572" i="17" s="1"/>
  <c r="F3573" i="17" s="1"/>
  <c r="F3574" i="17" s="1"/>
  <c r="F3575" i="17" s="1"/>
  <c r="F3576" i="17" s="1"/>
  <c r="F3577" i="17" s="1"/>
  <c r="F3578" i="17" s="1"/>
  <c r="F3579" i="17" s="1"/>
  <c r="F3580" i="17" s="1"/>
  <c r="F3581" i="17" s="1"/>
  <c r="F3582" i="17" s="1"/>
  <c r="F3583" i="17" s="1"/>
  <c r="F3584" i="17" s="1"/>
  <c r="F3585" i="17" s="1"/>
  <c r="F3586" i="17" s="1"/>
  <c r="F3587" i="17" s="1"/>
  <c r="F3588" i="17" s="1"/>
  <c r="F3589" i="17" s="1"/>
  <c r="F3590" i="17" s="1"/>
  <c r="F3591" i="17" s="1"/>
  <c r="F3592" i="17" s="1"/>
  <c r="F3593" i="17" s="1"/>
  <c r="F3594" i="17" s="1"/>
  <c r="F3595" i="17" s="1"/>
  <c r="F3596" i="17" s="1"/>
  <c r="F3597" i="17" s="1"/>
  <c r="F3598" i="17" s="1"/>
  <c r="F3599" i="17" s="1"/>
  <c r="F3600" i="17" s="1"/>
  <c r="F3601" i="17" s="1"/>
  <c r="F3602" i="17" s="1"/>
  <c r="F3603" i="17" s="1"/>
  <c r="F3604" i="17" s="1"/>
  <c r="F3605" i="17" s="1"/>
  <c r="F3606" i="17" s="1"/>
  <c r="F3607" i="17" s="1"/>
  <c r="F3608" i="17" s="1"/>
  <c r="F3609" i="17" s="1"/>
  <c r="F3610" i="17" s="1"/>
  <c r="F3611" i="17" s="1"/>
  <c r="F3612" i="17" s="1"/>
  <c r="F3613" i="17" s="1"/>
  <c r="F3614" i="17" s="1"/>
  <c r="F3615" i="17" s="1"/>
  <c r="F3616" i="17" s="1"/>
  <c r="F3617" i="17" s="1"/>
  <c r="F3618" i="17" s="1"/>
  <c r="F3619" i="17" s="1"/>
  <c r="F3620" i="17" s="1"/>
  <c r="F3621" i="17" s="1"/>
  <c r="F3622" i="17" s="1"/>
  <c r="F3623" i="17" s="1"/>
  <c r="F3624" i="17" s="1"/>
  <c r="F3625" i="17" s="1"/>
  <c r="F3626" i="17" s="1"/>
  <c r="F3627" i="17" s="1"/>
  <c r="F3628" i="17" s="1"/>
  <c r="F3629" i="17" s="1"/>
  <c r="F3630" i="17" s="1"/>
  <c r="F3631" i="17" s="1"/>
  <c r="F3632" i="17" s="1"/>
  <c r="F3633" i="17" s="1"/>
  <c r="F3634" i="17" s="1"/>
  <c r="F3635" i="17" s="1"/>
  <c r="F3636" i="17" s="1"/>
  <c r="F3637" i="17" s="1"/>
  <c r="F3638" i="17" s="1"/>
  <c r="F3639" i="17" s="1"/>
  <c r="F3640" i="17" s="1"/>
  <c r="F3641" i="17" s="1"/>
  <c r="F3642" i="17" s="1"/>
  <c r="F3643" i="17" s="1"/>
  <c r="F3644" i="17" s="1"/>
  <c r="F3645" i="17" s="1"/>
  <c r="F3646" i="17" s="1"/>
  <c r="F3647" i="17" s="1"/>
  <c r="F3648" i="17" s="1"/>
  <c r="F3649" i="17" s="1"/>
  <c r="F3650" i="17" s="1"/>
  <c r="F3651" i="17" s="1"/>
  <c r="F3652" i="17" s="1"/>
  <c r="F3653" i="17" s="1"/>
  <c r="F3654" i="17" s="1"/>
  <c r="F3655" i="17" s="1"/>
  <c r="F3656" i="17" s="1"/>
  <c r="F3657" i="17" s="1"/>
  <c r="F3658" i="17" s="1"/>
  <c r="F3659" i="17" s="1"/>
  <c r="F3660" i="17" s="1"/>
  <c r="F3661" i="17" s="1"/>
  <c r="F3662" i="17" s="1"/>
  <c r="F3663" i="17" s="1"/>
  <c r="F3664" i="17" s="1"/>
  <c r="F3665" i="17" s="1"/>
  <c r="F3666" i="17" s="1"/>
  <c r="F3667" i="17" s="1"/>
  <c r="F3668" i="17" s="1"/>
  <c r="F3669" i="17" s="1"/>
  <c r="F3670" i="17" s="1"/>
  <c r="F3671" i="17" s="1"/>
  <c r="F3672" i="17" s="1"/>
  <c r="F3673" i="17" s="1"/>
  <c r="F3674" i="17" s="1"/>
  <c r="F3675" i="17" s="1"/>
  <c r="F3676" i="17" s="1"/>
  <c r="F3677" i="17" s="1"/>
  <c r="F3678" i="17" s="1"/>
  <c r="F3679" i="17" s="1"/>
  <c r="F3680" i="17" s="1"/>
  <c r="F3681" i="17" s="1"/>
  <c r="F3682" i="17" s="1"/>
  <c r="F3683" i="17" s="1"/>
  <c r="F3684" i="17" s="1"/>
  <c r="F3685" i="17" s="1"/>
  <c r="F3686" i="17" s="1"/>
  <c r="F3687" i="17" s="1"/>
  <c r="F3688" i="17" s="1"/>
  <c r="F3689" i="17" s="1"/>
  <c r="F3690" i="17" s="1"/>
  <c r="F3691" i="17" s="1"/>
  <c r="F3692" i="17" s="1"/>
  <c r="F3693" i="17" s="1"/>
  <c r="F3694" i="17" s="1"/>
  <c r="F3695" i="17" s="1"/>
  <c r="F3696" i="17" s="1"/>
  <c r="F3697" i="17" s="1"/>
  <c r="F3698" i="17" s="1"/>
  <c r="F3699" i="17" s="1"/>
  <c r="F3700" i="17" s="1"/>
  <c r="F3701" i="17" s="1"/>
  <c r="F3702" i="17" s="1"/>
  <c r="F3703" i="17" s="1"/>
  <c r="F3704" i="17" s="1"/>
  <c r="F3705" i="17" s="1"/>
  <c r="F3706" i="17" s="1"/>
  <c r="F3707" i="17" s="1"/>
  <c r="F3708" i="17" s="1"/>
  <c r="F3709" i="17" s="1"/>
  <c r="F3710" i="17" s="1"/>
  <c r="F3711" i="17" s="1"/>
  <c r="F3712" i="17" s="1"/>
  <c r="F3713" i="17" s="1"/>
  <c r="F3714" i="17" s="1"/>
  <c r="F3715" i="17" s="1"/>
  <c r="F3716" i="17" s="1"/>
  <c r="F3717" i="17" s="1"/>
  <c r="F3718" i="17" s="1"/>
  <c r="F3719" i="17" s="1"/>
  <c r="F3720" i="17" s="1"/>
  <c r="F3721" i="17" s="1"/>
  <c r="F3722" i="17" s="1"/>
  <c r="F3723" i="17" s="1"/>
  <c r="F3724" i="17" s="1"/>
  <c r="F3725" i="17" s="1"/>
  <c r="F3726" i="17" s="1"/>
  <c r="F3727" i="17" s="1"/>
  <c r="F3728" i="17" s="1"/>
  <c r="F3729" i="17" s="1"/>
  <c r="F3730" i="17" s="1"/>
  <c r="F3731" i="17" s="1"/>
  <c r="F3732" i="17" s="1"/>
  <c r="F3733" i="17" s="1"/>
  <c r="F3734" i="17" s="1"/>
  <c r="F3735" i="17" s="1"/>
  <c r="F3736" i="17" s="1"/>
  <c r="F3737" i="17" s="1"/>
  <c r="F3738" i="17" s="1"/>
  <c r="F3739" i="17" s="1"/>
  <c r="F3740" i="17" s="1"/>
  <c r="F3741" i="17" s="1"/>
  <c r="F3742" i="17" s="1"/>
  <c r="F3743" i="17" s="1"/>
  <c r="F3744" i="17" s="1"/>
  <c r="F3745" i="17" s="1"/>
  <c r="F3746" i="17" s="1"/>
  <c r="F3747" i="17" s="1"/>
  <c r="F3748" i="17" s="1"/>
  <c r="F3749" i="17" s="1"/>
  <c r="F3750" i="17" s="1"/>
  <c r="F3751" i="17" s="1"/>
  <c r="F3752" i="17" s="1"/>
  <c r="F3753" i="17" s="1"/>
  <c r="F3754" i="17" s="1"/>
  <c r="F3755" i="17" s="1"/>
  <c r="F3756" i="17" s="1"/>
  <c r="F3757" i="17" s="1"/>
  <c r="F3758" i="17" s="1"/>
  <c r="F3759" i="17" s="1"/>
  <c r="F3760" i="17" s="1"/>
  <c r="F3761" i="17" s="1"/>
  <c r="F3762" i="17" s="1"/>
  <c r="F3763" i="17" s="1"/>
  <c r="F3764" i="17" s="1"/>
  <c r="F3765" i="17" s="1"/>
  <c r="F3766" i="17" s="1"/>
  <c r="F3767" i="17" s="1"/>
  <c r="F3768" i="17" s="1"/>
  <c r="F3769" i="17" s="1"/>
  <c r="F3770" i="17" s="1"/>
  <c r="F3771" i="17" s="1"/>
  <c r="F3772" i="17" s="1"/>
  <c r="F3773" i="17" s="1"/>
  <c r="F3774" i="17" s="1"/>
  <c r="F3775" i="17" s="1"/>
  <c r="F3776" i="17" s="1"/>
  <c r="F3777" i="17" s="1"/>
  <c r="F3778" i="17" s="1"/>
  <c r="F3779" i="17" s="1"/>
  <c r="F3780" i="17" s="1"/>
  <c r="F3781" i="17" s="1"/>
  <c r="F3782" i="17" s="1"/>
  <c r="F3783" i="17" s="1"/>
  <c r="F3784" i="17" s="1"/>
  <c r="F3785" i="17" s="1"/>
  <c r="F3786" i="17" s="1"/>
  <c r="F3787" i="17" s="1"/>
  <c r="F3788" i="17" s="1"/>
  <c r="F3789" i="17" s="1"/>
  <c r="F3790" i="17" s="1"/>
  <c r="F3791" i="17" s="1"/>
  <c r="F3792" i="17" s="1"/>
  <c r="F3793" i="17" s="1"/>
  <c r="F3794" i="17" s="1"/>
  <c r="F3795" i="17" s="1"/>
  <c r="F3796" i="17" s="1"/>
  <c r="F3797" i="17" s="1"/>
  <c r="F3798" i="17" s="1"/>
  <c r="F3799" i="17" s="1"/>
  <c r="F3800" i="17" s="1"/>
  <c r="F3801" i="17" s="1"/>
  <c r="F3802" i="17" s="1"/>
  <c r="F3803" i="17" s="1"/>
  <c r="F3804" i="17" s="1"/>
  <c r="F3805" i="17" s="1"/>
  <c r="F3806" i="17" s="1"/>
  <c r="F3807" i="17" s="1"/>
  <c r="F3808" i="17" s="1"/>
  <c r="F3809" i="17" s="1"/>
  <c r="F3810" i="17" s="1"/>
  <c r="F3811" i="17" s="1"/>
  <c r="F3812" i="17" s="1"/>
  <c r="F3813" i="17" s="1"/>
  <c r="F3814" i="17" s="1"/>
  <c r="F3815" i="17" s="1"/>
  <c r="F3816" i="17" s="1"/>
  <c r="F3817" i="17" s="1"/>
  <c r="F3818" i="17" s="1"/>
  <c r="F3819" i="17" s="1"/>
  <c r="F3820" i="17" s="1"/>
  <c r="F3821" i="17" s="1"/>
  <c r="F3822" i="17" s="1"/>
  <c r="F3823" i="17" s="1"/>
  <c r="F3824" i="17" s="1"/>
  <c r="F3825" i="17" s="1"/>
  <c r="F3826" i="17" s="1"/>
  <c r="F3827" i="17" s="1"/>
  <c r="F3828" i="17" s="1"/>
  <c r="F3829" i="17" s="1"/>
  <c r="F3830" i="17" s="1"/>
  <c r="F3831" i="17" s="1"/>
  <c r="F3832" i="17" s="1"/>
  <c r="F3833" i="17" s="1"/>
  <c r="F3834" i="17" s="1"/>
  <c r="F3835" i="17" s="1"/>
  <c r="F3836" i="17" s="1"/>
  <c r="F3837" i="17" s="1"/>
  <c r="F3838" i="17" s="1"/>
  <c r="F3839" i="17" s="1"/>
  <c r="F3840" i="17" s="1"/>
  <c r="F3841" i="17" s="1"/>
  <c r="F3842" i="17" s="1"/>
  <c r="F3843" i="17" s="1"/>
  <c r="F3844" i="17" s="1"/>
  <c r="F3845" i="17" s="1"/>
  <c r="F3846" i="17" s="1"/>
  <c r="F3847" i="17" s="1"/>
  <c r="F3848" i="17" s="1"/>
  <c r="F3849" i="17" s="1"/>
  <c r="F3850" i="17" s="1"/>
  <c r="F3851" i="17" s="1"/>
  <c r="F3852" i="17" s="1"/>
  <c r="F3853" i="17" s="1"/>
  <c r="F3854" i="17" s="1"/>
  <c r="F3855" i="17" s="1"/>
  <c r="F3856" i="17" s="1"/>
  <c r="F3857" i="17" s="1"/>
  <c r="F3858" i="17" s="1"/>
  <c r="F3859" i="17" s="1"/>
  <c r="F3860" i="17" s="1"/>
  <c r="F3861" i="17" s="1"/>
  <c r="F3862" i="17" s="1"/>
  <c r="F3863" i="17" s="1"/>
  <c r="F3864" i="17" s="1"/>
  <c r="F3865" i="17" s="1"/>
  <c r="F3866" i="17" s="1"/>
  <c r="F3867" i="17" s="1"/>
  <c r="F3868" i="17" s="1"/>
  <c r="F3869" i="17" s="1"/>
  <c r="F3870" i="17" s="1"/>
  <c r="F3871" i="17" s="1"/>
  <c r="F3872" i="17" s="1"/>
  <c r="F3873" i="17" s="1"/>
  <c r="F3874" i="17" s="1"/>
  <c r="F3875" i="17" s="1"/>
  <c r="F3876" i="17" s="1"/>
  <c r="F3877" i="17" s="1"/>
  <c r="F3878" i="17" s="1"/>
  <c r="F3879" i="17" s="1"/>
  <c r="F3880" i="17" s="1"/>
  <c r="F3881" i="17" s="1"/>
  <c r="F3882" i="17" s="1"/>
  <c r="F3883" i="17" s="1"/>
  <c r="F3884" i="17" s="1"/>
  <c r="F3885" i="17" s="1"/>
  <c r="F3886" i="17" s="1"/>
  <c r="F3887" i="17" s="1"/>
  <c r="F3888" i="17" s="1"/>
  <c r="F3889" i="17" s="1"/>
  <c r="F3890" i="17" s="1"/>
  <c r="F3891" i="17" s="1"/>
  <c r="F3892" i="17" s="1"/>
  <c r="F3893" i="17" s="1"/>
  <c r="F3894" i="17" s="1"/>
  <c r="F3895" i="17" s="1"/>
  <c r="F3896" i="17" s="1"/>
  <c r="F3897" i="17" s="1"/>
  <c r="F3898" i="17" s="1"/>
  <c r="F3899" i="17" s="1"/>
  <c r="F3900" i="17" s="1"/>
  <c r="F3901" i="17" s="1"/>
  <c r="F3902" i="17" s="1"/>
  <c r="F3903" i="17" s="1"/>
  <c r="F3904" i="17" s="1"/>
  <c r="F3905" i="17" s="1"/>
  <c r="F3906" i="17" s="1"/>
  <c r="F3907" i="17" s="1"/>
  <c r="F3908" i="17" s="1"/>
  <c r="F3909" i="17" s="1"/>
  <c r="F3910" i="17" s="1"/>
  <c r="F3911" i="17" s="1"/>
  <c r="F3912" i="17" s="1"/>
  <c r="F3913" i="17" s="1"/>
  <c r="F3914" i="17" s="1"/>
  <c r="F3915" i="17" s="1"/>
  <c r="F3916" i="17" s="1"/>
  <c r="F3917" i="17" s="1"/>
  <c r="F3918" i="17" s="1"/>
  <c r="F3919" i="17" s="1"/>
  <c r="F3920" i="17" s="1"/>
  <c r="F3921" i="17" s="1"/>
  <c r="F3922" i="17" s="1"/>
  <c r="F3923" i="17" s="1"/>
  <c r="F3924" i="17" s="1"/>
  <c r="F3925" i="17" s="1"/>
  <c r="F3926" i="17" s="1"/>
  <c r="F3927" i="17" s="1"/>
  <c r="F3928" i="17" s="1"/>
  <c r="F3929" i="17" s="1"/>
  <c r="F3930" i="17" s="1"/>
  <c r="F3931" i="17" s="1"/>
  <c r="F3932" i="17" s="1"/>
  <c r="F3933" i="17" s="1"/>
  <c r="F3934" i="17" s="1"/>
  <c r="F3935" i="17" s="1"/>
  <c r="F3936" i="17" s="1"/>
  <c r="F3937" i="17" s="1"/>
  <c r="F3938" i="17" s="1"/>
  <c r="F3939" i="17" s="1"/>
  <c r="F3940" i="17" s="1"/>
  <c r="F3941" i="17" s="1"/>
  <c r="F3942" i="17" s="1"/>
  <c r="F3943" i="17" s="1"/>
  <c r="F3944" i="17" s="1"/>
  <c r="F3945" i="17" s="1"/>
  <c r="F3946" i="17" s="1"/>
  <c r="F3947" i="17" s="1"/>
  <c r="F3948" i="17" s="1"/>
  <c r="F3949" i="17" s="1"/>
  <c r="F3950" i="17" s="1"/>
  <c r="F3951" i="17" s="1"/>
  <c r="F3952" i="17" s="1"/>
  <c r="F3953" i="17" s="1"/>
  <c r="F3954" i="17" s="1"/>
  <c r="F3955" i="17" s="1"/>
  <c r="F3956" i="17" s="1"/>
  <c r="F3957" i="17" s="1"/>
  <c r="F3958" i="17" s="1"/>
  <c r="F3959" i="17" s="1"/>
  <c r="F3960" i="17" s="1"/>
  <c r="F3961" i="17" s="1"/>
  <c r="F3962" i="17" s="1"/>
  <c r="F3963" i="17" s="1"/>
  <c r="F3964" i="17" s="1"/>
  <c r="F3965" i="17" s="1"/>
  <c r="F3966" i="17" s="1"/>
  <c r="F3967" i="17" s="1"/>
  <c r="F3968" i="17" s="1"/>
  <c r="F3969" i="17" s="1"/>
  <c r="F3970" i="17" s="1"/>
  <c r="F3971" i="17" s="1"/>
  <c r="F3972" i="17" s="1"/>
  <c r="F3973" i="17" s="1"/>
  <c r="F3974" i="17" s="1"/>
  <c r="F3975" i="17" s="1"/>
  <c r="F3976" i="17" s="1"/>
  <c r="F3977" i="17" s="1"/>
  <c r="F3978" i="17" s="1"/>
  <c r="F3979" i="17" s="1"/>
  <c r="F3980" i="17" s="1"/>
  <c r="F3981" i="17" s="1"/>
  <c r="F3982" i="17" s="1"/>
  <c r="F3983" i="17" s="1"/>
  <c r="F3984" i="17" s="1"/>
  <c r="F3985" i="17" s="1"/>
  <c r="F3986" i="17" s="1"/>
  <c r="F3987" i="17" s="1"/>
  <c r="F3988" i="17" s="1"/>
  <c r="F3989" i="17" s="1"/>
  <c r="F3990" i="17" s="1"/>
  <c r="F3991" i="17" s="1"/>
  <c r="F3992" i="17" s="1"/>
  <c r="F3993" i="17" s="1"/>
  <c r="F3994" i="17" s="1"/>
  <c r="F3995" i="17" s="1"/>
  <c r="F3996" i="17" s="1"/>
  <c r="F3997" i="17" s="1"/>
  <c r="F3998" i="17" s="1"/>
  <c r="F3999" i="17" s="1"/>
  <c r="F4000" i="17" s="1"/>
  <c r="F4001" i="17" s="1"/>
  <c r="F4002" i="17" s="1"/>
  <c r="F4003" i="17" s="1"/>
  <c r="F4004" i="17" s="1"/>
  <c r="F4005" i="17" s="1"/>
  <c r="F4006" i="17" s="1"/>
  <c r="F4007" i="17" s="1"/>
  <c r="F4008" i="17" s="1"/>
  <c r="F4009" i="17" s="1"/>
  <c r="F4010" i="17" s="1"/>
  <c r="F4011" i="17" s="1"/>
  <c r="F4012" i="17" s="1"/>
  <c r="F4013" i="17" s="1"/>
  <c r="F4014" i="17" s="1"/>
  <c r="F4015" i="17" s="1"/>
  <c r="F4016" i="17" s="1"/>
  <c r="F4017" i="17" s="1"/>
  <c r="F4018" i="17" s="1"/>
  <c r="F4019" i="17" s="1"/>
  <c r="F4020" i="17" s="1"/>
  <c r="F4021" i="17" s="1"/>
  <c r="F4022" i="17" s="1"/>
  <c r="F4023" i="17" s="1"/>
  <c r="F4024" i="17" s="1"/>
  <c r="F4025" i="17" s="1"/>
  <c r="F4026" i="17" s="1"/>
  <c r="F4027" i="17" s="1"/>
  <c r="F4028" i="17" s="1"/>
  <c r="F4029" i="17" s="1"/>
  <c r="F4030" i="17" s="1"/>
  <c r="F4031" i="17" s="1"/>
  <c r="F4032" i="17" s="1"/>
  <c r="F4033" i="17" s="1"/>
  <c r="F4034" i="17" s="1"/>
  <c r="F4035" i="17" s="1"/>
  <c r="F4036" i="17" s="1"/>
  <c r="F4037" i="17" s="1"/>
  <c r="F4038" i="17" s="1"/>
  <c r="F4039" i="17" s="1"/>
  <c r="F4040" i="17" s="1"/>
  <c r="F4041" i="17" s="1"/>
  <c r="F4042" i="17" s="1"/>
  <c r="F4043" i="17" s="1"/>
  <c r="F4044" i="17" s="1"/>
  <c r="F4045" i="17" s="1"/>
  <c r="F4046" i="17" s="1"/>
  <c r="F4047" i="17" s="1"/>
  <c r="F4048" i="17" s="1"/>
  <c r="F4049" i="17" s="1"/>
  <c r="F4050" i="17" s="1"/>
  <c r="F4051" i="17" s="1"/>
  <c r="F4052" i="17" s="1"/>
  <c r="F4053" i="17" s="1"/>
  <c r="F4054" i="17" s="1"/>
  <c r="F4055" i="17" s="1"/>
  <c r="F4056" i="17" s="1"/>
  <c r="F4057" i="17" s="1"/>
  <c r="F4058" i="17" s="1"/>
  <c r="F4059" i="17" s="1"/>
  <c r="F4060" i="17" s="1"/>
  <c r="F4061" i="17" s="1"/>
  <c r="F4062" i="17" s="1"/>
  <c r="F4063" i="17" s="1"/>
  <c r="F4064" i="17" s="1"/>
  <c r="F4065" i="17" s="1"/>
  <c r="F4066" i="17" s="1"/>
  <c r="F4067" i="17" s="1"/>
  <c r="F4068" i="17" s="1"/>
  <c r="F4069" i="17" s="1"/>
  <c r="F4070" i="17" s="1"/>
  <c r="F4071" i="17" s="1"/>
  <c r="F4072" i="17" s="1"/>
  <c r="F4073" i="17" s="1"/>
  <c r="F4074" i="17" s="1"/>
  <c r="F4075" i="17" s="1"/>
  <c r="F4076" i="17" s="1"/>
  <c r="F4077" i="17" s="1"/>
  <c r="F4078" i="17" s="1"/>
  <c r="F4079" i="17" s="1"/>
  <c r="F4080" i="17" s="1"/>
  <c r="F4081" i="17" s="1"/>
  <c r="F4082" i="17" s="1"/>
  <c r="F4083" i="17" s="1"/>
  <c r="F4084" i="17" s="1"/>
  <c r="F4085" i="17" s="1"/>
  <c r="F4086" i="17" s="1"/>
  <c r="F4087" i="17" s="1"/>
  <c r="F4088" i="17" s="1"/>
  <c r="F4089" i="17" s="1"/>
  <c r="F4090" i="17" s="1"/>
  <c r="F4091" i="17" s="1"/>
  <c r="F4092" i="17" s="1"/>
  <c r="F4093" i="17" s="1"/>
  <c r="F4094" i="17" s="1"/>
  <c r="F4095" i="17" s="1"/>
  <c r="F4096" i="17" s="1"/>
  <c r="F4097" i="17" s="1"/>
  <c r="F4098" i="17" s="1"/>
  <c r="F4099" i="17" s="1"/>
  <c r="F4100" i="17" s="1"/>
  <c r="F4101" i="17" s="1"/>
  <c r="F4102" i="17" s="1"/>
  <c r="F4103" i="17" s="1"/>
  <c r="F4104" i="17" s="1"/>
  <c r="F4105" i="17" s="1"/>
  <c r="F4106" i="17" s="1"/>
  <c r="F4107" i="17" s="1"/>
  <c r="F4108" i="17" s="1"/>
  <c r="F4109" i="17" s="1"/>
  <c r="F4110" i="17" s="1"/>
  <c r="F4111" i="17" s="1"/>
  <c r="F4112" i="17" s="1"/>
  <c r="F4113" i="17" s="1"/>
  <c r="F4114" i="17" s="1"/>
  <c r="F4115" i="17" s="1"/>
  <c r="F4116" i="17" s="1"/>
  <c r="F4117" i="17" s="1"/>
  <c r="F4118" i="17" s="1"/>
  <c r="F4119" i="17" s="1"/>
  <c r="F4120" i="17" s="1"/>
  <c r="F4121" i="17" s="1"/>
  <c r="F4122" i="17" s="1"/>
  <c r="F4123" i="17" s="1"/>
  <c r="F4124" i="17" s="1"/>
  <c r="F4125" i="17" s="1"/>
  <c r="F4126" i="17" s="1"/>
  <c r="F4127" i="17" s="1"/>
  <c r="F4128" i="17" s="1"/>
  <c r="F4129" i="17" s="1"/>
  <c r="F4130" i="17" s="1"/>
  <c r="F4131" i="17" s="1"/>
  <c r="F4132" i="17" s="1"/>
  <c r="F4133" i="17" s="1"/>
  <c r="F4134" i="17" s="1"/>
  <c r="F4135" i="17" s="1"/>
  <c r="F4136" i="17" s="1"/>
  <c r="F4137" i="17" s="1"/>
  <c r="F4138" i="17" s="1"/>
  <c r="F4139" i="17" s="1"/>
  <c r="F4140" i="17" s="1"/>
  <c r="F4141" i="17" s="1"/>
  <c r="F4142" i="17" s="1"/>
  <c r="F4143" i="17" s="1"/>
  <c r="F4144" i="17" s="1"/>
  <c r="F4145" i="17" s="1"/>
  <c r="F4146" i="17" s="1"/>
  <c r="F4147" i="17" s="1"/>
  <c r="F4148" i="17" s="1"/>
  <c r="F4149" i="17" s="1"/>
  <c r="F4150" i="17" s="1"/>
  <c r="F4151" i="17" s="1"/>
  <c r="F4152" i="17" s="1"/>
  <c r="F4153" i="17" s="1"/>
  <c r="F4154" i="17" s="1"/>
  <c r="F4155" i="17" s="1"/>
  <c r="F4156" i="17" s="1"/>
  <c r="F4157" i="17" s="1"/>
  <c r="F4158" i="17" s="1"/>
  <c r="F4159" i="17" s="1"/>
  <c r="F4160" i="17" s="1"/>
  <c r="F4161" i="17" s="1"/>
  <c r="F4162" i="17" s="1"/>
  <c r="F4163" i="17" s="1"/>
  <c r="F4164" i="17" s="1"/>
  <c r="F4165" i="17" s="1"/>
  <c r="F4166" i="17" s="1"/>
  <c r="F4167" i="17" s="1"/>
  <c r="F4168" i="17" s="1"/>
  <c r="F4169" i="17" s="1"/>
  <c r="F4170" i="17" s="1"/>
  <c r="F4171" i="17" s="1"/>
  <c r="F4172" i="17" s="1"/>
  <c r="F4173" i="17" s="1"/>
  <c r="F4174" i="17" s="1"/>
  <c r="F4175" i="17" s="1"/>
  <c r="F4176" i="17" s="1"/>
  <c r="F4177" i="17" s="1"/>
  <c r="F4178" i="17" s="1"/>
  <c r="F4179" i="17" s="1"/>
  <c r="F4180" i="17" s="1"/>
  <c r="F4181" i="17" s="1"/>
  <c r="F4182" i="17" s="1"/>
  <c r="F4183" i="17" s="1"/>
  <c r="F4184" i="17" s="1"/>
  <c r="F4185" i="17" s="1"/>
  <c r="F4186" i="17" s="1"/>
  <c r="F4187" i="17" s="1"/>
  <c r="F4188" i="17" s="1"/>
  <c r="F4189" i="17" s="1"/>
  <c r="F4190" i="17" s="1"/>
  <c r="F4191" i="17" s="1"/>
  <c r="F4192" i="17" s="1"/>
  <c r="F4193" i="17" s="1"/>
  <c r="F4194" i="17" s="1"/>
  <c r="F4195" i="17" s="1"/>
  <c r="F4196" i="17" s="1"/>
  <c r="F4197" i="17" s="1"/>
  <c r="F4198" i="17" s="1"/>
  <c r="F4199" i="17" s="1"/>
  <c r="F4200" i="17" s="1"/>
  <c r="F4201" i="17" s="1"/>
  <c r="F4202" i="17" s="1"/>
  <c r="F4203" i="17" s="1"/>
  <c r="F4204" i="17" s="1"/>
  <c r="F4205" i="17" s="1"/>
  <c r="F4206" i="17" s="1"/>
  <c r="F4207" i="17" s="1"/>
  <c r="F4208" i="17" s="1"/>
  <c r="F4209" i="17" s="1"/>
  <c r="F4210" i="17" s="1"/>
  <c r="F4211" i="17" s="1"/>
  <c r="F4212" i="17" s="1"/>
  <c r="F4213" i="17" s="1"/>
  <c r="F4214" i="17" s="1"/>
  <c r="F4215" i="17" s="1"/>
  <c r="F4216" i="17" s="1"/>
  <c r="F4217" i="17" s="1"/>
  <c r="F4218" i="17" s="1"/>
  <c r="J28" i="17"/>
  <c r="J27" i="17"/>
  <c r="J26" i="17"/>
  <c r="M14" i="17"/>
  <c r="M13" i="17"/>
  <c r="M12" i="17"/>
  <c r="M11" i="17"/>
  <c r="M10" i="17"/>
  <c r="D4217" i="17"/>
  <c r="D4216" i="17"/>
  <c r="D4215" i="17"/>
  <c r="D4214" i="17"/>
  <c r="D4213" i="17"/>
  <c r="D4212" i="17"/>
  <c r="D4211" i="17"/>
  <c r="D4210" i="17"/>
  <c r="D4209" i="17"/>
  <c r="D4208" i="17"/>
  <c r="D4207" i="17"/>
  <c r="D4206" i="17"/>
  <c r="D4205" i="17"/>
  <c r="D4204" i="17"/>
  <c r="D4203" i="17"/>
  <c r="D4202" i="17"/>
  <c r="D4201" i="17"/>
  <c r="D4200" i="17"/>
  <c r="D4199" i="17"/>
  <c r="D4198" i="17"/>
  <c r="D4197" i="17"/>
  <c r="D4196" i="17"/>
  <c r="D4195" i="17"/>
  <c r="D4194" i="17"/>
  <c r="D4193" i="17"/>
  <c r="D4192" i="17"/>
  <c r="D4191" i="17"/>
  <c r="D4190" i="17"/>
  <c r="D4189" i="17"/>
  <c r="D4188" i="17"/>
  <c r="D4187" i="17"/>
  <c r="D4186" i="17"/>
  <c r="D4185" i="17"/>
  <c r="D4184" i="17"/>
  <c r="D4183" i="17"/>
  <c r="D4182" i="17"/>
  <c r="D4181" i="17"/>
  <c r="D4180" i="17"/>
  <c r="D4179" i="17"/>
  <c r="D4178" i="17"/>
  <c r="D4177" i="17"/>
  <c r="D4176" i="17"/>
  <c r="D4175" i="17"/>
  <c r="D4174" i="17"/>
  <c r="D4173" i="17"/>
  <c r="D4172" i="17"/>
  <c r="D4171" i="17"/>
  <c r="D4170" i="17"/>
  <c r="D4169" i="17"/>
  <c r="D4168" i="17"/>
  <c r="D4167" i="17"/>
  <c r="D4166" i="17"/>
  <c r="D4165" i="17"/>
  <c r="D4164" i="17"/>
  <c r="D4163" i="17"/>
  <c r="D4162" i="17"/>
  <c r="D4161" i="17"/>
  <c r="D4160" i="17"/>
  <c r="D4159" i="17"/>
  <c r="D4158" i="17"/>
  <c r="D4157" i="17"/>
  <c r="D4156" i="17"/>
  <c r="D4155" i="17"/>
  <c r="D4154" i="17"/>
  <c r="D4153" i="17"/>
  <c r="D4152" i="17"/>
  <c r="D4151" i="17"/>
  <c r="D4150" i="17"/>
  <c r="D4149" i="17"/>
  <c r="D4148" i="17"/>
  <c r="D4147" i="17"/>
  <c r="D4146" i="17"/>
  <c r="D4145" i="17"/>
  <c r="D4144" i="17"/>
  <c r="D4143" i="17"/>
  <c r="D4142" i="17"/>
  <c r="D4141" i="17"/>
  <c r="D4140" i="17"/>
  <c r="D4139" i="17"/>
  <c r="D4138" i="17"/>
  <c r="D4137" i="17"/>
  <c r="D4136" i="17"/>
  <c r="D4135" i="17"/>
  <c r="D4134" i="17"/>
  <c r="D4133" i="17"/>
  <c r="D4132" i="17"/>
  <c r="D4131" i="17"/>
  <c r="D4130" i="17"/>
  <c r="D4129" i="17"/>
  <c r="D4128" i="17"/>
  <c r="D4127" i="17"/>
  <c r="D4126" i="17"/>
  <c r="D4125" i="17"/>
  <c r="D4124" i="17"/>
  <c r="D4123" i="17"/>
  <c r="D4122" i="17"/>
  <c r="D4121" i="17"/>
  <c r="D4120" i="17"/>
  <c r="D4119" i="17"/>
  <c r="D4118" i="17"/>
  <c r="D4117" i="17"/>
  <c r="D4116" i="17"/>
  <c r="D4115" i="17"/>
  <c r="D4114" i="17"/>
  <c r="D4113" i="17"/>
  <c r="D4112" i="17"/>
  <c r="D4111" i="17"/>
  <c r="D4110" i="17"/>
  <c r="D4109" i="17"/>
  <c r="D4108" i="17"/>
  <c r="D4107" i="17"/>
  <c r="D4106" i="17"/>
  <c r="D4105" i="17"/>
  <c r="D4104" i="17"/>
  <c r="D4103" i="17"/>
  <c r="D4102" i="17"/>
  <c r="D4101" i="17"/>
  <c r="D4100" i="17"/>
  <c r="D4099" i="17"/>
  <c r="D4098" i="17"/>
  <c r="D4097" i="17"/>
  <c r="D4096" i="17"/>
  <c r="D4095" i="17"/>
  <c r="D4094" i="17"/>
  <c r="D4093" i="17"/>
  <c r="D4092" i="17"/>
  <c r="D4091" i="17"/>
  <c r="D4090" i="17"/>
  <c r="D4089" i="17"/>
  <c r="D4088" i="17"/>
  <c r="D4087" i="17"/>
  <c r="D4086" i="17"/>
  <c r="D4085" i="17"/>
  <c r="D4084" i="17"/>
  <c r="D4083" i="17"/>
  <c r="D4082" i="17"/>
  <c r="D4081" i="17"/>
  <c r="D4080" i="17"/>
  <c r="D4079" i="17"/>
  <c r="D4078" i="17"/>
  <c r="D4077" i="17"/>
  <c r="D4076" i="17"/>
  <c r="D4075" i="17"/>
  <c r="D4074" i="17"/>
  <c r="D4073" i="17"/>
  <c r="D4072" i="17"/>
  <c r="D4071" i="17"/>
  <c r="D4070" i="17"/>
  <c r="D4069" i="17"/>
  <c r="D4068" i="17"/>
  <c r="D4067" i="17"/>
  <c r="D4066" i="17"/>
  <c r="D4065" i="17"/>
  <c r="D4064" i="17"/>
  <c r="D4063" i="17"/>
  <c r="D4062" i="17"/>
  <c r="D4061" i="17"/>
  <c r="D4060" i="17"/>
  <c r="D4059" i="17"/>
  <c r="D4058" i="17"/>
  <c r="D4057" i="17"/>
  <c r="D4056" i="17"/>
  <c r="D4055" i="17"/>
  <c r="D4054" i="17"/>
  <c r="D4053" i="17"/>
  <c r="D4052" i="17"/>
  <c r="D4051" i="17"/>
  <c r="D4050" i="17"/>
  <c r="D4049" i="17"/>
  <c r="D4048" i="17"/>
  <c r="D4047" i="17"/>
  <c r="D4046" i="17"/>
  <c r="D4045" i="17"/>
  <c r="D4044" i="17"/>
  <c r="D4043" i="17"/>
  <c r="D4042" i="17"/>
  <c r="D4041" i="17"/>
  <c r="D4040" i="17"/>
  <c r="D4039" i="17"/>
  <c r="D4038" i="17"/>
  <c r="D4037" i="17"/>
  <c r="D4036" i="17"/>
  <c r="D4035" i="17"/>
  <c r="D4034" i="17"/>
  <c r="D4033" i="17"/>
  <c r="D4032" i="17"/>
  <c r="D4031" i="17"/>
  <c r="D4030" i="17"/>
  <c r="D4029" i="17"/>
  <c r="D4028" i="17"/>
  <c r="D4027" i="17"/>
  <c r="D4026" i="17"/>
  <c r="D4025" i="17"/>
  <c r="D4024" i="17"/>
  <c r="D4023" i="17"/>
  <c r="D4022" i="17"/>
  <c r="D4021" i="17"/>
  <c r="D4020" i="17"/>
  <c r="D4019" i="17"/>
  <c r="D4018" i="17"/>
  <c r="D4017" i="17"/>
  <c r="D4016" i="17"/>
  <c r="D4015" i="17"/>
  <c r="D4014" i="17"/>
  <c r="D4013" i="17"/>
  <c r="D4012" i="17"/>
  <c r="D4011" i="17"/>
  <c r="D4010" i="17"/>
  <c r="D4009" i="17"/>
  <c r="D4008" i="17"/>
  <c r="D4007" i="17"/>
  <c r="D4006" i="17"/>
  <c r="D4005" i="17"/>
  <c r="D4004" i="17"/>
  <c r="D4003" i="17"/>
  <c r="D4002" i="17"/>
  <c r="D4001" i="17"/>
  <c r="D4000" i="17"/>
  <c r="D3999" i="17"/>
  <c r="D3998" i="17"/>
  <c r="D3997" i="17"/>
  <c r="D3996" i="17"/>
  <c r="D3995" i="17"/>
  <c r="D3994" i="17"/>
  <c r="D3993" i="17"/>
  <c r="D3992" i="17"/>
  <c r="D3991" i="17"/>
  <c r="D3990" i="17"/>
  <c r="D3989" i="17"/>
  <c r="D3988" i="17"/>
  <c r="D3987" i="17"/>
  <c r="D3986" i="17"/>
  <c r="D3985" i="17"/>
  <c r="D3984" i="17"/>
  <c r="D3983" i="17"/>
  <c r="D3982" i="17"/>
  <c r="D3981" i="17"/>
  <c r="D3980" i="17"/>
  <c r="D3979" i="17"/>
  <c r="D3978" i="17"/>
  <c r="D3977" i="17"/>
  <c r="D3976" i="17"/>
  <c r="D3975" i="17"/>
  <c r="D3974" i="17"/>
  <c r="D3973" i="17"/>
  <c r="D3972" i="17"/>
  <c r="D3971" i="17"/>
  <c r="D3970" i="17"/>
  <c r="D3969" i="17"/>
  <c r="D3968" i="17"/>
  <c r="D3967" i="17"/>
  <c r="D3966" i="17"/>
  <c r="D3965" i="17"/>
  <c r="D3964" i="17"/>
  <c r="D3963" i="17"/>
  <c r="D3962" i="17"/>
  <c r="D3961" i="17"/>
  <c r="D3960" i="17"/>
  <c r="D3959" i="17"/>
  <c r="D3958" i="17"/>
  <c r="D3957" i="17"/>
  <c r="D3956" i="17"/>
  <c r="D3955" i="17"/>
  <c r="D3954" i="17"/>
  <c r="D3953" i="17"/>
  <c r="D3952" i="17"/>
  <c r="D3951" i="17"/>
  <c r="D3950" i="17"/>
  <c r="D3949" i="17"/>
  <c r="D3948" i="17"/>
  <c r="D3947" i="17"/>
  <c r="D3946" i="17"/>
  <c r="D3945" i="17"/>
  <c r="D3944" i="17"/>
  <c r="D3943" i="17"/>
  <c r="D3942" i="17"/>
  <c r="D3941" i="17"/>
  <c r="D3940" i="17"/>
  <c r="D3939" i="17"/>
  <c r="D3938" i="17"/>
  <c r="D3937" i="17"/>
  <c r="D3936" i="17"/>
  <c r="D3935" i="17"/>
  <c r="D3934" i="17"/>
  <c r="D3933" i="17"/>
  <c r="D3932" i="17"/>
  <c r="D3931" i="17"/>
  <c r="D3930" i="17"/>
  <c r="D3929" i="17"/>
  <c r="D3928" i="17"/>
  <c r="D3927" i="17"/>
  <c r="D3926" i="17"/>
  <c r="D3925" i="17"/>
  <c r="D3924" i="17"/>
  <c r="D3923" i="17"/>
  <c r="D3922" i="17"/>
  <c r="D3921" i="17"/>
  <c r="D3920" i="17"/>
  <c r="D3919" i="17"/>
  <c r="D3918" i="17"/>
  <c r="D3917" i="17"/>
  <c r="D3916" i="17"/>
  <c r="D3915" i="17"/>
  <c r="D3914" i="17"/>
  <c r="D3913" i="17"/>
  <c r="D3912" i="17"/>
  <c r="D3911" i="17"/>
  <c r="D3910" i="17"/>
  <c r="D3909" i="17"/>
  <c r="D3908" i="17"/>
  <c r="D3907" i="17"/>
  <c r="D3906" i="17"/>
  <c r="D3905" i="17"/>
  <c r="D3904" i="17"/>
  <c r="D3903" i="17"/>
  <c r="D3902" i="17"/>
  <c r="D3901" i="17"/>
  <c r="D3900" i="17"/>
  <c r="D3899" i="17"/>
  <c r="D3898" i="17"/>
  <c r="D3897" i="17"/>
  <c r="D3896" i="17"/>
  <c r="D3895" i="17"/>
  <c r="D3894" i="17"/>
  <c r="D3893" i="17"/>
  <c r="D3892" i="17"/>
  <c r="D3891" i="17"/>
  <c r="D3890" i="17"/>
  <c r="D3889" i="17"/>
  <c r="D3888" i="17"/>
  <c r="D3887" i="17"/>
  <c r="D3886" i="17"/>
  <c r="D3885" i="17"/>
  <c r="D3884" i="17"/>
  <c r="D3883" i="17"/>
  <c r="D3882" i="17"/>
  <c r="D3881" i="17"/>
  <c r="D3880" i="17"/>
  <c r="D3879" i="17"/>
  <c r="D3878" i="17"/>
  <c r="D3877" i="17"/>
  <c r="D3876" i="17"/>
  <c r="D3875" i="17"/>
  <c r="D3874" i="17"/>
  <c r="D3873" i="17"/>
  <c r="D3872" i="17"/>
  <c r="D3871" i="17"/>
  <c r="D3870" i="17"/>
  <c r="D3869" i="17"/>
  <c r="D3868" i="17"/>
  <c r="D3867" i="17"/>
  <c r="D3866" i="17"/>
  <c r="D3865" i="17"/>
  <c r="D3864" i="17"/>
  <c r="D3863" i="17"/>
  <c r="D3862" i="17"/>
  <c r="D3861" i="17"/>
  <c r="D3860" i="17"/>
  <c r="D3859" i="17"/>
  <c r="D3858" i="17"/>
  <c r="D3857" i="17"/>
  <c r="D3856" i="17"/>
  <c r="D3855" i="17"/>
  <c r="D3854" i="17"/>
  <c r="D3853" i="17"/>
  <c r="D3852" i="17"/>
  <c r="D3851" i="17"/>
  <c r="D3850" i="17"/>
  <c r="D3849" i="17"/>
  <c r="D3848" i="17"/>
  <c r="D3847" i="17"/>
  <c r="D3846" i="17"/>
  <c r="D3845" i="17"/>
  <c r="D3844" i="17"/>
  <c r="D3843" i="17"/>
  <c r="D3842" i="17"/>
  <c r="D3841" i="17"/>
  <c r="D3840" i="17"/>
  <c r="D3839" i="17"/>
  <c r="D3838" i="17"/>
  <c r="D3837" i="17"/>
  <c r="D3836" i="17"/>
  <c r="D3835" i="17"/>
  <c r="D3834" i="17"/>
  <c r="D3833" i="17"/>
  <c r="D3832" i="17"/>
  <c r="D3831" i="17"/>
  <c r="D3830" i="17"/>
  <c r="D3829" i="17"/>
  <c r="D3828" i="17"/>
  <c r="D3827" i="17"/>
  <c r="D3826" i="17"/>
  <c r="D3825" i="17"/>
  <c r="D3824" i="17"/>
  <c r="D3823" i="17"/>
  <c r="D3822" i="17"/>
  <c r="D3821" i="17"/>
  <c r="D3820" i="17"/>
  <c r="D3819" i="17"/>
  <c r="D3818" i="17"/>
  <c r="D3817" i="17"/>
  <c r="D3816" i="17"/>
  <c r="D3815" i="17"/>
  <c r="D3814" i="17"/>
  <c r="D3813" i="17"/>
  <c r="D3812" i="17"/>
  <c r="D3811" i="17"/>
  <c r="D3810" i="17"/>
  <c r="D3809" i="17"/>
  <c r="D3808" i="17"/>
  <c r="D3807" i="17"/>
  <c r="D3806" i="17"/>
  <c r="D3805" i="17"/>
  <c r="D3804" i="17"/>
  <c r="D3803" i="17"/>
  <c r="D3802" i="17"/>
  <c r="D3801" i="17"/>
  <c r="D3800" i="17"/>
  <c r="D3799" i="17"/>
  <c r="D3798" i="17"/>
  <c r="D3797" i="17"/>
  <c r="D3796" i="17"/>
  <c r="D3795" i="17"/>
  <c r="D3794" i="17"/>
  <c r="D3793" i="17"/>
  <c r="D3792" i="17"/>
  <c r="D3791" i="17"/>
  <c r="D3790" i="17"/>
  <c r="D3789" i="17"/>
  <c r="D3788" i="17"/>
  <c r="D3787" i="17"/>
  <c r="D3786" i="17"/>
  <c r="D3785" i="17"/>
  <c r="D3784" i="17"/>
  <c r="D3783" i="17"/>
  <c r="D3782" i="17"/>
  <c r="D3781" i="17"/>
  <c r="D3780" i="17"/>
  <c r="D3779" i="17"/>
  <c r="D3778" i="17"/>
  <c r="D3777" i="17"/>
  <c r="D3776" i="17"/>
  <c r="D3775" i="17"/>
  <c r="D3774" i="17"/>
  <c r="D3773" i="17"/>
  <c r="D3772" i="17"/>
  <c r="D3771" i="17"/>
  <c r="D3770" i="17"/>
  <c r="D3769" i="17"/>
  <c r="D3768" i="17"/>
  <c r="D3767" i="17"/>
  <c r="D3766" i="17"/>
  <c r="D3765" i="17"/>
  <c r="D3764" i="17"/>
  <c r="D3763" i="17"/>
  <c r="D3762" i="17"/>
  <c r="D3761" i="17"/>
  <c r="D3760" i="17"/>
  <c r="D3759" i="17"/>
  <c r="D3758" i="17"/>
  <c r="D3757" i="17"/>
  <c r="D3756" i="17"/>
  <c r="D3755" i="17"/>
  <c r="D3754" i="17"/>
  <c r="D3753" i="17"/>
  <c r="D3752" i="17"/>
  <c r="D3751" i="17"/>
  <c r="D3750" i="17"/>
  <c r="D3749" i="17"/>
  <c r="D3748" i="17"/>
  <c r="D3747" i="17"/>
  <c r="D3746" i="17"/>
  <c r="D3745" i="17"/>
  <c r="D3744" i="17"/>
  <c r="D3743" i="17"/>
  <c r="D3742" i="17"/>
  <c r="D3741" i="17"/>
  <c r="D3740" i="17"/>
  <c r="D3739" i="17"/>
  <c r="D3738" i="17"/>
  <c r="D3737" i="17"/>
  <c r="D3736" i="17"/>
  <c r="D3735" i="17"/>
  <c r="D3734" i="17"/>
  <c r="D3733" i="17"/>
  <c r="D3732" i="17"/>
  <c r="D3731" i="17"/>
  <c r="D3730" i="17"/>
  <c r="D3729" i="17"/>
  <c r="D3728" i="17"/>
  <c r="D3727" i="17"/>
  <c r="D3726" i="17"/>
  <c r="D3725" i="17"/>
  <c r="D3724" i="17"/>
  <c r="D3723" i="17"/>
  <c r="D3722" i="17"/>
  <c r="D3721" i="17"/>
  <c r="D3720" i="17"/>
  <c r="D3719" i="17"/>
  <c r="D3718" i="17"/>
  <c r="D3717" i="17"/>
  <c r="D3716" i="17"/>
  <c r="D3715" i="17"/>
  <c r="D3714" i="17"/>
  <c r="D3713" i="17"/>
  <c r="D3712" i="17"/>
  <c r="D3711" i="17"/>
  <c r="D3710" i="17"/>
  <c r="D3709" i="17"/>
  <c r="D3708" i="17"/>
  <c r="D3707" i="17"/>
  <c r="D3706" i="17"/>
  <c r="D3705" i="17"/>
  <c r="D3704" i="17"/>
  <c r="D3703" i="17"/>
  <c r="D3702" i="17"/>
  <c r="D3701" i="17"/>
  <c r="D3700" i="17"/>
  <c r="D3699" i="17"/>
  <c r="D3698" i="17"/>
  <c r="D3697" i="17"/>
  <c r="D3696" i="17"/>
  <c r="D3695" i="17"/>
  <c r="D3694" i="17"/>
  <c r="D3693" i="17"/>
  <c r="D3692" i="17"/>
  <c r="D3691" i="17"/>
  <c r="D3690" i="17"/>
  <c r="D3689" i="17"/>
  <c r="D3688" i="17"/>
  <c r="D3687" i="17"/>
  <c r="D3686" i="17"/>
  <c r="D3685" i="17"/>
  <c r="D3684" i="17"/>
  <c r="D3683" i="17"/>
  <c r="D3682" i="17"/>
  <c r="D3681" i="17"/>
  <c r="D3680" i="17"/>
  <c r="D3679" i="17"/>
  <c r="D3678" i="17"/>
  <c r="D3677" i="17"/>
  <c r="D3676" i="17"/>
  <c r="D3675" i="17"/>
  <c r="D3674" i="17"/>
  <c r="D3673" i="17"/>
  <c r="D3672" i="17"/>
  <c r="D3671" i="17"/>
  <c r="D3670" i="17"/>
  <c r="D3669" i="17"/>
  <c r="D3668" i="17"/>
  <c r="D3667" i="17"/>
  <c r="D3666" i="17"/>
  <c r="D3665" i="17"/>
  <c r="D3664" i="17"/>
  <c r="D3663" i="17"/>
  <c r="D3662" i="17"/>
  <c r="D3661" i="17"/>
  <c r="D3660" i="17"/>
  <c r="D3659" i="17"/>
  <c r="D3658" i="17"/>
  <c r="D3657" i="17"/>
  <c r="D3656" i="17"/>
  <c r="D3655" i="17"/>
  <c r="D3654" i="17"/>
  <c r="D3653" i="17"/>
  <c r="D3652" i="17"/>
  <c r="D3651" i="17"/>
  <c r="D3650" i="17"/>
  <c r="D3649" i="17"/>
  <c r="D3648" i="17"/>
  <c r="D3647" i="17"/>
  <c r="D3646" i="17"/>
  <c r="D3645" i="17"/>
  <c r="D3644" i="17"/>
  <c r="D3643" i="17"/>
  <c r="D3642" i="17"/>
  <c r="D3641" i="17"/>
  <c r="D3640" i="17"/>
  <c r="D3639" i="17"/>
  <c r="D3638" i="17"/>
  <c r="D3637" i="17"/>
  <c r="D3636" i="17"/>
  <c r="D3635" i="17"/>
  <c r="D3634" i="17"/>
  <c r="D3633" i="17"/>
  <c r="D3632" i="17"/>
  <c r="D3631" i="17"/>
  <c r="D3630" i="17"/>
  <c r="D3629" i="17"/>
  <c r="D3628" i="17"/>
  <c r="D3627" i="17"/>
  <c r="D3626" i="17"/>
  <c r="D3625" i="17"/>
  <c r="D3624" i="17"/>
  <c r="D3623" i="17"/>
  <c r="D3622" i="17"/>
  <c r="D3621" i="17"/>
  <c r="D3620" i="17"/>
  <c r="D3619" i="17"/>
  <c r="D3618" i="17"/>
  <c r="D3617" i="17"/>
  <c r="D3616" i="17"/>
  <c r="D3615" i="17"/>
  <c r="D3614" i="17"/>
  <c r="D3613" i="17"/>
  <c r="D3612" i="17"/>
  <c r="D3611" i="17"/>
  <c r="D3610" i="17"/>
  <c r="D3609" i="17"/>
  <c r="D3608" i="17"/>
  <c r="D3607" i="17"/>
  <c r="D3606" i="17"/>
  <c r="D3605" i="17"/>
  <c r="D3604" i="17"/>
  <c r="D3603" i="17"/>
  <c r="D3602" i="17"/>
  <c r="D3601" i="17"/>
  <c r="D3600" i="17"/>
  <c r="D3599" i="17"/>
  <c r="D3598" i="17"/>
  <c r="D3597" i="17"/>
  <c r="D3596" i="17"/>
  <c r="D3595" i="17"/>
  <c r="D3594" i="17"/>
  <c r="D3593" i="17"/>
  <c r="D3592" i="17"/>
  <c r="D3591" i="17"/>
  <c r="D3590" i="17"/>
  <c r="D3589" i="17"/>
  <c r="D3588" i="17"/>
  <c r="D3587" i="17"/>
  <c r="D3586" i="17"/>
  <c r="D3585" i="17"/>
  <c r="D3584" i="17"/>
  <c r="D3583" i="17"/>
  <c r="D3582" i="17"/>
  <c r="D3581" i="17"/>
  <c r="D3580" i="17"/>
  <c r="D3579" i="17"/>
  <c r="D3578" i="17"/>
  <c r="D3577" i="17"/>
  <c r="D3576" i="17"/>
  <c r="D3575" i="17"/>
  <c r="D3574" i="17"/>
  <c r="D3573" i="17"/>
  <c r="D3572" i="17"/>
  <c r="D3571" i="17"/>
  <c r="D3570" i="17"/>
  <c r="D3569" i="17"/>
  <c r="D3568" i="17"/>
  <c r="D3567" i="17"/>
  <c r="D3566" i="17"/>
  <c r="D3565" i="17"/>
  <c r="D3564" i="17"/>
  <c r="D3563" i="17"/>
  <c r="D3562" i="17"/>
  <c r="D3561" i="17"/>
  <c r="D3560" i="17"/>
  <c r="D3559" i="17"/>
  <c r="D3558" i="17"/>
  <c r="D3557" i="17"/>
  <c r="D3556" i="17"/>
  <c r="D3555" i="17"/>
  <c r="D3554" i="17"/>
  <c r="D3553" i="17"/>
  <c r="D3552" i="17"/>
  <c r="D3551" i="17"/>
  <c r="D3550" i="17"/>
  <c r="D3549" i="17"/>
  <c r="D3548" i="17"/>
  <c r="D3547" i="17"/>
  <c r="D3546" i="17"/>
  <c r="D3545" i="17"/>
  <c r="D3544" i="17"/>
  <c r="D3543" i="17"/>
  <c r="D3542" i="17"/>
  <c r="D3541" i="17"/>
  <c r="D3540" i="17"/>
  <c r="D3539" i="17"/>
  <c r="D3538" i="17"/>
  <c r="D3537" i="17"/>
  <c r="D3536" i="17"/>
  <c r="D3535" i="17"/>
  <c r="D3534" i="17"/>
  <c r="D3533" i="17"/>
  <c r="D3532" i="17"/>
  <c r="D3531" i="17"/>
  <c r="D3530" i="17"/>
  <c r="D3529" i="17"/>
  <c r="D3528" i="17"/>
  <c r="D3527" i="17"/>
  <c r="D3526" i="17"/>
  <c r="D3525" i="17"/>
  <c r="D3524" i="17"/>
  <c r="D3523" i="17"/>
  <c r="D3522" i="17"/>
  <c r="D3521" i="17"/>
  <c r="D3520" i="17"/>
  <c r="D3519" i="17"/>
  <c r="D3518" i="17"/>
  <c r="D3517" i="17"/>
  <c r="D3516" i="17"/>
  <c r="D3515" i="17"/>
  <c r="D3514" i="17"/>
  <c r="D3513" i="17"/>
  <c r="D3512" i="17"/>
  <c r="D3511" i="17"/>
  <c r="D3510" i="17"/>
  <c r="D3509" i="17"/>
  <c r="D3508" i="17"/>
  <c r="D3507" i="17"/>
  <c r="D3506" i="17"/>
  <c r="D3505" i="17"/>
  <c r="D3504" i="17"/>
  <c r="D3503" i="17"/>
  <c r="D3502" i="17"/>
  <c r="D3501" i="17"/>
  <c r="D3500" i="17"/>
  <c r="D3499" i="17"/>
  <c r="D3498" i="17"/>
  <c r="D3497" i="17"/>
  <c r="D3496" i="17"/>
  <c r="D3495" i="17"/>
  <c r="D3494" i="17"/>
  <c r="D3493" i="17"/>
  <c r="D3492" i="17"/>
  <c r="D3491" i="17"/>
  <c r="D3490" i="17"/>
  <c r="D3489" i="17"/>
  <c r="D3488" i="17"/>
  <c r="D3487" i="17"/>
  <c r="D3486" i="17"/>
  <c r="D3485" i="17"/>
  <c r="D3484" i="17"/>
  <c r="D3483" i="17"/>
  <c r="D3482" i="17"/>
  <c r="D3481" i="17"/>
  <c r="D3480" i="17"/>
  <c r="D3479" i="17"/>
  <c r="D3478" i="17"/>
  <c r="D3477" i="17"/>
  <c r="D3476" i="17"/>
  <c r="D3475" i="17"/>
  <c r="D3474" i="17"/>
  <c r="D3473" i="17"/>
  <c r="D3472" i="17"/>
  <c r="D3471" i="17"/>
  <c r="D3470" i="17"/>
  <c r="D3469" i="17"/>
  <c r="D3468" i="17"/>
  <c r="D3467" i="17"/>
  <c r="D3466" i="17"/>
  <c r="D3465" i="17"/>
  <c r="D3464" i="17"/>
  <c r="D3463" i="17"/>
  <c r="D3462" i="17"/>
  <c r="D3461" i="17"/>
  <c r="D3460" i="17"/>
  <c r="D3459" i="17"/>
  <c r="D3458" i="17"/>
  <c r="D3457" i="17"/>
  <c r="D3456" i="17"/>
  <c r="D3455" i="17"/>
  <c r="D3454" i="17"/>
  <c r="D3453" i="17"/>
  <c r="D3452" i="17"/>
  <c r="D3451" i="17"/>
  <c r="D3450" i="17"/>
  <c r="D3449" i="17"/>
  <c r="D3448" i="17"/>
  <c r="D3447" i="17"/>
  <c r="D3446" i="17"/>
  <c r="D3445" i="17"/>
  <c r="D3444" i="17"/>
  <c r="D3443" i="17"/>
  <c r="D3442" i="17"/>
  <c r="D3441" i="17"/>
  <c r="D3440" i="17"/>
  <c r="D3439" i="17"/>
  <c r="D3438" i="17"/>
  <c r="D3437" i="17"/>
  <c r="D3436" i="17"/>
  <c r="D3435" i="17"/>
  <c r="D3434" i="17"/>
  <c r="D3433" i="17"/>
  <c r="D3432" i="17"/>
  <c r="D3431" i="17"/>
  <c r="D3430" i="17"/>
  <c r="D3429" i="17"/>
  <c r="D3428" i="17"/>
  <c r="D3427" i="17"/>
  <c r="D3426" i="17"/>
  <c r="D3425" i="17"/>
  <c r="D3424" i="17"/>
  <c r="D3423" i="17"/>
  <c r="D3422" i="17"/>
  <c r="D3421" i="17"/>
  <c r="D3420" i="17"/>
  <c r="D3419" i="17"/>
  <c r="D3418" i="17"/>
  <c r="D3417" i="17"/>
  <c r="D3416" i="17"/>
  <c r="D3415" i="17"/>
  <c r="D3414" i="17"/>
  <c r="D3413" i="17"/>
  <c r="D3412" i="17"/>
  <c r="D3411" i="17"/>
  <c r="D3410" i="17"/>
  <c r="D3409" i="17"/>
  <c r="D3408" i="17"/>
  <c r="D3407" i="17"/>
  <c r="D3406" i="17"/>
  <c r="D3405" i="17"/>
  <c r="D3404" i="17"/>
  <c r="D3403" i="17"/>
  <c r="D3402" i="17"/>
  <c r="D3401" i="17"/>
  <c r="D3400" i="17"/>
  <c r="D3399" i="17"/>
  <c r="D3398" i="17"/>
  <c r="D3397" i="17"/>
  <c r="D3396" i="17"/>
  <c r="D3395" i="17"/>
  <c r="D3394" i="17"/>
  <c r="D3393" i="17"/>
  <c r="D3392" i="17"/>
  <c r="D3391" i="17"/>
  <c r="D3390" i="17"/>
  <c r="D3389" i="17"/>
  <c r="D3388" i="17"/>
  <c r="D3387" i="17"/>
  <c r="D3386" i="17"/>
  <c r="D3385" i="17"/>
  <c r="D3384" i="17"/>
  <c r="D3383" i="17"/>
  <c r="D3382" i="17"/>
  <c r="D3381" i="17"/>
  <c r="D3380" i="17"/>
  <c r="D3379" i="17"/>
  <c r="D3378" i="17"/>
  <c r="D3377" i="17"/>
  <c r="D3376" i="17"/>
  <c r="D3375" i="17"/>
  <c r="D3374" i="17"/>
  <c r="D3373" i="17"/>
  <c r="D3372" i="17"/>
  <c r="D3371" i="17"/>
  <c r="D3370" i="17"/>
  <c r="D3369" i="17"/>
  <c r="D3368" i="17"/>
  <c r="D3367" i="17"/>
  <c r="D3366" i="17"/>
  <c r="D3365" i="17"/>
  <c r="D3364" i="17"/>
  <c r="D3363" i="17"/>
  <c r="D3362" i="17"/>
  <c r="D3361" i="17"/>
  <c r="D3360" i="17"/>
  <c r="D3359" i="17"/>
  <c r="D3358" i="17"/>
  <c r="D3357" i="17"/>
  <c r="D3356" i="17"/>
  <c r="D3355" i="17"/>
  <c r="D3354" i="17"/>
  <c r="D3353" i="17"/>
  <c r="D3352" i="17"/>
  <c r="D3351" i="17"/>
  <c r="D3350" i="17"/>
  <c r="D3349" i="17"/>
  <c r="D3348" i="17"/>
  <c r="D3347" i="17"/>
  <c r="D3346" i="17"/>
  <c r="D3345" i="17"/>
  <c r="D3344" i="17"/>
  <c r="D3343" i="17"/>
  <c r="D3342" i="17"/>
  <c r="D3341" i="17"/>
  <c r="D3340" i="17"/>
  <c r="D3339" i="17"/>
  <c r="D3338" i="17"/>
  <c r="D3337" i="17"/>
  <c r="D3336" i="17"/>
  <c r="D3335" i="17"/>
  <c r="D3334" i="17"/>
  <c r="D3333" i="17"/>
  <c r="D3332" i="17"/>
  <c r="D3331" i="17"/>
  <c r="D3330" i="17"/>
  <c r="D3329" i="17"/>
  <c r="D3328" i="17"/>
  <c r="D3327" i="17"/>
  <c r="D3326" i="17"/>
  <c r="D3325" i="17"/>
  <c r="D3324" i="17"/>
  <c r="D3323" i="17"/>
  <c r="D3322" i="17"/>
  <c r="D3321" i="17"/>
  <c r="D3320" i="17"/>
  <c r="D3319" i="17"/>
  <c r="D3318" i="17"/>
  <c r="D3317" i="17"/>
  <c r="D3316" i="17"/>
  <c r="D3315" i="17"/>
  <c r="D3314" i="17"/>
  <c r="D3313" i="17"/>
  <c r="D3312" i="17"/>
  <c r="D3311" i="17"/>
  <c r="D3310" i="17"/>
  <c r="D3309" i="17"/>
  <c r="D3308" i="17"/>
  <c r="D3307" i="17"/>
  <c r="D3306" i="17"/>
  <c r="D3305" i="17"/>
  <c r="D3304" i="17"/>
  <c r="D3303" i="17"/>
  <c r="D3302" i="17"/>
  <c r="D3301" i="17"/>
  <c r="D3300" i="17"/>
  <c r="D3299" i="17"/>
  <c r="D3298" i="17"/>
  <c r="D3297" i="17"/>
  <c r="D3296" i="17"/>
  <c r="D3295" i="17"/>
  <c r="D3294" i="17"/>
  <c r="D3293" i="17"/>
  <c r="D3292" i="17"/>
  <c r="D3291" i="17"/>
  <c r="D3290" i="17"/>
  <c r="D3289" i="17"/>
  <c r="D3288" i="17"/>
  <c r="D3287" i="17"/>
  <c r="D3286" i="17"/>
  <c r="D3285" i="17"/>
  <c r="D3284" i="17"/>
  <c r="D3283" i="17"/>
  <c r="D3282" i="17"/>
  <c r="D3281" i="17"/>
  <c r="D3280" i="17"/>
  <c r="D3279" i="17"/>
  <c r="D3278" i="17"/>
  <c r="D3277" i="17"/>
  <c r="D3276" i="17"/>
  <c r="D3275" i="17"/>
  <c r="D3274" i="17"/>
  <c r="D3273" i="17"/>
  <c r="D3272" i="17"/>
  <c r="D3271" i="17"/>
  <c r="D3270" i="17"/>
  <c r="D3269" i="17"/>
  <c r="D3268" i="17"/>
  <c r="D3267" i="17"/>
  <c r="D3266" i="17"/>
  <c r="D3265" i="17"/>
  <c r="D3264" i="17"/>
  <c r="D3263" i="17"/>
  <c r="D3262" i="17"/>
  <c r="D3261" i="17"/>
  <c r="D3260" i="17"/>
  <c r="D3259" i="17"/>
  <c r="D3258" i="17"/>
  <c r="D3257" i="17"/>
  <c r="D3256" i="17"/>
  <c r="D3255" i="17"/>
  <c r="D3254" i="17"/>
  <c r="D3253" i="17"/>
  <c r="D3252" i="17"/>
  <c r="D3251" i="17"/>
  <c r="D3250" i="17"/>
  <c r="D3249" i="17"/>
  <c r="D3248" i="17"/>
  <c r="D3247" i="17"/>
  <c r="D3246" i="17"/>
  <c r="D3245" i="17"/>
  <c r="D3244" i="17"/>
  <c r="D3243" i="17"/>
  <c r="D3242" i="17"/>
  <c r="D3241" i="17"/>
  <c r="D3240" i="17"/>
  <c r="D3239" i="17"/>
  <c r="D3238" i="17"/>
  <c r="D3237" i="17"/>
  <c r="D3236" i="17"/>
  <c r="D3235" i="17"/>
  <c r="D3234" i="17"/>
  <c r="D3233" i="17"/>
  <c r="D3232" i="17"/>
  <c r="D3231" i="17"/>
  <c r="D3230" i="17"/>
  <c r="D3229" i="17"/>
  <c r="D3228" i="17"/>
  <c r="D3227" i="17"/>
  <c r="D3226" i="17"/>
  <c r="D3225" i="17"/>
  <c r="D3224" i="17"/>
  <c r="D3223" i="17"/>
  <c r="D3222" i="17"/>
  <c r="D3221" i="17"/>
  <c r="D3220" i="17"/>
  <c r="D3219" i="17"/>
  <c r="D3218" i="17"/>
  <c r="D3217" i="17"/>
  <c r="D3216" i="17"/>
  <c r="D3215" i="17"/>
  <c r="D3214" i="17"/>
  <c r="D3213" i="17"/>
  <c r="D3212" i="17"/>
  <c r="D3211" i="17"/>
  <c r="D3210" i="17"/>
  <c r="D3209" i="17"/>
  <c r="D3208" i="17"/>
  <c r="D3207" i="17"/>
  <c r="D3206" i="17"/>
  <c r="D3205" i="17"/>
  <c r="D3204" i="17"/>
  <c r="D3203" i="17"/>
  <c r="D3202" i="17"/>
  <c r="D3201" i="17"/>
  <c r="D3200" i="17"/>
  <c r="D3199" i="17"/>
  <c r="D3198" i="17"/>
  <c r="D3197" i="17"/>
  <c r="D3196" i="17"/>
  <c r="D3195" i="17"/>
  <c r="D3194" i="17"/>
  <c r="D3193" i="17"/>
  <c r="D3192" i="17"/>
  <c r="D3191" i="17"/>
  <c r="D3190" i="17"/>
  <c r="D3189" i="17"/>
  <c r="D3188" i="17"/>
  <c r="D3187" i="17"/>
  <c r="D3186" i="17"/>
  <c r="D3185" i="17"/>
  <c r="D3184" i="17"/>
  <c r="D3183" i="17"/>
  <c r="D3182" i="17"/>
  <c r="D3181" i="17"/>
  <c r="D3180" i="17"/>
  <c r="D3179" i="17"/>
  <c r="D3178" i="17"/>
  <c r="D3177" i="17"/>
  <c r="D3176" i="17"/>
  <c r="D3175" i="17"/>
  <c r="D3174" i="17"/>
  <c r="D3173" i="17"/>
  <c r="D3172" i="17"/>
  <c r="D3171" i="17"/>
  <c r="D3170" i="17"/>
  <c r="D3169" i="17"/>
  <c r="D3168" i="17"/>
  <c r="D3167" i="17"/>
  <c r="D3166" i="17"/>
  <c r="D3165" i="17"/>
  <c r="D3164" i="17"/>
  <c r="D3163" i="17"/>
  <c r="D3162" i="17"/>
  <c r="D3161" i="17"/>
  <c r="D3160" i="17"/>
  <c r="D3159" i="17"/>
  <c r="D3158" i="17"/>
  <c r="D3157" i="17"/>
  <c r="D3156" i="17"/>
  <c r="D3155" i="17"/>
  <c r="D3154" i="17"/>
  <c r="D3153" i="17"/>
  <c r="D3152" i="17"/>
  <c r="D3151" i="17"/>
  <c r="D3150" i="17"/>
  <c r="D3149" i="17"/>
  <c r="D3148" i="17"/>
  <c r="D3147" i="17"/>
  <c r="D3146" i="17"/>
  <c r="D3145" i="17"/>
  <c r="D3144" i="17"/>
  <c r="D3143" i="17"/>
  <c r="D3142" i="17"/>
  <c r="D3141" i="17"/>
  <c r="D3140" i="17"/>
  <c r="D3139" i="17"/>
  <c r="D3138" i="17"/>
  <c r="D3137" i="17"/>
  <c r="D3136" i="17"/>
  <c r="D3135" i="17"/>
  <c r="D3134" i="17"/>
  <c r="D3133" i="17"/>
  <c r="D3132" i="17"/>
  <c r="D3131" i="17"/>
  <c r="D3130" i="17"/>
  <c r="D3129" i="17"/>
  <c r="D3128" i="17"/>
  <c r="D3127" i="17"/>
  <c r="D3126" i="17"/>
  <c r="D3125" i="17"/>
  <c r="D3124" i="17"/>
  <c r="D3123" i="17"/>
  <c r="D3122" i="17"/>
  <c r="D3121" i="17"/>
  <c r="D3120" i="17"/>
  <c r="D3119" i="17"/>
  <c r="D3118" i="17"/>
  <c r="D3117" i="17"/>
  <c r="D3116" i="17"/>
  <c r="D3115" i="17"/>
  <c r="D3114" i="17"/>
  <c r="D3113" i="17"/>
  <c r="D3112" i="17"/>
  <c r="D3111" i="17"/>
  <c r="D3110" i="17"/>
  <c r="D3109" i="17"/>
  <c r="D3108" i="17"/>
  <c r="D3107" i="17"/>
  <c r="D3106" i="17"/>
  <c r="D3105" i="17"/>
  <c r="D3104" i="17"/>
  <c r="D3103" i="17"/>
  <c r="D3102" i="17"/>
  <c r="D3101" i="17"/>
  <c r="D3100" i="17"/>
  <c r="D3099" i="17"/>
  <c r="D3098" i="17"/>
  <c r="D3097" i="17"/>
  <c r="D3096" i="17"/>
  <c r="D3095" i="17"/>
  <c r="D3094" i="17"/>
  <c r="D3093" i="17"/>
  <c r="D3092" i="17"/>
  <c r="D3091" i="17"/>
  <c r="D3090" i="17"/>
  <c r="D3089" i="17"/>
  <c r="D3088" i="17"/>
  <c r="D3087" i="17"/>
  <c r="D3086" i="17"/>
  <c r="D3085" i="17"/>
  <c r="D3084" i="17"/>
  <c r="D3083" i="17"/>
  <c r="D3082" i="17"/>
  <c r="D3081" i="17"/>
  <c r="D3080" i="17"/>
  <c r="D3079" i="17"/>
  <c r="D3078" i="17"/>
  <c r="D3077" i="17"/>
  <c r="D3076" i="17"/>
  <c r="D3075" i="17"/>
  <c r="D3074" i="17"/>
  <c r="D3073" i="17"/>
  <c r="D3072" i="17"/>
  <c r="D3071" i="17"/>
  <c r="D3070" i="17"/>
  <c r="D3069" i="17"/>
  <c r="D3068" i="17"/>
  <c r="D3067" i="17"/>
  <c r="D3066" i="17"/>
  <c r="D3065" i="17"/>
  <c r="D3064" i="17"/>
  <c r="D3063" i="17"/>
  <c r="D3062" i="17"/>
  <c r="D3061" i="17"/>
  <c r="D3060" i="17"/>
  <c r="D3059" i="17"/>
  <c r="D3058" i="17"/>
  <c r="D3057" i="17"/>
  <c r="D3056" i="17"/>
  <c r="D3055" i="17"/>
  <c r="D3054" i="17"/>
  <c r="D3053" i="17"/>
  <c r="D3052" i="17"/>
  <c r="D3051" i="17"/>
  <c r="D3050" i="17"/>
  <c r="D3049" i="17"/>
  <c r="D3048" i="17"/>
  <c r="D3047" i="17"/>
  <c r="D3046" i="17"/>
  <c r="D3045" i="17"/>
  <c r="D3044" i="17"/>
  <c r="D3043" i="17"/>
  <c r="D3042" i="17"/>
  <c r="D3041" i="17"/>
  <c r="D3040" i="17"/>
  <c r="D3039" i="17"/>
  <c r="D3038" i="17"/>
  <c r="D3037" i="17"/>
  <c r="D3036" i="17"/>
  <c r="D3035" i="17"/>
  <c r="D3034" i="17"/>
  <c r="D3033" i="17"/>
  <c r="D3032" i="17"/>
  <c r="D3031" i="17"/>
  <c r="D3030" i="17"/>
  <c r="D3029" i="17"/>
  <c r="D3028" i="17"/>
  <c r="D3027" i="17"/>
  <c r="D3026" i="17"/>
  <c r="D3025" i="17"/>
  <c r="D3024" i="17"/>
  <c r="D3023" i="17"/>
  <c r="D3022" i="17"/>
  <c r="D3021" i="17"/>
  <c r="D3020" i="17"/>
  <c r="D3019" i="17"/>
  <c r="D3018" i="17"/>
  <c r="D3017" i="17"/>
  <c r="D3016" i="17"/>
  <c r="D3015" i="17"/>
  <c r="D3014" i="17"/>
  <c r="D3013" i="17"/>
  <c r="D3012" i="17"/>
  <c r="D3011" i="17"/>
  <c r="D3010" i="17"/>
  <c r="D3009" i="17"/>
  <c r="D3008" i="17"/>
  <c r="D3007" i="17"/>
  <c r="D3006" i="17"/>
  <c r="D3005" i="17"/>
  <c r="D3004" i="17"/>
  <c r="D3003" i="17"/>
  <c r="D3002" i="17"/>
  <c r="D3001" i="17"/>
  <c r="D3000" i="17"/>
  <c r="D2999" i="17"/>
  <c r="D2998" i="17"/>
  <c r="D2997" i="17"/>
  <c r="D2996" i="17"/>
  <c r="D2995" i="17"/>
  <c r="D2994" i="17"/>
  <c r="D2993" i="17"/>
  <c r="D2992" i="17"/>
  <c r="D2991" i="17"/>
  <c r="D2990" i="17"/>
  <c r="D2989" i="17"/>
  <c r="D2988" i="17"/>
  <c r="D2987" i="17"/>
  <c r="D2986" i="17"/>
  <c r="D2985" i="17"/>
  <c r="D2984" i="17"/>
  <c r="D2983" i="17"/>
  <c r="D2982" i="17"/>
  <c r="D2981" i="17"/>
  <c r="D2980" i="17"/>
  <c r="D2979" i="17"/>
  <c r="D2978" i="17"/>
  <c r="D2977" i="17"/>
  <c r="D2976" i="17"/>
  <c r="D2975" i="17"/>
  <c r="D2974" i="17"/>
  <c r="D2973" i="17"/>
  <c r="D2972" i="17"/>
  <c r="D2971" i="17"/>
  <c r="D2970" i="17"/>
  <c r="D2969" i="17"/>
  <c r="D2968" i="17"/>
  <c r="D2967" i="17"/>
  <c r="D2966" i="17"/>
  <c r="D2965" i="17"/>
  <c r="D2964" i="17"/>
  <c r="D2963" i="17"/>
  <c r="D2962" i="17"/>
  <c r="D2961" i="17"/>
  <c r="D2960" i="17"/>
  <c r="D2959" i="17"/>
  <c r="D2958" i="17"/>
  <c r="D2957" i="17"/>
  <c r="D2956" i="17"/>
  <c r="D2955" i="17"/>
  <c r="D2954" i="17"/>
  <c r="D2953" i="17"/>
  <c r="D2952" i="17"/>
  <c r="D2951" i="17"/>
  <c r="D2950" i="17"/>
  <c r="D2949" i="17"/>
  <c r="D2948" i="17"/>
  <c r="D2947" i="17"/>
  <c r="D2946" i="17"/>
  <c r="D2945" i="17"/>
  <c r="D2944" i="17"/>
  <c r="D2943" i="17"/>
  <c r="D2942" i="17"/>
  <c r="D2941" i="17"/>
  <c r="D2940" i="17"/>
  <c r="D2939" i="17"/>
  <c r="D2938" i="17"/>
  <c r="D2937" i="17"/>
  <c r="D2936" i="17"/>
  <c r="D2935" i="17"/>
  <c r="D2934" i="17"/>
  <c r="D2933" i="17"/>
  <c r="D2932" i="17"/>
  <c r="D2931" i="17"/>
  <c r="D2930" i="17"/>
  <c r="D2929" i="17"/>
  <c r="D2928" i="17"/>
  <c r="D2927" i="17"/>
  <c r="D2926" i="17"/>
  <c r="D2925" i="17"/>
  <c r="D2924" i="17"/>
  <c r="D2923" i="17"/>
  <c r="D2922" i="17"/>
  <c r="D2921" i="17"/>
  <c r="D2920" i="17"/>
  <c r="D2919" i="17"/>
  <c r="D2918" i="17"/>
  <c r="D2917" i="17"/>
  <c r="D2916" i="17"/>
  <c r="D2915" i="17"/>
  <c r="D2914" i="17"/>
  <c r="D2913" i="17"/>
  <c r="D2912" i="17"/>
  <c r="D2911" i="17"/>
  <c r="D2910" i="17"/>
  <c r="D2909" i="17"/>
  <c r="D2908" i="17"/>
  <c r="D2907" i="17"/>
  <c r="D2906" i="17"/>
  <c r="D2905" i="17"/>
  <c r="D2904" i="17"/>
  <c r="D2903" i="17"/>
  <c r="D2902" i="17"/>
  <c r="D2901" i="17"/>
  <c r="D2900" i="17"/>
  <c r="D2899" i="17"/>
  <c r="D2898" i="17"/>
  <c r="D2897" i="17"/>
  <c r="D2896" i="17"/>
  <c r="D2895" i="17"/>
  <c r="D2894" i="17"/>
  <c r="D2893" i="17"/>
  <c r="D2892" i="17"/>
  <c r="D2891" i="17"/>
  <c r="D2890" i="17"/>
  <c r="D2889" i="17"/>
  <c r="D2888" i="17"/>
  <c r="D2887" i="17"/>
  <c r="D2886" i="17"/>
  <c r="D2885" i="17"/>
  <c r="D2884" i="17"/>
  <c r="D2883" i="17"/>
  <c r="D2882" i="17"/>
  <c r="D2881" i="17"/>
  <c r="D2880" i="17"/>
  <c r="D2879" i="17"/>
  <c r="D2878" i="17"/>
  <c r="D2877" i="17"/>
  <c r="D2876" i="17"/>
  <c r="D2875" i="17"/>
  <c r="D2874" i="17"/>
  <c r="D2873" i="17"/>
  <c r="D2872" i="17"/>
  <c r="D2871" i="17"/>
  <c r="D2870" i="17"/>
  <c r="D2869" i="17"/>
  <c r="D2868" i="17"/>
  <c r="D2867" i="17"/>
  <c r="D2866" i="17"/>
  <c r="D2865" i="17"/>
  <c r="D2864" i="17"/>
  <c r="D2863" i="17"/>
  <c r="D2862" i="17"/>
  <c r="D2861" i="17"/>
  <c r="D2860" i="17"/>
  <c r="D2859" i="17"/>
  <c r="D2858" i="17"/>
  <c r="D2857" i="17"/>
  <c r="D2856" i="17"/>
  <c r="D2855" i="17"/>
  <c r="D2854" i="17"/>
  <c r="D2853" i="17"/>
  <c r="D2852" i="17"/>
  <c r="D2851" i="17"/>
  <c r="D2850" i="17"/>
  <c r="D2849" i="17"/>
  <c r="D2848" i="17"/>
  <c r="D2847" i="17"/>
  <c r="D2846" i="17"/>
  <c r="D2845" i="17"/>
  <c r="D2844" i="17"/>
  <c r="D2843" i="17"/>
  <c r="D2842" i="17"/>
  <c r="D2841" i="17"/>
  <c r="D2840" i="17"/>
  <c r="D2839" i="17"/>
  <c r="D2838" i="17"/>
  <c r="D2837" i="17"/>
  <c r="D2836" i="17"/>
  <c r="D2835" i="17"/>
  <c r="D2834" i="17"/>
  <c r="D2833" i="17"/>
  <c r="D2832" i="17"/>
  <c r="D2831" i="17"/>
  <c r="D2830" i="17"/>
  <c r="D2829" i="17"/>
  <c r="D2828" i="17"/>
  <c r="D2827" i="17"/>
  <c r="D2826" i="17"/>
  <c r="D2825" i="17"/>
  <c r="D2824" i="17"/>
  <c r="D2823" i="17"/>
  <c r="D2822" i="17"/>
  <c r="D2821" i="17"/>
  <c r="D2820" i="17"/>
  <c r="D2819" i="17"/>
  <c r="D2818" i="17"/>
  <c r="D2817" i="17"/>
  <c r="D2816" i="17"/>
  <c r="D2815" i="17"/>
  <c r="D2814" i="17"/>
  <c r="D2813" i="17"/>
  <c r="D2812" i="17"/>
  <c r="D2811" i="17"/>
  <c r="D2810" i="17"/>
  <c r="D2809" i="17"/>
  <c r="D2808" i="17"/>
  <c r="D2807" i="17"/>
  <c r="D2806" i="17"/>
  <c r="D2805" i="17"/>
  <c r="D2804" i="17"/>
  <c r="D2803" i="17"/>
  <c r="D2802" i="17"/>
  <c r="D2801" i="17"/>
  <c r="D2800" i="17"/>
  <c r="D2799" i="17"/>
  <c r="D2798" i="17"/>
  <c r="D2797" i="17"/>
  <c r="D2796" i="17"/>
  <c r="D2795" i="17"/>
  <c r="D2794" i="17"/>
  <c r="D2793" i="17"/>
  <c r="D2792" i="17"/>
  <c r="D2791" i="17"/>
  <c r="D2790" i="17"/>
  <c r="D2789" i="17"/>
  <c r="D2788" i="17"/>
  <c r="D2787" i="17"/>
  <c r="D2786" i="17"/>
  <c r="D2785" i="17"/>
  <c r="D2784" i="17"/>
  <c r="D2783" i="17"/>
  <c r="D2782" i="17"/>
  <c r="D2781" i="17"/>
  <c r="D2780" i="17"/>
  <c r="D2779" i="17"/>
  <c r="D2778" i="17"/>
  <c r="D2777" i="17"/>
  <c r="D2776" i="17"/>
  <c r="D2775" i="17"/>
  <c r="D2774" i="17"/>
  <c r="D2773" i="17"/>
  <c r="D2772" i="17"/>
  <c r="D2771" i="17"/>
  <c r="D2770" i="17"/>
  <c r="D2769" i="17"/>
  <c r="D2768" i="17"/>
  <c r="D2767" i="17"/>
  <c r="D2766" i="17"/>
  <c r="D2765" i="17"/>
  <c r="D2764" i="17"/>
  <c r="D2763" i="17"/>
  <c r="D2762" i="17"/>
  <c r="D2761" i="17"/>
  <c r="D2760" i="17"/>
  <c r="D2759" i="17"/>
  <c r="D2758" i="17"/>
  <c r="D2757" i="17"/>
  <c r="D2756" i="17"/>
  <c r="D2755" i="17"/>
  <c r="D2754" i="17"/>
  <c r="D2753" i="17"/>
  <c r="D2752" i="17"/>
  <c r="D2751" i="17"/>
  <c r="D2750" i="17"/>
  <c r="D2749" i="17"/>
  <c r="D2748" i="17"/>
  <c r="D2747" i="17"/>
  <c r="D2746" i="17"/>
  <c r="D2745" i="17"/>
  <c r="D2744" i="17"/>
  <c r="D2743" i="17"/>
  <c r="D2742" i="17"/>
  <c r="D2741" i="17"/>
  <c r="D2740" i="17"/>
  <c r="D2739" i="17"/>
  <c r="D2738" i="17"/>
  <c r="D2737" i="17"/>
  <c r="D2736" i="17"/>
  <c r="D2735" i="17"/>
  <c r="D2734" i="17"/>
  <c r="D2733" i="17"/>
  <c r="D2732" i="17"/>
  <c r="D2731" i="17"/>
  <c r="D2730" i="17"/>
  <c r="D2729" i="17"/>
  <c r="D2728" i="17"/>
  <c r="D2727" i="17"/>
  <c r="D2726" i="17"/>
  <c r="D2725" i="17"/>
  <c r="D2724" i="17"/>
  <c r="D2723" i="17"/>
  <c r="D2722" i="17"/>
  <c r="D2721" i="17"/>
  <c r="D2720" i="17"/>
  <c r="D2719" i="17"/>
  <c r="D2718" i="17"/>
  <c r="D2717" i="17"/>
  <c r="D2716" i="17"/>
  <c r="D2715" i="17"/>
  <c r="D2714" i="17"/>
  <c r="D2713" i="17"/>
  <c r="D2712" i="17"/>
  <c r="D2711" i="17"/>
  <c r="D2710" i="17"/>
  <c r="D2709" i="17"/>
  <c r="D2708" i="17"/>
  <c r="D2707" i="17"/>
  <c r="D2706" i="17"/>
  <c r="D2705" i="17"/>
  <c r="D2704" i="17"/>
  <c r="D2703" i="17"/>
  <c r="D2702" i="17"/>
  <c r="D2701" i="17"/>
  <c r="D2700" i="17"/>
  <c r="D2699" i="17"/>
  <c r="D2698" i="17"/>
  <c r="D2697" i="17"/>
  <c r="D2696" i="17"/>
  <c r="D2695" i="17"/>
  <c r="D2694" i="17"/>
  <c r="D2693" i="17"/>
  <c r="D2692" i="17"/>
  <c r="D2691" i="17"/>
  <c r="D2690" i="17"/>
  <c r="D2689" i="17"/>
  <c r="D2688" i="17"/>
  <c r="D2687" i="17"/>
  <c r="D2686" i="17"/>
  <c r="D2685" i="17"/>
  <c r="D2684" i="17"/>
  <c r="D2683" i="17"/>
  <c r="D2682" i="17"/>
  <c r="D2681" i="17"/>
  <c r="D2680" i="17"/>
  <c r="D2679" i="17"/>
  <c r="D2678" i="17"/>
  <c r="D2677" i="17"/>
  <c r="D2676" i="17"/>
  <c r="D2675" i="17"/>
  <c r="D2674" i="17"/>
  <c r="D2673" i="17"/>
  <c r="D2672" i="17"/>
  <c r="D2671" i="17"/>
  <c r="D2670" i="17"/>
  <c r="D2669" i="17"/>
  <c r="D2668" i="17"/>
  <c r="D2667" i="17"/>
  <c r="D2666" i="17"/>
  <c r="D2665" i="17"/>
  <c r="D2664" i="17"/>
  <c r="D2663" i="17"/>
  <c r="D2662" i="17"/>
  <c r="D2661" i="17"/>
  <c r="D2660" i="17"/>
  <c r="D2659" i="17"/>
  <c r="D2658" i="17"/>
  <c r="D2657" i="17"/>
  <c r="D2656" i="17"/>
  <c r="D2655" i="17"/>
  <c r="D2654" i="17"/>
  <c r="D2653" i="17"/>
  <c r="D2652" i="17"/>
  <c r="D2651" i="17"/>
  <c r="D2650" i="17"/>
  <c r="D2649" i="17"/>
  <c r="D2648" i="17"/>
  <c r="D2647" i="17"/>
  <c r="D2646" i="17"/>
  <c r="D2645" i="17"/>
  <c r="D2644" i="17"/>
  <c r="D2643" i="17"/>
  <c r="D2642" i="17"/>
  <c r="D2641" i="17"/>
  <c r="D2640" i="17"/>
  <c r="D2639" i="17"/>
  <c r="D2638" i="17"/>
  <c r="D2637" i="17"/>
  <c r="D2636" i="17"/>
  <c r="D2635" i="17"/>
  <c r="D2634" i="17"/>
  <c r="D2633" i="17"/>
  <c r="D2632" i="17"/>
  <c r="D2631" i="17"/>
  <c r="D2630" i="17"/>
  <c r="D2629" i="17"/>
  <c r="D2628" i="17"/>
  <c r="D2627" i="17"/>
  <c r="D2626" i="17"/>
  <c r="D2625" i="17"/>
  <c r="D2624" i="17"/>
  <c r="D2623" i="17"/>
  <c r="D2622" i="17"/>
  <c r="D2621" i="17"/>
  <c r="D2620" i="17"/>
  <c r="D2619" i="17"/>
  <c r="D2618" i="17"/>
  <c r="D2617" i="17"/>
  <c r="D2616" i="17"/>
  <c r="D2615" i="17"/>
  <c r="D2614" i="17"/>
  <c r="D2613" i="17"/>
  <c r="D2612" i="17"/>
  <c r="D2611" i="17"/>
  <c r="D2610" i="17"/>
  <c r="D2609" i="17"/>
  <c r="D2608" i="17"/>
  <c r="D2607" i="17"/>
  <c r="D2606" i="17"/>
  <c r="D2605" i="17"/>
  <c r="D2604" i="17"/>
  <c r="D2603" i="17"/>
  <c r="D2602" i="17"/>
  <c r="D2601" i="17"/>
  <c r="D2600" i="17"/>
  <c r="D2599" i="17"/>
  <c r="D2598" i="17"/>
  <c r="D2597" i="17"/>
  <c r="D2596" i="17"/>
  <c r="D2595" i="17"/>
  <c r="D2594" i="17"/>
  <c r="D2593" i="17"/>
  <c r="D2592" i="17"/>
  <c r="D2591" i="17"/>
  <c r="D2590" i="17"/>
  <c r="D2589" i="17"/>
  <c r="D2588" i="17"/>
  <c r="D2587" i="17"/>
  <c r="D2586" i="17"/>
  <c r="D2585" i="17"/>
  <c r="D2584" i="17"/>
  <c r="D2583" i="17"/>
  <c r="D2582" i="17"/>
  <c r="D2581" i="17"/>
  <c r="D2580" i="17"/>
  <c r="D2579" i="17"/>
  <c r="D2578" i="17"/>
  <c r="D2577" i="17"/>
  <c r="D2576" i="17"/>
  <c r="D2575" i="17"/>
  <c r="D2574" i="17"/>
  <c r="D2573" i="17"/>
  <c r="D2572" i="17"/>
  <c r="D2571" i="17"/>
  <c r="D2570" i="17"/>
  <c r="D2569" i="17"/>
  <c r="D2568" i="17"/>
  <c r="D2567" i="17"/>
  <c r="D2566" i="17"/>
  <c r="D2565" i="17"/>
  <c r="D2564" i="17"/>
  <c r="D2563" i="17"/>
  <c r="D2562" i="17"/>
  <c r="D2561" i="17"/>
  <c r="D2560" i="17"/>
  <c r="D2559" i="17"/>
  <c r="D2558" i="17"/>
  <c r="D2557" i="17"/>
  <c r="D2556" i="17"/>
  <c r="D2555" i="17"/>
  <c r="D2554" i="17"/>
  <c r="D2553" i="17"/>
  <c r="D2552" i="17"/>
  <c r="D2551" i="17"/>
  <c r="D2550" i="17"/>
  <c r="D2549" i="17"/>
  <c r="D2548" i="17"/>
  <c r="D2547" i="17"/>
  <c r="D2546" i="17"/>
  <c r="D2545" i="17"/>
  <c r="D2544" i="17"/>
  <c r="D2543" i="17"/>
  <c r="D2542" i="17"/>
  <c r="D2541" i="17"/>
  <c r="D2540" i="17"/>
  <c r="D2539" i="17"/>
  <c r="D2538" i="17"/>
  <c r="D2537" i="17"/>
  <c r="D2536" i="17"/>
  <c r="D2535" i="17"/>
  <c r="D2534" i="17"/>
  <c r="D2533" i="17"/>
  <c r="D2532" i="17"/>
  <c r="D2531" i="17"/>
  <c r="D2530" i="17"/>
  <c r="D2529" i="17"/>
  <c r="D2528" i="17"/>
  <c r="D2527" i="17"/>
  <c r="D2526" i="17"/>
  <c r="D2525" i="17"/>
  <c r="D2524" i="17"/>
  <c r="D2523" i="17"/>
  <c r="D2522" i="17"/>
  <c r="D2521" i="17"/>
  <c r="D2520" i="17"/>
  <c r="D2519" i="17"/>
  <c r="D2518" i="17"/>
  <c r="D2517" i="17"/>
  <c r="D2516" i="17"/>
  <c r="D2515" i="17"/>
  <c r="D2514" i="17"/>
  <c r="D2513" i="17"/>
  <c r="D2512" i="17"/>
  <c r="D2511" i="17"/>
  <c r="D2510" i="17"/>
  <c r="D2509" i="17"/>
  <c r="D2508" i="17"/>
  <c r="D2507" i="17"/>
  <c r="D2506" i="17"/>
  <c r="D2505" i="17"/>
  <c r="D2504" i="17"/>
  <c r="D2503" i="17"/>
  <c r="D2502" i="17"/>
  <c r="D2501" i="17"/>
  <c r="D2500" i="17"/>
  <c r="D2499" i="17"/>
  <c r="D2498" i="17"/>
  <c r="D2497" i="17"/>
  <c r="D2496" i="17"/>
  <c r="D2495" i="17"/>
  <c r="D2494" i="17"/>
  <c r="D2493" i="17"/>
  <c r="D2492" i="17"/>
  <c r="D2491" i="17"/>
  <c r="D2490" i="17"/>
  <c r="D2489" i="17"/>
  <c r="D2488" i="17"/>
  <c r="D2487" i="17"/>
  <c r="D2486" i="17"/>
  <c r="D2485" i="17"/>
  <c r="D2484" i="17"/>
  <c r="D2483" i="17"/>
  <c r="D2482" i="17"/>
  <c r="D2481" i="17"/>
  <c r="D2480" i="17"/>
  <c r="D2479" i="17"/>
  <c r="D2478" i="17"/>
  <c r="D2477" i="17"/>
  <c r="D2476" i="17"/>
  <c r="D2475" i="17"/>
  <c r="D2474" i="17"/>
  <c r="D2473" i="17"/>
  <c r="D2472" i="17"/>
  <c r="D2471" i="17"/>
  <c r="D2470" i="17"/>
  <c r="D2469" i="17"/>
  <c r="D2468" i="17"/>
  <c r="D2467" i="17"/>
  <c r="D2466" i="17"/>
  <c r="D2465" i="17"/>
  <c r="D2464" i="17"/>
  <c r="D2463" i="17"/>
  <c r="D2462" i="17"/>
  <c r="D2461" i="17"/>
  <c r="D2460" i="17"/>
  <c r="D2459" i="17"/>
  <c r="D2458" i="17"/>
  <c r="D2457" i="17"/>
  <c r="D2456" i="17"/>
  <c r="D2455" i="17"/>
  <c r="D2454" i="17"/>
  <c r="D2453" i="17"/>
  <c r="D2452" i="17"/>
  <c r="D2451" i="17"/>
  <c r="D2450" i="17"/>
  <c r="D2449" i="17"/>
  <c r="D2448" i="17"/>
  <c r="D2447" i="17"/>
  <c r="D2446" i="17"/>
  <c r="D2445" i="17"/>
  <c r="D2444" i="17"/>
  <c r="D2443" i="17"/>
  <c r="D2442" i="17"/>
  <c r="D2441" i="17"/>
  <c r="D2440" i="17"/>
  <c r="D2439" i="17"/>
  <c r="D2438" i="17"/>
  <c r="D2437" i="17"/>
  <c r="D2436" i="17"/>
  <c r="D2435" i="17"/>
  <c r="D2434" i="17"/>
  <c r="D2433" i="17"/>
  <c r="D2432" i="17"/>
  <c r="D2431" i="17"/>
  <c r="D2430" i="17"/>
  <c r="D2429" i="17"/>
  <c r="D2428" i="17"/>
  <c r="D2427" i="17"/>
  <c r="D2426" i="17"/>
  <c r="D2425" i="17"/>
  <c r="D2424" i="17"/>
  <c r="D2423" i="17"/>
  <c r="D2422" i="17"/>
  <c r="D2421" i="17"/>
  <c r="D2420" i="17"/>
  <c r="D2419" i="17"/>
  <c r="D2418" i="17"/>
  <c r="D2417" i="17"/>
  <c r="D2416" i="17"/>
  <c r="D2415" i="17"/>
  <c r="D2414" i="17"/>
  <c r="D2413" i="17"/>
  <c r="D2412" i="17"/>
  <c r="D2411" i="17"/>
  <c r="D2410" i="17"/>
  <c r="D2409" i="17"/>
  <c r="D2408" i="17"/>
  <c r="D2407" i="17"/>
  <c r="D2406" i="17"/>
  <c r="D2405" i="17"/>
  <c r="D2404" i="17"/>
  <c r="D2403" i="17"/>
  <c r="D2402" i="17"/>
  <c r="D2401" i="17"/>
  <c r="D2400" i="17"/>
  <c r="D2399" i="17"/>
  <c r="D2398" i="17"/>
  <c r="D2397" i="17"/>
  <c r="D2396" i="17"/>
  <c r="D2395" i="17"/>
  <c r="D2394" i="17"/>
  <c r="D2393" i="17"/>
  <c r="D2392" i="17"/>
  <c r="D2391" i="17"/>
  <c r="D2390" i="17"/>
  <c r="D2389" i="17"/>
  <c r="D2388" i="17"/>
  <c r="D2387" i="17"/>
  <c r="D2386" i="17"/>
  <c r="D2385" i="17"/>
  <c r="D2384" i="17"/>
  <c r="D2383" i="17"/>
  <c r="D2382" i="17"/>
  <c r="D2381" i="17"/>
  <c r="D2380" i="17"/>
  <c r="D2379" i="17"/>
  <c r="D2378" i="17"/>
  <c r="D2377" i="17"/>
  <c r="D2376" i="17"/>
  <c r="D2375" i="17"/>
  <c r="D2374" i="17"/>
  <c r="D2373" i="17"/>
  <c r="D2372" i="17"/>
  <c r="D2371" i="17"/>
  <c r="D2370" i="17"/>
  <c r="D2369" i="17"/>
  <c r="D2368" i="17"/>
  <c r="D2367" i="17"/>
  <c r="D2366" i="17"/>
  <c r="D2365" i="17"/>
  <c r="D2364" i="17"/>
  <c r="D2363" i="17"/>
  <c r="D2362" i="17"/>
  <c r="D2361" i="17"/>
  <c r="D2360" i="17"/>
  <c r="D2359" i="17"/>
  <c r="D2358" i="17"/>
  <c r="D2357" i="17"/>
  <c r="D2356" i="17"/>
  <c r="D2355" i="17"/>
  <c r="D2354" i="17"/>
  <c r="D2353" i="17"/>
  <c r="D2352" i="17"/>
  <c r="D2351" i="17"/>
  <c r="D2350" i="17"/>
  <c r="D2349" i="17"/>
  <c r="D2348" i="17"/>
  <c r="D2347" i="17"/>
  <c r="D2346" i="17"/>
  <c r="D2345" i="17"/>
  <c r="D2344" i="17"/>
  <c r="D2343" i="17"/>
  <c r="D2342" i="17"/>
  <c r="D2341" i="17"/>
  <c r="D2340" i="17"/>
  <c r="D2339" i="17"/>
  <c r="D2338" i="17"/>
  <c r="D2337" i="17"/>
  <c r="D2336" i="17"/>
  <c r="D2335" i="17"/>
  <c r="D2334" i="17"/>
  <c r="D2333" i="17"/>
  <c r="D2332" i="17"/>
  <c r="D2331" i="17"/>
  <c r="D2330" i="17"/>
  <c r="D2329" i="17"/>
  <c r="D2328" i="17"/>
  <c r="D2327" i="17"/>
  <c r="D2326" i="17"/>
  <c r="D2325" i="17"/>
  <c r="D2324" i="17"/>
  <c r="D2323" i="17"/>
  <c r="D2322" i="17"/>
  <c r="D2321" i="17"/>
  <c r="D2320" i="17"/>
  <c r="D2319" i="17"/>
  <c r="D2318" i="17"/>
  <c r="D2317" i="17"/>
  <c r="D2316" i="17"/>
  <c r="D2315" i="17"/>
  <c r="D2314" i="17"/>
  <c r="D2313" i="17"/>
  <c r="D2312" i="17"/>
  <c r="D2311" i="17"/>
  <c r="D2310" i="17"/>
  <c r="D2309" i="17"/>
  <c r="D2308" i="17"/>
  <c r="D2307" i="17"/>
  <c r="D2306" i="17"/>
  <c r="D2305" i="17"/>
  <c r="D2304" i="17"/>
  <c r="D2303" i="17"/>
  <c r="D2302" i="17"/>
  <c r="D2301" i="17"/>
  <c r="D2300" i="17"/>
  <c r="D2299" i="17"/>
  <c r="D2298" i="17"/>
  <c r="D2297" i="17"/>
  <c r="D2296" i="17"/>
  <c r="D2295" i="17"/>
  <c r="D2294" i="17"/>
  <c r="D2293" i="17"/>
  <c r="D2292" i="17"/>
  <c r="D2291" i="17"/>
  <c r="D2290" i="17"/>
  <c r="D2289" i="17"/>
  <c r="D2288" i="17"/>
  <c r="D2287" i="17"/>
  <c r="D2286" i="17"/>
  <c r="D2285" i="17"/>
  <c r="D2284" i="17"/>
  <c r="D2283" i="17"/>
  <c r="D2282" i="17"/>
  <c r="D2281" i="17"/>
  <c r="D2280" i="17"/>
  <c r="D2279" i="17"/>
  <c r="D2278" i="17"/>
  <c r="D2277" i="17"/>
  <c r="D2276" i="17"/>
  <c r="D2275" i="17"/>
  <c r="D2274" i="17"/>
  <c r="D2273" i="17"/>
  <c r="D2272" i="17"/>
  <c r="D2271" i="17"/>
  <c r="D2270" i="17"/>
  <c r="D2269" i="17"/>
  <c r="D2268" i="17"/>
  <c r="D2267" i="17"/>
  <c r="D2266" i="17"/>
  <c r="D2265" i="17"/>
  <c r="D2264" i="17"/>
  <c r="D2263" i="17"/>
  <c r="D2262" i="17"/>
  <c r="D2261" i="17"/>
  <c r="D2260" i="17"/>
  <c r="D2259" i="17"/>
  <c r="D2258" i="17"/>
  <c r="D2257" i="17"/>
  <c r="D2256" i="17"/>
  <c r="D2255" i="17"/>
  <c r="D2254" i="17"/>
  <c r="D2253" i="17"/>
  <c r="D2252" i="17"/>
  <c r="D2251" i="17"/>
  <c r="D2250" i="17"/>
  <c r="D2249" i="17"/>
  <c r="D2248" i="17"/>
  <c r="D2247" i="17"/>
  <c r="D2246" i="17"/>
  <c r="D2245" i="17"/>
  <c r="D2244" i="17"/>
  <c r="D2243" i="17"/>
  <c r="D2242" i="17"/>
  <c r="D2241" i="17"/>
  <c r="D2240" i="17"/>
  <c r="D2239" i="17"/>
  <c r="D2238" i="17"/>
  <c r="D2237" i="17"/>
  <c r="D2236" i="17"/>
  <c r="D2235" i="17"/>
  <c r="D2234" i="17"/>
  <c r="D2233" i="17"/>
  <c r="D2232" i="17"/>
  <c r="D2231" i="17"/>
  <c r="D2230" i="17"/>
  <c r="D2229" i="17"/>
  <c r="D2228" i="17"/>
  <c r="D2227" i="17"/>
  <c r="D2226" i="17"/>
  <c r="D2225" i="17"/>
  <c r="D2224" i="17"/>
  <c r="D2223" i="17"/>
  <c r="D2222" i="17"/>
  <c r="D2221" i="17"/>
  <c r="D2220" i="17"/>
  <c r="D2219" i="17"/>
  <c r="D2218" i="17"/>
  <c r="D2217" i="17"/>
  <c r="D2216" i="17"/>
  <c r="D2215" i="17"/>
  <c r="D2214" i="17"/>
  <c r="D2213" i="17"/>
  <c r="D2212" i="17"/>
  <c r="D2211" i="17"/>
  <c r="D2210" i="17"/>
  <c r="D2209" i="17"/>
  <c r="D2208" i="17"/>
  <c r="D2207" i="17"/>
  <c r="D2206" i="17"/>
  <c r="D2205" i="17"/>
  <c r="D2204" i="17"/>
  <c r="D2203" i="17"/>
  <c r="D2202" i="17"/>
  <c r="D2201" i="17"/>
  <c r="D2200" i="17"/>
  <c r="D2199" i="17"/>
  <c r="D2198" i="17"/>
  <c r="D2197" i="17"/>
  <c r="D2196" i="17"/>
  <c r="D2195" i="17"/>
  <c r="D2194" i="17"/>
  <c r="D2193" i="17"/>
  <c r="D2192" i="17"/>
  <c r="D2191" i="17"/>
  <c r="D2190" i="17"/>
  <c r="D2189" i="17"/>
  <c r="D2188" i="17"/>
  <c r="D2187" i="17"/>
  <c r="D2186" i="17"/>
  <c r="D2185" i="17"/>
  <c r="D2184" i="17"/>
  <c r="D2183" i="17"/>
  <c r="D2182" i="17"/>
  <c r="D2181" i="17"/>
  <c r="D2180" i="17"/>
  <c r="D2179" i="17"/>
  <c r="D2178" i="17"/>
  <c r="D2177" i="17"/>
  <c r="D2176" i="17"/>
  <c r="D2175" i="17"/>
  <c r="D2174" i="17"/>
  <c r="D2173" i="17"/>
  <c r="D2172" i="17"/>
  <c r="D2171" i="17"/>
  <c r="D2170" i="17"/>
  <c r="D2169" i="17"/>
  <c r="D2168" i="17"/>
  <c r="D2167" i="17"/>
  <c r="D2166" i="17"/>
  <c r="D2165" i="17"/>
  <c r="D2164" i="17"/>
  <c r="D2163" i="17"/>
  <c r="D2162" i="17"/>
  <c r="D2161" i="17"/>
  <c r="D2160" i="17"/>
  <c r="D2159" i="17"/>
  <c r="D2158" i="17"/>
  <c r="D2157" i="17"/>
  <c r="D2156" i="17"/>
  <c r="D2155" i="17"/>
  <c r="D2154" i="17"/>
  <c r="D2153" i="17"/>
  <c r="D2152" i="17"/>
  <c r="D2151" i="17"/>
  <c r="D2150" i="17"/>
  <c r="D2149" i="17"/>
  <c r="D2148" i="17"/>
  <c r="D2147" i="17"/>
  <c r="D2146" i="17"/>
  <c r="D2145" i="17"/>
  <c r="D2144" i="17"/>
  <c r="D2143" i="17"/>
  <c r="D2142" i="17"/>
  <c r="D2141" i="17"/>
  <c r="D2140" i="17"/>
  <c r="D2139" i="17"/>
  <c r="D2138" i="17"/>
  <c r="D2137" i="17"/>
  <c r="D2136" i="17"/>
  <c r="D2135" i="17"/>
  <c r="D2134" i="17"/>
  <c r="D2133" i="17"/>
  <c r="D2132" i="17"/>
  <c r="D2131" i="17"/>
  <c r="D2130" i="17"/>
  <c r="D2129" i="17"/>
  <c r="D2128" i="17"/>
  <c r="D2127" i="17"/>
  <c r="D2126" i="17"/>
  <c r="D2125" i="17"/>
  <c r="D2124" i="17"/>
  <c r="D2123" i="17"/>
  <c r="D2122" i="17"/>
  <c r="D2121" i="17"/>
  <c r="D2120" i="17"/>
  <c r="D2119" i="17"/>
  <c r="D2118" i="17"/>
  <c r="D2117" i="17"/>
  <c r="D2116" i="17"/>
  <c r="D2115" i="17"/>
  <c r="D2114" i="17"/>
  <c r="D2113" i="17"/>
  <c r="D2112" i="17"/>
  <c r="D2111" i="17"/>
  <c r="D2110" i="17"/>
  <c r="D2109" i="17"/>
  <c r="D2108" i="17"/>
  <c r="D2107" i="17"/>
  <c r="D2106" i="17"/>
  <c r="D2105" i="17"/>
  <c r="D2104" i="17"/>
  <c r="D2103" i="17"/>
  <c r="D2102" i="17"/>
  <c r="D2101" i="17"/>
  <c r="D2100" i="17"/>
  <c r="D2099" i="17"/>
  <c r="D2098" i="17"/>
  <c r="D2097" i="17"/>
  <c r="D2096" i="17"/>
  <c r="D2095" i="17"/>
  <c r="D2094" i="17"/>
  <c r="D2093" i="17"/>
  <c r="D2092" i="17"/>
  <c r="D2091" i="17"/>
  <c r="D2090" i="17"/>
  <c r="D2089" i="17"/>
  <c r="D2088" i="17"/>
  <c r="D2087" i="17"/>
  <c r="D2086" i="17"/>
  <c r="D2085" i="17"/>
  <c r="D2084" i="17"/>
  <c r="D2083" i="17"/>
  <c r="D2082" i="17"/>
  <c r="D2081" i="17"/>
  <c r="D2080" i="17"/>
  <c r="D2079" i="17"/>
  <c r="D2078" i="17"/>
  <c r="D2077" i="17"/>
  <c r="D2076" i="17"/>
  <c r="D2075" i="17"/>
  <c r="D2074" i="17"/>
  <c r="D2073" i="17"/>
  <c r="D2072" i="17"/>
  <c r="D2071" i="17"/>
  <c r="D2070" i="17"/>
  <c r="D2069" i="17"/>
  <c r="D2068" i="17"/>
  <c r="D2067" i="17"/>
  <c r="D2066" i="17"/>
  <c r="D2065" i="17"/>
  <c r="D2064" i="17"/>
  <c r="D2063" i="17"/>
  <c r="D2062" i="17"/>
  <c r="D2061" i="17"/>
  <c r="D2060" i="17"/>
  <c r="D2059" i="17"/>
  <c r="D2058" i="17"/>
  <c r="D2057" i="17"/>
  <c r="D2056" i="17"/>
  <c r="D2055" i="17"/>
  <c r="D2054" i="17"/>
  <c r="D2053" i="17"/>
  <c r="D2052" i="17"/>
  <c r="D2051" i="17"/>
  <c r="D2050" i="17"/>
  <c r="D2049" i="17"/>
  <c r="D2048" i="17"/>
  <c r="D2047" i="17"/>
  <c r="D2046" i="17"/>
  <c r="D2045" i="17"/>
  <c r="D2044" i="17"/>
  <c r="D2043" i="17"/>
  <c r="D2042" i="17"/>
  <c r="D2041" i="17"/>
  <c r="D2040" i="17"/>
  <c r="D2039" i="17"/>
  <c r="D2038" i="17"/>
  <c r="D2037" i="17"/>
  <c r="D2036" i="17"/>
  <c r="D2035" i="17"/>
  <c r="D2034" i="17"/>
  <c r="D2033" i="17"/>
  <c r="D2032" i="17"/>
  <c r="D2031" i="17"/>
  <c r="D2030" i="17"/>
  <c r="D2029" i="17"/>
  <c r="D2028" i="17"/>
  <c r="D2027" i="17"/>
  <c r="D2026" i="17"/>
  <c r="D2025" i="17"/>
  <c r="D2024" i="17"/>
  <c r="D2023" i="17"/>
  <c r="D2022" i="17"/>
  <c r="D2021" i="17"/>
  <c r="D2020" i="17"/>
  <c r="D2019" i="17"/>
  <c r="D2018" i="17"/>
  <c r="D2017" i="17"/>
  <c r="D2016" i="17"/>
  <c r="D2015" i="17"/>
  <c r="D2014" i="17"/>
  <c r="D2013" i="17"/>
  <c r="D2012" i="17"/>
  <c r="D2011" i="17"/>
  <c r="D2010" i="17"/>
  <c r="D2009" i="17"/>
  <c r="D2008" i="17"/>
  <c r="D2007" i="17"/>
  <c r="D2006" i="17"/>
  <c r="D2005" i="17"/>
  <c r="D2004" i="17"/>
  <c r="D2003" i="17"/>
  <c r="D2002" i="17"/>
  <c r="D2001" i="17"/>
  <c r="D2000" i="17"/>
  <c r="D1999" i="17"/>
  <c r="D1998" i="17"/>
  <c r="D1997" i="17"/>
  <c r="D1996" i="17"/>
  <c r="D1995" i="17"/>
  <c r="D1994" i="17"/>
  <c r="D1993" i="17"/>
  <c r="D1992" i="17"/>
  <c r="D1991" i="17"/>
  <c r="D1990" i="17"/>
  <c r="D1989" i="17"/>
  <c r="D1988" i="17"/>
  <c r="D1987" i="17"/>
  <c r="D1986" i="17"/>
  <c r="D1985" i="17"/>
  <c r="D1984" i="17"/>
  <c r="D1983" i="17"/>
  <c r="D1982" i="17"/>
  <c r="D1981" i="17"/>
  <c r="D1980" i="17"/>
  <c r="D1979" i="17"/>
  <c r="D1978" i="17"/>
  <c r="D1977" i="17"/>
  <c r="D1976" i="17"/>
  <c r="D1975" i="17"/>
  <c r="D1974" i="17"/>
  <c r="D1973" i="17"/>
  <c r="D1972" i="17"/>
  <c r="D1971" i="17"/>
  <c r="D1970" i="17"/>
  <c r="D1969" i="17"/>
  <c r="D1968" i="17"/>
  <c r="D1967" i="17"/>
  <c r="D1966" i="17"/>
  <c r="D1965" i="17"/>
  <c r="D1964" i="17"/>
  <c r="D1963" i="17"/>
  <c r="D1962" i="17"/>
  <c r="D1961" i="17"/>
  <c r="D1960" i="17"/>
  <c r="D1959" i="17"/>
  <c r="D1958" i="17"/>
  <c r="D1957" i="17"/>
  <c r="D1956" i="17"/>
  <c r="D1955" i="17"/>
  <c r="D1954" i="17"/>
  <c r="D1953" i="17"/>
  <c r="D1952" i="17"/>
  <c r="D1951" i="17"/>
  <c r="D1950" i="17"/>
  <c r="D1949" i="17"/>
  <c r="D1948" i="17"/>
  <c r="D1947" i="17"/>
  <c r="D1946" i="17"/>
  <c r="D1945" i="17"/>
  <c r="D1944" i="17"/>
  <c r="D1943" i="17"/>
  <c r="D1942" i="17"/>
  <c r="D1941" i="17"/>
  <c r="D1940" i="17"/>
  <c r="D1939" i="17"/>
  <c r="D1938" i="17"/>
  <c r="D1937" i="17"/>
  <c r="D1936" i="17"/>
  <c r="D1935" i="17"/>
  <c r="D1934" i="17"/>
  <c r="D1933" i="17"/>
  <c r="D1932" i="17"/>
  <c r="D1931" i="17"/>
  <c r="D1930" i="17"/>
  <c r="D1929" i="17"/>
  <c r="D1928" i="17"/>
  <c r="D1927" i="17"/>
  <c r="D1926" i="17"/>
  <c r="D1925" i="17"/>
  <c r="D1924" i="17"/>
  <c r="D1923" i="17"/>
  <c r="D1922" i="17"/>
  <c r="D1921" i="17"/>
  <c r="D1920" i="17"/>
  <c r="D1919" i="17"/>
  <c r="D1918" i="17"/>
  <c r="D1917" i="17"/>
  <c r="D1916" i="17"/>
  <c r="D1915" i="17"/>
  <c r="D1914" i="17"/>
  <c r="D1913" i="17"/>
  <c r="D1912" i="17"/>
  <c r="D1911" i="17"/>
  <c r="D1910" i="17"/>
  <c r="D1909" i="17"/>
  <c r="D1908" i="17"/>
  <c r="D1907" i="17"/>
  <c r="D1906" i="17"/>
  <c r="D1905" i="17"/>
  <c r="D1904" i="17"/>
  <c r="D1903" i="17"/>
  <c r="D1902" i="17"/>
  <c r="D1901" i="17"/>
  <c r="D1900" i="17"/>
  <c r="D1899" i="17"/>
  <c r="D1898" i="17"/>
  <c r="D1897" i="17"/>
  <c r="D1896" i="17"/>
  <c r="D1895" i="17"/>
  <c r="D1894" i="17"/>
  <c r="D1893" i="17"/>
  <c r="D1892" i="17"/>
  <c r="D1891" i="17"/>
  <c r="D1890" i="17"/>
  <c r="D1889" i="17"/>
  <c r="D1888" i="17"/>
  <c r="D1887" i="17"/>
  <c r="D1886" i="17"/>
  <c r="D1885" i="17"/>
  <c r="D1884" i="17"/>
  <c r="D1883" i="17"/>
  <c r="D1882" i="17"/>
  <c r="D1881" i="17"/>
  <c r="D1880" i="17"/>
  <c r="D1879" i="17"/>
  <c r="D1878" i="17"/>
  <c r="D1877" i="17"/>
  <c r="D1876" i="17"/>
  <c r="D1875" i="17"/>
  <c r="D1874" i="17"/>
  <c r="D1873" i="17"/>
  <c r="D1872" i="17"/>
  <c r="D1871" i="17"/>
  <c r="D1870" i="17"/>
  <c r="D1869" i="17"/>
  <c r="D1868" i="17"/>
  <c r="D1867" i="17"/>
  <c r="D1866" i="17"/>
  <c r="D1865" i="17"/>
  <c r="D1864" i="17"/>
  <c r="D1863" i="17"/>
  <c r="D1862" i="17"/>
  <c r="D1861" i="17"/>
  <c r="D1860" i="17"/>
  <c r="D1859" i="17"/>
  <c r="D1858" i="17"/>
  <c r="D1857" i="17"/>
  <c r="D1856" i="17"/>
  <c r="D1855" i="17"/>
  <c r="D1854" i="17"/>
  <c r="D1853" i="17"/>
  <c r="D1852" i="17"/>
  <c r="D1851" i="17"/>
  <c r="D1850" i="17"/>
  <c r="D1849" i="17"/>
  <c r="D1848" i="17"/>
  <c r="D1847" i="17"/>
  <c r="D1846" i="17"/>
  <c r="D1845" i="17"/>
  <c r="D1844" i="17"/>
  <c r="D1843" i="17"/>
  <c r="D1842" i="17"/>
  <c r="D1841" i="17"/>
  <c r="D1840" i="17"/>
  <c r="D1839" i="17"/>
  <c r="D1838" i="17"/>
  <c r="D1837" i="17"/>
  <c r="D1836" i="17"/>
  <c r="D1835" i="17"/>
  <c r="D1834" i="17"/>
  <c r="D1833" i="17"/>
  <c r="D1832" i="17"/>
  <c r="D1831" i="17"/>
  <c r="D1830" i="17"/>
  <c r="D1829" i="17"/>
  <c r="D1828" i="17"/>
  <c r="D1827" i="17"/>
  <c r="D1826" i="17"/>
  <c r="D1825" i="17"/>
  <c r="D1824" i="17"/>
  <c r="D1823" i="17"/>
  <c r="D1822" i="17"/>
  <c r="D1821" i="17"/>
  <c r="D1820" i="17"/>
  <c r="D1819" i="17"/>
  <c r="D1818" i="17"/>
  <c r="D1817" i="17"/>
  <c r="D1816" i="17"/>
  <c r="D1815" i="17"/>
  <c r="D1814" i="17"/>
  <c r="D1813" i="17"/>
  <c r="D1812" i="17"/>
  <c r="D1811" i="17"/>
  <c r="D1810" i="17"/>
  <c r="D1809" i="17"/>
  <c r="D1808" i="17"/>
  <c r="D1807" i="17"/>
  <c r="D1806" i="17"/>
  <c r="D1805" i="17"/>
  <c r="D1804" i="17"/>
  <c r="D1803" i="17"/>
  <c r="D1802" i="17"/>
  <c r="D1801" i="17"/>
  <c r="D1800" i="17"/>
  <c r="D1799" i="17"/>
  <c r="D1798" i="17"/>
  <c r="D1797" i="17"/>
  <c r="D1796" i="17"/>
  <c r="D1795" i="17"/>
  <c r="D1794" i="17"/>
  <c r="D1793" i="17"/>
  <c r="D1792" i="17"/>
  <c r="D1791" i="17"/>
  <c r="D1790" i="17"/>
  <c r="D1789" i="17"/>
  <c r="D1788" i="17"/>
  <c r="D1787" i="17"/>
  <c r="D1786" i="17"/>
  <c r="D1785" i="17"/>
  <c r="D1784" i="17"/>
  <c r="D1783" i="17"/>
  <c r="D1782" i="17"/>
  <c r="D1781" i="17"/>
  <c r="D1780" i="17"/>
  <c r="D1779" i="17"/>
  <c r="D1778" i="17"/>
  <c r="D1777" i="17"/>
  <c r="D1776" i="17"/>
  <c r="D1775" i="17"/>
  <c r="D1774" i="17"/>
  <c r="D1773" i="17"/>
  <c r="D1772" i="17"/>
  <c r="D1771" i="17"/>
  <c r="D1770" i="17"/>
  <c r="D1769" i="17"/>
  <c r="D1768" i="17"/>
  <c r="D1767" i="17"/>
  <c r="D1766" i="17"/>
  <c r="D1765" i="17"/>
  <c r="D1764" i="17"/>
  <c r="D1763" i="17"/>
  <c r="D1762" i="17"/>
  <c r="D1761" i="17"/>
  <c r="D1760" i="17"/>
  <c r="D1759" i="17"/>
  <c r="D1758" i="17"/>
  <c r="D1757" i="17"/>
  <c r="D1756" i="17"/>
  <c r="D1755" i="17"/>
  <c r="D1754" i="17"/>
  <c r="D1753" i="17"/>
  <c r="D1752" i="17"/>
  <c r="D1751" i="17"/>
  <c r="D1750" i="17"/>
  <c r="D1749" i="17"/>
  <c r="D1748" i="17"/>
  <c r="D1747" i="17"/>
  <c r="D1746" i="17"/>
  <c r="D1745" i="17"/>
  <c r="D1744" i="17"/>
  <c r="D1743" i="17"/>
  <c r="D1742" i="17"/>
  <c r="D1741" i="17"/>
  <c r="D1740" i="17"/>
  <c r="D1739" i="17"/>
  <c r="D1738" i="17"/>
  <c r="D1737" i="17"/>
  <c r="D1736" i="17"/>
  <c r="D1735" i="17"/>
  <c r="D1734" i="17"/>
  <c r="D1733" i="17"/>
  <c r="D1732" i="17"/>
  <c r="D1731" i="17"/>
  <c r="D1730" i="17"/>
  <c r="D1729" i="17"/>
  <c r="D1728" i="17"/>
  <c r="D1727" i="17"/>
  <c r="D1726" i="17"/>
  <c r="D1725" i="17"/>
  <c r="D1724" i="17"/>
  <c r="D1723" i="17"/>
  <c r="D1722" i="17"/>
  <c r="D1721" i="17"/>
  <c r="D1720" i="17"/>
  <c r="D1719" i="17"/>
  <c r="D1718" i="17"/>
  <c r="D1717" i="17"/>
  <c r="D1716" i="17"/>
  <c r="D1715" i="17"/>
  <c r="D1714" i="17"/>
  <c r="D1713" i="17"/>
  <c r="D1712" i="17"/>
  <c r="D1711" i="17"/>
  <c r="D1710" i="17"/>
  <c r="D1709" i="17"/>
  <c r="D1708" i="17"/>
  <c r="D1707" i="17"/>
  <c r="D1706" i="17"/>
  <c r="D1705" i="17"/>
  <c r="D1704" i="17"/>
  <c r="D1703" i="17"/>
  <c r="D1702" i="17"/>
  <c r="D1701" i="17"/>
  <c r="D1700" i="17"/>
  <c r="D1699" i="17"/>
  <c r="D1698" i="17"/>
  <c r="D1697" i="17"/>
  <c r="D1696" i="17"/>
  <c r="D1695" i="17"/>
  <c r="D1694" i="17"/>
  <c r="D1693" i="17"/>
  <c r="D1692" i="17"/>
  <c r="D1691" i="17"/>
  <c r="D1690" i="17"/>
  <c r="D1689" i="17"/>
  <c r="D1688" i="17"/>
  <c r="D1687" i="17"/>
  <c r="D1686" i="17"/>
  <c r="D1685" i="17"/>
  <c r="D1684" i="17"/>
  <c r="D1683" i="17"/>
  <c r="D1682" i="17"/>
  <c r="D1681" i="17"/>
  <c r="D1680" i="17"/>
  <c r="D1679" i="17"/>
  <c r="D1678" i="17"/>
  <c r="D1677" i="17"/>
  <c r="D1676" i="17"/>
  <c r="D1675" i="17"/>
  <c r="D1674" i="17"/>
  <c r="D1673" i="17"/>
  <c r="D1672" i="17"/>
  <c r="D1671" i="17"/>
  <c r="D1670" i="17"/>
  <c r="D1669" i="17"/>
  <c r="D1668" i="17"/>
  <c r="D1667" i="17"/>
  <c r="D1666" i="17"/>
  <c r="D1665" i="17"/>
  <c r="D1664" i="17"/>
  <c r="D1663" i="17"/>
  <c r="D1662" i="17"/>
  <c r="D1661" i="17"/>
  <c r="D1660" i="17"/>
  <c r="D1659" i="17"/>
  <c r="D1658" i="17"/>
  <c r="D1657" i="17"/>
  <c r="D1656" i="17"/>
  <c r="D1655" i="17"/>
  <c r="D1654" i="17"/>
  <c r="D1653" i="17"/>
  <c r="D1652" i="17"/>
  <c r="D1651" i="17"/>
  <c r="D1650" i="17"/>
  <c r="D1649" i="17"/>
  <c r="D1648" i="17"/>
  <c r="D1647" i="17"/>
  <c r="D1646" i="17"/>
  <c r="D1645" i="17"/>
  <c r="D1644" i="17"/>
  <c r="D1643" i="17"/>
  <c r="D1642" i="17"/>
  <c r="D1641" i="17"/>
  <c r="D1640" i="17"/>
  <c r="D1639" i="17"/>
  <c r="D1638" i="17"/>
  <c r="D1637" i="17"/>
  <c r="D1636" i="17"/>
  <c r="D1635" i="17"/>
  <c r="D1634" i="17"/>
  <c r="D1633" i="17"/>
  <c r="D1632" i="17"/>
  <c r="D1631" i="17"/>
  <c r="D1630" i="17"/>
  <c r="D1629" i="17"/>
  <c r="D1628" i="17"/>
  <c r="D1627" i="17"/>
  <c r="D1626" i="17"/>
  <c r="D1625" i="17"/>
  <c r="D1624" i="17"/>
  <c r="D1623" i="17"/>
  <c r="D1622" i="17"/>
  <c r="D1621" i="17"/>
  <c r="D1620" i="17"/>
  <c r="D1619" i="17"/>
  <c r="D1618" i="17"/>
  <c r="D1617" i="17"/>
  <c r="D1616" i="17"/>
  <c r="D1615" i="17"/>
  <c r="D1614" i="17"/>
  <c r="D1613" i="17"/>
  <c r="D1612" i="17"/>
  <c r="D1611" i="17"/>
  <c r="D1610" i="17"/>
  <c r="D1609" i="17"/>
  <c r="D1608" i="17"/>
  <c r="D1607" i="17"/>
  <c r="D1606" i="17"/>
  <c r="D1605" i="17"/>
  <c r="D1604" i="17"/>
  <c r="D1603" i="17"/>
  <c r="D1602" i="17"/>
  <c r="D1601" i="17"/>
  <c r="D1600" i="17"/>
  <c r="D1599" i="17"/>
  <c r="D1598" i="17"/>
  <c r="D1597" i="17"/>
  <c r="D1596" i="17"/>
  <c r="D1595" i="17"/>
  <c r="D1594" i="17"/>
  <c r="D1593" i="17"/>
  <c r="D1592" i="17"/>
  <c r="D1591" i="17"/>
  <c r="D1590" i="17"/>
  <c r="D1589" i="17"/>
  <c r="D1588" i="17"/>
  <c r="D1587" i="17"/>
  <c r="D1586" i="17"/>
  <c r="D1585" i="17"/>
  <c r="D1584" i="17"/>
  <c r="D1583" i="17"/>
  <c r="D1582" i="17"/>
  <c r="D1581" i="17"/>
  <c r="D1580" i="17"/>
  <c r="D1579" i="17"/>
  <c r="D1578" i="17"/>
  <c r="D1577" i="17"/>
  <c r="D1576" i="17"/>
  <c r="D1575" i="17"/>
  <c r="D1574" i="17"/>
  <c r="D1573" i="17"/>
  <c r="D1572" i="17"/>
  <c r="D1571" i="17"/>
  <c r="D1570" i="17"/>
  <c r="D1569" i="17"/>
  <c r="D1568" i="17"/>
  <c r="D1567" i="17"/>
  <c r="D1566" i="17"/>
  <c r="D1565" i="17"/>
  <c r="D1564" i="17"/>
  <c r="D1563" i="17"/>
  <c r="D1562" i="17"/>
  <c r="D1561" i="17"/>
  <c r="D1560" i="17"/>
  <c r="D1559" i="17"/>
  <c r="D1558" i="17"/>
  <c r="D1557" i="17"/>
  <c r="D1556" i="17"/>
  <c r="D1555" i="17"/>
  <c r="D1554" i="17"/>
  <c r="D1553" i="17"/>
  <c r="D1552" i="17"/>
  <c r="D1551" i="17"/>
  <c r="D1550" i="17"/>
  <c r="D1549" i="17"/>
  <c r="D1548" i="17"/>
  <c r="D1547" i="17"/>
  <c r="D1546" i="17"/>
  <c r="D1545" i="17"/>
  <c r="D1544" i="17"/>
  <c r="D1543" i="17"/>
  <c r="D1542" i="17"/>
  <c r="D1541" i="17"/>
  <c r="D1540" i="17"/>
  <c r="D1539" i="17"/>
  <c r="D1538" i="17"/>
  <c r="D1537" i="17"/>
  <c r="D1536" i="17"/>
  <c r="D1535" i="17"/>
  <c r="D1534" i="17"/>
  <c r="D1533" i="17"/>
  <c r="D1532" i="17"/>
  <c r="D1531" i="17"/>
  <c r="D1530" i="17"/>
  <c r="D1529" i="17"/>
  <c r="D1528" i="17"/>
  <c r="D1527" i="17"/>
  <c r="D1526" i="17"/>
  <c r="D1525" i="17"/>
  <c r="D1524" i="17"/>
  <c r="D1523" i="17"/>
  <c r="D1522" i="17"/>
  <c r="D1521" i="17"/>
  <c r="D1520" i="17"/>
  <c r="D1519" i="17"/>
  <c r="D1518" i="17"/>
  <c r="D1517" i="17"/>
  <c r="D1516" i="17"/>
  <c r="D1515" i="17"/>
  <c r="D1514" i="17"/>
  <c r="D1513" i="17"/>
  <c r="D1512" i="17"/>
  <c r="D1511" i="17"/>
  <c r="D1510" i="17"/>
  <c r="D1509" i="17"/>
  <c r="D1508" i="17"/>
  <c r="D1507" i="17"/>
  <c r="D1506" i="17"/>
  <c r="D1505" i="17"/>
  <c r="D1504" i="17"/>
  <c r="D1503" i="17"/>
  <c r="D1502" i="17"/>
  <c r="D1501" i="17"/>
  <c r="D1500" i="17"/>
  <c r="D1499" i="17"/>
  <c r="D1498" i="17"/>
  <c r="D1497" i="17"/>
  <c r="D1496" i="17"/>
  <c r="D1495" i="17"/>
  <c r="D1494" i="17"/>
  <c r="D1493" i="17"/>
  <c r="D1492" i="17"/>
  <c r="D1491" i="17"/>
  <c r="D1490" i="17"/>
  <c r="D1489" i="17"/>
  <c r="D1488" i="17"/>
  <c r="D1487" i="17"/>
  <c r="D1486" i="17"/>
  <c r="D1485" i="17"/>
  <c r="D1484" i="17"/>
  <c r="D1483" i="17"/>
  <c r="D1482" i="17"/>
  <c r="D1481" i="17"/>
  <c r="D1480" i="17"/>
  <c r="D1479" i="17"/>
  <c r="D1478" i="17"/>
  <c r="D1477" i="17"/>
  <c r="D1476" i="17"/>
  <c r="D1475" i="17"/>
  <c r="D1474" i="17"/>
  <c r="D1473" i="17"/>
  <c r="D1472" i="17"/>
  <c r="D1471" i="17"/>
  <c r="D1470" i="17"/>
  <c r="D1469" i="17"/>
  <c r="D1468" i="17"/>
  <c r="D1467" i="17"/>
  <c r="D1466" i="17"/>
  <c r="D1465" i="17"/>
  <c r="D1464" i="17"/>
  <c r="D1463" i="17"/>
  <c r="D1462" i="17"/>
  <c r="D1461" i="17"/>
  <c r="D1460" i="17"/>
  <c r="D1459" i="17"/>
  <c r="D1458" i="17"/>
  <c r="D1457" i="17"/>
  <c r="D1456" i="17"/>
  <c r="D1455" i="17"/>
  <c r="D1454" i="17"/>
  <c r="D1453" i="17"/>
  <c r="D1452" i="17"/>
  <c r="D1451" i="17"/>
  <c r="D1450" i="17"/>
  <c r="D1449" i="17"/>
  <c r="D1448" i="17"/>
  <c r="D1447" i="17"/>
  <c r="D1446" i="17"/>
  <c r="D1445" i="17"/>
  <c r="D1444" i="17"/>
  <c r="D1443" i="17"/>
  <c r="D1442" i="17"/>
  <c r="D1441" i="17"/>
  <c r="D1440" i="17"/>
  <c r="D1439" i="17"/>
  <c r="D1438" i="17"/>
  <c r="D1437" i="17"/>
  <c r="D1436" i="17"/>
  <c r="D1435" i="17"/>
  <c r="D1434" i="17"/>
  <c r="D1433" i="17"/>
  <c r="D1432" i="17"/>
  <c r="D1431" i="17"/>
  <c r="D1430" i="17"/>
  <c r="D1429" i="17"/>
  <c r="D1428" i="17"/>
  <c r="D1427" i="17"/>
  <c r="D1426" i="17"/>
  <c r="D1425" i="17"/>
  <c r="D1424" i="17"/>
  <c r="D1423" i="17"/>
  <c r="D1422" i="17"/>
  <c r="D1421" i="17"/>
  <c r="D1420" i="17"/>
  <c r="D1419" i="17"/>
  <c r="D1418" i="17"/>
  <c r="D1417" i="17"/>
  <c r="D1416" i="17"/>
  <c r="D1415" i="17"/>
  <c r="D1414" i="17"/>
  <c r="D1413" i="17"/>
  <c r="D1412" i="17"/>
  <c r="D1411" i="17"/>
  <c r="D1410" i="17"/>
  <c r="D1409" i="17"/>
  <c r="D1408" i="17"/>
  <c r="D1407" i="17"/>
  <c r="D1406" i="17"/>
  <c r="D1405" i="17"/>
  <c r="D1404" i="17"/>
  <c r="D1403" i="17"/>
  <c r="D1402" i="17"/>
  <c r="D1401" i="17"/>
  <c r="D1400" i="17"/>
  <c r="D1399" i="17"/>
  <c r="D1398" i="17"/>
  <c r="D1397" i="17"/>
  <c r="D1396" i="17"/>
  <c r="D1395" i="17"/>
  <c r="D1394" i="17"/>
  <c r="D1393" i="17"/>
  <c r="D1392" i="17"/>
  <c r="D1391" i="17"/>
  <c r="D1390" i="17"/>
  <c r="D1389" i="17"/>
  <c r="D1388" i="17"/>
  <c r="D1387" i="17"/>
  <c r="D1386" i="17"/>
  <c r="D1385" i="17"/>
  <c r="D1384" i="17"/>
  <c r="D1383" i="17"/>
  <c r="D1382" i="17"/>
  <c r="D1381" i="17"/>
  <c r="D1380" i="17"/>
  <c r="D1379" i="17"/>
  <c r="D1378" i="17"/>
  <c r="D1377" i="17"/>
  <c r="D1376" i="17"/>
  <c r="D1375" i="17"/>
  <c r="D1374" i="17"/>
  <c r="D1373" i="17"/>
  <c r="D1372" i="17"/>
  <c r="D1371" i="17"/>
  <c r="D1370" i="17"/>
  <c r="D1369" i="17"/>
  <c r="D1368" i="17"/>
  <c r="D1367" i="17"/>
  <c r="D1366" i="17"/>
  <c r="D1365" i="17"/>
  <c r="D1364" i="17"/>
  <c r="D1363" i="17"/>
  <c r="D1362" i="17"/>
  <c r="D1361" i="17"/>
  <c r="D1360" i="17"/>
  <c r="D1359" i="17"/>
  <c r="D1358" i="17"/>
  <c r="D1357" i="17"/>
  <c r="D1356" i="17"/>
  <c r="D1355" i="17"/>
  <c r="D1354" i="17"/>
  <c r="D1353" i="17"/>
  <c r="D1352" i="17"/>
  <c r="D1351" i="17"/>
  <c r="D1350" i="17"/>
  <c r="D1349" i="17"/>
  <c r="D1348" i="17"/>
  <c r="D1347" i="17"/>
  <c r="D1346" i="17"/>
  <c r="D1345" i="17"/>
  <c r="D1344" i="17"/>
  <c r="D1343" i="17"/>
  <c r="D1342" i="17"/>
  <c r="D1341" i="17"/>
  <c r="D1340" i="17"/>
  <c r="D1339" i="17"/>
  <c r="D1338" i="17"/>
  <c r="D1337" i="17"/>
  <c r="D1336" i="17"/>
  <c r="D1335" i="17"/>
  <c r="D1334" i="17"/>
  <c r="D1333" i="17"/>
  <c r="D1332" i="17"/>
  <c r="D1331" i="17"/>
  <c r="D1330" i="17"/>
  <c r="D1329" i="17"/>
  <c r="D1328" i="17"/>
  <c r="D1327" i="17"/>
  <c r="D1326" i="17"/>
  <c r="D1325" i="17"/>
  <c r="D1324" i="17"/>
  <c r="D1323" i="17"/>
  <c r="D1322" i="17"/>
  <c r="D1321" i="17"/>
  <c r="D1320" i="17"/>
  <c r="D1319" i="17"/>
  <c r="D1318" i="17"/>
  <c r="D1317" i="17"/>
  <c r="D1316" i="17"/>
  <c r="D1315" i="17"/>
  <c r="D1314" i="17"/>
  <c r="D1313" i="17"/>
  <c r="D1312" i="17"/>
  <c r="D1311" i="17"/>
  <c r="D1310" i="17"/>
  <c r="D1309" i="17"/>
  <c r="D1308" i="17"/>
  <c r="D1307" i="17"/>
  <c r="D1306" i="17"/>
  <c r="D1305" i="17"/>
  <c r="D1304" i="17"/>
  <c r="D1303" i="17"/>
  <c r="D1302" i="17"/>
  <c r="D1301" i="17"/>
  <c r="D1300" i="17"/>
  <c r="D1299" i="17"/>
  <c r="D1298" i="17"/>
  <c r="D1297" i="17"/>
  <c r="D1296" i="17"/>
  <c r="D1295" i="17"/>
  <c r="D1294" i="17"/>
  <c r="D1293" i="17"/>
  <c r="D1292" i="17"/>
  <c r="D1291" i="17"/>
  <c r="D1290" i="17"/>
  <c r="D1289" i="17"/>
  <c r="D1288" i="17"/>
  <c r="D1287" i="17"/>
  <c r="D1286" i="17"/>
  <c r="D1285" i="17"/>
  <c r="D1284" i="17"/>
  <c r="D1283" i="17"/>
  <c r="D1282" i="17"/>
  <c r="D1281" i="17"/>
  <c r="D1280" i="17"/>
  <c r="D1279" i="17"/>
  <c r="D1278" i="17"/>
  <c r="D1277" i="17"/>
  <c r="D1276" i="17"/>
  <c r="D1275" i="17"/>
  <c r="D1274" i="17"/>
  <c r="D1273" i="17"/>
  <c r="D1272" i="17"/>
  <c r="D1271" i="17"/>
  <c r="D1270" i="17"/>
  <c r="D1269" i="17"/>
  <c r="D1268" i="17"/>
  <c r="D1267" i="17"/>
  <c r="D1266" i="17"/>
  <c r="D1265" i="17"/>
  <c r="D1264" i="17"/>
  <c r="D1263" i="17"/>
  <c r="D1262" i="17"/>
  <c r="D1261" i="17"/>
  <c r="D1260" i="17"/>
  <c r="D1259" i="17"/>
  <c r="D1258" i="17"/>
  <c r="D1257" i="17"/>
  <c r="D1256" i="17"/>
  <c r="D1255" i="17"/>
  <c r="D1254" i="17"/>
  <c r="D1253" i="17"/>
  <c r="D1252" i="17"/>
  <c r="D1251" i="17"/>
  <c r="D1250" i="17"/>
  <c r="D1249" i="17"/>
  <c r="D1248" i="17"/>
  <c r="D1247" i="17"/>
  <c r="D1246" i="17"/>
  <c r="D1245" i="17"/>
  <c r="D1244" i="17"/>
  <c r="D1243" i="17"/>
  <c r="D1242" i="17"/>
  <c r="D1241" i="17"/>
  <c r="D1240" i="17"/>
  <c r="D1239" i="17"/>
  <c r="D1238" i="17"/>
  <c r="D1237" i="17"/>
  <c r="D1236" i="17"/>
  <c r="D1235" i="17"/>
  <c r="D1234" i="17"/>
  <c r="D1233" i="17"/>
  <c r="D1232" i="17"/>
  <c r="D1231" i="17"/>
  <c r="D1230" i="17"/>
  <c r="D1229" i="17"/>
  <c r="D1228" i="17"/>
  <c r="D1227" i="17"/>
  <c r="D1226" i="17"/>
  <c r="D1225" i="17"/>
  <c r="D1224" i="17"/>
  <c r="D1223" i="17"/>
  <c r="D1222" i="17"/>
  <c r="D1221" i="17"/>
  <c r="D1220" i="17"/>
  <c r="D1219" i="17"/>
  <c r="D1218" i="17"/>
  <c r="D1217" i="17"/>
  <c r="D1216" i="17"/>
  <c r="D1215" i="17"/>
  <c r="D1214" i="17"/>
  <c r="D1213" i="17"/>
  <c r="D1212" i="17"/>
  <c r="D1211" i="17"/>
  <c r="D1210" i="17"/>
  <c r="D1209" i="17"/>
  <c r="D1208" i="17"/>
  <c r="D1207" i="17"/>
  <c r="D1206" i="17"/>
  <c r="D1205" i="17"/>
  <c r="D1204" i="17"/>
  <c r="D1203" i="17"/>
  <c r="D1202" i="17"/>
  <c r="D1201" i="17"/>
  <c r="D1200" i="17"/>
  <c r="D1199" i="17"/>
  <c r="D1198" i="17"/>
  <c r="D1197" i="17"/>
  <c r="D1196" i="17"/>
  <c r="D1195" i="17"/>
  <c r="D1194" i="17"/>
  <c r="D1193" i="17"/>
  <c r="D1192" i="17"/>
  <c r="D1191" i="17"/>
  <c r="D1190" i="17"/>
  <c r="D1189" i="17"/>
  <c r="D1188" i="17"/>
  <c r="D1187" i="17"/>
  <c r="D1186" i="17"/>
  <c r="D1185" i="17"/>
  <c r="D1184" i="17"/>
  <c r="D1183" i="17"/>
  <c r="D1182" i="17"/>
  <c r="D1181" i="17"/>
  <c r="D1180" i="17"/>
  <c r="D1179" i="17"/>
  <c r="D1178" i="17"/>
  <c r="D1177" i="17"/>
  <c r="D1176" i="17"/>
  <c r="D1175" i="17"/>
  <c r="D1174" i="17"/>
  <c r="D1173" i="17"/>
  <c r="D1172" i="17"/>
  <c r="D1171" i="17"/>
  <c r="D1170" i="17"/>
  <c r="D1169" i="17"/>
  <c r="D1168" i="17"/>
  <c r="D1167" i="17"/>
  <c r="D1166" i="17"/>
  <c r="D1165" i="17"/>
  <c r="D1164" i="17"/>
  <c r="D1163" i="17"/>
  <c r="D1162" i="17"/>
  <c r="D1161" i="17"/>
  <c r="D1160" i="17"/>
  <c r="D1159" i="17"/>
  <c r="D1158" i="17"/>
  <c r="D1157" i="17"/>
  <c r="D1156" i="17"/>
  <c r="D1155" i="17"/>
  <c r="D1154" i="17"/>
  <c r="D1153" i="17"/>
  <c r="D1152" i="17"/>
  <c r="D1151" i="17"/>
  <c r="D1150" i="17"/>
  <c r="D1149" i="17"/>
  <c r="D1148" i="17"/>
  <c r="D1147" i="17"/>
  <c r="D1146" i="17"/>
  <c r="D1145" i="17"/>
  <c r="D1144" i="17"/>
  <c r="D1143" i="17"/>
  <c r="D1142" i="17"/>
  <c r="D1141" i="17"/>
  <c r="D1140" i="17"/>
  <c r="D1139" i="17"/>
  <c r="D1138" i="17"/>
  <c r="D1137" i="17"/>
  <c r="D1136" i="17"/>
  <c r="D1135" i="17"/>
  <c r="D1134" i="17"/>
  <c r="D1133" i="17"/>
  <c r="D1132" i="17"/>
  <c r="D1131" i="17"/>
  <c r="D1130" i="17"/>
  <c r="D1129" i="17"/>
  <c r="D1128" i="17"/>
  <c r="D1127" i="17"/>
  <c r="D1126" i="17"/>
  <c r="D1125" i="17"/>
  <c r="D1124" i="17"/>
  <c r="D1123" i="17"/>
  <c r="D1122" i="17"/>
  <c r="D1121" i="17"/>
  <c r="D1120" i="17"/>
  <c r="D1119" i="17"/>
  <c r="D1118" i="17"/>
  <c r="D1117" i="17"/>
  <c r="D1116" i="17"/>
  <c r="D1115" i="17"/>
  <c r="D1114" i="17"/>
  <c r="D1113" i="17"/>
  <c r="D1112" i="17"/>
  <c r="D1111" i="17"/>
  <c r="D1110" i="17"/>
  <c r="D1109" i="17"/>
  <c r="D1108" i="17"/>
  <c r="D1107" i="17"/>
  <c r="D1106" i="17"/>
  <c r="D1105" i="17"/>
  <c r="D1104" i="17"/>
  <c r="D1103" i="17"/>
  <c r="D1102" i="17"/>
  <c r="D1101" i="17"/>
  <c r="D1100" i="17"/>
  <c r="D1099" i="17"/>
  <c r="D1098" i="17"/>
  <c r="D1097" i="17"/>
  <c r="D1096" i="17"/>
  <c r="D1095" i="17"/>
  <c r="D1094" i="17"/>
  <c r="D1093" i="17"/>
  <c r="D1092" i="17"/>
  <c r="D1091" i="17"/>
  <c r="D1090" i="17"/>
  <c r="D1089" i="17"/>
  <c r="D1088" i="17"/>
  <c r="D1087" i="17"/>
  <c r="D1086" i="17"/>
  <c r="D1085" i="17"/>
  <c r="D1084" i="17"/>
  <c r="D1083" i="17"/>
  <c r="D1082" i="17"/>
  <c r="D1081" i="17"/>
  <c r="D1080" i="17"/>
  <c r="D1079" i="17"/>
  <c r="D1078" i="17"/>
  <c r="D1077" i="17"/>
  <c r="D1076" i="17"/>
  <c r="D1075" i="17"/>
  <c r="D1074" i="17"/>
  <c r="D1073" i="17"/>
  <c r="D1072" i="17"/>
  <c r="D1071" i="17"/>
  <c r="D1070" i="17"/>
  <c r="D1069" i="17"/>
  <c r="D1068" i="17"/>
  <c r="D1067" i="17"/>
  <c r="D1066" i="17"/>
  <c r="D1065" i="17"/>
  <c r="D1064" i="17"/>
  <c r="D1063" i="17"/>
  <c r="D1062" i="17"/>
  <c r="D1061" i="17"/>
  <c r="D1060" i="17"/>
  <c r="D1059" i="17"/>
  <c r="D1058" i="17"/>
  <c r="D1057" i="17"/>
  <c r="D1056" i="17"/>
  <c r="D1055" i="17"/>
  <c r="D1054" i="17"/>
  <c r="D1053" i="17"/>
  <c r="D1052" i="17"/>
  <c r="D1051" i="17"/>
  <c r="D1050" i="17"/>
  <c r="D1049" i="17"/>
  <c r="D1048" i="17"/>
  <c r="D1047" i="17"/>
  <c r="D1046" i="17"/>
  <c r="D1045" i="17"/>
  <c r="D1044" i="17"/>
  <c r="D1043" i="17"/>
  <c r="D1042" i="17"/>
  <c r="D1041" i="17"/>
  <c r="D1040" i="17"/>
  <c r="D1039" i="17"/>
  <c r="D1038" i="17"/>
  <c r="D1037" i="17"/>
  <c r="D1036" i="17"/>
  <c r="D1035" i="17"/>
  <c r="D1034" i="17"/>
  <c r="D1033" i="17"/>
  <c r="D1032" i="17"/>
  <c r="D1031" i="17"/>
  <c r="D1030" i="17"/>
  <c r="D1029" i="17"/>
  <c r="D1028" i="17"/>
  <c r="D1027" i="17"/>
  <c r="D1026" i="17"/>
  <c r="D1025" i="17"/>
  <c r="D1024" i="17"/>
  <c r="D1023" i="17"/>
  <c r="D1022" i="17"/>
  <c r="D1021" i="17"/>
  <c r="D1020" i="17"/>
  <c r="D1019" i="17"/>
  <c r="D1018" i="17"/>
  <c r="D1017" i="17"/>
  <c r="D1016" i="17"/>
  <c r="D1015" i="17"/>
  <c r="D1014" i="17"/>
  <c r="D1013" i="17"/>
  <c r="D1012" i="17"/>
  <c r="D1011" i="17"/>
  <c r="D1010" i="17"/>
  <c r="D1009" i="17"/>
  <c r="D1008" i="17"/>
  <c r="D1007" i="17"/>
  <c r="D1006" i="17"/>
  <c r="D1005" i="17"/>
  <c r="D1004" i="17"/>
  <c r="D1003" i="17"/>
  <c r="D1002" i="17"/>
  <c r="D1001" i="17"/>
  <c r="D1000" i="17"/>
  <c r="D999" i="17"/>
  <c r="D998" i="17"/>
  <c r="D997" i="17"/>
  <c r="D996" i="17"/>
  <c r="D995" i="17"/>
  <c r="D994" i="17"/>
  <c r="D993" i="17"/>
  <c r="D992" i="17"/>
  <c r="D991" i="17"/>
  <c r="D990" i="17"/>
  <c r="D989" i="17"/>
  <c r="D988" i="17"/>
  <c r="D987" i="17"/>
  <c r="D986" i="17"/>
  <c r="D985" i="17"/>
  <c r="D984" i="17"/>
  <c r="D983" i="17"/>
  <c r="D982" i="17"/>
  <c r="D981" i="17"/>
  <c r="D980" i="17"/>
  <c r="D979" i="17"/>
  <c r="D978" i="17"/>
  <c r="D977" i="17"/>
  <c r="D976" i="17"/>
  <c r="D975" i="17"/>
  <c r="D974" i="17"/>
  <c r="D973" i="17"/>
  <c r="D972" i="17"/>
  <c r="D971" i="17"/>
  <c r="D970" i="17"/>
  <c r="D969" i="17"/>
  <c r="D968" i="17"/>
  <c r="D967" i="17"/>
  <c r="D966" i="17"/>
  <c r="D965" i="17"/>
  <c r="D964" i="17"/>
  <c r="D963" i="17"/>
  <c r="D962" i="17"/>
  <c r="D961" i="17"/>
  <c r="D960" i="17"/>
  <c r="D959" i="17"/>
  <c r="D958" i="17"/>
  <c r="D957" i="17"/>
  <c r="D956" i="17"/>
  <c r="D955" i="17"/>
  <c r="D954" i="17"/>
  <c r="D953" i="17"/>
  <c r="D952" i="17"/>
  <c r="D951" i="17"/>
  <c r="D950" i="17"/>
  <c r="D949" i="17"/>
  <c r="D948" i="17"/>
  <c r="D947" i="17"/>
  <c r="D946" i="17"/>
  <c r="D945" i="17"/>
  <c r="D944" i="17"/>
  <c r="D943" i="17"/>
  <c r="D942" i="17"/>
  <c r="D941" i="17"/>
  <c r="D940" i="17"/>
  <c r="D939" i="17"/>
  <c r="D938" i="17"/>
  <c r="D937" i="17"/>
  <c r="D936" i="17"/>
  <c r="D935" i="17"/>
  <c r="D934" i="17"/>
  <c r="D933" i="17"/>
  <c r="D932" i="17"/>
  <c r="D931" i="17"/>
  <c r="D930" i="17"/>
  <c r="D929" i="17"/>
  <c r="D928" i="17"/>
  <c r="D927" i="17"/>
  <c r="D926" i="17"/>
  <c r="D925" i="17"/>
  <c r="D924" i="17"/>
  <c r="D923" i="17"/>
  <c r="D922" i="17"/>
  <c r="D921" i="17"/>
  <c r="D920" i="17"/>
  <c r="D919" i="17"/>
  <c r="D918" i="17"/>
  <c r="D917" i="17"/>
  <c r="D916" i="17"/>
  <c r="D915" i="17"/>
  <c r="D914" i="17"/>
  <c r="D913" i="17"/>
  <c r="D912" i="17"/>
  <c r="D911" i="17"/>
  <c r="D910" i="17"/>
  <c r="D909" i="17"/>
  <c r="D908" i="17"/>
  <c r="D907" i="17"/>
  <c r="D906" i="17"/>
  <c r="D905" i="17"/>
  <c r="D904" i="17"/>
  <c r="D903" i="17"/>
  <c r="D902" i="17"/>
  <c r="D901" i="17"/>
  <c r="D900" i="17"/>
  <c r="D899" i="17"/>
  <c r="D898" i="17"/>
  <c r="D897" i="17"/>
  <c r="D896" i="17"/>
  <c r="D895" i="17"/>
  <c r="D894" i="17"/>
  <c r="D893" i="17"/>
  <c r="D892" i="17"/>
  <c r="D891" i="17"/>
  <c r="D890" i="17"/>
  <c r="D889" i="17"/>
  <c r="D888" i="17"/>
  <c r="D887" i="17"/>
  <c r="D886" i="17"/>
  <c r="D885" i="17"/>
  <c r="D884" i="17"/>
  <c r="D883" i="17"/>
  <c r="D882" i="17"/>
  <c r="D881" i="17"/>
  <c r="D880" i="17"/>
  <c r="D879" i="17"/>
  <c r="D878" i="17"/>
  <c r="D877" i="17"/>
  <c r="D876" i="17"/>
  <c r="D875" i="17"/>
  <c r="D874" i="17"/>
  <c r="D873" i="17"/>
  <c r="D872" i="17"/>
  <c r="D871" i="17"/>
  <c r="D870" i="17"/>
  <c r="D869" i="17"/>
  <c r="D868" i="17"/>
  <c r="D867" i="17"/>
  <c r="D866" i="17"/>
  <c r="D865" i="17"/>
  <c r="D864" i="17"/>
  <c r="D863" i="17"/>
  <c r="D862" i="17"/>
  <c r="D861" i="17"/>
  <c r="D860" i="17"/>
  <c r="D859" i="17"/>
  <c r="D858" i="17"/>
  <c r="D857" i="17"/>
  <c r="D856" i="17"/>
  <c r="D855" i="17"/>
  <c r="D854" i="17"/>
  <c r="D853" i="17"/>
  <c r="D852" i="17"/>
  <c r="D851" i="17"/>
  <c r="D850" i="17"/>
  <c r="D849" i="17"/>
  <c r="D848" i="17"/>
  <c r="D847" i="17"/>
  <c r="D846" i="17"/>
  <c r="D845" i="17"/>
  <c r="D844" i="17"/>
  <c r="D843" i="17"/>
  <c r="D842" i="17"/>
  <c r="D841" i="17"/>
  <c r="D840" i="17"/>
  <c r="D839" i="17"/>
  <c r="D838" i="17"/>
  <c r="D837" i="17"/>
  <c r="D836" i="17"/>
  <c r="D835" i="17"/>
  <c r="D834" i="17"/>
  <c r="D833" i="17"/>
  <c r="D832" i="17"/>
  <c r="D831" i="17"/>
  <c r="D830" i="17"/>
  <c r="D829" i="17"/>
  <c r="D828" i="17"/>
  <c r="D827" i="17"/>
  <c r="D826" i="17"/>
  <c r="D825" i="17"/>
  <c r="D824" i="17"/>
  <c r="D823" i="17"/>
  <c r="D822" i="17"/>
  <c r="D821" i="17"/>
  <c r="D820" i="17"/>
  <c r="D819" i="17"/>
  <c r="D818" i="17"/>
  <c r="D817" i="17"/>
  <c r="D816" i="17"/>
  <c r="D815" i="17"/>
  <c r="D814" i="17"/>
  <c r="D813" i="17"/>
  <c r="D812" i="17"/>
  <c r="D811" i="17"/>
  <c r="D810" i="17"/>
  <c r="D809" i="17"/>
  <c r="D808" i="17"/>
  <c r="D807" i="17"/>
  <c r="D806" i="17"/>
  <c r="D805" i="17"/>
  <c r="D804" i="17"/>
  <c r="D803" i="17"/>
  <c r="D802" i="17"/>
  <c r="D801" i="17"/>
  <c r="D800" i="17"/>
  <c r="D799" i="17"/>
  <c r="D798" i="17"/>
  <c r="D797" i="17"/>
  <c r="D796" i="17"/>
  <c r="D795" i="17"/>
  <c r="D794" i="17"/>
  <c r="D793" i="17"/>
  <c r="D792" i="17"/>
  <c r="D791" i="17"/>
  <c r="D790" i="17"/>
  <c r="D789" i="17"/>
  <c r="D788" i="17"/>
  <c r="D787" i="17"/>
  <c r="D786" i="17"/>
  <c r="D785" i="17"/>
  <c r="D784" i="17"/>
  <c r="D783" i="17"/>
  <c r="D782" i="17"/>
  <c r="D781" i="17"/>
  <c r="D780" i="17"/>
  <c r="D779" i="17"/>
  <c r="D778" i="17"/>
  <c r="D777" i="17"/>
  <c r="D776" i="17"/>
  <c r="D775" i="17"/>
  <c r="D774" i="17"/>
  <c r="D773" i="17"/>
  <c r="D772" i="17"/>
  <c r="D771" i="17"/>
  <c r="D770" i="17"/>
  <c r="D769" i="17"/>
  <c r="D768" i="17"/>
  <c r="D767" i="17"/>
  <c r="D766" i="17"/>
  <c r="D765" i="17"/>
  <c r="D764" i="17"/>
  <c r="D763" i="17"/>
  <c r="D762" i="17"/>
  <c r="D761" i="17"/>
  <c r="D760" i="17"/>
  <c r="D759" i="17"/>
  <c r="D758" i="17"/>
  <c r="D757" i="17"/>
  <c r="D756" i="17"/>
  <c r="D755" i="17"/>
  <c r="D754" i="17"/>
  <c r="D753" i="17"/>
  <c r="D752" i="17"/>
  <c r="D751" i="17"/>
  <c r="D750" i="17"/>
  <c r="D749" i="17"/>
  <c r="D748" i="17"/>
  <c r="D747" i="17"/>
  <c r="D746" i="17"/>
  <c r="D745" i="17"/>
  <c r="D744" i="17"/>
  <c r="D743" i="17"/>
  <c r="D742" i="17"/>
  <c r="D741" i="17"/>
  <c r="D740" i="17"/>
  <c r="D739" i="17"/>
  <c r="D738" i="17"/>
  <c r="D737" i="17"/>
  <c r="D736" i="17"/>
  <c r="D735" i="17"/>
  <c r="D734" i="17"/>
  <c r="D733" i="17"/>
  <c r="D732" i="17"/>
  <c r="D731" i="17"/>
  <c r="D730" i="17"/>
  <c r="D729" i="17"/>
  <c r="D728" i="17"/>
  <c r="D727" i="17"/>
  <c r="D726" i="17"/>
  <c r="D725" i="17"/>
  <c r="D724" i="17"/>
  <c r="D723" i="17"/>
  <c r="D722" i="17"/>
  <c r="D721" i="17"/>
  <c r="D720" i="17"/>
  <c r="D719" i="17"/>
  <c r="D718" i="17"/>
  <c r="D717" i="17"/>
  <c r="D716" i="17"/>
  <c r="D715" i="17"/>
  <c r="D714" i="17"/>
  <c r="D713" i="17"/>
  <c r="D712" i="17"/>
  <c r="D711" i="17"/>
  <c r="D710" i="17"/>
  <c r="D709" i="17"/>
  <c r="D708" i="17"/>
  <c r="D707" i="17"/>
  <c r="D706" i="17"/>
  <c r="D705" i="17"/>
  <c r="D704" i="17"/>
  <c r="D703" i="17"/>
  <c r="D702" i="17"/>
  <c r="D701" i="17"/>
  <c r="D700" i="17"/>
  <c r="D699" i="17"/>
  <c r="D698" i="17"/>
  <c r="D697" i="17"/>
  <c r="D696" i="17"/>
  <c r="D695" i="17"/>
  <c r="D694" i="17"/>
  <c r="D693" i="17"/>
  <c r="D692" i="17"/>
  <c r="D691" i="17"/>
  <c r="D690" i="17"/>
  <c r="D689" i="17"/>
  <c r="D688" i="17"/>
  <c r="D687" i="17"/>
  <c r="D686" i="17"/>
  <c r="D685" i="17"/>
  <c r="D684" i="17"/>
  <c r="D683" i="17"/>
  <c r="D682" i="17"/>
  <c r="D681" i="17"/>
  <c r="D680" i="17"/>
  <c r="D679" i="17"/>
  <c r="D678" i="17"/>
  <c r="D677" i="17"/>
  <c r="D676" i="17"/>
  <c r="D675" i="17"/>
  <c r="D674" i="17"/>
  <c r="D673" i="17"/>
  <c r="D672" i="17"/>
  <c r="D671" i="17"/>
  <c r="D670" i="17"/>
  <c r="D669" i="17"/>
  <c r="D668" i="17"/>
  <c r="D667" i="17"/>
  <c r="D666" i="17"/>
  <c r="D665" i="17"/>
  <c r="D664" i="17"/>
  <c r="D663" i="17"/>
  <c r="D662" i="17"/>
  <c r="D661" i="17"/>
  <c r="D660" i="17"/>
  <c r="D659" i="17"/>
  <c r="D658" i="17"/>
  <c r="D657" i="17"/>
  <c r="D656" i="17"/>
  <c r="D655" i="17"/>
  <c r="D654" i="17"/>
  <c r="D653" i="17"/>
  <c r="D652" i="17"/>
  <c r="D651" i="17"/>
  <c r="D650" i="17"/>
  <c r="D649" i="17"/>
  <c r="D648" i="17"/>
  <c r="D647" i="17"/>
  <c r="D646" i="17"/>
  <c r="D645" i="17"/>
  <c r="D644" i="17"/>
  <c r="D643" i="17"/>
  <c r="D642" i="17"/>
  <c r="D641" i="17"/>
  <c r="D640" i="17"/>
  <c r="D639" i="17"/>
  <c r="D638" i="17"/>
  <c r="D637" i="17"/>
  <c r="D636" i="17"/>
  <c r="D635" i="17"/>
  <c r="D634" i="17"/>
  <c r="D633" i="17"/>
  <c r="D632" i="17"/>
  <c r="D631" i="17"/>
  <c r="D630" i="17"/>
  <c r="D629" i="17"/>
  <c r="D628" i="17"/>
  <c r="D627" i="17"/>
  <c r="D626" i="17"/>
  <c r="D625" i="17"/>
  <c r="D624" i="17"/>
  <c r="D623" i="17"/>
  <c r="D622" i="17"/>
  <c r="D621" i="17"/>
  <c r="D620" i="17"/>
  <c r="D619" i="17"/>
  <c r="D618" i="17"/>
  <c r="D617" i="17"/>
  <c r="D616" i="17"/>
  <c r="D615" i="17"/>
  <c r="D614" i="17"/>
  <c r="D613" i="17"/>
  <c r="D612" i="17"/>
  <c r="D611" i="17"/>
  <c r="D610" i="17"/>
  <c r="D609" i="17"/>
  <c r="D608" i="17"/>
  <c r="D607" i="17"/>
  <c r="D606" i="17"/>
  <c r="D605" i="17"/>
  <c r="D604" i="17"/>
  <c r="D603" i="17"/>
  <c r="D602" i="17"/>
  <c r="D601" i="17"/>
  <c r="D600" i="17"/>
  <c r="D599" i="17"/>
  <c r="D598" i="17"/>
  <c r="D597" i="17"/>
  <c r="D596" i="17"/>
  <c r="D595" i="17"/>
  <c r="D594" i="17"/>
  <c r="D593" i="17"/>
  <c r="D592" i="17"/>
  <c r="D591" i="17"/>
  <c r="D590" i="17"/>
  <c r="D589" i="17"/>
  <c r="D588" i="17"/>
  <c r="D587" i="17"/>
  <c r="D586" i="17"/>
  <c r="D585" i="17"/>
  <c r="D584" i="17"/>
  <c r="D583" i="17"/>
  <c r="D582" i="17"/>
  <c r="D581" i="17"/>
  <c r="D580" i="17"/>
  <c r="D579" i="17"/>
  <c r="D578" i="17"/>
  <c r="D577" i="17"/>
  <c r="D576" i="17"/>
  <c r="D575" i="17"/>
  <c r="D574" i="17"/>
  <c r="D573" i="17"/>
  <c r="D572" i="17"/>
  <c r="D571" i="17"/>
  <c r="D570" i="17"/>
  <c r="D569" i="17"/>
  <c r="D568" i="17"/>
  <c r="D567" i="17"/>
  <c r="D566" i="17"/>
  <c r="D565" i="17"/>
  <c r="D564" i="17"/>
  <c r="D563" i="17"/>
  <c r="D562" i="17"/>
  <c r="D561" i="17"/>
  <c r="D560" i="17"/>
  <c r="D559" i="17"/>
  <c r="D558" i="17"/>
  <c r="D557" i="17"/>
  <c r="D556" i="17"/>
  <c r="D555" i="17"/>
  <c r="D554" i="17"/>
  <c r="D553" i="17"/>
  <c r="D552" i="17"/>
  <c r="D551" i="17"/>
  <c r="D550" i="17"/>
  <c r="D549" i="17"/>
  <c r="D548" i="17"/>
  <c r="D547" i="17"/>
  <c r="D546" i="17"/>
  <c r="D545" i="17"/>
  <c r="D544" i="17"/>
  <c r="D543" i="17"/>
  <c r="D542" i="17"/>
  <c r="D541" i="17"/>
  <c r="D540" i="17"/>
  <c r="D539" i="17"/>
  <c r="D538" i="17"/>
  <c r="D537" i="17"/>
  <c r="D536" i="17"/>
  <c r="D535" i="17"/>
  <c r="D534" i="17"/>
  <c r="D533" i="17"/>
  <c r="D532" i="17"/>
  <c r="D531" i="17"/>
  <c r="D530" i="17"/>
  <c r="D529" i="17"/>
  <c r="D528" i="17"/>
  <c r="D527" i="17"/>
  <c r="D526" i="17"/>
  <c r="D525" i="17"/>
  <c r="D524" i="17"/>
  <c r="D523" i="17"/>
  <c r="D522" i="17"/>
  <c r="D521" i="17"/>
  <c r="D520" i="17"/>
  <c r="D519" i="17"/>
  <c r="D518" i="17"/>
  <c r="D517" i="17"/>
  <c r="D516" i="17"/>
  <c r="D515" i="17"/>
  <c r="D514" i="17"/>
  <c r="D513" i="17"/>
  <c r="D512" i="17"/>
  <c r="D511" i="17"/>
  <c r="D510" i="17"/>
  <c r="D509" i="17"/>
  <c r="D508" i="17"/>
  <c r="D507" i="17"/>
  <c r="D506" i="17"/>
  <c r="D505" i="17"/>
  <c r="D504" i="17"/>
  <c r="D503" i="17"/>
  <c r="D502" i="17"/>
  <c r="D501" i="17"/>
  <c r="D500" i="17"/>
  <c r="D499" i="17"/>
  <c r="D498" i="17"/>
  <c r="D497" i="17"/>
  <c r="D496" i="17"/>
  <c r="D495" i="17"/>
  <c r="D494" i="17"/>
  <c r="D493" i="17"/>
  <c r="D492" i="17"/>
  <c r="D491" i="17"/>
  <c r="D490" i="17"/>
  <c r="D489" i="17"/>
  <c r="D488" i="17"/>
  <c r="D487" i="17"/>
  <c r="D486" i="17"/>
  <c r="D485" i="17"/>
  <c r="D484" i="17"/>
  <c r="D483" i="17"/>
  <c r="D482" i="17"/>
  <c r="D481" i="17"/>
  <c r="D480" i="17"/>
  <c r="D479" i="17"/>
  <c r="D478" i="17"/>
  <c r="D477" i="17"/>
  <c r="D476" i="17"/>
  <c r="D475" i="17"/>
  <c r="D474" i="17"/>
  <c r="D473" i="17"/>
  <c r="D472" i="17"/>
  <c r="D471" i="17"/>
  <c r="D470" i="17"/>
  <c r="D469" i="17"/>
  <c r="D468" i="17"/>
  <c r="D467" i="17"/>
  <c r="D466" i="17"/>
  <c r="D465" i="17"/>
  <c r="D464" i="17"/>
  <c r="D463" i="17"/>
  <c r="D462" i="17"/>
  <c r="D461" i="17"/>
  <c r="D460" i="17"/>
  <c r="D459" i="17"/>
  <c r="D458" i="17"/>
  <c r="D457" i="17"/>
  <c r="D456" i="17"/>
  <c r="D455" i="17"/>
  <c r="D454" i="17"/>
  <c r="D453" i="17"/>
  <c r="D452" i="17"/>
  <c r="D451" i="17"/>
  <c r="D450" i="17"/>
  <c r="D449" i="17"/>
  <c r="D448" i="17"/>
  <c r="D447" i="17"/>
  <c r="D446" i="17"/>
  <c r="D445" i="17"/>
  <c r="D444" i="17"/>
  <c r="D443" i="17"/>
  <c r="D442" i="17"/>
  <c r="D441" i="17"/>
  <c r="D440" i="17"/>
  <c r="D439" i="17"/>
  <c r="D438" i="17"/>
  <c r="D437" i="17"/>
  <c r="D436" i="17"/>
  <c r="D435" i="17"/>
  <c r="D434" i="17"/>
  <c r="D433" i="17"/>
  <c r="D432" i="17"/>
  <c r="D431" i="17"/>
  <c r="D430" i="17"/>
  <c r="D429" i="17"/>
  <c r="D428" i="17"/>
  <c r="D427" i="17"/>
  <c r="D426" i="17"/>
  <c r="D425" i="17"/>
  <c r="D424" i="17"/>
  <c r="D423" i="17"/>
  <c r="D422" i="17"/>
  <c r="D421" i="17"/>
  <c r="D420" i="17"/>
  <c r="D419" i="17"/>
  <c r="D418" i="17"/>
  <c r="D417" i="17"/>
  <c r="D416" i="17"/>
  <c r="D415" i="17"/>
  <c r="D414" i="17"/>
  <c r="D413" i="17"/>
  <c r="D412" i="17"/>
  <c r="D411" i="17"/>
  <c r="D410" i="17"/>
  <c r="D409" i="17"/>
  <c r="D408" i="17"/>
  <c r="D407" i="17"/>
  <c r="D406" i="17"/>
  <c r="D405" i="17"/>
  <c r="D404" i="17"/>
  <c r="D403" i="17"/>
  <c r="D402" i="17"/>
  <c r="D401" i="17"/>
  <c r="D400" i="17"/>
  <c r="D399" i="17"/>
  <c r="D398" i="17"/>
  <c r="D397" i="17"/>
  <c r="D396" i="17"/>
  <c r="D395" i="17"/>
  <c r="D394" i="17"/>
  <c r="D393" i="17"/>
  <c r="D392" i="17"/>
  <c r="D391" i="17"/>
  <c r="D390" i="17"/>
  <c r="D389" i="17"/>
  <c r="D388" i="17"/>
  <c r="D387" i="17"/>
  <c r="D386" i="17"/>
  <c r="D385" i="17"/>
  <c r="D384" i="17"/>
  <c r="D383" i="17"/>
  <c r="D382" i="17"/>
  <c r="D381" i="17"/>
  <c r="D380" i="17"/>
  <c r="D379" i="17"/>
  <c r="D378" i="17"/>
  <c r="D377" i="17"/>
  <c r="D376" i="17"/>
  <c r="D375" i="17"/>
  <c r="D374" i="17"/>
  <c r="D373" i="17"/>
  <c r="D372" i="17"/>
  <c r="D371" i="17"/>
  <c r="D370" i="17"/>
  <c r="D369" i="17"/>
  <c r="D368" i="17"/>
  <c r="D367" i="17"/>
  <c r="D366" i="17"/>
  <c r="D365" i="17"/>
  <c r="D364" i="17"/>
  <c r="D363" i="17"/>
  <c r="D362" i="17"/>
  <c r="D361" i="17"/>
  <c r="D360" i="17"/>
  <c r="D359" i="17"/>
  <c r="D358" i="17"/>
  <c r="D357" i="17"/>
  <c r="D356" i="17"/>
  <c r="D355" i="17"/>
  <c r="D354" i="17"/>
  <c r="D353" i="17"/>
  <c r="D352" i="17"/>
  <c r="D351" i="17"/>
  <c r="D350" i="17"/>
  <c r="D349" i="17"/>
  <c r="D348" i="17"/>
  <c r="D347" i="17"/>
  <c r="D346" i="17"/>
  <c r="D345" i="17"/>
  <c r="D344" i="17"/>
  <c r="D343" i="17"/>
  <c r="D342" i="17"/>
  <c r="D341" i="17"/>
  <c r="D340" i="17"/>
  <c r="D339" i="17"/>
  <c r="D338" i="17"/>
  <c r="D337" i="17"/>
  <c r="D336" i="17"/>
  <c r="D335" i="17"/>
  <c r="D334" i="17"/>
  <c r="D333" i="17"/>
  <c r="D332" i="17"/>
  <c r="D331" i="17"/>
  <c r="D330" i="17"/>
  <c r="D329" i="17"/>
  <c r="D328" i="17"/>
  <c r="D327" i="17"/>
  <c r="D326" i="17"/>
  <c r="D325" i="17"/>
  <c r="D324" i="17"/>
  <c r="D323" i="17"/>
  <c r="D322" i="17"/>
  <c r="D321" i="17"/>
  <c r="D320" i="17"/>
  <c r="D319" i="17"/>
  <c r="D318" i="17"/>
  <c r="D317" i="17"/>
  <c r="D316" i="17"/>
  <c r="D315" i="17"/>
  <c r="D314" i="17"/>
  <c r="D313" i="17"/>
  <c r="D312" i="17"/>
  <c r="D311" i="17"/>
  <c r="D310" i="17"/>
  <c r="D309" i="17"/>
  <c r="D308" i="17"/>
  <c r="D307" i="17"/>
  <c r="D306" i="17"/>
  <c r="D305" i="17"/>
  <c r="D304" i="17"/>
  <c r="D303" i="17"/>
  <c r="D302" i="17"/>
  <c r="D301" i="17"/>
  <c r="D300" i="17"/>
  <c r="D299" i="17"/>
  <c r="D298" i="17"/>
  <c r="D297" i="17"/>
  <c r="D296" i="17"/>
  <c r="D295" i="17"/>
  <c r="D294" i="17"/>
  <c r="D293" i="17"/>
  <c r="D292" i="17"/>
  <c r="D291" i="17"/>
  <c r="D290" i="17"/>
  <c r="D289" i="17"/>
  <c r="D288" i="17"/>
  <c r="D287" i="17"/>
  <c r="D286" i="17"/>
  <c r="D285" i="17"/>
  <c r="D284" i="17"/>
  <c r="D283" i="17"/>
  <c r="D282" i="17"/>
  <c r="D281" i="17"/>
  <c r="D280" i="17"/>
  <c r="D279" i="17"/>
  <c r="D278" i="17"/>
  <c r="D277" i="17"/>
  <c r="D276" i="17"/>
  <c r="D275" i="17"/>
  <c r="D274" i="17"/>
  <c r="D273" i="17"/>
  <c r="D272" i="17"/>
  <c r="D271" i="17"/>
  <c r="D270" i="17"/>
  <c r="D269" i="17"/>
  <c r="D268" i="17"/>
  <c r="D267" i="17"/>
  <c r="D266" i="17"/>
  <c r="D265" i="17"/>
  <c r="D264" i="17"/>
  <c r="D263" i="17"/>
  <c r="D262" i="17"/>
  <c r="D261" i="17"/>
  <c r="D260" i="17"/>
  <c r="D259" i="17"/>
  <c r="D258" i="17"/>
  <c r="D257" i="17"/>
  <c r="D256" i="17"/>
  <c r="D255" i="17"/>
  <c r="D254" i="17"/>
  <c r="D253" i="17"/>
  <c r="D252" i="17"/>
  <c r="D251" i="17"/>
  <c r="D250" i="17"/>
  <c r="D249" i="17"/>
  <c r="D248" i="17"/>
  <c r="D247" i="17"/>
  <c r="D246" i="17"/>
  <c r="D245" i="17"/>
  <c r="D244" i="17"/>
  <c r="D243" i="17"/>
  <c r="D242" i="17"/>
  <c r="D241" i="17"/>
  <c r="D240" i="17"/>
  <c r="D239" i="17"/>
  <c r="D238" i="17"/>
  <c r="D237" i="17"/>
  <c r="D236" i="17"/>
  <c r="D235" i="17"/>
  <c r="D234" i="17"/>
  <c r="D233" i="17"/>
  <c r="D232" i="17"/>
  <c r="D231" i="17"/>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01" i="17"/>
  <c r="D200" i="17"/>
  <c r="D199" i="17"/>
  <c r="D198" i="17"/>
  <c r="D197" i="17"/>
  <c r="D196" i="17"/>
  <c r="D195" i="17"/>
  <c r="D194" i="17"/>
  <c r="D193" i="17"/>
  <c r="D192" i="17"/>
  <c r="D191" i="17"/>
  <c r="D190" i="17"/>
  <c r="D189" i="17"/>
  <c r="D188" i="17"/>
  <c r="D187" i="17"/>
  <c r="D186" i="17"/>
  <c r="D185" i="17"/>
  <c r="D184" i="17"/>
  <c r="D183" i="17"/>
  <c r="D182" i="17"/>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52" i="17"/>
  <c r="D151" i="17"/>
  <c r="D150" i="17"/>
  <c r="D149" i="17"/>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AC109" i="6"/>
  <c r="AB109" i="6"/>
  <c r="AA109" i="6"/>
  <c r="Z109" i="6"/>
  <c r="V109" i="6"/>
  <c r="U109" i="6"/>
  <c r="T109" i="6"/>
  <c r="S109" i="6"/>
  <c r="O109" i="6"/>
  <c r="N109" i="6"/>
  <c r="M109" i="6"/>
  <c r="L109" i="6"/>
  <c r="Y109" i="6"/>
  <c r="R109" i="6"/>
  <c r="K109" i="6"/>
  <c r="O100" i="6"/>
  <c r="N100" i="6"/>
  <c r="M100" i="6"/>
  <c r="L100" i="6"/>
  <c r="V100" i="6"/>
  <c r="U100" i="6"/>
  <c r="T100" i="6"/>
  <c r="S100" i="6"/>
  <c r="AC100" i="6"/>
  <c r="AB100" i="6"/>
  <c r="AA100" i="6"/>
  <c r="Z100" i="6"/>
  <c r="Y100" i="6"/>
  <c r="R100" i="6"/>
  <c r="K100" i="6"/>
  <c r="AC106" i="6"/>
  <c r="AB106" i="6"/>
  <c r="AA106" i="6"/>
  <c r="Z106" i="6"/>
  <c r="Y106" i="6"/>
  <c r="V106" i="6"/>
  <c r="U106" i="6"/>
  <c r="T106" i="6"/>
  <c r="S106" i="6"/>
  <c r="O106" i="6"/>
  <c r="N106" i="6"/>
  <c r="M106" i="6"/>
  <c r="L106" i="6"/>
  <c r="K106" i="6"/>
  <c r="D243" i="1"/>
  <c r="C243" i="1"/>
  <c r="F240" i="1"/>
  <c r="F239" i="1"/>
  <c r="F238" i="1"/>
  <c r="F237" i="1"/>
  <c r="G237" i="1" s="1"/>
  <c r="E21" i="18" s="1"/>
  <c r="F236" i="1"/>
  <c r="G236" i="1" s="1"/>
  <c r="D21" i="18" s="1"/>
  <c r="C240" i="1"/>
  <c r="C239" i="1"/>
  <c r="C238" i="1"/>
  <c r="E243" i="1" s="1"/>
  <c r="D4" i="16"/>
  <c r="E4" i="16" s="1"/>
  <c r="F4" i="16" s="1"/>
  <c r="G4" i="16" s="1"/>
  <c r="Q18" i="15"/>
  <c r="P18" i="15"/>
  <c r="O18" i="15"/>
  <c r="Q17" i="15"/>
  <c r="P17" i="15"/>
  <c r="O17" i="15"/>
  <c r="Q16" i="15"/>
  <c r="P16" i="15"/>
  <c r="O16" i="15"/>
  <c r="Q15" i="15"/>
  <c r="P15" i="15"/>
  <c r="O15" i="15"/>
  <c r="Q14" i="15"/>
  <c r="P14" i="15"/>
  <c r="O14" i="15"/>
  <c r="Q13" i="15"/>
  <c r="P13" i="15"/>
  <c r="O13" i="15"/>
  <c r="M18" i="15"/>
  <c r="L18" i="15"/>
  <c r="K18" i="15"/>
  <c r="M17" i="15"/>
  <c r="L17" i="15"/>
  <c r="K17" i="15"/>
  <c r="M16" i="15"/>
  <c r="L16" i="15"/>
  <c r="K16" i="15"/>
  <c r="M15" i="15"/>
  <c r="L15" i="15"/>
  <c r="K15" i="15"/>
  <c r="M14" i="15"/>
  <c r="L14" i="15"/>
  <c r="K14" i="15"/>
  <c r="M13" i="15"/>
  <c r="L13" i="15"/>
  <c r="K13" i="15"/>
  <c r="I18" i="15"/>
  <c r="H18" i="15"/>
  <c r="G18" i="15"/>
  <c r="F18" i="15"/>
  <c r="E18" i="15"/>
  <c r="I17" i="15"/>
  <c r="H17" i="15"/>
  <c r="G17" i="15"/>
  <c r="F17" i="15"/>
  <c r="E17" i="15"/>
  <c r="I16" i="15"/>
  <c r="H16" i="15"/>
  <c r="G16" i="15"/>
  <c r="F16" i="15"/>
  <c r="E16" i="15"/>
  <c r="I15" i="15"/>
  <c r="H15" i="15"/>
  <c r="G15" i="15"/>
  <c r="F15" i="15"/>
  <c r="E15" i="15"/>
  <c r="I14" i="15"/>
  <c r="H14" i="15"/>
  <c r="G14" i="15"/>
  <c r="F14" i="15"/>
  <c r="E14" i="15"/>
  <c r="I13" i="15"/>
  <c r="H13" i="15"/>
  <c r="G13" i="15"/>
  <c r="F13" i="15"/>
  <c r="E13" i="15"/>
  <c r="M232" i="1"/>
  <c r="L232" i="1"/>
  <c r="K232" i="1"/>
  <c r="M231" i="1"/>
  <c r="L231" i="1"/>
  <c r="K231" i="1"/>
  <c r="M230" i="1"/>
  <c r="L230" i="1"/>
  <c r="K230" i="1"/>
  <c r="M229" i="1"/>
  <c r="L229" i="1"/>
  <c r="K229" i="1"/>
  <c r="M228" i="1"/>
  <c r="L228" i="1"/>
  <c r="K228" i="1"/>
  <c r="M227" i="1"/>
  <c r="L227" i="1"/>
  <c r="K227" i="1"/>
  <c r="G232" i="1"/>
  <c r="G231" i="1"/>
  <c r="G230" i="1"/>
  <c r="G229" i="1"/>
  <c r="G228" i="1"/>
  <c r="G227" i="1"/>
  <c r="E232" i="1"/>
  <c r="E231" i="1"/>
  <c r="E230" i="1"/>
  <c r="E229" i="1"/>
  <c r="E228" i="1"/>
  <c r="E227" i="1"/>
  <c r="C232" i="1"/>
  <c r="C231" i="1"/>
  <c r="C230" i="1"/>
  <c r="C229" i="1"/>
  <c r="C228" i="1"/>
  <c r="C227" i="1"/>
  <c r="B227" i="1"/>
  <c r="B232" i="1"/>
  <c r="B231" i="1"/>
  <c r="B230" i="1"/>
  <c r="B229" i="1"/>
  <c r="B228" i="1"/>
  <c r="E11" i="15"/>
  <c r="B18" i="15"/>
  <c r="B17" i="15"/>
  <c r="B16" i="15"/>
  <c r="B15" i="15"/>
  <c r="B14" i="15"/>
  <c r="B13" i="15"/>
  <c r="C45" i="14"/>
  <c r="C42" i="14"/>
  <c r="F11" i="15" s="1"/>
  <c r="C25" i="14"/>
  <c r="E11" i="14"/>
  <c r="F11" i="14" s="1"/>
  <c r="G11" i="14" s="1"/>
  <c r="H11" i="14" s="1"/>
  <c r="D4" i="14"/>
  <c r="E4" i="14" s="1"/>
  <c r="F4" i="14" s="1"/>
  <c r="G4" i="14" s="1"/>
  <c r="H4" i="14" s="1"/>
  <c r="D83" i="13"/>
  <c r="B54" i="13"/>
  <c r="E4" i="13"/>
  <c r="F4" i="13" s="1"/>
  <c r="G4" i="13" s="1"/>
  <c r="H4" i="13" s="1"/>
  <c r="M44" i="7" l="1"/>
  <c r="M44" i="4" s="1"/>
  <c r="U58" i="6"/>
  <c r="T59" i="6"/>
  <c r="M30" i="3"/>
  <c r="F44" i="7"/>
  <c r="N58" i="6"/>
  <c r="M59" i="6"/>
  <c r="F28" i="2"/>
  <c r="F32" i="2"/>
  <c r="AB58" i="6"/>
  <c r="T44" i="7"/>
  <c r="AA59" i="6"/>
  <c r="H28" i="2"/>
  <c r="H32" i="2"/>
  <c r="D51" i="24"/>
  <c r="G9" i="19"/>
  <c r="G8" i="4"/>
  <c r="G38" i="4" s="1"/>
  <c r="G39" i="2"/>
  <c r="O64" i="3"/>
  <c r="O49" i="6"/>
  <c r="O28" i="3" s="1"/>
  <c r="N28" i="3"/>
  <c r="E32" i="2"/>
  <c r="E33" i="2" s="1"/>
  <c r="G45" i="2"/>
  <c r="G47" i="2"/>
  <c r="G239" i="1"/>
  <c r="G21" i="18" s="1"/>
  <c r="F243" i="1"/>
  <c r="G243" i="1"/>
  <c r="G240" i="1"/>
  <c r="H21" i="18" s="1"/>
  <c r="Q32" i="15"/>
  <c r="P32" i="15"/>
  <c r="O32" i="15"/>
  <c r="G11" i="15"/>
  <c r="G238" i="1"/>
  <c r="F21" i="18" s="1"/>
  <c r="G4159" i="17"/>
  <c r="G4134" i="17"/>
  <c r="G3887" i="17"/>
  <c r="G3622" i="17"/>
  <c r="G3356" i="17"/>
  <c r="G3160" i="17"/>
  <c r="G2945" i="17"/>
  <c r="G2707" i="17"/>
  <c r="G2524" i="17"/>
  <c r="G2349" i="17"/>
  <c r="G2161" i="17"/>
  <c r="G2025" i="17"/>
  <c r="G1868" i="17"/>
  <c r="G1691" i="17"/>
  <c r="G1550" i="17"/>
  <c r="G1416" i="17"/>
  <c r="G1252" i="17"/>
  <c r="G1137" i="17"/>
  <c r="G1005" i="17"/>
  <c r="G850" i="17"/>
  <c r="G730" i="17"/>
  <c r="G599" i="17"/>
  <c r="G457" i="17"/>
  <c r="G357" i="17"/>
  <c r="G239" i="17"/>
  <c r="G99" i="17"/>
  <c r="G4087" i="17"/>
  <c r="G3885" i="17"/>
  <c r="G3616" i="17"/>
  <c r="G3351" i="17"/>
  <c r="G3153" i="17"/>
  <c r="G2936" i="17"/>
  <c r="G2696" i="17"/>
  <c r="G2523" i="17"/>
  <c r="G2348" i="17"/>
  <c r="G2160" i="17"/>
  <c r="G2024" i="17"/>
  <c r="G1867" i="17"/>
  <c r="G1690" i="17"/>
  <c r="G1549" i="17"/>
  <c r="G1410" i="17"/>
  <c r="G1251" i="17"/>
  <c r="G1136" i="17"/>
  <c r="G1004" i="17"/>
  <c r="G849" i="17"/>
  <c r="G729" i="17"/>
  <c r="G598" i="17"/>
  <c r="G456" i="17"/>
  <c r="G356" i="17"/>
  <c r="G235" i="17"/>
  <c r="G98" i="17"/>
  <c r="G4086" i="17"/>
  <c r="G3878" i="17"/>
  <c r="G3615" i="17"/>
  <c r="G3350" i="17"/>
  <c r="G3152" i="17"/>
  <c r="G2935" i="17"/>
  <c r="G2690" i="17"/>
  <c r="G2522" i="17"/>
  <c r="G2347" i="17"/>
  <c r="G2159" i="17"/>
  <c r="G2023" i="17"/>
  <c r="G1865" i="17"/>
  <c r="G1686" i="17"/>
  <c r="G1548" i="17"/>
  <c r="G1409" i="17"/>
  <c r="G1250" i="17"/>
  <c r="G1135" i="17"/>
  <c r="G1003" i="17"/>
  <c r="G848" i="17"/>
  <c r="G728" i="17"/>
  <c r="G597" i="17"/>
  <c r="G455" i="17"/>
  <c r="G353" i="17"/>
  <c r="G234" i="17"/>
  <c r="G97" i="17"/>
  <c r="G4080" i="17"/>
  <c r="G3876" i="17"/>
  <c r="G3614" i="17"/>
  <c r="G3349" i="17"/>
  <c r="G3151" i="17"/>
  <c r="G2934" i="17"/>
  <c r="G2689" i="17"/>
  <c r="G2520" i="17"/>
  <c r="G2343" i="17"/>
  <c r="G2153" i="17"/>
  <c r="G4079" i="17"/>
  <c r="G3810" i="17"/>
  <c r="G3474" i="17"/>
  <c r="G3209" i="17"/>
  <c r="G2900" i="17"/>
  <c r="G2647" i="17"/>
  <c r="G2420" i="17"/>
  <c r="G2216" i="17"/>
  <c r="G2022" i="17"/>
  <c r="G1833" i="17"/>
  <c r="G1646" i="17"/>
  <c r="G1475" i="17"/>
  <c r="G1321" i="17"/>
  <c r="G1165" i="17"/>
  <c r="G978" i="17"/>
  <c r="G833" i="17"/>
  <c r="G680" i="17"/>
  <c r="G525" i="17"/>
  <c r="G382" i="17"/>
  <c r="G240" i="17"/>
  <c r="G94" i="17"/>
  <c r="G4076" i="17"/>
  <c r="G3758" i="17"/>
  <c r="G3468" i="17"/>
  <c r="G3207" i="17"/>
  <c r="G2898" i="17"/>
  <c r="G2645" i="17"/>
  <c r="G2418" i="17"/>
  <c r="G2214" i="17"/>
  <c r="G1964" i="17"/>
  <c r="G1780" i="17"/>
  <c r="G1641" i="17"/>
  <c r="G1468" i="17"/>
  <c r="G1302" i="17"/>
  <c r="G1133" i="17"/>
  <c r="G976" i="17"/>
  <c r="G812" i="17"/>
  <c r="G651" i="17"/>
  <c r="G519" i="17"/>
  <c r="G380" i="17"/>
  <c r="G209" i="17"/>
  <c r="G83" i="17"/>
  <c r="G4078" i="17"/>
  <c r="G3809" i="17"/>
  <c r="G3473" i="17"/>
  <c r="G3208" i="17"/>
  <c r="G2899" i="17"/>
  <c r="G2646" i="17"/>
  <c r="G2419" i="17"/>
  <c r="G2215" i="17"/>
  <c r="G1965" i="17"/>
  <c r="G1831" i="17"/>
  <c r="G1642" i="17"/>
  <c r="G1469" i="17"/>
  <c r="G1303" i="17"/>
  <c r="G1153" i="17"/>
  <c r="G977" i="17"/>
  <c r="G813" i="17"/>
  <c r="G669" i="17"/>
  <c r="G524" i="17"/>
  <c r="G381" i="17"/>
  <c r="G227" i="17"/>
  <c r="G93" i="17"/>
  <c r="G4073" i="17"/>
  <c r="G3756" i="17"/>
  <c r="G3467" i="17"/>
  <c r="G3203" i="17"/>
  <c r="G2882" i="17"/>
  <c r="G2644" i="17"/>
  <c r="G2417" i="17"/>
  <c r="G2213" i="17"/>
  <c r="G1963" i="17"/>
  <c r="G1774" i="17"/>
  <c r="G1595" i="17"/>
  <c r="G1464" i="17"/>
  <c r="G1301" i="17"/>
  <c r="G1088" i="17"/>
  <c r="G975" i="17"/>
  <c r="G811" i="17"/>
  <c r="G650" i="17"/>
  <c r="G501" i="17"/>
  <c r="G373" i="17"/>
  <c r="G208" i="17"/>
  <c r="G72" i="17"/>
  <c r="G4072" i="17"/>
  <c r="G3755" i="17"/>
  <c r="G3466" i="17"/>
  <c r="G3088" i="17"/>
  <c r="G2834" i="17"/>
  <c r="G2591" i="17"/>
  <c r="G2359" i="17"/>
  <c r="G2151" i="17"/>
  <c r="G1962" i="17"/>
  <c r="G1773" i="17"/>
  <c r="G1592" i="17"/>
  <c r="G1420" i="17"/>
  <c r="G1297" i="17"/>
  <c r="G1087" i="17"/>
  <c r="G926" i="17"/>
  <c r="G810" i="17"/>
  <c r="G649" i="17"/>
  <c r="G500" i="17"/>
  <c r="G350" i="17"/>
  <c r="G207" i="17"/>
  <c r="G71" i="17"/>
  <c r="G4071" i="17"/>
  <c r="G3751" i="17"/>
  <c r="G3465" i="17"/>
  <c r="G3072" i="17"/>
  <c r="G2830" i="17"/>
  <c r="G2580" i="17"/>
  <c r="G2358" i="17"/>
  <c r="G2148" i="17"/>
  <c r="G1961" i="17"/>
  <c r="G1771" i="17"/>
  <c r="G1591" i="17"/>
  <c r="G1419" i="17"/>
  <c r="G1249" i="17"/>
  <c r="G1086" i="17"/>
  <c r="G925" i="17"/>
  <c r="G765" i="17"/>
  <c r="G648" i="17"/>
  <c r="G499" i="17"/>
  <c r="G316" i="17"/>
  <c r="G206" i="17"/>
  <c r="G65" i="17"/>
  <c r="G4024" i="17"/>
  <c r="G4023" i="17"/>
  <c r="G3611" i="17"/>
  <c r="G3210" i="17"/>
  <c r="G2816" i="17"/>
  <c r="G2458" i="17"/>
  <c r="G2118" i="17"/>
  <c r="G1870" i="17"/>
  <c r="G1586" i="17"/>
  <c r="G1340" i="17"/>
  <c r="G1166" i="17"/>
  <c r="G917" i="17"/>
  <c r="G683" i="17"/>
  <c r="G450" i="17"/>
  <c r="G278" i="17"/>
  <c r="G32" i="17"/>
  <c r="G3609" i="17"/>
  <c r="G3070" i="17"/>
  <c r="G2456" i="17"/>
  <c r="G1858" i="17"/>
  <c r="G1338" i="17"/>
  <c r="G891" i="17"/>
  <c r="G448" i="17"/>
  <c r="G30" i="17"/>
  <c r="G3531" i="17"/>
  <c r="G3068" i="17"/>
  <c r="G2357" i="17"/>
  <c r="G1835" i="17"/>
  <c r="G1337" i="17"/>
  <c r="G890" i="17"/>
  <c r="G426" i="17"/>
  <c r="G27" i="17"/>
  <c r="G3939" i="17"/>
  <c r="G2767" i="17"/>
  <c r="G2065" i="17"/>
  <c r="G1547" i="17"/>
  <c r="G1082" i="17"/>
  <c r="G604" i="17"/>
  <c r="G241" i="17"/>
  <c r="G3487" i="17"/>
  <c r="G3066" i="17"/>
  <c r="G2315" i="17"/>
  <c r="G2064" i="17"/>
  <c r="G1512" i="17"/>
  <c r="G1081" i="17"/>
  <c r="G603" i="17"/>
  <c r="G168" i="17"/>
  <c r="G3936" i="17"/>
  <c r="G3065" i="17"/>
  <c r="G2687" i="17"/>
  <c r="G2314" i="17"/>
  <c r="G2060" i="17"/>
  <c r="G1769" i="17"/>
  <c r="G1508" i="17"/>
  <c r="G1329" i="17"/>
  <c r="G1053" i="17"/>
  <c r="G841" i="17"/>
  <c r="G602" i="17"/>
  <c r="G423" i="17"/>
  <c r="G167" i="17"/>
  <c r="G21" i="17"/>
  <c r="G3932" i="17"/>
  <c r="G3027" i="17"/>
  <c r="G2311" i="17"/>
  <c r="G1768" i="17"/>
  <c r="G1248" i="17"/>
  <c r="G840" i="17"/>
  <c r="G389" i="17"/>
  <c r="G20" i="17"/>
  <c r="G3931" i="17"/>
  <c r="G2685" i="17"/>
  <c r="G2057" i="17"/>
  <c r="G1506" i="17"/>
  <c r="G1051" i="17"/>
  <c r="G570" i="17"/>
  <c r="G165" i="17"/>
  <c r="G3814" i="17"/>
  <c r="G3334" i="17"/>
  <c r="G3022" i="17"/>
  <c r="G2579" i="17"/>
  <c r="G2259" i="17"/>
  <c r="G2056" i="17"/>
  <c r="G1738" i="17"/>
  <c r="G1505" i="17"/>
  <c r="G1243" i="17"/>
  <c r="G1050" i="17"/>
  <c r="G764" i="17"/>
  <c r="G569" i="17"/>
  <c r="G387" i="17"/>
  <c r="G161" i="17"/>
  <c r="G3813" i="17"/>
  <c r="G3333" i="17"/>
  <c r="G3021" i="17"/>
  <c r="G2570" i="17"/>
  <c r="G2258" i="17"/>
  <c r="G2048" i="17"/>
  <c r="G1731" i="17"/>
  <c r="G1504" i="17"/>
  <c r="G1237" i="17"/>
  <c r="G1009" i="17"/>
  <c r="G763" i="17"/>
  <c r="G383" i="17"/>
  <c r="G160" i="17"/>
  <c r="G3812" i="17"/>
  <c r="G2959" i="17"/>
  <c r="G2569" i="17"/>
  <c r="G2257" i="17"/>
  <c r="G1960" i="17"/>
  <c r="G1730" i="17"/>
  <c r="G1498" i="17"/>
  <c r="G1218" i="17"/>
  <c r="G1008" i="17"/>
  <c r="G759" i="17"/>
  <c r="G567" i="17"/>
  <c r="G315" i="17"/>
  <c r="G159" i="17"/>
  <c r="G3811" i="17"/>
  <c r="G2958" i="17"/>
  <c r="G2256" i="17"/>
  <c r="G1729" i="17"/>
  <c r="G1215" i="17"/>
  <c r="G758" i="17"/>
  <c r="G307" i="17"/>
  <c r="G3738" i="17"/>
  <c r="G2562" i="17"/>
  <c r="G1956" i="17"/>
  <c r="G1418" i="17"/>
  <c r="G1006" i="17"/>
  <c r="G529" i="17"/>
  <c r="G136" i="17"/>
  <c r="G3736" i="17"/>
  <c r="G2561" i="17"/>
  <c r="G1928" i="17"/>
  <c r="G1417" i="17"/>
  <c r="G998" i="17"/>
  <c r="G528" i="17"/>
  <c r="G135" i="17"/>
  <c r="G3673" i="17"/>
  <c r="G2464" i="17"/>
  <c r="G1927" i="17"/>
  <c r="G1408" i="17"/>
  <c r="G924" i="17"/>
  <c r="G527" i="17"/>
  <c r="G134" i="17"/>
  <c r="G3271" i="17"/>
  <c r="G2463" i="17"/>
  <c r="G1926" i="17"/>
  <c r="G1383" i="17"/>
  <c r="G923" i="17"/>
  <c r="G526" i="17"/>
  <c r="G129" i="17"/>
  <c r="G3215" i="17"/>
  <c r="G2825" i="17"/>
  <c r="G2147" i="17"/>
  <c r="G1669" i="17"/>
  <c r="G1171" i="17"/>
  <c r="G686" i="17"/>
  <c r="G302" i="17"/>
  <c r="G3665" i="17"/>
  <c r="G2461" i="17"/>
  <c r="G1881" i="17"/>
  <c r="G1381" i="17"/>
  <c r="G921" i="17"/>
  <c r="G454" i="17"/>
  <c r="G95" i="17"/>
  <c r="G3211" i="17"/>
  <c r="G2818" i="17"/>
  <c r="G2119" i="17"/>
  <c r="G1587" i="17"/>
  <c r="G1169" i="17"/>
  <c r="G684" i="17"/>
  <c r="G3956" i="17"/>
  <c r="G3610" i="17"/>
  <c r="G3071" i="17"/>
  <c r="G2782" i="17"/>
  <c r="G2457" i="17"/>
  <c r="G2117" i="17"/>
  <c r="G1869" i="17"/>
  <c r="G1585" i="17"/>
  <c r="G1339" i="17"/>
  <c r="G1085" i="17"/>
  <c r="G892" i="17"/>
  <c r="G682" i="17"/>
  <c r="G449" i="17"/>
  <c r="G277" i="17"/>
  <c r="G31" i="17"/>
  <c r="G3954" i="17"/>
  <c r="G2769" i="17"/>
  <c r="G2113" i="17"/>
  <c r="G1584" i="17"/>
  <c r="G1084" i="17"/>
  <c r="G681" i="17"/>
  <c r="G245" i="17"/>
  <c r="G3953" i="17"/>
  <c r="G2768" i="17"/>
  <c r="G2066" i="17"/>
  <c r="G1583" i="17"/>
  <c r="G1083" i="17"/>
  <c r="G605" i="17"/>
  <c r="G244" i="17"/>
  <c r="G3530" i="17"/>
  <c r="G3067" i="17"/>
  <c r="G2356" i="17"/>
  <c r="G1834" i="17"/>
  <c r="G1336" i="17"/>
  <c r="G889" i="17"/>
  <c r="G425" i="17"/>
  <c r="G26" i="17"/>
  <c r="G3938" i="17"/>
  <c r="G2688" i="17"/>
  <c r="G1770" i="17"/>
  <c r="G1330" i="17"/>
  <c r="G842" i="17"/>
  <c r="G424" i="17"/>
  <c r="G25" i="17"/>
  <c r="G3486" i="17"/>
  <c r="G3464" i="17"/>
  <c r="G2686" i="17"/>
  <c r="G2059" i="17"/>
  <c r="G1507" i="17"/>
  <c r="G1052" i="17"/>
  <c r="G596" i="17"/>
  <c r="G166" i="17"/>
  <c r="G3418" i="17"/>
  <c r="G3026" i="17"/>
  <c r="G2310" i="17"/>
  <c r="G1765" i="17"/>
  <c r="G1247" i="17"/>
  <c r="G839" i="17"/>
  <c r="G388" i="17"/>
  <c r="G568" i="17"/>
  <c r="G3330" i="17"/>
  <c r="G3329" i="17"/>
  <c r="G2568" i="17"/>
  <c r="G1957" i="17"/>
  <c r="G1491" i="17"/>
  <c r="G1007" i="17"/>
  <c r="G537" i="17"/>
  <c r="G158" i="17"/>
  <c r="G3328" i="17"/>
  <c r="G2956" i="17"/>
  <c r="G2254" i="17"/>
  <c r="G1685" i="17"/>
  <c r="G1210" i="17"/>
  <c r="G757" i="17"/>
  <c r="G306" i="17"/>
  <c r="G3287" i="17"/>
  <c r="G2946" i="17"/>
  <c r="G2249" i="17"/>
  <c r="G1679" i="17"/>
  <c r="G1209" i="17"/>
  <c r="G756" i="17"/>
  <c r="G305" i="17"/>
  <c r="G3284" i="17"/>
  <c r="G2829" i="17"/>
  <c r="G2248" i="17"/>
  <c r="G1678" i="17"/>
  <c r="G1173" i="17"/>
  <c r="G755" i="17"/>
  <c r="G304" i="17"/>
  <c r="G3672" i="17"/>
  <c r="G2828" i="17"/>
  <c r="G2243" i="17"/>
  <c r="G1677" i="17"/>
  <c r="G1172" i="17"/>
  <c r="G727" i="17"/>
  <c r="G303" i="17"/>
  <c r="G3666" i="17"/>
  <c r="G2462" i="17"/>
  <c r="G1923" i="17"/>
  <c r="G1382" i="17"/>
  <c r="G922" i="17"/>
  <c r="G498" i="17"/>
  <c r="G96" i="17"/>
  <c r="G3212" i="17"/>
  <c r="G2819" i="17"/>
  <c r="G2146" i="17"/>
  <c r="G1647" i="17"/>
  <c r="G1170" i="17"/>
  <c r="G685" i="17"/>
  <c r="G280" i="17"/>
  <c r="G3612" i="17"/>
  <c r="G2459" i="17"/>
  <c r="G1880" i="17"/>
  <c r="G1380" i="17"/>
  <c r="G918" i="17"/>
  <c r="G453" i="17"/>
  <c r="G64" i="17"/>
  <c r="G279" i="17"/>
  <c r="G125" i="17"/>
  <c r="G273" i="17"/>
  <c r="G417" i="17"/>
  <c r="G563" i="17"/>
  <c r="G721" i="17"/>
  <c r="G879" i="17"/>
  <c r="G1041" i="17"/>
  <c r="G1205" i="17"/>
  <c r="G1371" i="17"/>
  <c r="G1543" i="17"/>
  <c r="G1629" i="17"/>
  <c r="G1816" i="17"/>
  <c r="G1915" i="17"/>
  <c r="G2006" i="17"/>
  <c r="G2193" i="17"/>
  <c r="G2297" i="17"/>
  <c r="G2395" i="17"/>
  <c r="G2508" i="17"/>
  <c r="G2631" i="17"/>
  <c r="G2753" i="17"/>
  <c r="G2878" i="17"/>
  <c r="G3012" i="17"/>
  <c r="G3130" i="17"/>
  <c r="G3264" i="17"/>
  <c r="G3411" i="17"/>
  <c r="G3552" i="17"/>
  <c r="G3688" i="17"/>
  <c r="G4156" i="17"/>
  <c r="G57" i="17"/>
  <c r="G126" i="17"/>
  <c r="G197" i="17"/>
  <c r="G274" i="17"/>
  <c r="G343" i="17"/>
  <c r="G418" i="17"/>
  <c r="G489" i="17"/>
  <c r="G564" i="17"/>
  <c r="G639" i="17"/>
  <c r="G724" i="17"/>
  <c r="G797" i="17"/>
  <c r="G880" i="17"/>
  <c r="G959" i="17"/>
  <c r="G1042" i="17"/>
  <c r="G1123" i="17"/>
  <c r="G1206" i="17"/>
  <c r="G1283" i="17"/>
  <c r="G1372" i="17"/>
  <c r="G1457" i="17"/>
  <c r="G1544" i="17"/>
  <c r="G1630" i="17"/>
  <c r="G1725" i="17"/>
  <c r="G1817" i="17"/>
  <c r="G1916" i="17"/>
  <c r="G2007" i="17"/>
  <c r="G2106" i="17"/>
  <c r="G2194" i="17"/>
  <c r="G2307" i="17"/>
  <c r="G2396" i="17"/>
  <c r="G2514" i="17"/>
  <c r="G2635" i="17"/>
  <c r="G2754" i="17"/>
  <c r="G2879" i="17"/>
  <c r="G3013" i="17"/>
  <c r="G3131" i="17"/>
  <c r="G3265" i="17"/>
  <c r="G3412" i="17"/>
  <c r="G3553" i="17"/>
  <c r="G3733" i="17"/>
  <c r="G3873" i="17"/>
  <c r="G4020" i="17"/>
  <c r="G4158" i="17"/>
  <c r="G390" i="17"/>
  <c r="G101" i="17"/>
  <c r="G247" i="17"/>
  <c r="G468" i="17"/>
  <c r="G691" i="17"/>
  <c r="G936" i="17"/>
  <c r="G1176" i="17"/>
  <c r="G1516" i="17"/>
  <c r="G2171" i="17"/>
  <c r="G4011" i="17"/>
  <c r="G54" i="17"/>
  <c r="G123" i="17"/>
  <c r="G194" i="17"/>
  <c r="G269" i="17"/>
  <c r="G340" i="17"/>
  <c r="G415" i="17"/>
  <c r="G481" i="17"/>
  <c r="G561" i="17"/>
  <c r="G630" i="17"/>
  <c r="G712" i="17"/>
  <c r="G791" i="17"/>
  <c r="G877" i="17"/>
  <c r="G956" i="17"/>
  <c r="G1039" i="17"/>
  <c r="G1115" i="17"/>
  <c r="G1200" i="17"/>
  <c r="G1280" i="17"/>
  <c r="G1367" i="17"/>
  <c r="G1452" i="17"/>
  <c r="G1541" i="17"/>
  <c r="G1627" i="17"/>
  <c r="G1722" i="17"/>
  <c r="G1814" i="17"/>
  <c r="G1913" i="17"/>
  <c r="G2000" i="17"/>
  <c r="G2100" i="17"/>
  <c r="G2190" i="17"/>
  <c r="G2295" i="17"/>
  <c r="G2393" i="17"/>
  <c r="G2506" i="17"/>
  <c r="G2629" i="17"/>
  <c r="G2744" i="17"/>
  <c r="G2874" i="17"/>
  <c r="G3010" i="17"/>
  <c r="G3128" i="17"/>
  <c r="G3262" i="17"/>
  <c r="G3407" i="17"/>
  <c r="G3535" i="17"/>
  <c r="G3676" i="17"/>
  <c r="G3824" i="17"/>
  <c r="G4138" i="17"/>
  <c r="G55" i="17"/>
  <c r="G195" i="17"/>
  <c r="G341" i="17"/>
  <c r="G562" i="17"/>
  <c r="G713" i="17"/>
  <c r="G878" i="17"/>
  <c r="G1121" i="17"/>
  <c r="G1281" i="17"/>
  <c r="G1455" i="17"/>
  <c r="G1723" i="17"/>
  <c r="G2001" i="17"/>
  <c r="G2507" i="17"/>
  <c r="G4013" i="17"/>
  <c r="G56" i="17"/>
  <c r="G196" i="17"/>
  <c r="G342" i="17"/>
  <c r="G488" i="17"/>
  <c r="G632" i="17"/>
  <c r="G793" i="17"/>
  <c r="G958" i="17"/>
  <c r="G1122" i="17"/>
  <c r="G1282" i="17"/>
  <c r="G1456" i="17"/>
  <c r="G1724" i="17"/>
  <c r="G2105" i="17"/>
  <c r="G3872" i="17"/>
  <c r="G58" i="17"/>
  <c r="G127" i="17"/>
  <c r="G200" i="17"/>
  <c r="G275" i="17"/>
  <c r="G344" i="17"/>
  <c r="G419" i="17"/>
  <c r="G490" i="17"/>
  <c r="G565" i="17"/>
  <c r="G640" i="17"/>
  <c r="G725" i="17"/>
  <c r="G798" i="17"/>
  <c r="G884" i="17"/>
  <c r="G960" i="17"/>
  <c r="G1045" i="17"/>
  <c r="G1124" i="17"/>
  <c r="G1207" i="17"/>
  <c r="G1284" i="17"/>
  <c r="G1375" i="17"/>
  <c r="G1458" i="17"/>
  <c r="G1545" i="17"/>
  <c r="G1635" i="17"/>
  <c r="G1726" i="17"/>
  <c r="G1818" i="17"/>
  <c r="G1917" i="17"/>
  <c r="G2010" i="17"/>
  <c r="G2110" i="17"/>
  <c r="G2201" i="17"/>
  <c r="G2308" i="17"/>
  <c r="G2415" i="17"/>
  <c r="G2515" i="17"/>
  <c r="G2639" i="17"/>
  <c r="G2755" i="17"/>
  <c r="G2880" i="17"/>
  <c r="G3014" i="17"/>
  <c r="G3132" i="17"/>
  <c r="G3266" i="17"/>
  <c r="G3413" i="17"/>
  <c r="G3554" i="17"/>
  <c r="G3734" i="17"/>
  <c r="G3874" i="17"/>
  <c r="G4021" i="17"/>
  <c r="G4217" i="17"/>
  <c r="G4197" i="17"/>
  <c r="G4177" i="17"/>
  <c r="G4157" i="17"/>
  <c r="G4137" i="17"/>
  <c r="G4117" i="17"/>
  <c r="G4097" i="17"/>
  <c r="G4077" i="17"/>
  <c r="G4057" i="17"/>
  <c r="G4037" i="17"/>
  <c r="G4017" i="17"/>
  <c r="G3997" i="17"/>
  <c r="G3977" i="17"/>
  <c r="G3957" i="17"/>
  <c r="G3937" i="17"/>
  <c r="G3917" i="17"/>
  <c r="G3897" i="17"/>
  <c r="G3877" i="17"/>
  <c r="G3857" i="17"/>
  <c r="G3837" i="17"/>
  <c r="G3817" i="17"/>
  <c r="G3797" i="17"/>
  <c r="G3777" i="17"/>
  <c r="G3757" i="17"/>
  <c r="G3737" i="17"/>
  <c r="G3717" i="17"/>
  <c r="G3697" i="17"/>
  <c r="G3677" i="17"/>
  <c r="G3657" i="17"/>
  <c r="G3637" i="17"/>
  <c r="G3617" i="17"/>
  <c r="G3597" i="17"/>
  <c r="G3577" i="17"/>
  <c r="G3557" i="17"/>
  <c r="G3537" i="17"/>
  <c r="G3517" i="17"/>
  <c r="G3497" i="17"/>
  <c r="G3477" i="17"/>
  <c r="G3457" i="17"/>
  <c r="G3437" i="17"/>
  <c r="G3417" i="17"/>
  <c r="G3397" i="17"/>
  <c r="G3377" i="17"/>
  <c r="G3357" i="17"/>
  <c r="G3337" i="17"/>
  <c r="G3317" i="17"/>
  <c r="G3297" i="17"/>
  <c r="G3277" i="17"/>
  <c r="G3257" i="17"/>
  <c r="G3237" i="17"/>
  <c r="G3217" i="17"/>
  <c r="G3197" i="17"/>
  <c r="G3177" i="17"/>
  <c r="G3157" i="17"/>
  <c r="G3137" i="17"/>
  <c r="G3117" i="17"/>
  <c r="G3097" i="17"/>
  <c r="G3077" i="17"/>
  <c r="G3057" i="17"/>
  <c r="G3037" i="17"/>
  <c r="G3017" i="17"/>
  <c r="G2997" i="17"/>
  <c r="G2977" i="17"/>
  <c r="G2957" i="17"/>
  <c r="G2937" i="17"/>
  <c r="G2917" i="17"/>
  <c r="G2897" i="17"/>
  <c r="G2877" i="17"/>
  <c r="G2857" i="17"/>
  <c r="G2837" i="17"/>
  <c r="G2817" i="17"/>
  <c r="G2797" i="17"/>
  <c r="G2777" i="17"/>
  <c r="G2757" i="17"/>
  <c r="G2737" i="17"/>
  <c r="G2717" i="17"/>
  <c r="G2697" i="17"/>
  <c r="G2677" i="17"/>
  <c r="G2657" i="17"/>
  <c r="G2637" i="17"/>
  <c r="G2617" i="17"/>
  <c r="G2597" i="17"/>
  <c r="G2577" i="17"/>
  <c r="G2557" i="17"/>
  <c r="G2537" i="17"/>
  <c r="G4216" i="17"/>
  <c r="G4195" i="17"/>
  <c r="G4174" i="17"/>
  <c r="G4153" i="17"/>
  <c r="G4132" i="17"/>
  <c r="G4111" i="17"/>
  <c r="G4090" i="17"/>
  <c r="G4069" i="17"/>
  <c r="G4048" i="17"/>
  <c r="G4027" i="17"/>
  <c r="G4006" i="17"/>
  <c r="G3985" i="17"/>
  <c r="G3964" i="17"/>
  <c r="G3943" i="17"/>
  <c r="G3922" i="17"/>
  <c r="G3901" i="17"/>
  <c r="G3880" i="17"/>
  <c r="G3859" i="17"/>
  <c r="G3838" i="17"/>
  <c r="G3816" i="17"/>
  <c r="G3795" i="17"/>
  <c r="G3774" i="17"/>
  <c r="G3753" i="17"/>
  <c r="G3732" i="17"/>
  <c r="G3711" i="17"/>
  <c r="G3690" i="17"/>
  <c r="G3669" i="17"/>
  <c r="G3648" i="17"/>
  <c r="G3627" i="17"/>
  <c r="G3606" i="17"/>
  <c r="G3585" i="17"/>
  <c r="G3564" i="17"/>
  <c r="G3543" i="17"/>
  <c r="G3522" i="17"/>
  <c r="G3501" i="17"/>
  <c r="G3480" i="17"/>
  <c r="G3459" i="17"/>
  <c r="G3438" i="17"/>
  <c r="G3416" i="17"/>
  <c r="G3395" i="17"/>
  <c r="G3374" i="17"/>
  <c r="G3353" i="17"/>
  <c r="G3332" i="17"/>
  <c r="G3311" i="17"/>
  <c r="G3290" i="17"/>
  <c r="G3269" i="17"/>
  <c r="G3248" i="17"/>
  <c r="G3227" i="17"/>
  <c r="G3206" i="17"/>
  <c r="G3185" i="17"/>
  <c r="G3164" i="17"/>
  <c r="G3143" i="17"/>
  <c r="G3122" i="17"/>
  <c r="G3101" i="17"/>
  <c r="G3080" i="17"/>
  <c r="G3059" i="17"/>
  <c r="G3038" i="17"/>
  <c r="G3016" i="17"/>
  <c r="G2995" i="17"/>
  <c r="G2974" i="17"/>
  <c r="G2953" i="17"/>
  <c r="G2932" i="17"/>
  <c r="G2911" i="17"/>
  <c r="G2890" i="17"/>
  <c r="G2869" i="17"/>
  <c r="G2848" i="17"/>
  <c r="G2827" i="17"/>
  <c r="G2806" i="17"/>
  <c r="G2785" i="17"/>
  <c r="G2764" i="17"/>
  <c r="G2743" i="17"/>
  <c r="G2722" i="17"/>
  <c r="G2701" i="17"/>
  <c r="G2680" i="17"/>
  <c r="G2659" i="17"/>
  <c r="G2638" i="17"/>
  <c r="G2616" i="17"/>
  <c r="G2595" i="17"/>
  <c r="G2574" i="17"/>
  <c r="G2553" i="17"/>
  <c r="G2532" i="17"/>
  <c r="G2512" i="17"/>
  <c r="G2492" i="17"/>
  <c r="G2472" i="17"/>
  <c r="G2452" i="17"/>
  <c r="G2432" i="17"/>
  <c r="G2412" i="17"/>
  <c r="G2392" i="17"/>
  <c r="G2372" i="17"/>
  <c r="G2352" i="17"/>
  <c r="G2332" i="17"/>
  <c r="G2312" i="17"/>
  <c r="G2292" i="17"/>
  <c r="G2272" i="17"/>
  <c r="G2252" i="17"/>
  <c r="G2232" i="17"/>
  <c r="G2212" i="17"/>
  <c r="G2192" i="17"/>
  <c r="G2172" i="17"/>
  <c r="G2152" i="17"/>
  <c r="G2132" i="17"/>
  <c r="G2112" i="17"/>
  <c r="G2092" i="17"/>
  <c r="G2072" i="17"/>
  <c r="G2052" i="17"/>
  <c r="G2032" i="17"/>
  <c r="G2012" i="17"/>
  <c r="G1992" i="17"/>
  <c r="G1972" i="17"/>
  <c r="G1952" i="17"/>
  <c r="G1932" i="17"/>
  <c r="G1912" i="17"/>
  <c r="G1892" i="17"/>
  <c r="G1872" i="17"/>
  <c r="G1852" i="17"/>
  <c r="G1832" i="17"/>
  <c r="G1812" i="17"/>
  <c r="G1792" i="17"/>
  <c r="G1772" i="17"/>
  <c r="G1752" i="17"/>
  <c r="G1732" i="17"/>
  <c r="G1712" i="17"/>
  <c r="G4215" i="17"/>
  <c r="G4194" i="17"/>
  <c r="G4173" i="17"/>
  <c r="G4152" i="17"/>
  <c r="G4131" i="17"/>
  <c r="G4110" i="17"/>
  <c r="G4089" i="17"/>
  <c r="G4068" i="17"/>
  <c r="G4047" i="17"/>
  <c r="G4026" i="17"/>
  <c r="G4005" i="17"/>
  <c r="G3984" i="17"/>
  <c r="G3963" i="17"/>
  <c r="G3942" i="17"/>
  <c r="G3921" i="17"/>
  <c r="G3900" i="17"/>
  <c r="G3879" i="17"/>
  <c r="G3858" i="17"/>
  <c r="G3836" i="17"/>
  <c r="G3815" i="17"/>
  <c r="G3794" i="17"/>
  <c r="G3773" i="17"/>
  <c r="G3752" i="17"/>
  <c r="G3731" i="17"/>
  <c r="G3710" i="17"/>
  <c r="G3689" i="17"/>
  <c r="G3668" i="17"/>
  <c r="G3647" i="17"/>
  <c r="G3626" i="17"/>
  <c r="G3605" i="17"/>
  <c r="G3584" i="17"/>
  <c r="G3563" i="17"/>
  <c r="G3542" i="17"/>
  <c r="G3521" i="17"/>
  <c r="G3500" i="17"/>
  <c r="G3479" i="17"/>
  <c r="G3458" i="17"/>
  <c r="G3436" i="17"/>
  <c r="G3415" i="17"/>
  <c r="G3394" i="17"/>
  <c r="G3373" i="17"/>
  <c r="G3352" i="17"/>
  <c r="G3331" i="17"/>
  <c r="G3310" i="17"/>
  <c r="G3289" i="17"/>
  <c r="G3268" i="17"/>
  <c r="G3247" i="17"/>
  <c r="G3226" i="17"/>
  <c r="G3205" i="17"/>
  <c r="G3184" i="17"/>
  <c r="G3163" i="17"/>
  <c r="G3142" i="17"/>
  <c r="G3121" i="17"/>
  <c r="G3100" i="17"/>
  <c r="G3079" i="17"/>
  <c r="G3058" i="17"/>
  <c r="G3036" i="17"/>
  <c r="G3015" i="17"/>
  <c r="G2994" i="17"/>
  <c r="G2973" i="17"/>
  <c r="G2952" i="17"/>
  <c r="G2931" i="17"/>
  <c r="G2910" i="17"/>
  <c r="G2889" i="17"/>
  <c r="G2868" i="17"/>
  <c r="G2847" i="17"/>
  <c r="G2826" i="17"/>
  <c r="G2805" i="17"/>
  <c r="G2784" i="17"/>
  <c r="G2763" i="17"/>
  <c r="G2742" i="17"/>
  <c r="G2721" i="17"/>
  <c r="G2700" i="17"/>
  <c r="G2679" i="17"/>
  <c r="G2658" i="17"/>
  <c r="G2636" i="17"/>
  <c r="G2615" i="17"/>
  <c r="G2594" i="17"/>
  <c r="G2573" i="17"/>
  <c r="G2552" i="17"/>
  <c r="G2531" i="17"/>
  <c r="G2511" i="17"/>
  <c r="G2491" i="17"/>
  <c r="G2471" i="17"/>
  <c r="G2451" i="17"/>
  <c r="G4208" i="17"/>
  <c r="G4187" i="17"/>
  <c r="G4166" i="17"/>
  <c r="G4145" i="17"/>
  <c r="G4124" i="17"/>
  <c r="G4103" i="17"/>
  <c r="G4082" i="17"/>
  <c r="G4061" i="17"/>
  <c r="G4040" i="17"/>
  <c r="G4019" i="17"/>
  <c r="G3998" i="17"/>
  <c r="G3976" i="17"/>
  <c r="G3955" i="17"/>
  <c r="G3934" i="17"/>
  <c r="G3913" i="17"/>
  <c r="G3892" i="17"/>
  <c r="G3871" i="17"/>
  <c r="G3850" i="17"/>
  <c r="G3829" i="17"/>
  <c r="G3808" i="17"/>
  <c r="G3787" i="17"/>
  <c r="G3766" i="17"/>
  <c r="G3745" i="17"/>
  <c r="G3724" i="17"/>
  <c r="G3703" i="17"/>
  <c r="G3682" i="17"/>
  <c r="G3661" i="17"/>
  <c r="G3640" i="17"/>
  <c r="G3619" i="17"/>
  <c r="G3598" i="17"/>
  <c r="G3576" i="17"/>
  <c r="G3555" i="17"/>
  <c r="G3534" i="17"/>
  <c r="G3513" i="17"/>
  <c r="G3492" i="17"/>
  <c r="G3471" i="17"/>
  <c r="G3450" i="17"/>
  <c r="G3429" i="17"/>
  <c r="G3408" i="17"/>
  <c r="G3387" i="17"/>
  <c r="G3366" i="17"/>
  <c r="G3345" i="17"/>
  <c r="G3324" i="17"/>
  <c r="G3303" i="17"/>
  <c r="G3282" i="17"/>
  <c r="G3261" i="17"/>
  <c r="G3240" i="17"/>
  <c r="G3219" i="17"/>
  <c r="G3198" i="17"/>
  <c r="G3176" i="17"/>
  <c r="G3155" i="17"/>
  <c r="G4214" i="17"/>
  <c r="G4190" i="17"/>
  <c r="G4165" i="17"/>
  <c r="G4141" i="17"/>
  <c r="G4116" i="17"/>
  <c r="G4092" i="17"/>
  <c r="G4066" i="17"/>
  <c r="G4042" i="17"/>
  <c r="G4016" i="17"/>
  <c r="G3992" i="17"/>
  <c r="G3968" i="17"/>
  <c r="G3944" i="17"/>
  <c r="G3918" i="17"/>
  <c r="G3893" i="17"/>
  <c r="G3868" i="17"/>
  <c r="G3844" i="17"/>
  <c r="G3820" i="17"/>
  <c r="G3793" i="17"/>
  <c r="G3769" i="17"/>
  <c r="G3744" i="17"/>
  <c r="G3720" i="17"/>
  <c r="G3695" i="17"/>
  <c r="G3671" i="17"/>
  <c r="G3645" i="17"/>
  <c r="G3621" i="17"/>
  <c r="G3595" i="17"/>
  <c r="G3571" i="17"/>
  <c r="G3547" i="17"/>
  <c r="G3523" i="17"/>
  <c r="G3496" i="17"/>
  <c r="G3472" i="17"/>
  <c r="G3447" i="17"/>
  <c r="G3423" i="17"/>
  <c r="G3399" i="17"/>
  <c r="G3372" i="17"/>
  <c r="G3348" i="17"/>
  <c r="G3323" i="17"/>
  <c r="G3299" i="17"/>
  <c r="G3274" i="17"/>
  <c r="G3250" i="17"/>
  <c r="G3224" i="17"/>
  <c r="G3200" i="17"/>
  <c r="G3174" i="17"/>
  <c r="G3150" i="17"/>
  <c r="G3127" i="17"/>
  <c r="G3104" i="17"/>
  <c r="G3081" i="17"/>
  <c r="G3055" i="17"/>
  <c r="G3032" i="17"/>
  <c r="G3009" i="17"/>
  <c r="G2986" i="17"/>
  <c r="G2963" i="17"/>
  <c r="G2940" i="17"/>
  <c r="G2916" i="17"/>
  <c r="G2893" i="17"/>
  <c r="G2870" i="17"/>
  <c r="G2845" i="17"/>
  <c r="G2822" i="17"/>
  <c r="G2799" i="17"/>
  <c r="G2775" i="17"/>
  <c r="G2752" i="17"/>
  <c r="G2729" i="17"/>
  <c r="G2706" i="17"/>
  <c r="G2683" i="17"/>
  <c r="G2660" i="17"/>
  <c r="G2634" i="17"/>
  <c r="G2611" i="17"/>
  <c r="G2588" i="17"/>
  <c r="G2565" i="17"/>
  <c r="G2542" i="17"/>
  <c r="G2519" i="17"/>
  <c r="G2497" i="17"/>
  <c r="G2475" i="17"/>
  <c r="G2453" i="17"/>
  <c r="G2430" i="17"/>
  <c r="G2409" i="17"/>
  <c r="G2388" i="17"/>
  <c r="G2367" i="17"/>
  <c r="G2346" i="17"/>
  <c r="G2325" i="17"/>
  <c r="G2304" i="17"/>
  <c r="G2283" i="17"/>
  <c r="G2262" i="17"/>
  <c r="G2241" i="17"/>
  <c r="G2220" i="17"/>
  <c r="G2199" i="17"/>
  <c r="G2178" i="17"/>
  <c r="G2157" i="17"/>
  <c r="G2136" i="17"/>
  <c r="G2115" i="17"/>
  <c r="G2094" i="17"/>
  <c r="G2073" i="17"/>
  <c r="G2051" i="17"/>
  <c r="G2030" i="17"/>
  <c r="G2009" i="17"/>
  <c r="G1988" i="17"/>
  <c r="G1967" i="17"/>
  <c r="G1946" i="17"/>
  <c r="G1925" i="17"/>
  <c r="G1904" i="17"/>
  <c r="G1883" i="17"/>
  <c r="G1862" i="17"/>
  <c r="G1841" i="17"/>
  <c r="G1820" i="17"/>
  <c r="G1799" i="17"/>
  <c r="G1778" i="17"/>
  <c r="G1757" i="17"/>
  <c r="G1736" i="17"/>
  <c r="G1715" i="17"/>
  <c r="G1694" i="17"/>
  <c r="G1674" i="17"/>
  <c r="G1654" i="17"/>
  <c r="G1634" i="17"/>
  <c r="G1614" i="17"/>
  <c r="G1594" i="17"/>
  <c r="G1574" i="17"/>
  <c r="G1554" i="17"/>
  <c r="G1534" i="17"/>
  <c r="G1514" i="17"/>
  <c r="G1494" i="17"/>
  <c r="G1474" i="17"/>
  <c r="G1454" i="17"/>
  <c r="G1434" i="17"/>
  <c r="G1414" i="17"/>
  <c r="G1394" i="17"/>
  <c r="G1374" i="17"/>
  <c r="G1354" i="17"/>
  <c r="G1334" i="17"/>
  <c r="G1314" i="17"/>
  <c r="G1294" i="17"/>
  <c r="G1274" i="17"/>
  <c r="G1254" i="17"/>
  <c r="G1234" i="17"/>
  <c r="G1214" i="17"/>
  <c r="G1194" i="17"/>
  <c r="G1174" i="17"/>
  <c r="G1154" i="17"/>
  <c r="G1134" i="17"/>
  <c r="G1114" i="17"/>
  <c r="G1094" i="17"/>
  <c r="G1074" i="17"/>
  <c r="G1054" i="17"/>
  <c r="G1034" i="17"/>
  <c r="G1014" i="17"/>
  <c r="G994" i="17"/>
  <c r="G974" i="17"/>
  <c r="G954" i="17"/>
  <c r="G934" i="17"/>
  <c r="G914" i="17"/>
  <c r="G894" i="17"/>
  <c r="G874" i="17"/>
  <c r="G854" i="17"/>
  <c r="G834" i="17"/>
  <c r="G814" i="17"/>
  <c r="G794" i="17"/>
  <c r="G774" i="17"/>
  <c r="G754" i="17"/>
  <c r="G734" i="17"/>
  <c r="G714" i="17"/>
  <c r="G694" i="17"/>
  <c r="G674" i="17"/>
  <c r="G654" i="17"/>
  <c r="G634" i="17"/>
  <c r="G614" i="17"/>
  <c r="G594" i="17"/>
  <c r="G574" i="17"/>
  <c r="G4213" i="17"/>
  <c r="G4189" i="17"/>
  <c r="G4164" i="17"/>
  <c r="G4140" i="17"/>
  <c r="G4115" i="17"/>
  <c r="G4091" i="17"/>
  <c r="G4065" i="17"/>
  <c r="G4041" i="17"/>
  <c r="G4015" i="17"/>
  <c r="G3991" i="17"/>
  <c r="G3967" i="17"/>
  <c r="G3941" i="17"/>
  <c r="G3916" i="17"/>
  <c r="G3891" i="17"/>
  <c r="G3867" i="17"/>
  <c r="G3843" i="17"/>
  <c r="G3819" i="17"/>
  <c r="G3792" i="17"/>
  <c r="G3768" i="17"/>
  <c r="G3743" i="17"/>
  <c r="G3719" i="17"/>
  <c r="G3694" i="17"/>
  <c r="G3670" i="17"/>
  <c r="G3644" i="17"/>
  <c r="G3620" i="17"/>
  <c r="G3594" i="17"/>
  <c r="G3570" i="17"/>
  <c r="G3546" i="17"/>
  <c r="G3520" i="17"/>
  <c r="G3495" i="17"/>
  <c r="G3470" i="17"/>
  <c r="G3446" i="17"/>
  <c r="G3422" i="17"/>
  <c r="G3398" i="17"/>
  <c r="G3371" i="17"/>
  <c r="G3347" i="17"/>
  <c r="G3322" i="17"/>
  <c r="G3298" i="17"/>
  <c r="G3273" i="17"/>
  <c r="G3249" i="17"/>
  <c r="G3223" i="17"/>
  <c r="G3199" i="17"/>
  <c r="G3173" i="17"/>
  <c r="G3149" i="17"/>
  <c r="G3126" i="17"/>
  <c r="G3103" i="17"/>
  <c r="G3078" i="17"/>
  <c r="G3054" i="17"/>
  <c r="G3031" i="17"/>
  <c r="G3008" i="17"/>
  <c r="G2985" i="17"/>
  <c r="G2962" i="17"/>
  <c r="G2939" i="17"/>
  <c r="G2915" i="17"/>
  <c r="G2892" i="17"/>
  <c r="G2867" i="17"/>
  <c r="G2844" i="17"/>
  <c r="G2821" i="17"/>
  <c r="G2798" i="17"/>
  <c r="G2774" i="17"/>
  <c r="G2751" i="17"/>
  <c r="G2728" i="17"/>
  <c r="G2705" i="17"/>
  <c r="G2682" i="17"/>
  <c r="G2656" i="17"/>
  <c r="G2633" i="17"/>
  <c r="G2610" i="17"/>
  <c r="G2587" i="17"/>
  <c r="G2564" i="17"/>
  <c r="G2541" i="17"/>
  <c r="G2518" i="17"/>
  <c r="G2496" i="17"/>
  <c r="G2474" i="17"/>
  <c r="G2450" i="17"/>
  <c r="G2429" i="17"/>
  <c r="G2408" i="17"/>
  <c r="G2387" i="17"/>
  <c r="G2366" i="17"/>
  <c r="G2345" i="17"/>
  <c r="G2324" i="17"/>
  <c r="G2303" i="17"/>
  <c r="G2282" i="17"/>
  <c r="G2261" i="17"/>
  <c r="G2240" i="17"/>
  <c r="G2219" i="17"/>
  <c r="G2198" i="17"/>
  <c r="G2177" i="17"/>
  <c r="G2156" i="17"/>
  <c r="G2135" i="17"/>
  <c r="G2114" i="17"/>
  <c r="G2093" i="17"/>
  <c r="G2071" i="17"/>
  <c r="G2050" i="17"/>
  <c r="G2029" i="17"/>
  <c r="G2008" i="17"/>
  <c r="G1987" i="17"/>
  <c r="G1966" i="17"/>
  <c r="G1945" i="17"/>
  <c r="G1924" i="17"/>
  <c r="G1903" i="17"/>
  <c r="G1882" i="17"/>
  <c r="G1861" i="17"/>
  <c r="G1840" i="17"/>
  <c r="G1819" i="17"/>
  <c r="G1798" i="17"/>
  <c r="G1777" i="17"/>
  <c r="G1756" i="17"/>
  <c r="G1735" i="17"/>
  <c r="G1714" i="17"/>
  <c r="G1693" i="17"/>
  <c r="G1673" i="17"/>
  <c r="G1653" i="17"/>
  <c r="G1633" i="17"/>
  <c r="G1613" i="17"/>
  <c r="G1593" i="17"/>
  <c r="G1573" i="17"/>
  <c r="G1553" i="17"/>
  <c r="G1533" i="17"/>
  <c r="G1513" i="17"/>
  <c r="G1493" i="17"/>
  <c r="G1473" i="17"/>
  <c r="G1453" i="17"/>
  <c r="G1433" i="17"/>
  <c r="G1413" i="17"/>
  <c r="G1393" i="17"/>
  <c r="G1373" i="17"/>
  <c r="G1353" i="17"/>
  <c r="G1333" i="17"/>
  <c r="G1313" i="17"/>
  <c r="G1293" i="17"/>
  <c r="G1273" i="17"/>
  <c r="G4212" i="17"/>
  <c r="G4188" i="17"/>
  <c r="G4163" i="17"/>
  <c r="G4139" i="17"/>
  <c r="G4114" i="17"/>
  <c r="G4088" i="17"/>
  <c r="G4064" i="17"/>
  <c r="G4039" i="17"/>
  <c r="G4014" i="17"/>
  <c r="G3990" i="17"/>
  <c r="G3966" i="17"/>
  <c r="G3940" i="17"/>
  <c r="G3915" i="17"/>
  <c r="G3890" i="17"/>
  <c r="G3866" i="17"/>
  <c r="G3842" i="17"/>
  <c r="G3818" i="17"/>
  <c r="G3791" i="17"/>
  <c r="G3767" i="17"/>
  <c r="G3742" i="17"/>
  <c r="G3718" i="17"/>
  <c r="G3693" i="17"/>
  <c r="G3667" i="17"/>
  <c r="G3643" i="17"/>
  <c r="G3618" i="17"/>
  <c r="G3593" i="17"/>
  <c r="G3569" i="17"/>
  <c r="G3545" i="17"/>
  <c r="G3519" i="17"/>
  <c r="G3494" i="17"/>
  <c r="G3469" i="17"/>
  <c r="G3445" i="17"/>
  <c r="G3421" i="17"/>
  <c r="G3396" i="17"/>
  <c r="G3370" i="17"/>
  <c r="G3346" i="17"/>
  <c r="G3321" i="17"/>
  <c r="G3296" i="17"/>
  <c r="G3272" i="17"/>
  <c r="G3246" i="17"/>
  <c r="G3222" i="17"/>
  <c r="G3196" i="17"/>
  <c r="G3172" i="17"/>
  <c r="G3148" i="17"/>
  <c r="G3125" i="17"/>
  <c r="G3102" i="17"/>
  <c r="G3076" i="17"/>
  <c r="G3053" i="17"/>
  <c r="G3030" i="17"/>
  <c r="G3007" i="17"/>
  <c r="G2984" i="17"/>
  <c r="G2961" i="17"/>
  <c r="G2938" i="17"/>
  <c r="G2914" i="17"/>
  <c r="G2891" i="17"/>
  <c r="G2866" i="17"/>
  <c r="G2843" i="17"/>
  <c r="G2820" i="17"/>
  <c r="G2796" i="17"/>
  <c r="G2773" i="17"/>
  <c r="G2750" i="17"/>
  <c r="G2727" i="17"/>
  <c r="G2704" i="17"/>
  <c r="G2681" i="17"/>
  <c r="G2655" i="17"/>
  <c r="G2632" i="17"/>
  <c r="G2609" i="17"/>
  <c r="G2586" i="17"/>
  <c r="G2563" i="17"/>
  <c r="G2540" i="17"/>
  <c r="G2517" i="17"/>
  <c r="G2495" i="17"/>
  <c r="G2473" i="17"/>
  <c r="G2449" i="17"/>
  <c r="G2428" i="17"/>
  <c r="G2407" i="17"/>
  <c r="G2386" i="17"/>
  <c r="G2365" i="17"/>
  <c r="G2344" i="17"/>
  <c r="G2323" i="17"/>
  <c r="G2302" i="17"/>
  <c r="G2281" i="17"/>
  <c r="G2260" i="17"/>
  <c r="G2239" i="17"/>
  <c r="G2218" i="17"/>
  <c r="G4211" i="17"/>
  <c r="G4183" i="17"/>
  <c r="G4155" i="17"/>
  <c r="G4126" i="17"/>
  <c r="G4098" i="17"/>
  <c r="G4070" i="17"/>
  <c r="G4036" i="17"/>
  <c r="G4009" i="17"/>
  <c r="G3980" i="17"/>
  <c r="G3951" i="17"/>
  <c r="G3924" i="17"/>
  <c r="G3894" i="17"/>
  <c r="G3863" i="17"/>
  <c r="G3833" i="17"/>
  <c r="G3805" i="17"/>
  <c r="G3778" i="17"/>
  <c r="G3748" i="17"/>
  <c r="G3716" i="17"/>
  <c r="G3687" i="17"/>
  <c r="G3659" i="17"/>
  <c r="G3631" i="17"/>
  <c r="G3602" i="17"/>
  <c r="G3573" i="17"/>
  <c r="G3541" i="17"/>
  <c r="G3512" i="17"/>
  <c r="G3485" i="17"/>
  <c r="G3455" i="17"/>
  <c r="G3427" i="17"/>
  <c r="G3400" i="17"/>
  <c r="G3367" i="17"/>
  <c r="G3339" i="17"/>
  <c r="G3309" i="17"/>
  <c r="G3281" i="17"/>
  <c r="G3253" i="17"/>
  <c r="G3221" i="17"/>
  <c r="G3192" i="17"/>
  <c r="G3165" i="17"/>
  <c r="G3135" i="17"/>
  <c r="G3109" i="17"/>
  <c r="G3083" i="17"/>
  <c r="G3051" i="17"/>
  <c r="G3025" i="17"/>
  <c r="G2999" i="17"/>
  <c r="G2970" i="17"/>
  <c r="G2944" i="17"/>
  <c r="G2918" i="17"/>
  <c r="G2886" i="17"/>
  <c r="G2860" i="17"/>
  <c r="G2833" i="17"/>
  <c r="G2807" i="17"/>
  <c r="G2779" i="17"/>
  <c r="G2749" i="17"/>
  <c r="G2723" i="17"/>
  <c r="G2694" i="17"/>
  <c r="G2668" i="17"/>
  <c r="G2642" i="17"/>
  <c r="G2613" i="17"/>
  <c r="G2584" i="17"/>
  <c r="G2558" i="17"/>
  <c r="G2529" i="17"/>
  <c r="G2504" i="17"/>
  <c r="G2479" i="17"/>
  <c r="G2454" i="17"/>
  <c r="G2425" i="17"/>
  <c r="G2401" i="17"/>
  <c r="G2377" i="17"/>
  <c r="G2353" i="17"/>
  <c r="G2328" i="17"/>
  <c r="G2301" i="17"/>
  <c r="G2277" i="17"/>
  <c r="G2253" i="17"/>
  <c r="G2228" i="17"/>
  <c r="G2204" i="17"/>
  <c r="G2181" i="17"/>
  <c r="G2158" i="17"/>
  <c r="G2133" i="17"/>
  <c r="G2109" i="17"/>
  <c r="G2086" i="17"/>
  <c r="G2063" i="17"/>
  <c r="G2040" i="17"/>
  <c r="G2017" i="17"/>
  <c r="G1994" i="17"/>
  <c r="G1970" i="17"/>
  <c r="G1947" i="17"/>
  <c r="G1922" i="17"/>
  <c r="G1899" i="17"/>
  <c r="G1876" i="17"/>
  <c r="G1853" i="17"/>
  <c r="G1829" i="17"/>
  <c r="G1806" i="17"/>
  <c r="G1783" i="17"/>
  <c r="G1760" i="17"/>
  <c r="G1737" i="17"/>
  <c r="G1711" i="17"/>
  <c r="G1689" i="17"/>
  <c r="G1667" i="17"/>
  <c r="G1645" i="17"/>
  <c r="G1623" i="17"/>
  <c r="G1601" i="17"/>
  <c r="G1579" i="17"/>
  <c r="G1557" i="17"/>
  <c r="G1535" i="17"/>
  <c r="G1511" i="17"/>
  <c r="G1489" i="17"/>
  <c r="G1467" i="17"/>
  <c r="G1445" i="17"/>
  <c r="G1423" i="17"/>
  <c r="G1401" i="17"/>
  <c r="G1379" i="17"/>
  <c r="G1357" i="17"/>
  <c r="G1335" i="17"/>
  <c r="G1311" i="17"/>
  <c r="G1289" i="17"/>
  <c r="G1267" i="17"/>
  <c r="G1246" i="17"/>
  <c r="G1225" i="17"/>
  <c r="G1204" i="17"/>
  <c r="G1183" i="17"/>
  <c r="G1162" i="17"/>
  <c r="G1141" i="17"/>
  <c r="G1120" i="17"/>
  <c r="G1099" i="17"/>
  <c r="G1078" i="17"/>
  <c r="G1057" i="17"/>
  <c r="G1036" i="17"/>
  <c r="G1015" i="17"/>
  <c r="G993" i="17"/>
  <c r="G972" i="17"/>
  <c r="G951" i="17"/>
  <c r="G930" i="17"/>
  <c r="G909" i="17"/>
  <c r="G888" i="17"/>
  <c r="G867" i="17"/>
  <c r="G846" i="17"/>
  <c r="G825" i="17"/>
  <c r="G804" i="17"/>
  <c r="G783" i="17"/>
  <c r="G762" i="17"/>
  <c r="G741" i="17"/>
  <c r="G720" i="17"/>
  <c r="G699" i="17"/>
  <c r="G678" i="17"/>
  <c r="G657" i="17"/>
  <c r="G636" i="17"/>
  <c r="G615" i="17"/>
  <c r="G593" i="17"/>
  <c r="G572" i="17"/>
  <c r="G552" i="17"/>
  <c r="G532" i="17"/>
  <c r="G512" i="17"/>
  <c r="G492" i="17"/>
  <c r="G472" i="17"/>
  <c r="G452" i="17"/>
  <c r="G432" i="17"/>
  <c r="G412" i="17"/>
  <c r="G392" i="17"/>
  <c r="G372" i="17"/>
  <c r="G352" i="17"/>
  <c r="G332" i="17"/>
  <c r="G312" i="17"/>
  <c r="G292" i="17"/>
  <c r="G272" i="17"/>
  <c r="G252" i="17"/>
  <c r="G232" i="17"/>
  <c r="G212" i="17"/>
  <c r="G192" i="17"/>
  <c r="G172" i="17"/>
  <c r="G152" i="17"/>
  <c r="G132" i="17"/>
  <c r="G112" i="17"/>
  <c r="G4210" i="17"/>
  <c r="G4182" i="17"/>
  <c r="G4154" i="17"/>
  <c r="G4125" i="17"/>
  <c r="G4096" i="17"/>
  <c r="G4067" i="17"/>
  <c r="G4035" i="17"/>
  <c r="G4008" i="17"/>
  <c r="G3979" i="17"/>
  <c r="G3950" i="17"/>
  <c r="G3923" i="17"/>
  <c r="G3889" i="17"/>
  <c r="G3862" i="17"/>
  <c r="G3832" i="17"/>
  <c r="G3804" i="17"/>
  <c r="G3776" i="17"/>
  <c r="G3747" i="17"/>
  <c r="G3715" i="17"/>
  <c r="G3686" i="17"/>
  <c r="G3658" i="17"/>
  <c r="G3630" i="17"/>
  <c r="G3601" i="17"/>
  <c r="G3572" i="17"/>
  <c r="G3540" i="17"/>
  <c r="G3511" i="17"/>
  <c r="G3484" i="17"/>
  <c r="G3454" i="17"/>
  <c r="G3426" i="17"/>
  <c r="G3393" i="17"/>
  <c r="G3365" i="17"/>
  <c r="G3338" i="17"/>
  <c r="G3308" i="17"/>
  <c r="G3280" i="17"/>
  <c r="G3252" i="17"/>
  <c r="G3220" i="17"/>
  <c r="G3191" i="17"/>
  <c r="G3162" i="17"/>
  <c r="G3134" i="17"/>
  <c r="G3108" i="17"/>
  <c r="G3082" i="17"/>
  <c r="G3050" i="17"/>
  <c r="G3024" i="17"/>
  <c r="G2998" i="17"/>
  <c r="G2969" i="17"/>
  <c r="G2943" i="17"/>
  <c r="G2913" i="17"/>
  <c r="G2885" i="17"/>
  <c r="G2859" i="17"/>
  <c r="G2832" i="17"/>
  <c r="G2804" i="17"/>
  <c r="G2778" i="17"/>
  <c r="G2748" i="17"/>
  <c r="G2720" i="17"/>
  <c r="G2693" i="17"/>
  <c r="G2667" i="17"/>
  <c r="G2641" i="17"/>
  <c r="G2612" i="17"/>
  <c r="G2583" i="17"/>
  <c r="G2556" i="17"/>
  <c r="G2528" i="17"/>
  <c r="G2503" i="17"/>
  <c r="G2478" i="17"/>
  <c r="G2448" i="17"/>
  <c r="G2424" i="17"/>
  <c r="G2400" i="17"/>
  <c r="G2376" i="17"/>
  <c r="G2351" i="17"/>
  <c r="G2327" i="17"/>
  <c r="G2300" i="17"/>
  <c r="G2276" i="17"/>
  <c r="G2251" i="17"/>
  <c r="G2227" i="17"/>
  <c r="G2203" i="17"/>
  <c r="G2180" i="17"/>
  <c r="G2155" i="17"/>
  <c r="G2131" i="17"/>
  <c r="G2108" i="17"/>
  <c r="G2085" i="17"/>
  <c r="G2062" i="17"/>
  <c r="G2039" i="17"/>
  <c r="G2016" i="17"/>
  <c r="G1993" i="17"/>
  <c r="G1969" i="17"/>
  <c r="G1944" i="17"/>
  <c r="G1921" i="17"/>
  <c r="G1898" i="17"/>
  <c r="G1875" i="17"/>
  <c r="G1851" i="17"/>
  <c r="G1828" i="17"/>
  <c r="G1805" i="17"/>
  <c r="G1782" i="17"/>
  <c r="G1759" i="17"/>
  <c r="G1734" i="17"/>
  <c r="G1710" i="17"/>
  <c r="G1688" i="17"/>
  <c r="G1666" i="17"/>
  <c r="G1644" i="17"/>
  <c r="G1622" i="17"/>
  <c r="G1600" i="17"/>
  <c r="G1578" i="17"/>
  <c r="G1556" i="17"/>
  <c r="G1532" i="17"/>
  <c r="G1510" i="17"/>
  <c r="G1488" i="17"/>
  <c r="G1466" i="17"/>
  <c r="G1444" i="17"/>
  <c r="G1422" i="17"/>
  <c r="G1400" i="17"/>
  <c r="G1378" i="17"/>
  <c r="G1356" i="17"/>
  <c r="G1332" i="17"/>
  <c r="G1310" i="17"/>
  <c r="G1288" i="17"/>
  <c r="G1266" i="17"/>
  <c r="G1245" i="17"/>
  <c r="G1224" i="17"/>
  <c r="G1203" i="17"/>
  <c r="G1182" i="17"/>
  <c r="G1161" i="17"/>
  <c r="G1140" i="17"/>
  <c r="G1119" i="17"/>
  <c r="G1098" i="17"/>
  <c r="G1077" i="17"/>
  <c r="G1056" i="17"/>
  <c r="G1035" i="17"/>
  <c r="G1013" i="17"/>
  <c r="G992" i="17"/>
  <c r="G971" i="17"/>
  <c r="G950" i="17"/>
  <c r="G929" i="17"/>
  <c r="G908" i="17"/>
  <c r="G887" i="17"/>
  <c r="G866" i="17"/>
  <c r="G845" i="17"/>
  <c r="G824" i="17"/>
  <c r="G803" i="17"/>
  <c r="G782" i="17"/>
  <c r="G761" i="17"/>
  <c r="G740" i="17"/>
  <c r="G719" i="17"/>
  <c r="G698" i="17"/>
  <c r="G677" i="17"/>
  <c r="G656" i="17"/>
  <c r="G635" i="17"/>
  <c r="G613" i="17"/>
  <c r="G592" i="17"/>
  <c r="G571" i="17"/>
  <c r="G551" i="17"/>
  <c r="G531" i="17"/>
  <c r="G511" i="17"/>
  <c r="G491" i="17"/>
  <c r="G471" i="17"/>
  <c r="G451" i="17"/>
  <c r="G431" i="17"/>
  <c r="G411" i="17"/>
  <c r="G391" i="17"/>
  <c r="G371" i="17"/>
  <c r="G351" i="17"/>
  <c r="G331" i="17"/>
  <c r="G311" i="17"/>
  <c r="G291" i="17"/>
  <c r="G271" i="17"/>
  <c r="G251" i="17"/>
  <c r="G231" i="17"/>
  <c r="G211" i="17"/>
  <c r="G191" i="17"/>
  <c r="G171" i="17"/>
  <c r="G151" i="17"/>
  <c r="G131" i="17"/>
  <c r="G111" i="17"/>
  <c r="G4209" i="17"/>
  <c r="G4181" i="17"/>
  <c r="G4151" i="17"/>
  <c r="G4123" i="17"/>
  <c r="G4095" i="17"/>
  <c r="G4063" i="17"/>
  <c r="G4034" i="17"/>
  <c r="G4007" i="17"/>
  <c r="G3978" i="17"/>
  <c r="G3949" i="17"/>
  <c r="G3920" i="17"/>
  <c r="G3888" i="17"/>
  <c r="G3861" i="17"/>
  <c r="G3831" i="17"/>
  <c r="G3803" i="17"/>
  <c r="G3775" i="17"/>
  <c r="G3746" i="17"/>
  <c r="G3714" i="17"/>
  <c r="G3685" i="17"/>
  <c r="G3656" i="17"/>
  <c r="G3629" i="17"/>
  <c r="G3600" i="17"/>
  <c r="G3568" i="17"/>
  <c r="G3539" i="17"/>
  <c r="G3510" i="17"/>
  <c r="G3483" i="17"/>
  <c r="G3453" i="17"/>
  <c r="G3425" i="17"/>
  <c r="G3392" i="17"/>
  <c r="G3364" i="17"/>
  <c r="G3336" i="17"/>
  <c r="G3307" i="17"/>
  <c r="G3279" i="17"/>
  <c r="G3251" i="17"/>
  <c r="G3218" i="17"/>
  <c r="G3190" i="17"/>
  <c r="G3161" i="17"/>
  <c r="G3133" i="17"/>
  <c r="G3107" i="17"/>
  <c r="G3075" i="17"/>
  <c r="G3049" i="17"/>
  <c r="G3023" i="17"/>
  <c r="G2996" i="17"/>
  <c r="G2968" i="17"/>
  <c r="G2942" i="17"/>
  <c r="G2912" i="17"/>
  <c r="G2884" i="17"/>
  <c r="G2858" i="17"/>
  <c r="G2831" i="17"/>
  <c r="G2803" i="17"/>
  <c r="G2776" i="17"/>
  <c r="G2747" i="17"/>
  <c r="G2719" i="17"/>
  <c r="G2692" i="17"/>
  <c r="G2666" i="17"/>
  <c r="G2640" i="17"/>
  <c r="G2608" i="17"/>
  <c r="G2582" i="17"/>
  <c r="G2555" i="17"/>
  <c r="G2527" i="17"/>
  <c r="G2502" i="17"/>
  <c r="G2477" i="17"/>
  <c r="G2447" i="17"/>
  <c r="G2423" i="17"/>
  <c r="G2399" i="17"/>
  <c r="G2375" i="17"/>
  <c r="G2350" i="17"/>
  <c r="G2326" i="17"/>
  <c r="G2299" i="17"/>
  <c r="G2275" i="17"/>
  <c r="G2250" i="17"/>
  <c r="G2226" i="17"/>
  <c r="G2202" i="17"/>
  <c r="G2179" i="17"/>
  <c r="G2154" i="17"/>
  <c r="G2130" i="17"/>
  <c r="G2107" i="17"/>
  <c r="G2084" i="17"/>
  <c r="G2061" i="17"/>
  <c r="G2038" i="17"/>
  <c r="G2015" i="17"/>
  <c r="G1991" i="17"/>
  <c r="G1968" i="17"/>
  <c r="G1943" i="17"/>
  <c r="G1920" i="17"/>
  <c r="G1897" i="17"/>
  <c r="G1874" i="17"/>
  <c r="G1850" i="17"/>
  <c r="G1827" i="17"/>
  <c r="G1804" i="17"/>
  <c r="G1781" i="17"/>
  <c r="G1758" i="17"/>
  <c r="G1733" i="17"/>
  <c r="G1709" i="17"/>
  <c r="G1687" i="17"/>
  <c r="G1665" i="17"/>
  <c r="G1643" i="17"/>
  <c r="G1621" i="17"/>
  <c r="G1599" i="17"/>
  <c r="G1577" i="17"/>
  <c r="G1555" i="17"/>
  <c r="G1531" i="17"/>
  <c r="G1509" i="17"/>
  <c r="G1487" i="17"/>
  <c r="G1465" i="17"/>
  <c r="G1443" i="17"/>
  <c r="G1421" i="17"/>
  <c r="G1399" i="17"/>
  <c r="G1377" i="17"/>
  <c r="G1355" i="17"/>
  <c r="G1331" i="17"/>
  <c r="G1309" i="17"/>
  <c r="G1287" i="17"/>
  <c r="G1265" i="17"/>
  <c r="G1244" i="17"/>
  <c r="G1223" i="17"/>
  <c r="G1202" i="17"/>
  <c r="G1181" i="17"/>
  <c r="G1160" i="17"/>
  <c r="G1139" i="17"/>
  <c r="G1118" i="17"/>
  <c r="G1097" i="17"/>
  <c r="G1076" i="17"/>
  <c r="G1055" i="17"/>
  <c r="G1033" i="17"/>
  <c r="G1012" i="17"/>
  <c r="G991" i="17"/>
  <c r="G970" i="17"/>
  <c r="G949" i="17"/>
  <c r="G928" i="17"/>
  <c r="G907" i="17"/>
  <c r="G886" i="17"/>
  <c r="G865" i="17"/>
  <c r="G844" i="17"/>
  <c r="G823" i="17"/>
  <c r="G802" i="17"/>
  <c r="G781" i="17"/>
  <c r="G760" i="17"/>
  <c r="G739" i="17"/>
  <c r="G718" i="17"/>
  <c r="G697" i="17"/>
  <c r="G676" i="17"/>
  <c r="G655" i="17"/>
  <c r="G4207" i="17"/>
  <c r="G4176" i="17"/>
  <c r="G4143" i="17"/>
  <c r="G4107" i="17"/>
  <c r="G4075" i="17"/>
  <c r="G4043" i="17"/>
  <c r="G4003" i="17"/>
  <c r="G3971" i="17"/>
  <c r="G3935" i="17"/>
  <c r="G3904" i="17"/>
  <c r="G3870" i="17"/>
  <c r="G3834" i="17"/>
  <c r="G3800" i="17"/>
  <c r="G3763" i="17"/>
  <c r="G3730" i="17"/>
  <c r="G3699" i="17"/>
  <c r="G3663" i="17"/>
  <c r="G3628" i="17"/>
  <c r="G3591" i="17"/>
  <c r="G3559" i="17"/>
  <c r="G3527" i="17"/>
  <c r="G3490" i="17"/>
  <c r="G3460" i="17"/>
  <c r="G3420" i="17"/>
  <c r="G3386" i="17"/>
  <c r="G3355" i="17"/>
  <c r="G3319" i="17"/>
  <c r="G3286" i="17"/>
  <c r="G3254" i="17"/>
  <c r="G3214" i="17"/>
  <c r="G3182" i="17"/>
  <c r="G3147" i="17"/>
  <c r="G3115" i="17"/>
  <c r="G3086" i="17"/>
  <c r="G3048" i="17"/>
  <c r="G3019" i="17"/>
  <c r="G2987" i="17"/>
  <c r="G2954" i="17"/>
  <c r="G2923" i="17"/>
  <c r="G2888" i="17"/>
  <c r="G2855" i="17"/>
  <c r="G2824" i="17"/>
  <c r="G2791" i="17"/>
  <c r="G2760" i="17"/>
  <c r="G2730" i="17"/>
  <c r="G2695" i="17"/>
  <c r="G2663" i="17"/>
  <c r="G2628" i="17"/>
  <c r="G2599" i="17"/>
  <c r="G2567" i="17"/>
  <c r="G2534" i="17"/>
  <c r="G2501" i="17"/>
  <c r="G2468" i="17"/>
  <c r="G2440" i="17"/>
  <c r="G2413" i="17"/>
  <c r="G2382" i="17"/>
  <c r="G2355" i="17"/>
  <c r="G2321" i="17"/>
  <c r="G2294" i="17"/>
  <c r="G2266" i="17"/>
  <c r="G2236" i="17"/>
  <c r="G2208" i="17"/>
  <c r="G2182" i="17"/>
  <c r="G2150" i="17"/>
  <c r="G2124" i="17"/>
  <c r="G2098" i="17"/>
  <c r="G2069" i="17"/>
  <c r="G2043" i="17"/>
  <c r="G2014" i="17"/>
  <c r="G1985" i="17"/>
  <c r="G1959" i="17"/>
  <c r="G1933" i="17"/>
  <c r="G1906" i="17"/>
  <c r="G1878" i="17"/>
  <c r="G1848" i="17"/>
  <c r="G1822" i="17"/>
  <c r="G1794" i="17"/>
  <c r="G1767" i="17"/>
  <c r="G1741" i="17"/>
  <c r="G1713" i="17"/>
  <c r="G1684" i="17"/>
  <c r="G1659" i="17"/>
  <c r="G1632" i="17"/>
  <c r="G1607" i="17"/>
  <c r="G1582" i="17"/>
  <c r="G1552" i="17"/>
  <c r="G1527" i="17"/>
  <c r="G1502" i="17"/>
  <c r="G1477" i="17"/>
  <c r="G1450" i="17"/>
  <c r="G1425" i="17"/>
  <c r="G1397" i="17"/>
  <c r="G1370" i="17"/>
  <c r="G1345" i="17"/>
  <c r="G1320" i="17"/>
  <c r="G1295" i="17"/>
  <c r="G1268" i="17"/>
  <c r="G1241" i="17"/>
  <c r="G1217" i="17"/>
  <c r="G1192" i="17"/>
  <c r="G1168" i="17"/>
  <c r="G1144" i="17"/>
  <c r="G1117" i="17"/>
  <c r="G1092" i="17"/>
  <c r="G1068" i="17"/>
  <c r="G1044" i="17"/>
  <c r="G1020" i="17"/>
  <c r="G996" i="17"/>
  <c r="G968" i="17"/>
  <c r="G944" i="17"/>
  <c r="G920" i="17"/>
  <c r="G896" i="17"/>
  <c r="G871" i="17"/>
  <c r="G847" i="17"/>
  <c r="G820" i="17"/>
  <c r="G796" i="17"/>
  <c r="G771" i="17"/>
  <c r="G747" i="17"/>
  <c r="G723" i="17"/>
  <c r="G696" i="17"/>
  <c r="G671" i="17"/>
  <c r="G647" i="17"/>
  <c r="G624" i="17"/>
  <c r="G601" i="17"/>
  <c r="G578" i="17"/>
  <c r="G555" i="17"/>
  <c r="G533" i="17"/>
  <c r="G509" i="17"/>
  <c r="G487" i="17"/>
  <c r="G465" i="17"/>
  <c r="G443" i="17"/>
  <c r="G421" i="17"/>
  <c r="G399" i="17"/>
  <c r="G377" i="17"/>
  <c r="G355" i="17"/>
  <c r="G333" i="17"/>
  <c r="G309" i="17"/>
  <c r="G287" i="17"/>
  <c r="G265" i="17"/>
  <c r="G243" i="17"/>
  <c r="G221" i="17"/>
  <c r="G199" i="17"/>
  <c r="G177" i="17"/>
  <c r="G155" i="17"/>
  <c r="G133" i="17"/>
  <c r="G109" i="17"/>
  <c r="G89" i="17"/>
  <c r="G69" i="17"/>
  <c r="G49" i="17"/>
  <c r="G29" i="17"/>
  <c r="G9" i="17"/>
  <c r="G4206" i="17"/>
  <c r="G4175" i="17"/>
  <c r="G4142" i="17"/>
  <c r="G4106" i="17"/>
  <c r="G4074" i="17"/>
  <c r="G4038" i="17"/>
  <c r="G4002" i="17"/>
  <c r="G3970" i="17"/>
  <c r="G3933" i="17"/>
  <c r="G3903" i="17"/>
  <c r="G3869" i="17"/>
  <c r="G3830" i="17"/>
  <c r="G3799" i="17"/>
  <c r="G3762" i="17"/>
  <c r="G3729" i="17"/>
  <c r="G3698" i="17"/>
  <c r="G3662" i="17"/>
  <c r="G3625" i="17"/>
  <c r="G3590" i="17"/>
  <c r="G3558" i="17"/>
  <c r="G3526" i="17"/>
  <c r="G3489" i="17"/>
  <c r="G3456" i="17"/>
  <c r="G3419" i="17"/>
  <c r="G3385" i="17"/>
  <c r="G3354" i="17"/>
  <c r="G3318" i="17"/>
  <c r="G3285" i="17"/>
  <c r="G3245" i="17"/>
  <c r="G3213" i="17"/>
  <c r="G3181" i="17"/>
  <c r="G3146" i="17"/>
  <c r="G3114" i="17"/>
  <c r="G3085" i="17"/>
  <c r="G3047" i="17"/>
  <c r="G3018" i="17"/>
  <c r="G2983" i="17"/>
  <c r="G2951" i="17"/>
  <c r="G2922" i="17"/>
  <c r="G2887" i="17"/>
  <c r="G2854" i="17"/>
  <c r="G2823" i="17"/>
  <c r="G2790" i="17"/>
  <c r="G2759" i="17"/>
  <c r="G2726" i="17"/>
  <c r="G2691" i="17"/>
  <c r="G2662" i="17"/>
  <c r="G2627" i="17"/>
  <c r="G2598" i="17"/>
  <c r="G2566" i="17"/>
  <c r="G2533" i="17"/>
  <c r="G2500" i="17"/>
  <c r="G2467" i="17"/>
  <c r="G2439" i="17"/>
  <c r="G2411" i="17"/>
  <c r="G2381" i="17"/>
  <c r="G2354" i="17"/>
  <c r="G2320" i="17"/>
  <c r="G2293" i="17"/>
  <c r="G2265" i="17"/>
  <c r="G2235" i="17"/>
  <c r="G2207" i="17"/>
  <c r="G2176" i="17"/>
  <c r="G2149" i="17"/>
  <c r="G2123" i="17"/>
  <c r="G2097" i="17"/>
  <c r="G2068" i="17"/>
  <c r="G2042" i="17"/>
  <c r="G2013" i="17"/>
  <c r="G1984" i="17"/>
  <c r="G1958" i="17"/>
  <c r="G1931" i="17"/>
  <c r="G1905" i="17"/>
  <c r="G1877" i="17"/>
  <c r="G1847" i="17"/>
  <c r="G1821" i="17"/>
  <c r="G1793" i="17"/>
  <c r="G1766" i="17"/>
  <c r="G1740" i="17"/>
  <c r="G1708" i="17"/>
  <c r="G1683" i="17"/>
  <c r="G1658" i="17"/>
  <c r="G1631" i="17"/>
  <c r="G1606" i="17"/>
  <c r="G1581" i="17"/>
  <c r="G1551" i="17"/>
  <c r="G1526" i="17"/>
  <c r="G1501" i="17"/>
  <c r="G1476" i="17"/>
  <c r="G1449" i="17"/>
  <c r="G1424" i="17"/>
  <c r="G1396" i="17"/>
  <c r="G1369" i="17"/>
  <c r="G1344" i="17"/>
  <c r="G1319" i="17"/>
  <c r="G1292" i="17"/>
  <c r="G1264" i="17"/>
  <c r="G1240" i="17"/>
  <c r="G1216" i="17"/>
  <c r="G1191" i="17"/>
  <c r="G1167" i="17"/>
  <c r="G1143" i="17"/>
  <c r="G1116" i="17"/>
  <c r="G1091" i="17"/>
  <c r="G1067" i="17"/>
  <c r="G1043" i="17"/>
  <c r="G1019" i="17"/>
  <c r="G995" i="17"/>
  <c r="G967" i="17"/>
  <c r="G943" i="17"/>
  <c r="G919" i="17"/>
  <c r="G895" i="17"/>
  <c r="G870" i="17"/>
  <c r="G843" i="17"/>
  <c r="G819" i="17"/>
  <c r="G795" i="17"/>
  <c r="G770" i="17"/>
  <c r="G746" i="17"/>
  <c r="G722" i="17"/>
  <c r="G695" i="17"/>
  <c r="G670" i="17"/>
  <c r="G646" i="17"/>
  <c r="G623" i="17"/>
  <c r="G600" i="17"/>
  <c r="G577" i="17"/>
  <c r="G554" i="17"/>
  <c r="G530" i="17"/>
  <c r="G508" i="17"/>
  <c r="G486" i="17"/>
  <c r="G464" i="17"/>
  <c r="G442" i="17"/>
  <c r="G420" i="17"/>
  <c r="G398" i="17"/>
  <c r="G376" i="17"/>
  <c r="G354" i="17"/>
  <c r="G330" i="17"/>
  <c r="G308" i="17"/>
  <c r="G286" i="17"/>
  <c r="G264" i="17"/>
  <c r="G242" i="17"/>
  <c r="G220" i="17"/>
  <c r="G198" i="17"/>
  <c r="G176" i="17"/>
  <c r="G154" i="17"/>
  <c r="G130" i="17"/>
  <c r="G108" i="17"/>
  <c r="G88" i="17"/>
  <c r="G68" i="17"/>
  <c r="G48" i="17"/>
  <c r="G28" i="17"/>
  <c r="G8" i="17"/>
  <c r="G4199" i="17"/>
  <c r="G4162" i="17"/>
  <c r="G4129" i="17"/>
  <c r="G4094" i="17"/>
  <c r="G4058" i="17"/>
  <c r="G4025" i="17"/>
  <c r="G3993" i="17"/>
  <c r="G3958" i="17"/>
  <c r="G3926" i="17"/>
  <c r="G3886" i="17"/>
  <c r="G3853" i="17"/>
  <c r="G3822" i="17"/>
  <c r="G3785" i="17"/>
  <c r="G3754" i="17"/>
  <c r="G3721" i="17"/>
  <c r="G3681" i="17"/>
  <c r="G3650" i="17"/>
  <c r="G3613" i="17"/>
  <c r="G3581" i="17"/>
  <c r="G3549" i="17"/>
  <c r="G3509" i="17"/>
  <c r="G3476" i="17"/>
  <c r="G3442" i="17"/>
  <c r="G3409" i="17"/>
  <c r="G3378" i="17"/>
  <c r="G3341" i="17"/>
  <c r="G3305" i="17"/>
  <c r="G3270" i="17"/>
  <c r="G3236" i="17"/>
  <c r="G3204" i="17"/>
  <c r="G3169" i="17"/>
  <c r="G3136" i="17"/>
  <c r="G3099" i="17"/>
  <c r="G3069" i="17"/>
  <c r="G3040" i="17"/>
  <c r="G3005" i="17"/>
  <c r="G2975" i="17"/>
  <c r="G2941" i="17"/>
  <c r="G2906" i="17"/>
  <c r="G2876" i="17"/>
  <c r="G2842" i="17"/>
  <c r="G2812" i="17"/>
  <c r="G2781" i="17"/>
  <c r="G2745" i="17"/>
  <c r="G2713" i="17"/>
  <c r="G2684" i="17"/>
  <c r="G2649" i="17"/>
  <c r="G2620" i="17"/>
  <c r="G2585" i="17"/>
  <c r="G2550" i="17"/>
  <c r="G2521" i="17"/>
  <c r="G2488" i="17"/>
  <c r="G2460" i="17"/>
  <c r="G2431" i="17"/>
  <c r="G2398" i="17"/>
  <c r="G2370" i="17"/>
  <c r="G2340" i="17"/>
  <c r="G2313" i="17"/>
  <c r="G2285" i="17"/>
  <c r="G2255" i="17"/>
  <c r="G2224" i="17"/>
  <c r="G2195" i="17"/>
  <c r="G2168" i="17"/>
  <c r="G2142" i="17"/>
  <c r="G2116" i="17"/>
  <c r="G2087" i="17"/>
  <c r="G2058" i="17"/>
  <c r="G2031" i="17"/>
  <c r="G2003" i="17"/>
  <c r="G1977" i="17"/>
  <c r="G1950" i="17"/>
  <c r="G1919" i="17"/>
  <c r="G1893" i="17"/>
  <c r="G1866" i="17"/>
  <c r="G1838" i="17"/>
  <c r="G1811" i="17"/>
  <c r="G1785" i="17"/>
  <c r="G1754" i="17"/>
  <c r="G1727" i="17"/>
  <c r="G1701" i="17"/>
  <c r="G1676" i="17"/>
  <c r="G1649" i="17"/>
  <c r="G1624" i="17"/>
  <c r="G1596" i="17"/>
  <c r="G1569" i="17"/>
  <c r="G4205" i="17"/>
  <c r="G4169" i="17"/>
  <c r="G4128" i="17"/>
  <c r="G4085" i="17"/>
  <c r="G4050" i="17"/>
  <c r="G4010" i="17"/>
  <c r="G3965" i="17"/>
  <c r="G3928" i="17"/>
  <c r="G3884" i="17"/>
  <c r="G3847" i="17"/>
  <c r="G3807" i="17"/>
  <c r="G3764" i="17"/>
  <c r="G3726" i="17"/>
  <c r="G3683" i="17"/>
  <c r="G3642" i="17"/>
  <c r="G3607" i="17"/>
  <c r="G3562" i="17"/>
  <c r="G3525" i="17"/>
  <c r="G3482" i="17"/>
  <c r="G3441" i="17"/>
  <c r="G3404" i="17"/>
  <c r="G3361" i="17"/>
  <c r="G3325" i="17"/>
  <c r="G3283" i="17"/>
  <c r="G3239" i="17"/>
  <c r="G3202" i="17"/>
  <c r="G3159" i="17"/>
  <c r="G3120" i="17"/>
  <c r="G3087" i="17"/>
  <c r="G3044" i="17"/>
  <c r="G3006" i="17"/>
  <c r="G2967" i="17"/>
  <c r="G2929" i="17"/>
  <c r="G2896" i="17"/>
  <c r="G2853" i="17"/>
  <c r="G2815" i="17"/>
  <c r="G2780" i="17"/>
  <c r="G2739" i="17"/>
  <c r="G2703" i="17"/>
  <c r="G2665" i="17"/>
  <c r="G2625" i="17"/>
  <c r="G2590" i="17"/>
  <c r="G2548" i="17"/>
  <c r="G2513" i="17"/>
  <c r="G2480" i="17"/>
  <c r="G2441" i="17"/>
  <c r="G2405" i="17"/>
  <c r="G2371" i="17"/>
  <c r="G2337" i="17"/>
  <c r="G2306" i="17"/>
  <c r="G2269" i="17"/>
  <c r="G2234" i="17"/>
  <c r="G2200" i="17"/>
  <c r="G2167" i="17"/>
  <c r="G2138" i="17"/>
  <c r="G2103" i="17"/>
  <c r="G2074" i="17"/>
  <c r="G2037" i="17"/>
  <c r="G2005" i="17"/>
  <c r="G1975" i="17"/>
  <c r="G1940" i="17"/>
  <c r="G1910" i="17"/>
  <c r="G1879" i="17"/>
  <c r="G1844" i="17"/>
  <c r="G1813" i="17"/>
  <c r="G1779" i="17"/>
  <c r="G1747" i="17"/>
  <c r="G1718" i="17"/>
  <c r="G1682" i="17"/>
  <c r="G1652" i="17"/>
  <c r="G1620" i="17"/>
  <c r="G1590" i="17"/>
  <c r="G1562" i="17"/>
  <c r="G1530" i="17"/>
  <c r="G1503" i="17"/>
  <c r="G1472" i="17"/>
  <c r="G1442" i="17"/>
  <c r="G1415" i="17"/>
  <c r="G1386" i="17"/>
  <c r="G1359" i="17"/>
  <c r="G1327" i="17"/>
  <c r="G1300" i="17"/>
  <c r="G1271" i="17"/>
  <c r="G1242" i="17"/>
  <c r="G1213" i="17"/>
  <c r="G1187" i="17"/>
  <c r="G1158" i="17"/>
  <c r="G1131" i="17"/>
  <c r="G1105" i="17"/>
  <c r="G1079" i="17"/>
  <c r="G1049" i="17"/>
  <c r="G1023" i="17"/>
  <c r="G997" i="17"/>
  <c r="G965" i="17"/>
  <c r="G939" i="17"/>
  <c r="G912" i="17"/>
  <c r="G883" i="17"/>
  <c r="G857" i="17"/>
  <c r="G830" i="17"/>
  <c r="G801" i="17"/>
  <c r="G775" i="17"/>
  <c r="G748" i="17"/>
  <c r="G717" i="17"/>
  <c r="G690" i="17"/>
  <c r="G664" i="17"/>
  <c r="G638" i="17"/>
  <c r="G610" i="17"/>
  <c r="G585" i="17"/>
  <c r="G560" i="17"/>
  <c r="G536" i="17"/>
  <c r="G510" i="17"/>
  <c r="G484" i="17"/>
  <c r="G460" i="17"/>
  <c r="G436" i="17"/>
  <c r="G410" i="17"/>
  <c r="G386" i="17"/>
  <c r="G362" i="17"/>
  <c r="G338" i="17"/>
  <c r="G314" i="17"/>
  <c r="G288" i="17"/>
  <c r="G262" i="17"/>
  <c r="G238" i="17"/>
  <c r="G214" i="17"/>
  <c r="G188" i="17"/>
  <c r="G164" i="17"/>
  <c r="G140" i="17"/>
  <c r="G116" i="17"/>
  <c r="G92" i="17"/>
  <c r="G70" i="17"/>
  <c r="G46" i="17"/>
  <c r="G24" i="17"/>
  <c r="G4202" i="17"/>
  <c r="G4161" i="17"/>
  <c r="G4121" i="17"/>
  <c r="G4081" i="17"/>
  <c r="G4045" i="17"/>
  <c r="G4000" i="17"/>
  <c r="G3960" i="17"/>
  <c r="G3919" i="17"/>
  <c r="G3881" i="17"/>
  <c r="G3841" i="17"/>
  <c r="G3801" i="17"/>
  <c r="G3759" i="17"/>
  <c r="G3722" i="17"/>
  <c r="G3678" i="17"/>
  <c r="G3638" i="17"/>
  <c r="G3599" i="17"/>
  <c r="G3556" i="17"/>
  <c r="G3516" i="17"/>
  <c r="G3475" i="17"/>
  <c r="G3435" i="17"/>
  <c r="G3401" i="17"/>
  <c r="G3358" i="17"/>
  <c r="G3315" i="17"/>
  <c r="G3275" i="17"/>
  <c r="G3234" i="17"/>
  <c r="G3194" i="17"/>
  <c r="G3154" i="17"/>
  <c r="G3116" i="17"/>
  <c r="G3073" i="17"/>
  <c r="G3041" i="17"/>
  <c r="G3002" i="17"/>
  <c r="G2964" i="17"/>
  <c r="G2926" i="17"/>
  <c r="G2883" i="17"/>
  <c r="G2850" i="17"/>
  <c r="G2811" i="17"/>
  <c r="G2770" i="17"/>
  <c r="G2735" i="17"/>
  <c r="G2698" i="17"/>
  <c r="G4204" i="17"/>
  <c r="G4168" i="17"/>
  <c r="G4127" i="17"/>
  <c r="G4084" i="17"/>
  <c r="G4049" i="17"/>
  <c r="G4004" i="17"/>
  <c r="G3962" i="17"/>
  <c r="G3927" i="17"/>
  <c r="G3883" i="17"/>
  <c r="G3846" i="17"/>
  <c r="G3806" i="17"/>
  <c r="G3761" i="17"/>
  <c r="G3725" i="17"/>
  <c r="G3680" i="17"/>
  <c r="G3641" i="17"/>
  <c r="G3604" i="17"/>
  <c r="G3561" i="17"/>
  <c r="G3524" i="17"/>
  <c r="G3481" i="17"/>
  <c r="G3440" i="17"/>
  <c r="G3403" i="17"/>
  <c r="G3360" i="17"/>
  <c r="G3320" i="17"/>
  <c r="G3278" i="17"/>
  <c r="G3238" i="17"/>
  <c r="G3201" i="17"/>
  <c r="G3158" i="17"/>
  <c r="G3119" i="17"/>
  <c r="G3084" i="17"/>
  <c r="G3043" i="17"/>
  <c r="G3004" i="17"/>
  <c r="G2966" i="17"/>
  <c r="G2928" i="17"/>
  <c r="G2895" i="17"/>
  <c r="G2852" i="17"/>
  <c r="G2814" i="17"/>
  <c r="G2772" i="17"/>
  <c r="G2738" i="17"/>
  <c r="G2702" i="17"/>
  <c r="G2664" i="17"/>
  <c r="G2624" i="17"/>
  <c r="G2589" i="17"/>
  <c r="G2547" i="17"/>
  <c r="G2510" i="17"/>
  <c r="G2476" i="17"/>
  <c r="G2438" i="17"/>
  <c r="G2404" i="17"/>
  <c r="G2369" i="17"/>
  <c r="G2336" i="17"/>
  <c r="G2305" i="17"/>
  <c r="G2268" i="17"/>
  <c r="G2233" i="17"/>
  <c r="G2197" i="17"/>
  <c r="G2166" i="17"/>
  <c r="G2137" i="17"/>
  <c r="G2102" i="17"/>
  <c r="G2070" i="17"/>
  <c r="G2036" i="17"/>
  <c r="G2004" i="17"/>
  <c r="G1974" i="17"/>
  <c r="G1939" i="17"/>
  <c r="G1909" i="17"/>
  <c r="G1873" i="17"/>
  <c r="G1843" i="17"/>
  <c r="G1810" i="17"/>
  <c r="G1776" i="17"/>
  <c r="G1746" i="17"/>
  <c r="G1717" i="17"/>
  <c r="G1681" i="17"/>
  <c r="G1651" i="17"/>
  <c r="G1619" i="17"/>
  <c r="G1589" i="17"/>
  <c r="G1561" i="17"/>
  <c r="G1529" i="17"/>
  <c r="G1500" i="17"/>
  <c r="G1471" i="17"/>
  <c r="G1441" i="17"/>
  <c r="G1412" i="17"/>
  <c r="G1385" i="17"/>
  <c r="G1358" i="17"/>
  <c r="G1326" i="17"/>
  <c r="G1299" i="17"/>
  <c r="G1270" i="17"/>
  <c r="G1239" i="17"/>
  <c r="G1212" i="17"/>
  <c r="G1186" i="17"/>
  <c r="G1157" i="17"/>
  <c r="G1130" i="17"/>
  <c r="G1104" i="17"/>
  <c r="G1075" i="17"/>
  <c r="G1048" i="17"/>
  <c r="G1022" i="17"/>
  <c r="G990" i="17"/>
  <c r="G964" i="17"/>
  <c r="G938" i="17"/>
  <c r="G911" i="17"/>
  <c r="G882" i="17"/>
  <c r="G856" i="17"/>
  <c r="G829" i="17"/>
  <c r="G800" i="17"/>
  <c r="G773" i="17"/>
  <c r="G745" i="17"/>
  <c r="G716" i="17"/>
  <c r="G689" i="17"/>
  <c r="G663" i="17"/>
  <c r="G637" i="17"/>
  <c r="G609" i="17"/>
  <c r="G584" i="17"/>
  <c r="G559" i="17"/>
  <c r="G535" i="17"/>
  <c r="G507" i="17"/>
  <c r="G483" i="17"/>
  <c r="G459" i="17"/>
  <c r="G435" i="17"/>
  <c r="G409" i="17"/>
  <c r="G385" i="17"/>
  <c r="G361" i="17"/>
  <c r="G337" i="17"/>
  <c r="G313" i="17"/>
  <c r="G285" i="17"/>
  <c r="G261" i="17"/>
  <c r="G237" i="17"/>
  <c r="G213" i="17"/>
  <c r="G187" i="17"/>
  <c r="G163" i="17"/>
  <c r="G139" i="17"/>
  <c r="G115" i="17"/>
  <c r="G91" i="17"/>
  <c r="G67" i="17"/>
  <c r="G45" i="17"/>
  <c r="G23" i="17"/>
  <c r="G4203" i="17"/>
  <c r="G4167" i="17"/>
  <c r="G4122" i="17"/>
  <c r="G4083" i="17"/>
  <c r="G4046" i="17"/>
  <c r="G4001" i="17"/>
  <c r="G3961" i="17"/>
  <c r="G3925" i="17"/>
  <c r="G3882" i="17"/>
  <c r="G3845" i="17"/>
  <c r="G3802" i="17"/>
  <c r="G3760" i="17"/>
  <c r="G3723" i="17"/>
  <c r="G3679" i="17"/>
  <c r="G3639" i="17"/>
  <c r="G3603" i="17"/>
  <c r="G3560" i="17"/>
  <c r="G3518" i="17"/>
  <c r="G3478" i="17"/>
  <c r="G3439" i="17"/>
  <c r="G3402" i="17"/>
  <c r="G3359" i="17"/>
  <c r="G3316" i="17"/>
  <c r="G3276" i="17"/>
  <c r="G3235" i="17"/>
  <c r="G3195" i="17"/>
  <c r="G3156" i="17"/>
  <c r="G3118" i="17"/>
  <c r="G3074" i="17"/>
  <c r="G3042" i="17"/>
  <c r="G3003" i="17"/>
  <c r="G2965" i="17"/>
  <c r="G2927" i="17"/>
  <c r="G2894" i="17"/>
  <c r="G2851" i="17"/>
  <c r="G2813" i="17"/>
  <c r="G2771" i="17"/>
  <c r="G2736" i="17"/>
  <c r="G2699" i="17"/>
  <c r="G2661" i="17"/>
  <c r="G2623" i="17"/>
  <c r="G2581" i="17"/>
  <c r="G2546" i="17"/>
  <c r="G2509" i="17"/>
  <c r="G2470" i="17"/>
  <c r="G2437" i="17"/>
  <c r="G2403" i="17"/>
  <c r="G2368" i="17"/>
  <c r="G2335" i="17"/>
  <c r="G2298" i="17"/>
  <c r="G2267" i="17"/>
  <c r="G2231" i="17"/>
  <c r="G2196" i="17"/>
  <c r="G2165" i="17"/>
  <c r="G2134" i="17"/>
  <c r="G2101" i="17"/>
  <c r="G2067" i="17"/>
  <c r="G2035" i="17"/>
  <c r="G2002" i="17"/>
  <c r="G1973" i="17"/>
  <c r="G1938" i="17"/>
  <c r="G1908" i="17"/>
  <c r="G1871" i="17"/>
  <c r="G1842" i="17"/>
  <c r="G1809" i="17"/>
  <c r="G1775" i="17"/>
  <c r="G1745" i="17"/>
  <c r="G1716" i="17"/>
  <c r="G1680" i="17"/>
  <c r="G1650" i="17"/>
  <c r="G1618" i="17"/>
  <c r="G1588" i="17"/>
  <c r="G1560" i="17"/>
  <c r="G1528" i="17"/>
  <c r="G1499" i="17"/>
  <c r="G1470" i="17"/>
  <c r="G1440" i="17"/>
  <c r="G1411" i="17"/>
  <c r="G1384" i="17"/>
  <c r="G1352" i="17"/>
  <c r="G1325" i="17"/>
  <c r="G1298" i="17"/>
  <c r="G1269" i="17"/>
  <c r="G1238" i="17"/>
  <c r="G1211" i="17"/>
  <c r="G1185" i="17"/>
  <c r="G1156" i="17"/>
  <c r="G1129" i="17"/>
  <c r="G1103" i="17"/>
  <c r="G1073" i="17"/>
  <c r="G1047" i="17"/>
  <c r="G1021" i="17"/>
  <c r="G989" i="17"/>
  <c r="G963" i="17"/>
  <c r="G937" i="17"/>
  <c r="G910" i="17"/>
  <c r="G881" i="17"/>
  <c r="G855" i="17"/>
  <c r="G828" i="17"/>
  <c r="G799" i="17"/>
  <c r="G772" i="17"/>
  <c r="G744" i="17"/>
  <c r="G715" i="17"/>
  <c r="G688" i="17"/>
  <c r="G662" i="17"/>
  <c r="G633" i="17"/>
  <c r="G608" i="17"/>
  <c r="G583" i="17"/>
  <c r="G558" i="17"/>
  <c r="G534" i="17"/>
  <c r="G506" i="17"/>
  <c r="G482" i="17"/>
  <c r="G458" i="17"/>
  <c r="G434" i="17"/>
  <c r="G408" i="17"/>
  <c r="G384" i="17"/>
  <c r="G360" i="17"/>
  <c r="G336" i="17"/>
  <c r="G310" i="17"/>
  <c r="G284" i="17"/>
  <c r="G260" i="17"/>
  <c r="G236" i="17"/>
  <c r="G210" i="17"/>
  <c r="G186" i="17"/>
  <c r="G162" i="17"/>
  <c r="G138" i="17"/>
  <c r="G114" i="17"/>
  <c r="G90" i="17"/>
  <c r="G66" i="17"/>
  <c r="G44" i="17"/>
  <c r="G22" i="17"/>
  <c r="G4201" i="17"/>
  <c r="G4150" i="17"/>
  <c r="G4104" i="17"/>
  <c r="G4054" i="17"/>
  <c r="G3999" i="17"/>
  <c r="G3952" i="17"/>
  <c r="G3905" i="17"/>
  <c r="G3852" i="17"/>
  <c r="G3798" i="17"/>
  <c r="G3750" i="17"/>
  <c r="G3702" i="17"/>
  <c r="G3652" i="17"/>
  <c r="G3596" i="17"/>
  <c r="G3550" i="17"/>
  <c r="G3502" i="17"/>
  <c r="G3449" i="17"/>
  <c r="G3391" i="17"/>
  <c r="G3344" i="17"/>
  <c r="G3295" i="17"/>
  <c r="G3244" i="17"/>
  <c r="G3193" i="17"/>
  <c r="G3144" i="17"/>
  <c r="G3095" i="17"/>
  <c r="G3056" i="17"/>
  <c r="G3001" i="17"/>
  <c r="G2955" i="17"/>
  <c r="G2905" i="17"/>
  <c r="G2863" i="17"/>
  <c r="G2810" i="17"/>
  <c r="G2765" i="17"/>
  <c r="G2715" i="17"/>
  <c r="G2672" i="17"/>
  <c r="G2626" i="17"/>
  <c r="G2578" i="17"/>
  <c r="G2536" i="17"/>
  <c r="G2490" i="17"/>
  <c r="G2455" i="17"/>
  <c r="G2414" i="17"/>
  <c r="G2364" i="17"/>
  <c r="G2330" i="17"/>
  <c r="G2288" i="17"/>
  <c r="G2247" i="17"/>
  <c r="G2210" i="17"/>
  <c r="G2170" i="17"/>
  <c r="G2128" i="17"/>
  <c r="G2091" i="17"/>
  <c r="G2055" i="17"/>
  <c r="G2020" i="17"/>
  <c r="G1980" i="17"/>
  <c r="G1941" i="17"/>
  <c r="G1901" i="17"/>
  <c r="G1864" i="17"/>
  <c r="G1826" i="17"/>
  <c r="G1789" i="17"/>
  <c r="G1750" i="17"/>
  <c r="G1707" i="17"/>
  <c r="G1675" i="17"/>
  <c r="G1639" i="17"/>
  <c r="G1604" i="17"/>
  <c r="G1567" i="17"/>
  <c r="G1537" i="17"/>
  <c r="G1497" i="17"/>
  <c r="G1462" i="17"/>
  <c r="G1430" i="17"/>
  <c r="G1395" i="17"/>
  <c r="G1363" i="17"/>
  <c r="G1328" i="17"/>
  <c r="G1291" i="17"/>
  <c r="G1258" i="17"/>
  <c r="G1228" i="17"/>
  <c r="G1196" i="17"/>
  <c r="G1164" i="17"/>
  <c r="G1128" i="17"/>
  <c r="G1096" i="17"/>
  <c r="G1064" i="17"/>
  <c r="G1031" i="17"/>
  <c r="G1002" i="17"/>
  <c r="G969" i="17"/>
  <c r="G935" i="17"/>
  <c r="G902" i="17"/>
  <c r="G872" i="17"/>
  <c r="G838" i="17"/>
  <c r="G808" i="17"/>
  <c r="G776" i="17"/>
  <c r="G738" i="17"/>
  <c r="G708" i="17"/>
  <c r="G679" i="17"/>
  <c r="G644" i="17"/>
  <c r="G616" i="17"/>
  <c r="G582" i="17"/>
  <c r="G550" i="17"/>
  <c r="G523" i="17"/>
  <c r="G496" i="17"/>
  <c r="G467" i="17"/>
  <c r="G438" i="17"/>
  <c r="G406" i="17"/>
  <c r="G379" i="17"/>
  <c r="G348" i="17"/>
  <c r="G321" i="17"/>
  <c r="G294" i="17"/>
  <c r="G263" i="17"/>
  <c r="G233" i="17"/>
  <c r="G204" i="17"/>
  <c r="G175" i="17"/>
  <c r="G146" i="17"/>
  <c r="G119" i="17"/>
  <c r="G87" i="17"/>
  <c r="G62" i="17"/>
  <c r="G37" i="17"/>
  <c r="G12" i="17"/>
  <c r="G4100" i="17"/>
  <c r="G520" i="17"/>
  <c r="G4099" i="17"/>
  <c r="G4044" i="17"/>
  <c r="G3989" i="17"/>
  <c r="G3945" i="17"/>
  <c r="G3896" i="17"/>
  <c r="G3840" i="17"/>
  <c r="G3788" i="17"/>
  <c r="G3739" i="17"/>
  <c r="G3636" i="17"/>
  <c r="G3536" i="17"/>
  <c r="G3491" i="17"/>
  <c r="G3384" i="17"/>
  <c r="G3291" i="17"/>
  <c r="G3138" i="17"/>
  <c r="G2991" i="17"/>
  <c r="G2849" i="17"/>
  <c r="G2710" i="17"/>
  <c r="G2525" i="17"/>
  <c r="G4200" i="17"/>
  <c r="G4149" i="17"/>
  <c r="G4102" i="17"/>
  <c r="G4053" i="17"/>
  <c r="G3996" i="17"/>
  <c r="G3948" i="17"/>
  <c r="G3902" i="17"/>
  <c r="G3851" i="17"/>
  <c r="G3796" i="17"/>
  <c r="G3749" i="17"/>
  <c r="G3701" i="17"/>
  <c r="G3651" i="17"/>
  <c r="G3592" i="17"/>
  <c r="G3548" i="17"/>
  <c r="G3499" i="17"/>
  <c r="G3448" i="17"/>
  <c r="G3390" i="17"/>
  <c r="G3343" i="17"/>
  <c r="G3294" i="17"/>
  <c r="G3243" i="17"/>
  <c r="G3189" i="17"/>
  <c r="G3141" i="17"/>
  <c r="G3094" i="17"/>
  <c r="G3052" i="17"/>
  <c r="G3000" i="17"/>
  <c r="G2950" i="17"/>
  <c r="G2904" i="17"/>
  <c r="G2862" i="17"/>
  <c r="G2809" i="17"/>
  <c r="G2762" i="17"/>
  <c r="G2714" i="17"/>
  <c r="G2671" i="17"/>
  <c r="G2622" i="17"/>
  <c r="G2576" i="17"/>
  <c r="G2535" i="17"/>
  <c r="G2489" i="17"/>
  <c r="G2446" i="17"/>
  <c r="G2410" i="17"/>
  <c r="G2363" i="17"/>
  <c r="G2329" i="17"/>
  <c r="G2287" i="17"/>
  <c r="G2246" i="17"/>
  <c r="G2209" i="17"/>
  <c r="G2169" i="17"/>
  <c r="G2127" i="17"/>
  <c r="G2090" i="17"/>
  <c r="G2054" i="17"/>
  <c r="G2019" i="17"/>
  <c r="G1979" i="17"/>
  <c r="G1937" i="17"/>
  <c r="G1900" i="17"/>
  <c r="G1863" i="17"/>
  <c r="G1825" i="17"/>
  <c r="G1788" i="17"/>
  <c r="G1749" i="17"/>
  <c r="G1706" i="17"/>
  <c r="G1672" i="17"/>
  <c r="G1638" i="17"/>
  <c r="G1603" i="17"/>
  <c r="G1566" i="17"/>
  <c r="G1536" i="17"/>
  <c r="G1496" i="17"/>
  <c r="G1461" i="17"/>
  <c r="G1429" i="17"/>
  <c r="G1392" i="17"/>
  <c r="G1362" i="17"/>
  <c r="G1324" i="17"/>
  <c r="G1290" i="17"/>
  <c r="G1257" i="17"/>
  <c r="G1227" i="17"/>
  <c r="G1195" i="17"/>
  <c r="G1163" i="17"/>
  <c r="G1127" i="17"/>
  <c r="G1095" i="17"/>
  <c r="G1063" i="17"/>
  <c r="G1030" i="17"/>
  <c r="G1001" i="17"/>
  <c r="G966" i="17"/>
  <c r="G933" i="17"/>
  <c r="G901" i="17"/>
  <c r="G869" i="17"/>
  <c r="G837" i="17"/>
  <c r="G807" i="17"/>
  <c r="G769" i="17"/>
  <c r="G737" i="17"/>
  <c r="G707" i="17"/>
  <c r="G675" i="17"/>
  <c r="G643" i="17"/>
  <c r="G612" i="17"/>
  <c r="G581" i="17"/>
  <c r="G549" i="17"/>
  <c r="G522" i="17"/>
  <c r="G495" i="17"/>
  <c r="G466" i="17"/>
  <c r="G437" i="17"/>
  <c r="G405" i="17"/>
  <c r="G378" i="17"/>
  <c r="G347" i="17"/>
  <c r="G320" i="17"/>
  <c r="G293" i="17"/>
  <c r="G259" i="17"/>
  <c r="G230" i="17"/>
  <c r="G203" i="17"/>
  <c r="G174" i="17"/>
  <c r="G145" i="17"/>
  <c r="G118" i="17"/>
  <c r="G86" i="17"/>
  <c r="G61" i="17"/>
  <c r="G36" i="17"/>
  <c r="G11" i="17"/>
  <c r="G4147" i="17"/>
  <c r="G4051" i="17"/>
  <c r="G3946" i="17"/>
  <c r="G3848" i="17"/>
  <c r="G3740" i="17"/>
  <c r="G3646" i="17"/>
  <c r="G3538" i="17"/>
  <c r="G3443" i="17"/>
  <c r="G3340" i="17"/>
  <c r="G3241" i="17"/>
  <c r="G3139" i="17"/>
  <c r="G3045" i="17"/>
  <c r="G2948" i="17"/>
  <c r="G2856" i="17"/>
  <c r="G2758" i="17"/>
  <c r="G2669" i="17"/>
  <c r="G2572" i="17"/>
  <c r="G2486" i="17"/>
  <c r="G2402" i="17"/>
  <c r="G2319" i="17"/>
  <c r="G2244" i="17"/>
  <c r="G2163" i="17"/>
  <c r="G2088" i="17"/>
  <c r="G2049" i="17"/>
  <c r="G2011" i="17"/>
  <c r="G1976" i="17"/>
  <c r="G1935" i="17"/>
  <c r="G1895" i="17"/>
  <c r="G1859" i="17"/>
  <c r="G1786" i="17"/>
  <c r="G1704" i="17"/>
  <c r="G1636" i="17"/>
  <c r="G1564" i="17"/>
  <c r="G1492" i="17"/>
  <c r="G1427" i="17"/>
  <c r="G1360" i="17"/>
  <c r="G1285" i="17"/>
  <c r="G1222" i="17"/>
  <c r="G1155" i="17"/>
  <c r="G1090" i="17"/>
  <c r="G1028" i="17"/>
  <c r="G961" i="17"/>
  <c r="G899" i="17"/>
  <c r="G835" i="17"/>
  <c r="G767" i="17"/>
  <c r="G705" i="17"/>
  <c r="G641" i="17"/>
  <c r="G579" i="17"/>
  <c r="G493" i="17"/>
  <c r="G430" i="17"/>
  <c r="G374" i="17"/>
  <c r="G318" i="17"/>
  <c r="G257" i="17"/>
  <c r="G201" i="17"/>
  <c r="G143" i="17"/>
  <c r="G84" i="17"/>
  <c r="G34" i="17"/>
  <c r="G4193" i="17"/>
  <c r="G3587" i="17"/>
  <c r="G3335" i="17"/>
  <c r="G3186" i="17"/>
  <c r="G3039" i="17"/>
  <c r="G2901" i="17"/>
  <c r="G2756" i="17"/>
  <c r="G2618" i="17"/>
  <c r="G2485" i="17"/>
  <c r="G2397" i="17"/>
  <c r="G4198" i="17"/>
  <c r="G4148" i="17"/>
  <c r="G4101" i="17"/>
  <c r="G4052" i="17"/>
  <c r="G3995" i="17"/>
  <c r="G3947" i="17"/>
  <c r="G3899" i="17"/>
  <c r="G3849" i="17"/>
  <c r="G3790" i="17"/>
  <c r="G3741" i="17"/>
  <c r="G3700" i="17"/>
  <c r="G3649" i="17"/>
  <c r="G3589" i="17"/>
  <c r="G3544" i="17"/>
  <c r="G3498" i="17"/>
  <c r="G3444" i="17"/>
  <c r="G3389" i="17"/>
  <c r="G3342" i="17"/>
  <c r="G3293" i="17"/>
  <c r="G3242" i="17"/>
  <c r="G3188" i="17"/>
  <c r="G3140" i="17"/>
  <c r="G3093" i="17"/>
  <c r="G3046" i="17"/>
  <c r="G2993" i="17"/>
  <c r="G2949" i="17"/>
  <c r="G2903" i="17"/>
  <c r="G2861" i="17"/>
  <c r="G2808" i="17"/>
  <c r="G2761" i="17"/>
  <c r="G2712" i="17"/>
  <c r="G2670" i="17"/>
  <c r="G2621" i="17"/>
  <c r="G2575" i="17"/>
  <c r="G2530" i="17"/>
  <c r="G2487" i="17"/>
  <c r="G2445" i="17"/>
  <c r="G2406" i="17"/>
  <c r="G2362" i="17"/>
  <c r="G2322" i="17"/>
  <c r="G2286" i="17"/>
  <c r="G2245" i="17"/>
  <c r="G2206" i="17"/>
  <c r="G2164" i="17"/>
  <c r="G2126" i="17"/>
  <c r="G2089" i="17"/>
  <c r="G2053" i="17"/>
  <c r="G2018" i="17"/>
  <c r="G1978" i="17"/>
  <c r="G1936" i="17"/>
  <c r="G1896" i="17"/>
  <c r="G1860" i="17"/>
  <c r="G1824" i="17"/>
  <c r="G1787" i="17"/>
  <c r="G1748" i="17"/>
  <c r="G1705" i="17"/>
  <c r="G1671" i="17"/>
  <c r="G1637" i="17"/>
  <c r="G1602" i="17"/>
  <c r="G1565" i="17"/>
  <c r="G1525" i="17"/>
  <c r="G1495" i="17"/>
  <c r="G1460" i="17"/>
  <c r="G1428" i="17"/>
  <c r="G1391" i="17"/>
  <c r="G1361" i="17"/>
  <c r="G1323" i="17"/>
  <c r="G1286" i="17"/>
  <c r="G1256" i="17"/>
  <c r="G1226" i="17"/>
  <c r="G1193" i="17"/>
  <c r="G1159" i="17"/>
  <c r="G1126" i="17"/>
  <c r="G1093" i="17"/>
  <c r="G1062" i="17"/>
  <c r="G1029" i="17"/>
  <c r="G1000" i="17"/>
  <c r="G962" i="17"/>
  <c r="G932" i="17"/>
  <c r="G900" i="17"/>
  <c r="G868" i="17"/>
  <c r="G836" i="17"/>
  <c r="G806" i="17"/>
  <c r="G768" i="17"/>
  <c r="G736" i="17"/>
  <c r="G706" i="17"/>
  <c r="G673" i="17"/>
  <c r="G642" i="17"/>
  <c r="G611" i="17"/>
  <c r="G580" i="17"/>
  <c r="G548" i="17"/>
  <c r="G521" i="17"/>
  <c r="G494" i="17"/>
  <c r="G463" i="17"/>
  <c r="G433" i="17"/>
  <c r="G404" i="17"/>
  <c r="G375" i="17"/>
  <c r="G346" i="17"/>
  <c r="G319" i="17"/>
  <c r="G290" i="17"/>
  <c r="G258" i="17"/>
  <c r="G229" i="17"/>
  <c r="G202" i="17"/>
  <c r="G173" i="17"/>
  <c r="G144" i="17"/>
  <c r="G117" i="17"/>
  <c r="G85" i="17"/>
  <c r="G60" i="17"/>
  <c r="G35" i="17"/>
  <c r="G10" i="17"/>
  <c r="G4196" i="17"/>
  <c r="G3994" i="17"/>
  <c r="G3898" i="17"/>
  <c r="G3789" i="17"/>
  <c r="G3696" i="17"/>
  <c r="G3588" i="17"/>
  <c r="G3493" i="17"/>
  <c r="G3388" i="17"/>
  <c r="G3292" i="17"/>
  <c r="G3187" i="17"/>
  <c r="G3092" i="17"/>
  <c r="G2992" i="17"/>
  <c r="G2902" i="17"/>
  <c r="G2802" i="17"/>
  <c r="G2711" i="17"/>
  <c r="G2619" i="17"/>
  <c r="G2526" i="17"/>
  <c r="G2444" i="17"/>
  <c r="G2361" i="17"/>
  <c r="G2284" i="17"/>
  <c r="G2205" i="17"/>
  <c r="G2125" i="17"/>
  <c r="G1823" i="17"/>
  <c r="G1744" i="17"/>
  <c r="G1670" i="17"/>
  <c r="G1598" i="17"/>
  <c r="G1524" i="17"/>
  <c r="G1459" i="17"/>
  <c r="G1390" i="17"/>
  <c r="G1322" i="17"/>
  <c r="G1255" i="17"/>
  <c r="G1190" i="17"/>
  <c r="G1125" i="17"/>
  <c r="G1061" i="17"/>
  <c r="G999" i="17"/>
  <c r="G931" i="17"/>
  <c r="G864" i="17"/>
  <c r="G805" i="17"/>
  <c r="G735" i="17"/>
  <c r="G672" i="17"/>
  <c r="G607" i="17"/>
  <c r="G547" i="17"/>
  <c r="G462" i="17"/>
  <c r="G403" i="17"/>
  <c r="G345" i="17"/>
  <c r="G289" i="17"/>
  <c r="G228" i="17"/>
  <c r="G170" i="17"/>
  <c r="G113" i="17"/>
  <c r="G59" i="17"/>
  <c r="G4146" i="17"/>
  <c r="G3692" i="17"/>
  <c r="G3434" i="17"/>
  <c r="G3233" i="17"/>
  <c r="G3091" i="17"/>
  <c r="G2947" i="17"/>
  <c r="G2801" i="17"/>
  <c r="G2654" i="17"/>
  <c r="G2571" i="17"/>
  <c r="G4192" i="17"/>
  <c r="G4133" i="17"/>
  <c r="G4062" i="17"/>
  <c r="G3988" i="17"/>
  <c r="G3930" i="17"/>
  <c r="G3864" i="17"/>
  <c r="G3786" i="17"/>
  <c r="G3728" i="17"/>
  <c r="G3664" i="17"/>
  <c r="G3586" i="17"/>
  <c r="G3529" i="17"/>
  <c r="G3463" i="17"/>
  <c r="G3383" i="17"/>
  <c r="G3327" i="17"/>
  <c r="G3260" i="17"/>
  <c r="G3183" i="17"/>
  <c r="G3124" i="17"/>
  <c r="G3064" i="17"/>
  <c r="G2990" i="17"/>
  <c r="G2933" i="17"/>
  <c r="G2873" i="17"/>
  <c r="G2800" i="17"/>
  <c r="G2741" i="17"/>
  <c r="G2678" i="17"/>
  <c r="G2614" i="17"/>
  <c r="G2560" i="17"/>
  <c r="G2505" i="17"/>
  <c r="G2443" i="17"/>
  <c r="G2391" i="17"/>
  <c r="G2342" i="17"/>
  <c r="G2291" i="17"/>
  <c r="G2242" i="17"/>
  <c r="G2189" i="17"/>
  <c r="G2145" i="17"/>
  <c r="G2099" i="17"/>
  <c r="G2047" i="17"/>
  <c r="G1999" i="17"/>
  <c r="G1955" i="17"/>
  <c r="G1911" i="17"/>
  <c r="G1857" i="17"/>
  <c r="G1808" i="17"/>
  <c r="G1764" i="17"/>
  <c r="G1721" i="17"/>
  <c r="G1668" i="17"/>
  <c r="G1626" i="17"/>
  <c r="G1580" i="17"/>
  <c r="G1540" i="17"/>
  <c r="G1490" i="17"/>
  <c r="G1451" i="17"/>
  <c r="G1407" i="17"/>
  <c r="G1366" i="17"/>
  <c r="G1318" i="17"/>
  <c r="G1279" i="17"/>
  <c r="G1236" i="17"/>
  <c r="G1199" i="17"/>
  <c r="G1152" i="17"/>
  <c r="G1113" i="17"/>
  <c r="G1080" i="17"/>
  <c r="G1038" i="17"/>
  <c r="G988" i="17"/>
  <c r="G955" i="17"/>
  <c r="G916" i="17"/>
  <c r="G876" i="17"/>
  <c r="G832" i="17"/>
  <c r="G790" i="17"/>
  <c r="G753" i="17"/>
  <c r="G711" i="17"/>
  <c r="G668" i="17"/>
  <c r="G629" i="17"/>
  <c r="G595" i="17"/>
  <c r="G557" i="17"/>
  <c r="G518" i="17"/>
  <c r="G480" i="17"/>
  <c r="G447" i="17"/>
  <c r="G414" i="17"/>
  <c r="G370" i="17"/>
  <c r="G339" i="17"/>
  <c r="G301" i="17"/>
  <c r="G268" i="17"/>
  <c r="G226" i="17"/>
  <c r="G193" i="17"/>
  <c r="G157" i="17"/>
  <c r="G122" i="17"/>
  <c r="G82" i="17"/>
  <c r="G53" i="17"/>
  <c r="G19" i="17"/>
  <c r="G4056" i="17"/>
  <c r="G2083" i="17"/>
  <c r="G1276" i="17"/>
  <c r="G750" i="17"/>
  <c r="G367" i="17"/>
  <c r="G110" i="17"/>
  <c r="G4055" i="17"/>
  <c r="G3982" i="17"/>
  <c r="G3911" i="17"/>
  <c r="G3854" i="17"/>
  <c r="G3781" i="17"/>
  <c r="G3653" i="17"/>
  <c r="G3508" i="17"/>
  <c r="G3451" i="17"/>
  <c r="G3379" i="17"/>
  <c r="G3255" i="17"/>
  <c r="G3111" i="17"/>
  <c r="G3060" i="17"/>
  <c r="G2921" i="17"/>
  <c r="G2792" i="17"/>
  <c r="G2732" i="17"/>
  <c r="G2549" i="17"/>
  <c r="G2493" i="17"/>
  <c r="G2434" i="17"/>
  <c r="G2279" i="17"/>
  <c r="G2229" i="17"/>
  <c r="G2185" i="17"/>
  <c r="G2041" i="17"/>
  <c r="G1949" i="17"/>
  <c r="G1801" i="17"/>
  <c r="G1661" i="17"/>
  <c r="G1522" i="17"/>
  <c r="G1403" i="17"/>
  <c r="G1275" i="17"/>
  <c r="G1148" i="17"/>
  <c r="G1026" i="17"/>
  <c r="G905" i="17"/>
  <c r="G786" i="17"/>
  <c r="G661" i="17"/>
  <c r="G545" i="17"/>
  <c r="G441" i="17"/>
  <c r="G297" i="17"/>
  <c r="G184" i="17"/>
  <c r="G47" i="17"/>
  <c r="G4033" i="17"/>
  <c r="G2225" i="17"/>
  <c r="G1482" i="17"/>
  <c r="G946" i="17"/>
  <c r="G622" i="17"/>
  <c r="G365" i="17"/>
  <c r="G183" i="17"/>
  <c r="G14" i="17"/>
  <c r="G4032" i="17"/>
  <c r="G3975" i="17"/>
  <c r="G3909" i="17"/>
  <c r="G3835" i="17"/>
  <c r="G3779" i="17"/>
  <c r="G3707" i="17"/>
  <c r="G3634" i="17"/>
  <c r="G3575" i="17"/>
  <c r="G3506" i="17"/>
  <c r="G3432" i="17"/>
  <c r="G3375" i="17"/>
  <c r="G3304" i="17"/>
  <c r="G3231" i="17"/>
  <c r="G3170" i="17"/>
  <c r="G3106" i="17"/>
  <c r="G3034" i="17"/>
  <c r="G2979" i="17"/>
  <c r="G2919" i="17"/>
  <c r="G2841" i="17"/>
  <c r="G2788" i="17"/>
  <c r="G2602" i="17"/>
  <c r="G2544" i="17"/>
  <c r="G2483" i="17"/>
  <c r="G2427" i="17"/>
  <c r="G2380" i="17"/>
  <c r="G2331" i="17"/>
  <c r="G2274" i="17"/>
  <c r="G2129" i="17"/>
  <c r="G2080" i="17"/>
  <c r="G2033" i="17"/>
  <c r="G1989" i="17"/>
  <c r="G1845" i="17"/>
  <c r="G1797" i="17"/>
  <c r="G1657" i="17"/>
  <c r="G1520" i="17"/>
  <c r="G1348" i="17"/>
  <c r="G1107" i="17"/>
  <c r="G860" i="17"/>
  <c r="G586" i="17"/>
  <c r="G253" i="17"/>
  <c r="G13" i="17"/>
  <c r="G4031" i="17"/>
  <c r="G3974" i="17"/>
  <c r="G3772" i="17"/>
  <c r="G3505" i="17"/>
  <c r="G3302" i="17"/>
  <c r="G3033" i="17"/>
  <c r="G2724" i="17"/>
  <c r="G2426" i="17"/>
  <c r="G2122" i="17"/>
  <c r="G1888" i="17"/>
  <c r="G1563" i="17"/>
  <c r="G1262" i="17"/>
  <c r="G981" i="17"/>
  <c r="G658" i="17"/>
  <c r="G396" i="17"/>
  <c r="G181" i="17"/>
  <c r="G4191" i="17"/>
  <c r="G4130" i="17"/>
  <c r="G4060" i="17"/>
  <c r="G3987" i="17"/>
  <c r="G3929" i="17"/>
  <c r="G3860" i="17"/>
  <c r="G3784" i="17"/>
  <c r="G3727" i="17"/>
  <c r="G3660" i="17"/>
  <c r="G3583" i="17"/>
  <c r="G3528" i="17"/>
  <c r="G3462" i="17"/>
  <c r="G3382" i="17"/>
  <c r="G3326" i="17"/>
  <c r="G3259" i="17"/>
  <c r="G3180" i="17"/>
  <c r="G3123" i="17"/>
  <c r="G3063" i="17"/>
  <c r="G2989" i="17"/>
  <c r="G2930" i="17"/>
  <c r="G2872" i="17"/>
  <c r="G2795" i="17"/>
  <c r="G2740" i="17"/>
  <c r="G2676" i="17"/>
  <c r="G2607" i="17"/>
  <c r="G2559" i="17"/>
  <c r="G2499" i="17"/>
  <c r="G2442" i="17"/>
  <c r="G2390" i="17"/>
  <c r="G2341" i="17"/>
  <c r="G2290" i="17"/>
  <c r="G2238" i="17"/>
  <c r="G2188" i="17"/>
  <c r="G2144" i="17"/>
  <c r="G2096" i="17"/>
  <c r="G2046" i="17"/>
  <c r="G1998" i="17"/>
  <c r="G1954" i="17"/>
  <c r="G1907" i="17"/>
  <c r="G1856" i="17"/>
  <c r="G1807" i="17"/>
  <c r="G1763" i="17"/>
  <c r="G1720" i="17"/>
  <c r="G1664" i="17"/>
  <c r="G1625" i="17"/>
  <c r="G1576" i="17"/>
  <c r="G1539" i="17"/>
  <c r="G1486" i="17"/>
  <c r="G1448" i="17"/>
  <c r="G1406" i="17"/>
  <c r="G1365" i="17"/>
  <c r="G1317" i="17"/>
  <c r="G1278" i="17"/>
  <c r="G1235" i="17"/>
  <c r="G1198" i="17"/>
  <c r="G1151" i="17"/>
  <c r="G1112" i="17"/>
  <c r="G1072" i="17"/>
  <c r="G1037" i="17"/>
  <c r="G987" i="17"/>
  <c r="G953" i="17"/>
  <c r="G915" i="17"/>
  <c r="G875" i="17"/>
  <c r="G831" i="17"/>
  <c r="G789" i="17"/>
  <c r="G752" i="17"/>
  <c r="G710" i="17"/>
  <c r="G667" i="17"/>
  <c r="G628" i="17"/>
  <c r="G591" i="17"/>
  <c r="G556" i="17"/>
  <c r="G517" i="17"/>
  <c r="G479" i="17"/>
  <c r="G446" i="17"/>
  <c r="G413" i="17"/>
  <c r="G369" i="17"/>
  <c r="G335" i="17"/>
  <c r="G300" i="17"/>
  <c r="G267" i="17"/>
  <c r="G225" i="17"/>
  <c r="G190" i="17"/>
  <c r="G156" i="17"/>
  <c r="G121" i="17"/>
  <c r="G81" i="17"/>
  <c r="G52" i="17"/>
  <c r="G18" i="17"/>
  <c r="G4119" i="17"/>
  <c r="G3983" i="17"/>
  <c r="G3855" i="17"/>
  <c r="G3712" i="17"/>
  <c r="G3580" i="17"/>
  <c r="G3452" i="17"/>
  <c r="G3313" i="17"/>
  <c r="G3178" i="17"/>
  <c r="G3061" i="17"/>
  <c r="G2924" i="17"/>
  <c r="G2793" i="17"/>
  <c r="G2674" i="17"/>
  <c r="G2551" i="17"/>
  <c r="G2435" i="17"/>
  <c r="G2338" i="17"/>
  <c r="G2230" i="17"/>
  <c r="G2141" i="17"/>
  <c r="G1996" i="17"/>
  <c r="G1894" i="17"/>
  <c r="G1802" i="17"/>
  <c r="G1703" i="17"/>
  <c r="G1616" i="17"/>
  <c r="G1523" i="17"/>
  <c r="G1446" i="17"/>
  <c r="G1351" i="17"/>
  <c r="G1189" i="17"/>
  <c r="G1110" i="17"/>
  <c r="G1027" i="17"/>
  <c r="G948" i="17"/>
  <c r="G863" i="17"/>
  <c r="G787" i="17"/>
  <c r="G665" i="17"/>
  <c r="G589" i="17"/>
  <c r="G515" i="17"/>
  <c r="G444" i="17"/>
  <c r="G329" i="17"/>
  <c r="G256" i="17"/>
  <c r="G185" i="17"/>
  <c r="G79" i="17"/>
  <c r="G16" i="17"/>
  <c r="G4118" i="17"/>
  <c r="G3709" i="17"/>
  <c r="G3312" i="17"/>
  <c r="G2981" i="17"/>
  <c r="G2673" i="17"/>
  <c r="G2384" i="17"/>
  <c r="G2140" i="17"/>
  <c r="G1995" i="17"/>
  <c r="G1849" i="17"/>
  <c r="G1702" i="17"/>
  <c r="G1571" i="17"/>
  <c r="G1439" i="17"/>
  <c r="G1312" i="17"/>
  <c r="G1188" i="17"/>
  <c r="G1069" i="17"/>
  <c r="G947" i="17"/>
  <c r="G822" i="17"/>
  <c r="G703" i="17"/>
  <c r="G588" i="17"/>
  <c r="G476" i="17"/>
  <c r="G401" i="17"/>
  <c r="G328" i="17"/>
  <c r="G222" i="17"/>
  <c r="G107" i="17"/>
  <c r="G78" i="17"/>
  <c r="G4113" i="17"/>
  <c r="G3981" i="17"/>
  <c r="G3839" i="17"/>
  <c r="G3708" i="17"/>
  <c r="G3578" i="17"/>
  <c r="G3433" i="17"/>
  <c r="G3306" i="17"/>
  <c r="G3171" i="17"/>
  <c r="G3035" i="17"/>
  <c r="G2920" i="17"/>
  <c r="G2789" i="17"/>
  <c r="G2653" i="17"/>
  <c r="G2545" i="17"/>
  <c r="G2433" i="17"/>
  <c r="G2333" i="17"/>
  <c r="G2184" i="17"/>
  <c r="G2081" i="17"/>
  <c r="G1990" i="17"/>
  <c r="G1890" i="17"/>
  <c r="G1800" i="17"/>
  <c r="G1700" i="17"/>
  <c r="G1612" i="17"/>
  <c r="G1521" i="17"/>
  <c r="G1402" i="17"/>
  <c r="G1308" i="17"/>
  <c r="G1230" i="17"/>
  <c r="G1147" i="17"/>
  <c r="G1066" i="17"/>
  <c r="G983" i="17"/>
  <c r="G861" i="17"/>
  <c r="G785" i="17"/>
  <c r="G702" i="17"/>
  <c r="G587" i="17"/>
  <c r="G513" i="17"/>
  <c r="G440" i="17"/>
  <c r="G327" i="17"/>
  <c r="G254" i="17"/>
  <c r="G148" i="17"/>
  <c r="G77" i="17"/>
  <c r="G4112" i="17"/>
  <c r="G2725" i="17"/>
  <c r="G2223" i="17"/>
  <c r="G1942" i="17"/>
  <c r="G1751" i="17"/>
  <c r="G1611" i="17"/>
  <c r="G1437" i="17"/>
  <c r="G1307" i="17"/>
  <c r="G1229" i="17"/>
  <c r="G1146" i="17"/>
  <c r="G1024" i="17"/>
  <c r="G945" i="17"/>
  <c r="G818" i="17"/>
  <c r="G742" i="17"/>
  <c r="G659" i="17"/>
  <c r="G543" i="17"/>
  <c r="G474" i="17"/>
  <c r="G397" i="17"/>
  <c r="G326" i="17"/>
  <c r="G218" i="17"/>
  <c r="G147" i="17"/>
  <c r="G76" i="17"/>
  <c r="G4178" i="17"/>
  <c r="G3828" i="17"/>
  <c r="G3633" i="17"/>
  <c r="G3574" i="17"/>
  <c r="G3369" i="17"/>
  <c r="G3168" i="17"/>
  <c r="G3105" i="17"/>
  <c r="G2909" i="17"/>
  <c r="G2787" i="17"/>
  <c r="G2601" i="17"/>
  <c r="G2482" i="17"/>
  <c r="G2318" i="17"/>
  <c r="G2222" i="17"/>
  <c r="G2079" i="17"/>
  <c r="G1986" i="17"/>
  <c r="G1839" i="17"/>
  <c r="G1743" i="17"/>
  <c r="G1656" i="17"/>
  <c r="G1519" i="17"/>
  <c r="G1436" i="17"/>
  <c r="G1347" i="17"/>
  <c r="G1221" i="17"/>
  <c r="G1145" i="17"/>
  <c r="G1060" i="17"/>
  <c r="G942" i="17"/>
  <c r="G859" i="17"/>
  <c r="G780" i="17"/>
  <c r="G700" i="17"/>
  <c r="G576" i="17"/>
  <c r="G504" i="17"/>
  <c r="G429" i="17"/>
  <c r="G325" i="17"/>
  <c r="G250" i="17"/>
  <c r="G142" i="17"/>
  <c r="G75" i="17"/>
  <c r="G4108" i="17"/>
  <c r="G4030" i="17"/>
  <c r="G3907" i="17"/>
  <c r="G3771" i="17"/>
  <c r="G3632" i="17"/>
  <c r="G3504" i="17"/>
  <c r="G3368" i="17"/>
  <c r="G3229" i="17"/>
  <c r="G3098" i="17"/>
  <c r="G2976" i="17"/>
  <c r="G2839" i="17"/>
  <c r="G2718" i="17"/>
  <c r="G2600" i="17"/>
  <c r="G2481" i="17"/>
  <c r="G2378" i="17"/>
  <c r="G2271" i="17"/>
  <c r="G2174" i="17"/>
  <c r="G2078" i="17"/>
  <c r="G1983" i="17"/>
  <c r="G1887" i="17"/>
  <c r="G1795" i="17"/>
  <c r="G1697" i="17"/>
  <c r="G1609" i="17"/>
  <c r="G1518" i="17"/>
  <c r="G1435" i="17"/>
  <c r="G1346" i="17"/>
  <c r="G1261" i="17"/>
  <c r="G1178" i="17"/>
  <c r="G1102" i="17"/>
  <c r="G1017" i="17"/>
  <c r="G941" i="17"/>
  <c r="G897" i="17"/>
  <c r="G858" i="17"/>
  <c r="G816" i="17"/>
  <c r="G732" i="17"/>
  <c r="G653" i="17"/>
  <c r="G575" i="17"/>
  <c r="G503" i="17"/>
  <c r="G428" i="17"/>
  <c r="G359" i="17"/>
  <c r="G282" i="17"/>
  <c r="G216" i="17"/>
  <c r="G141" i="17"/>
  <c r="G74" i="17"/>
  <c r="G4105" i="17"/>
  <c r="G3972" i="17"/>
  <c r="G3906" i="17"/>
  <c r="G3770" i="17"/>
  <c r="G3624" i="17"/>
  <c r="G3503" i="17"/>
  <c r="G3363" i="17"/>
  <c r="G3228" i="17"/>
  <c r="G3096" i="17"/>
  <c r="G2972" i="17"/>
  <c r="G2838" i="17"/>
  <c r="G2716" i="17"/>
  <c r="G2596" i="17"/>
  <c r="G2469" i="17"/>
  <c r="G2374" i="17"/>
  <c r="G2270" i="17"/>
  <c r="G2173" i="17"/>
  <c r="G2077" i="17"/>
  <c r="G1982" i="17"/>
  <c r="G1886" i="17"/>
  <c r="G1791" i="17"/>
  <c r="G1696" i="17"/>
  <c r="G1608" i="17"/>
  <c r="G1517" i="17"/>
  <c r="G1432" i="17"/>
  <c r="G1343" i="17"/>
  <c r="G1260" i="17"/>
  <c r="G1177" i="17"/>
  <c r="G1101" i="17"/>
  <c r="G1016" i="17"/>
  <c r="G940" i="17"/>
  <c r="G853" i="17"/>
  <c r="G778" i="17"/>
  <c r="G692" i="17"/>
  <c r="G618" i="17"/>
  <c r="G540" i="17"/>
  <c r="G469" i="17"/>
  <c r="G394" i="17"/>
  <c r="G323" i="17"/>
  <c r="G248" i="17"/>
  <c r="G179" i="17"/>
  <c r="G102" i="17"/>
  <c r="G39" i="17"/>
  <c r="G4093" i="17"/>
  <c r="G4028" i="17"/>
  <c r="G3895" i="17"/>
  <c r="G3765" i="17"/>
  <c r="G3623" i="17"/>
  <c r="G3488" i="17"/>
  <c r="G3362" i="17"/>
  <c r="G4186" i="17"/>
  <c r="G4120" i="17"/>
  <c r="G4059" i="17"/>
  <c r="G3986" i="17"/>
  <c r="G3914" i="17"/>
  <c r="G3856" i="17"/>
  <c r="G3783" i="17"/>
  <c r="G3713" i="17"/>
  <c r="G3655" i="17"/>
  <c r="G3582" i="17"/>
  <c r="G3515" i="17"/>
  <c r="G3461" i="17"/>
  <c r="G3381" i="17"/>
  <c r="G3314" i="17"/>
  <c r="G3258" i="17"/>
  <c r="G3179" i="17"/>
  <c r="G3113" i="17"/>
  <c r="G3062" i="17"/>
  <c r="G2988" i="17"/>
  <c r="G2925" i="17"/>
  <c r="G2871" i="17"/>
  <c r="G2794" i="17"/>
  <c r="G2734" i="17"/>
  <c r="G2675" i="17"/>
  <c r="G2606" i="17"/>
  <c r="G2554" i="17"/>
  <c r="G2498" i="17"/>
  <c r="G2436" i="17"/>
  <c r="G2389" i="17"/>
  <c r="G2339" i="17"/>
  <c r="G2289" i="17"/>
  <c r="G2237" i="17"/>
  <c r="G2187" i="17"/>
  <c r="G2143" i="17"/>
  <c r="G2095" i="17"/>
  <c r="G2045" i="17"/>
  <c r="G1997" i="17"/>
  <c r="G1953" i="17"/>
  <c r="G1902" i="17"/>
  <c r="G1855" i="17"/>
  <c r="G1803" i="17"/>
  <c r="G1762" i="17"/>
  <c r="G1719" i="17"/>
  <c r="G1663" i="17"/>
  <c r="G1617" i="17"/>
  <c r="G1575" i="17"/>
  <c r="G1538" i="17"/>
  <c r="G1485" i="17"/>
  <c r="G1447" i="17"/>
  <c r="G1405" i="17"/>
  <c r="G1364" i="17"/>
  <c r="G1316" i="17"/>
  <c r="G1277" i="17"/>
  <c r="G1233" i="17"/>
  <c r="G1197" i="17"/>
  <c r="G1150" i="17"/>
  <c r="G1111" i="17"/>
  <c r="G1071" i="17"/>
  <c r="G1032" i="17"/>
  <c r="G986" i="17"/>
  <c r="G952" i="17"/>
  <c r="G913" i="17"/>
  <c r="G873" i="17"/>
  <c r="G827" i="17"/>
  <c r="G788" i="17"/>
  <c r="G751" i="17"/>
  <c r="G709" i="17"/>
  <c r="G666" i="17"/>
  <c r="G627" i="17"/>
  <c r="G590" i="17"/>
  <c r="G553" i="17"/>
  <c r="G516" i="17"/>
  <c r="G478" i="17"/>
  <c r="G445" i="17"/>
  <c r="G407" i="17"/>
  <c r="G368" i="17"/>
  <c r="G334" i="17"/>
  <c r="G299" i="17"/>
  <c r="G266" i="17"/>
  <c r="G224" i="17"/>
  <c r="G189" i="17"/>
  <c r="G153" i="17"/>
  <c r="G120" i="17"/>
  <c r="G80" i="17"/>
  <c r="G51" i="17"/>
  <c r="G17" i="17"/>
  <c r="G4185" i="17"/>
  <c r="G3912" i="17"/>
  <c r="G3782" i="17"/>
  <c r="G3654" i="17"/>
  <c r="G3514" i="17"/>
  <c r="G3380" i="17"/>
  <c r="G3256" i="17"/>
  <c r="G3112" i="17"/>
  <c r="G2982" i="17"/>
  <c r="G2865" i="17"/>
  <c r="G2733" i="17"/>
  <c r="G2605" i="17"/>
  <c r="G2494" i="17"/>
  <c r="G2385" i="17"/>
  <c r="G2280" i="17"/>
  <c r="G2186" i="17"/>
  <c r="G2044" i="17"/>
  <c r="G1951" i="17"/>
  <c r="G1854" i="17"/>
  <c r="G1761" i="17"/>
  <c r="G1662" i="17"/>
  <c r="G1572" i="17"/>
  <c r="G1484" i="17"/>
  <c r="G1404" i="17"/>
  <c r="G1315" i="17"/>
  <c r="G1232" i="17"/>
  <c r="G1149" i="17"/>
  <c r="G1070" i="17"/>
  <c r="G985" i="17"/>
  <c r="G906" i="17"/>
  <c r="G826" i="17"/>
  <c r="G704" i="17"/>
  <c r="G626" i="17"/>
  <c r="G546" i="17"/>
  <c r="G477" i="17"/>
  <c r="G402" i="17"/>
  <c r="G298" i="17"/>
  <c r="G223" i="17"/>
  <c r="G150" i="17"/>
  <c r="G50" i="17"/>
  <c r="G4184" i="17"/>
  <c r="G3579" i="17"/>
  <c r="G3175" i="17"/>
  <c r="G2864" i="17"/>
  <c r="G2604" i="17"/>
  <c r="G2334" i="17"/>
  <c r="G2082" i="17"/>
  <c r="G1891" i="17"/>
  <c r="G1755" i="17"/>
  <c r="G1615" i="17"/>
  <c r="G1483" i="17"/>
  <c r="G1350" i="17"/>
  <c r="G1231" i="17"/>
  <c r="G1109" i="17"/>
  <c r="G984" i="17"/>
  <c r="G862" i="17"/>
  <c r="G749" i="17"/>
  <c r="G625" i="17"/>
  <c r="G514" i="17"/>
  <c r="G366" i="17"/>
  <c r="G255" i="17"/>
  <c r="G149" i="17"/>
  <c r="G15" i="17"/>
  <c r="G4180" i="17"/>
  <c r="G3910" i="17"/>
  <c r="G3780" i="17"/>
  <c r="G3635" i="17"/>
  <c r="G3507" i="17"/>
  <c r="G3376" i="17"/>
  <c r="G3232" i="17"/>
  <c r="G3110" i="17"/>
  <c r="G2980" i="17"/>
  <c r="G2846" i="17"/>
  <c r="G2731" i="17"/>
  <c r="G2603" i="17"/>
  <c r="G2484" i="17"/>
  <c r="G2383" i="17"/>
  <c r="G2278" i="17"/>
  <c r="G2139" i="17"/>
  <c r="G2034" i="17"/>
  <c r="G1948" i="17"/>
  <c r="G1846" i="17"/>
  <c r="G1753" i="17"/>
  <c r="G1660" i="17"/>
  <c r="G1570" i="17"/>
  <c r="G1438" i="17"/>
  <c r="G1349" i="17"/>
  <c r="G1272" i="17"/>
  <c r="G1184" i="17"/>
  <c r="G1108" i="17"/>
  <c r="G1025" i="17"/>
  <c r="G904" i="17"/>
  <c r="G821" i="17"/>
  <c r="G743" i="17"/>
  <c r="G660" i="17"/>
  <c r="G544" i="17"/>
  <c r="G475" i="17"/>
  <c r="G400" i="17"/>
  <c r="G296" i="17"/>
  <c r="G219" i="17"/>
  <c r="G106" i="17"/>
  <c r="G43" i="17"/>
  <c r="G4179" i="17"/>
  <c r="G2652" i="17"/>
  <c r="G2183" i="17"/>
  <c r="G1889" i="17"/>
  <c r="G1699" i="17"/>
  <c r="G1568" i="17"/>
  <c r="G1481" i="17"/>
  <c r="G1398" i="17"/>
  <c r="G1263" i="17"/>
  <c r="G1180" i="17"/>
  <c r="G1065" i="17"/>
  <c r="G982" i="17"/>
  <c r="G903" i="17"/>
  <c r="G784" i="17"/>
  <c r="G701" i="17"/>
  <c r="G621" i="17"/>
  <c r="G505" i="17"/>
  <c r="G439" i="17"/>
  <c r="G364" i="17"/>
  <c r="G295" i="17"/>
  <c r="G182" i="17"/>
  <c r="G105" i="17"/>
  <c r="G42" i="17"/>
  <c r="G4109" i="17"/>
  <c r="G3908" i="17"/>
  <c r="G3706" i="17"/>
  <c r="G3431" i="17"/>
  <c r="G3230" i="17"/>
  <c r="G2978" i="17"/>
  <c r="G2840" i="17"/>
  <c r="G2651" i="17"/>
  <c r="G2543" i="17"/>
  <c r="G2379" i="17"/>
  <c r="G2273" i="17"/>
  <c r="G2175" i="17"/>
  <c r="G2028" i="17"/>
  <c r="G1934" i="17"/>
  <c r="G1796" i="17"/>
  <c r="G1698" i="17"/>
  <c r="G1610" i="17"/>
  <c r="G1480" i="17"/>
  <c r="G1389" i="17"/>
  <c r="G1306" i="17"/>
  <c r="G1179" i="17"/>
  <c r="G1106" i="17"/>
  <c r="G1018" i="17"/>
  <c r="G898" i="17"/>
  <c r="G817" i="17"/>
  <c r="G733" i="17"/>
  <c r="G620" i="17"/>
  <c r="G542" i="17"/>
  <c r="G473" i="17"/>
  <c r="G363" i="17"/>
  <c r="G283" i="17"/>
  <c r="G217" i="17"/>
  <c r="G104" i="17"/>
  <c r="G41" i="17"/>
  <c r="G4172" i="17"/>
  <c r="G3973" i="17"/>
  <c r="G3827" i="17"/>
  <c r="G3705" i="17"/>
  <c r="G3567" i="17"/>
  <c r="G3430" i="17"/>
  <c r="G3301" i="17"/>
  <c r="G3167" i="17"/>
  <c r="G3029" i="17"/>
  <c r="G2908" i="17"/>
  <c r="G2786" i="17"/>
  <c r="G2650" i="17"/>
  <c r="G2539" i="17"/>
  <c r="G2422" i="17"/>
  <c r="G2317" i="17"/>
  <c r="G2221" i="17"/>
  <c r="G2121" i="17"/>
  <c r="G2027" i="17"/>
  <c r="G1930" i="17"/>
  <c r="G1837" i="17"/>
  <c r="G1742" i="17"/>
  <c r="G1655" i="17"/>
  <c r="G1559" i="17"/>
  <c r="G1479" i="17"/>
  <c r="G1388" i="17"/>
  <c r="G1305" i="17"/>
  <c r="G1220" i="17"/>
  <c r="G1142" i="17"/>
  <c r="G1059" i="17"/>
  <c r="G980" i="17"/>
  <c r="G779" i="17"/>
  <c r="G693" i="17"/>
  <c r="G619" i="17"/>
  <c r="G541" i="17"/>
  <c r="G470" i="17"/>
  <c r="G395" i="17"/>
  <c r="G324" i="17"/>
  <c r="G249" i="17"/>
  <c r="G180" i="17"/>
  <c r="G103" i="17"/>
  <c r="G40" i="17"/>
  <c r="G4171" i="17"/>
  <c r="G4029" i="17"/>
  <c r="G3826" i="17"/>
  <c r="G3704" i="17"/>
  <c r="G3566" i="17"/>
  <c r="G3428" i="17"/>
  <c r="G3300" i="17"/>
  <c r="G3166" i="17"/>
  <c r="G3028" i="17"/>
  <c r="G2907" i="17"/>
  <c r="G2783" i="17"/>
  <c r="G2648" i="17"/>
  <c r="G2538" i="17"/>
  <c r="G2421" i="17"/>
  <c r="G2316" i="17"/>
  <c r="G2217" i="17"/>
  <c r="G2120" i="17"/>
  <c r="G2026" i="17"/>
  <c r="G1929" i="17"/>
  <c r="G1836" i="17"/>
  <c r="G1739" i="17"/>
  <c r="G1648" i="17"/>
  <c r="G1558" i="17"/>
  <c r="G1478" i="17"/>
  <c r="G1387" i="17"/>
  <c r="G1304" i="17"/>
  <c r="G1219" i="17"/>
  <c r="G1138" i="17"/>
  <c r="G1058" i="17"/>
  <c r="G979" i="17"/>
  <c r="G893" i="17"/>
  <c r="G815" i="17"/>
  <c r="G731" i="17"/>
  <c r="G652" i="17"/>
  <c r="G573" i="17"/>
  <c r="G502" i="17"/>
  <c r="G427" i="17"/>
  <c r="G358" i="17"/>
  <c r="G281" i="17"/>
  <c r="G215" i="17"/>
  <c r="G137" i="17"/>
  <c r="G73" i="17"/>
  <c r="G4170" i="17"/>
  <c r="G3969" i="17"/>
  <c r="G3825" i="17"/>
  <c r="G3691" i="17"/>
  <c r="G3565" i="17"/>
  <c r="G3424" i="17"/>
  <c r="G3288" i="17"/>
  <c r="G33" i="17"/>
  <c r="G100" i="17"/>
  <c r="G169" i="17"/>
  <c r="G246" i="17"/>
  <c r="G317" i="17"/>
  <c r="G461" i="17"/>
  <c r="G538" i="17"/>
  <c r="G606" i="17"/>
  <c r="G687" i="17"/>
  <c r="G766" i="17"/>
  <c r="G851" i="17"/>
  <c r="G927" i="17"/>
  <c r="G1010" i="17"/>
  <c r="G1089" i="17"/>
  <c r="G1175" i="17"/>
  <c r="G1253" i="17"/>
  <c r="G1341" i="17"/>
  <c r="G1426" i="17"/>
  <c r="G1515" i="17"/>
  <c r="G1597" i="17"/>
  <c r="G1692" i="17"/>
  <c r="G1784" i="17"/>
  <c r="G1884" i="17"/>
  <c r="G1971" i="17"/>
  <c r="G2075" i="17"/>
  <c r="G2162" i="17"/>
  <c r="G2263" i="17"/>
  <c r="G2360" i="17"/>
  <c r="G2465" i="17"/>
  <c r="G2592" i="17"/>
  <c r="G2708" i="17"/>
  <c r="G2835" i="17"/>
  <c r="G2960" i="17"/>
  <c r="G3089" i="17"/>
  <c r="G3216" i="17"/>
  <c r="G3405" i="17"/>
  <c r="G3532" i="17"/>
  <c r="G3674" i="17"/>
  <c r="G3821" i="17"/>
  <c r="G3959" i="17"/>
  <c r="G4135" i="17"/>
  <c r="G38" i="17"/>
  <c r="G178" i="17"/>
  <c r="G322" i="17"/>
  <c r="G393" i="17"/>
  <c r="G539" i="17"/>
  <c r="G617" i="17"/>
  <c r="G777" i="17"/>
  <c r="G852" i="17"/>
  <c r="G1011" i="17"/>
  <c r="G1100" i="17"/>
  <c r="G1259" i="17"/>
  <c r="G1342" i="17"/>
  <c r="G1431" i="17"/>
  <c r="G1605" i="17"/>
  <c r="G1695" i="17"/>
  <c r="G1790" i="17"/>
  <c r="G1885" i="17"/>
  <c r="G1981" i="17"/>
  <c r="G2076" i="17"/>
  <c r="G2264" i="17"/>
  <c r="G2373" i="17"/>
  <c r="G2466" i="17"/>
  <c r="G2593" i="17"/>
  <c r="G2709" i="17"/>
  <c r="G2836" i="17"/>
  <c r="G2971" i="17"/>
  <c r="G3090" i="17"/>
  <c r="G3225" i="17"/>
  <c r="G3406" i="17"/>
  <c r="G3533" i="17"/>
  <c r="G3675" i="17"/>
  <c r="G3823" i="17"/>
  <c r="G4136" i="17"/>
  <c r="G4012" i="17"/>
  <c r="G124" i="17"/>
  <c r="G270" i="17"/>
  <c r="G416" i="17"/>
  <c r="G485" i="17"/>
  <c r="G631" i="17"/>
  <c r="G792" i="17"/>
  <c r="G957" i="17"/>
  <c r="G1040" i="17"/>
  <c r="G1201" i="17"/>
  <c r="G1368" i="17"/>
  <c r="G1542" i="17"/>
  <c r="G1628" i="17"/>
  <c r="G1815" i="17"/>
  <c r="G1914" i="17"/>
  <c r="G2104" i="17"/>
  <c r="G2191" i="17"/>
  <c r="G2296" i="17"/>
  <c r="G2394" i="17"/>
  <c r="G2630" i="17"/>
  <c r="G2746" i="17"/>
  <c r="G2875" i="17"/>
  <c r="G3011" i="17"/>
  <c r="G3129" i="17"/>
  <c r="G3263" i="17"/>
  <c r="G3410" i="17"/>
  <c r="G3551" i="17"/>
  <c r="G3684" i="17"/>
  <c r="G3865" i="17"/>
  <c r="G4144" i="17"/>
  <c r="G4018" i="17"/>
  <c r="G63" i="17"/>
  <c r="G128" i="17"/>
  <c r="G205" i="17"/>
  <c r="G276" i="17"/>
  <c r="G349" i="17"/>
  <c r="G422" i="17"/>
  <c r="G497" i="17"/>
  <c r="G566" i="17"/>
  <c r="G645" i="17"/>
  <c r="G726" i="17"/>
  <c r="G809" i="17"/>
  <c r="G885" i="17"/>
  <c r="G973" i="17"/>
  <c r="G1046" i="17"/>
  <c r="G1132" i="17"/>
  <c r="G1208" i="17"/>
  <c r="G1296" i="17"/>
  <c r="G1376" i="17"/>
  <c r="G1463" i="17"/>
  <c r="G1546" i="17"/>
  <c r="G1640" i="17"/>
  <c r="G1728" i="17"/>
  <c r="G1830" i="17"/>
  <c r="G1918" i="17"/>
  <c r="G2021" i="17"/>
  <c r="G2111" i="17"/>
  <c r="G2211" i="17"/>
  <c r="G2309" i="17"/>
  <c r="G2416" i="17"/>
  <c r="G2516" i="17"/>
  <c r="G2643" i="17"/>
  <c r="G2766" i="17"/>
  <c r="G2881" i="17"/>
  <c r="G3020" i="17"/>
  <c r="G3145" i="17"/>
  <c r="G3267" i="17"/>
  <c r="G3414" i="17"/>
  <c r="G3608" i="17"/>
  <c r="G3735" i="17"/>
  <c r="G3875" i="17"/>
  <c r="G4022" i="17"/>
  <c r="G4160" i="17"/>
  <c r="G44" i="7" l="1"/>
  <c r="O58" i="6"/>
  <c r="N59" i="6"/>
  <c r="H33" i="2"/>
  <c r="H38" i="2"/>
  <c r="H36" i="2"/>
  <c r="AC58" i="6"/>
  <c r="U44" i="7"/>
  <c r="AB59" i="6"/>
  <c r="F33" i="2"/>
  <c r="F38" i="2"/>
  <c r="F36" i="2"/>
  <c r="N44" i="7"/>
  <c r="N44" i="4" s="1"/>
  <c r="V58" i="6"/>
  <c r="U59" i="6"/>
  <c r="N30" i="3"/>
  <c r="G17" i="19"/>
  <c r="G20" i="19" s="1"/>
  <c r="G37" i="19"/>
  <c r="G48" i="2"/>
  <c r="G104" i="5"/>
  <c r="E38" i="2"/>
  <c r="E36" i="2"/>
  <c r="K28" i="17"/>
  <c r="L28" i="17" s="1"/>
  <c r="M28" i="17" s="1"/>
  <c r="K27" i="17"/>
  <c r="L27" i="17" s="1"/>
  <c r="M27" i="17" s="1"/>
  <c r="K26" i="17"/>
  <c r="L26" i="17" s="1"/>
  <c r="M26" i="17" s="1"/>
  <c r="M21" i="17"/>
  <c r="M20" i="17"/>
  <c r="M19" i="17"/>
  <c r="M18" i="17"/>
  <c r="K34" i="10"/>
  <c r="D24" i="10"/>
  <c r="J15" i="10"/>
  <c r="J14" i="10"/>
  <c r="J13" i="10"/>
  <c r="J12" i="10"/>
  <c r="J11" i="10"/>
  <c r="J10" i="10"/>
  <c r="O44" i="7" l="1"/>
  <c r="O44" i="4" s="1"/>
  <c r="O30" i="3"/>
  <c r="V59" i="6"/>
  <c r="F47" i="2"/>
  <c r="C51" i="24"/>
  <c r="F9" i="19"/>
  <c r="F39" i="2"/>
  <c r="F8" i="4"/>
  <c r="F38" i="4" s="1"/>
  <c r="F45" i="2"/>
  <c r="V44" i="7"/>
  <c r="AC59" i="6"/>
  <c r="E51" i="24"/>
  <c r="H9" i="19"/>
  <c r="H8" i="4"/>
  <c r="H38" i="4" s="1"/>
  <c r="H39" i="2"/>
  <c r="H47" i="2"/>
  <c r="H45" i="2"/>
  <c r="H44" i="7"/>
  <c r="O59" i="6"/>
  <c r="E9" i="19"/>
  <c r="E8" i="4"/>
  <c r="E38" i="4" s="1"/>
  <c r="E39" i="2"/>
  <c r="G45" i="19"/>
  <c r="G48" i="19" s="1"/>
  <c r="G55" i="19" s="1"/>
  <c r="G40" i="19"/>
  <c r="D54" i="24" s="1"/>
  <c r="E47" i="2"/>
  <c r="E45" i="2"/>
  <c r="AT14" i="12"/>
  <c r="AM14" i="12"/>
  <c r="AF14" i="12"/>
  <c r="Y14" i="12"/>
  <c r="R14" i="12"/>
  <c r="K14" i="12"/>
  <c r="AT8" i="12"/>
  <c r="AM8" i="12"/>
  <c r="AF8" i="12"/>
  <c r="Y8" i="12"/>
  <c r="R8" i="12"/>
  <c r="K8" i="12"/>
  <c r="AO114" i="12"/>
  <c r="AP113" i="12"/>
  <c r="AO113" i="12"/>
  <c r="AP112" i="12"/>
  <c r="AO112" i="12"/>
  <c r="AP111" i="12"/>
  <c r="AO111" i="12"/>
  <c r="AP110" i="12"/>
  <c r="AO110" i="12"/>
  <c r="AP109" i="12"/>
  <c r="AO109" i="12"/>
  <c r="AP108" i="12"/>
  <c r="AO108" i="12"/>
  <c r="AP107" i="12"/>
  <c r="AO107" i="12"/>
  <c r="AP106" i="12"/>
  <c r="AO106" i="12"/>
  <c r="AP105" i="12"/>
  <c r="AO105" i="12"/>
  <c r="AP104" i="12"/>
  <c r="AO104" i="12"/>
  <c r="AP103" i="12"/>
  <c r="AO103" i="12"/>
  <c r="AP102" i="12"/>
  <c r="AO102" i="12"/>
  <c r="AP101" i="12"/>
  <c r="AO101" i="12"/>
  <c r="AP100" i="12"/>
  <c r="AO100" i="12"/>
  <c r="AP99" i="12"/>
  <c r="AO99" i="12"/>
  <c r="AP98" i="12"/>
  <c r="AO98" i="12"/>
  <c r="AP97" i="12"/>
  <c r="AO97" i="12"/>
  <c r="AP96" i="12"/>
  <c r="AO96" i="12"/>
  <c r="AP95" i="12"/>
  <c r="AO95" i="12"/>
  <c r="AP94" i="12"/>
  <c r="AO94" i="12"/>
  <c r="AP93" i="12"/>
  <c r="AO93" i="12"/>
  <c r="AP92" i="12"/>
  <c r="AO92" i="12"/>
  <c r="AP91" i="12"/>
  <c r="AO91" i="12"/>
  <c r="AP90" i="12"/>
  <c r="AO90" i="12"/>
  <c r="AP89" i="12"/>
  <c r="AO89" i="12"/>
  <c r="AP88" i="12"/>
  <c r="AO88" i="12"/>
  <c r="AP87" i="12"/>
  <c r="AO87" i="12"/>
  <c r="AP86" i="12"/>
  <c r="AO86" i="12"/>
  <c r="AP85" i="12"/>
  <c r="AO85" i="12"/>
  <c r="AP84" i="12"/>
  <c r="AO84" i="12"/>
  <c r="AP83" i="12"/>
  <c r="AO83" i="12"/>
  <c r="AP82" i="12"/>
  <c r="AO82" i="12"/>
  <c r="AP81" i="12"/>
  <c r="AO81" i="12"/>
  <c r="AP80" i="12"/>
  <c r="AO80" i="12"/>
  <c r="AP79" i="12"/>
  <c r="AO79" i="12"/>
  <c r="AP78" i="12"/>
  <c r="AO78" i="12"/>
  <c r="AP77" i="12"/>
  <c r="AO77" i="12"/>
  <c r="AP76" i="12"/>
  <c r="AO76" i="12"/>
  <c r="AP75" i="12"/>
  <c r="AO75" i="12"/>
  <c r="AP74" i="12"/>
  <c r="AO74" i="12"/>
  <c r="AP73" i="12"/>
  <c r="AO73" i="12"/>
  <c r="AP72" i="12"/>
  <c r="AO72" i="12"/>
  <c r="AP71" i="12"/>
  <c r="AO71" i="12"/>
  <c r="AP70" i="12"/>
  <c r="AO70" i="12"/>
  <c r="AP69" i="12"/>
  <c r="AO69" i="12"/>
  <c r="AP68" i="12"/>
  <c r="AO68" i="12"/>
  <c r="AP67" i="12"/>
  <c r="AO67" i="12"/>
  <c r="AP66" i="12"/>
  <c r="AO66" i="12"/>
  <c r="AP65" i="12"/>
  <c r="AO65" i="12"/>
  <c r="AP64" i="12"/>
  <c r="AO64" i="12"/>
  <c r="AP63" i="12"/>
  <c r="AO63" i="12"/>
  <c r="AP62" i="12"/>
  <c r="AO62" i="12"/>
  <c r="AP61" i="12"/>
  <c r="AO61" i="12"/>
  <c r="AP60" i="12"/>
  <c r="AO60" i="12"/>
  <c r="AP59" i="12"/>
  <c r="AO59" i="12"/>
  <c r="AP58" i="12"/>
  <c r="AO58" i="12"/>
  <c r="AP57" i="12"/>
  <c r="AO57" i="12"/>
  <c r="AP56" i="12"/>
  <c r="AO56" i="12"/>
  <c r="AP55" i="12"/>
  <c r="AO55" i="12"/>
  <c r="AP54" i="12"/>
  <c r="AO54" i="12"/>
  <c r="AP53" i="12"/>
  <c r="AO53" i="12"/>
  <c r="AP52" i="12"/>
  <c r="AO52" i="12"/>
  <c r="AP51" i="12"/>
  <c r="AO51" i="12"/>
  <c r="AP50" i="12"/>
  <c r="AO50" i="12"/>
  <c r="AP49" i="12"/>
  <c r="AO49" i="12"/>
  <c r="AP48" i="12"/>
  <c r="AO48" i="12"/>
  <c r="AP47" i="12"/>
  <c r="AO47" i="12"/>
  <c r="AP46" i="12"/>
  <c r="AO46" i="12"/>
  <c r="AP45" i="12"/>
  <c r="AO45" i="12"/>
  <c r="AP44" i="12"/>
  <c r="AO44" i="12"/>
  <c r="AP43" i="12"/>
  <c r="AO43" i="12"/>
  <c r="AP42" i="12"/>
  <c r="AO42" i="12"/>
  <c r="AP41" i="12"/>
  <c r="AO41" i="12"/>
  <c r="AP40" i="12"/>
  <c r="AO40" i="12"/>
  <c r="AP39" i="12"/>
  <c r="AO39" i="12"/>
  <c r="AP38" i="12"/>
  <c r="AO38" i="12"/>
  <c r="AP37" i="12"/>
  <c r="AO37" i="12"/>
  <c r="AP36" i="12"/>
  <c r="AO36" i="12"/>
  <c r="AP35" i="12"/>
  <c r="AO35" i="12"/>
  <c r="AP34" i="12"/>
  <c r="AO34" i="12"/>
  <c r="AP33" i="12"/>
  <c r="AO33" i="12"/>
  <c r="AP32" i="12"/>
  <c r="AO32" i="12"/>
  <c r="AP31" i="12"/>
  <c r="AO31" i="12"/>
  <c r="AP30" i="12"/>
  <c r="AO30" i="12"/>
  <c r="AP29" i="12"/>
  <c r="AO29" i="12"/>
  <c r="AP28" i="12"/>
  <c r="AO28" i="12"/>
  <c r="AP27" i="12"/>
  <c r="AO27" i="12"/>
  <c r="AP26" i="12"/>
  <c r="AO26" i="12"/>
  <c r="AP25" i="12"/>
  <c r="AO25" i="12"/>
  <c r="AP24" i="12"/>
  <c r="AO24" i="12"/>
  <c r="AP23" i="12"/>
  <c r="AO23" i="12"/>
  <c r="AP22" i="12"/>
  <c r="AO22" i="12"/>
  <c r="AP21" i="12"/>
  <c r="AO21" i="12"/>
  <c r="AP20" i="12"/>
  <c r="AO20" i="12"/>
  <c r="AP19" i="12"/>
  <c r="AO19" i="12"/>
  <c r="AP18" i="12"/>
  <c r="AO18" i="12"/>
  <c r="AP17" i="12"/>
  <c r="AO17" i="12"/>
  <c r="AP16" i="12"/>
  <c r="AO16" i="12"/>
  <c r="AP15" i="12"/>
  <c r="AO15" i="12"/>
  <c r="AP14" i="12"/>
  <c r="AO14" i="12"/>
  <c r="AP13" i="12"/>
  <c r="AO13" i="12"/>
  <c r="AP12" i="12"/>
  <c r="AO12" i="12"/>
  <c r="AP11" i="12"/>
  <c r="AO11" i="12"/>
  <c r="AH114" i="12"/>
  <c r="AI113" i="12"/>
  <c r="AH113" i="12"/>
  <c r="AI112" i="12"/>
  <c r="AH112" i="12"/>
  <c r="AI111" i="12"/>
  <c r="AH111" i="12"/>
  <c r="AI110" i="12"/>
  <c r="AH110" i="12"/>
  <c r="AI109" i="12"/>
  <c r="AH109" i="12"/>
  <c r="AI108" i="12"/>
  <c r="AH108" i="12"/>
  <c r="AI107" i="12"/>
  <c r="AH107" i="12"/>
  <c r="AI106" i="12"/>
  <c r="AH106" i="12"/>
  <c r="AI105" i="12"/>
  <c r="AH105" i="12"/>
  <c r="AI104" i="12"/>
  <c r="AH104" i="12"/>
  <c r="AI103" i="12"/>
  <c r="AH103" i="12"/>
  <c r="AI102" i="12"/>
  <c r="AH102" i="12"/>
  <c r="AI101" i="12"/>
  <c r="AH101" i="12"/>
  <c r="AI100" i="12"/>
  <c r="AH100" i="12"/>
  <c r="AI99" i="12"/>
  <c r="AH99" i="12"/>
  <c r="AI98" i="12"/>
  <c r="AH98" i="12"/>
  <c r="AI97" i="12"/>
  <c r="AH97" i="12"/>
  <c r="AI96" i="12"/>
  <c r="AH96" i="12"/>
  <c r="AI95" i="12"/>
  <c r="AH95" i="12"/>
  <c r="AI94" i="12"/>
  <c r="AH94" i="12"/>
  <c r="AI93" i="12"/>
  <c r="AH93" i="12"/>
  <c r="AI92" i="12"/>
  <c r="AH92" i="12"/>
  <c r="AI91" i="12"/>
  <c r="AH91" i="12"/>
  <c r="AI90" i="12"/>
  <c r="AH90" i="12"/>
  <c r="AI89" i="12"/>
  <c r="AH89" i="12"/>
  <c r="AI88" i="12"/>
  <c r="AH88" i="12"/>
  <c r="AI87" i="12"/>
  <c r="AH87" i="12"/>
  <c r="AI86" i="12"/>
  <c r="AH86" i="12"/>
  <c r="AI85" i="12"/>
  <c r="AH85" i="12"/>
  <c r="AI84" i="12"/>
  <c r="AH84" i="12"/>
  <c r="AI83" i="12"/>
  <c r="AH83" i="12"/>
  <c r="AI82" i="12"/>
  <c r="AH82" i="12"/>
  <c r="AI81" i="12"/>
  <c r="AH81" i="12"/>
  <c r="AI80" i="12"/>
  <c r="AH80" i="12"/>
  <c r="AI79" i="12"/>
  <c r="AH79" i="12"/>
  <c r="AI78" i="12"/>
  <c r="AH78" i="12"/>
  <c r="AI77" i="12"/>
  <c r="AH77" i="12"/>
  <c r="AI76" i="12"/>
  <c r="AH76" i="12"/>
  <c r="AI75" i="12"/>
  <c r="AH75" i="12"/>
  <c r="AI74" i="12"/>
  <c r="AH74" i="12"/>
  <c r="AI73" i="12"/>
  <c r="AH73" i="12"/>
  <c r="AI72" i="12"/>
  <c r="AH72" i="12"/>
  <c r="AI71" i="12"/>
  <c r="AH71" i="12"/>
  <c r="AI70" i="12"/>
  <c r="AH70" i="12"/>
  <c r="AI69" i="12"/>
  <c r="AH69" i="12"/>
  <c r="AI68" i="12"/>
  <c r="AH68" i="12"/>
  <c r="AI67" i="12"/>
  <c r="AH67" i="12"/>
  <c r="AI66" i="12"/>
  <c r="AH66" i="12"/>
  <c r="AI65" i="12"/>
  <c r="AH65" i="12"/>
  <c r="AI64" i="12"/>
  <c r="AH64" i="12"/>
  <c r="AI63" i="12"/>
  <c r="AH63" i="12"/>
  <c r="AI62" i="12"/>
  <c r="AH62" i="12"/>
  <c r="AI61" i="12"/>
  <c r="AH61" i="12"/>
  <c r="AI60" i="12"/>
  <c r="AH60" i="12"/>
  <c r="AI59" i="12"/>
  <c r="AH59" i="12"/>
  <c r="AI58" i="12"/>
  <c r="AH58" i="12"/>
  <c r="AI57" i="12"/>
  <c r="AH57" i="12"/>
  <c r="AI56" i="12"/>
  <c r="AH56" i="12"/>
  <c r="AI55" i="12"/>
  <c r="AH55" i="12"/>
  <c r="AI54" i="12"/>
  <c r="AH54" i="12"/>
  <c r="AI53" i="12"/>
  <c r="AH53" i="12"/>
  <c r="AI52" i="12"/>
  <c r="AH52" i="12"/>
  <c r="AI51" i="12"/>
  <c r="AH51" i="12"/>
  <c r="AI50" i="12"/>
  <c r="AH50" i="12"/>
  <c r="AI49" i="12"/>
  <c r="AH49" i="12"/>
  <c r="AI48" i="12"/>
  <c r="AH48" i="12"/>
  <c r="AI47" i="12"/>
  <c r="AH47" i="12"/>
  <c r="AI46" i="12"/>
  <c r="AH46" i="12"/>
  <c r="AI45" i="12"/>
  <c r="AH45" i="12"/>
  <c r="AI44" i="12"/>
  <c r="AH44" i="12"/>
  <c r="AI43" i="12"/>
  <c r="AH43" i="12"/>
  <c r="AI42" i="12"/>
  <c r="AH42" i="12"/>
  <c r="AI41" i="12"/>
  <c r="AH41" i="12"/>
  <c r="AI40" i="12"/>
  <c r="AH40" i="12"/>
  <c r="AI39" i="12"/>
  <c r="AH39" i="12"/>
  <c r="AI38" i="12"/>
  <c r="AH38" i="12"/>
  <c r="AI37" i="12"/>
  <c r="AH37" i="12"/>
  <c r="AI36" i="12"/>
  <c r="AH36" i="12"/>
  <c r="AI35" i="12"/>
  <c r="AH35" i="12"/>
  <c r="AI34" i="12"/>
  <c r="AH34" i="12"/>
  <c r="AI33" i="12"/>
  <c r="AH33" i="12"/>
  <c r="AI32" i="12"/>
  <c r="AH32" i="12"/>
  <c r="AI31" i="12"/>
  <c r="AH31" i="12"/>
  <c r="AI30" i="12"/>
  <c r="AH30" i="12"/>
  <c r="AI29" i="12"/>
  <c r="AH29" i="12"/>
  <c r="AI28" i="12"/>
  <c r="AH28" i="12"/>
  <c r="AI27" i="12"/>
  <c r="AH27" i="12"/>
  <c r="AI26" i="12"/>
  <c r="AH26" i="12"/>
  <c r="AI25" i="12"/>
  <c r="AH25" i="12"/>
  <c r="AI24" i="12"/>
  <c r="AH24" i="12"/>
  <c r="AI23" i="12"/>
  <c r="AH23" i="12"/>
  <c r="AI22" i="12"/>
  <c r="AH22" i="12"/>
  <c r="AI21" i="12"/>
  <c r="AH21" i="12"/>
  <c r="AI20" i="12"/>
  <c r="AH20" i="12"/>
  <c r="AI19" i="12"/>
  <c r="AH19" i="12"/>
  <c r="AI18" i="12"/>
  <c r="AH18" i="12"/>
  <c r="AI17" i="12"/>
  <c r="AH17" i="12"/>
  <c r="AI16" i="12"/>
  <c r="AH16" i="12"/>
  <c r="AI15" i="12"/>
  <c r="AH15" i="12"/>
  <c r="AI14" i="12"/>
  <c r="AH14" i="12"/>
  <c r="AI13" i="12"/>
  <c r="AH13" i="12"/>
  <c r="AI12" i="12"/>
  <c r="AH12" i="12"/>
  <c r="AI11" i="12"/>
  <c r="AH11" i="12"/>
  <c r="AA114" i="12"/>
  <c r="AB113" i="12"/>
  <c r="AA113" i="12"/>
  <c r="AB112" i="12"/>
  <c r="AA112" i="12"/>
  <c r="AB111" i="12"/>
  <c r="AA111" i="12"/>
  <c r="AB110" i="12"/>
  <c r="AA110" i="12"/>
  <c r="AB109" i="12"/>
  <c r="AA109" i="12"/>
  <c r="AB108" i="12"/>
  <c r="AA108" i="12"/>
  <c r="AB107" i="12"/>
  <c r="AA107" i="12"/>
  <c r="AB106" i="12"/>
  <c r="AA106" i="12"/>
  <c r="AB105" i="12"/>
  <c r="AA105" i="12"/>
  <c r="AB104" i="12"/>
  <c r="AA104" i="12"/>
  <c r="AB103" i="12"/>
  <c r="AA103" i="12"/>
  <c r="AB102" i="12"/>
  <c r="AA102" i="12"/>
  <c r="AB101" i="12"/>
  <c r="AA101" i="12"/>
  <c r="AB100" i="12"/>
  <c r="AA100" i="12"/>
  <c r="AB99" i="12"/>
  <c r="AA99" i="12"/>
  <c r="AB98" i="12"/>
  <c r="AA98" i="12"/>
  <c r="AB97" i="12"/>
  <c r="AA97" i="12"/>
  <c r="AB96" i="12"/>
  <c r="AA96" i="12"/>
  <c r="AB95" i="12"/>
  <c r="AA95" i="12"/>
  <c r="AB94" i="12"/>
  <c r="AA94" i="12"/>
  <c r="AB93" i="12"/>
  <c r="AA93" i="12"/>
  <c r="AB92" i="12"/>
  <c r="AA92" i="12"/>
  <c r="AB91" i="12"/>
  <c r="AA91" i="12"/>
  <c r="AB90" i="12"/>
  <c r="AA90" i="12"/>
  <c r="AB89" i="12"/>
  <c r="AA89" i="12"/>
  <c r="AB88" i="12"/>
  <c r="AA88" i="12"/>
  <c r="AB87" i="12"/>
  <c r="AA87" i="12"/>
  <c r="AB86" i="12"/>
  <c r="AA86" i="12"/>
  <c r="AB85" i="12"/>
  <c r="AA85" i="12"/>
  <c r="AB84" i="12"/>
  <c r="AA84" i="12"/>
  <c r="AB83" i="12"/>
  <c r="AA83" i="12"/>
  <c r="AB82" i="12"/>
  <c r="AA82" i="12"/>
  <c r="AB81" i="12"/>
  <c r="AA81" i="12"/>
  <c r="AB80" i="12"/>
  <c r="AA80" i="12"/>
  <c r="AB79" i="12"/>
  <c r="AA79" i="12"/>
  <c r="AB78" i="12"/>
  <c r="AA78" i="12"/>
  <c r="AB77" i="12"/>
  <c r="AA77" i="12"/>
  <c r="AB76" i="12"/>
  <c r="AA76" i="12"/>
  <c r="AB75" i="12"/>
  <c r="AA75" i="12"/>
  <c r="AB74" i="12"/>
  <c r="AA74" i="12"/>
  <c r="AB73" i="12"/>
  <c r="AA73" i="12"/>
  <c r="AB72" i="12"/>
  <c r="AA72" i="12"/>
  <c r="AB71" i="12"/>
  <c r="AA71" i="12"/>
  <c r="AB70" i="12"/>
  <c r="AA70" i="12"/>
  <c r="AB69" i="12"/>
  <c r="AA69" i="12"/>
  <c r="AB68" i="12"/>
  <c r="AA68" i="12"/>
  <c r="AB67" i="12"/>
  <c r="AA67" i="12"/>
  <c r="AB66" i="12"/>
  <c r="AA66" i="12"/>
  <c r="AB65" i="12"/>
  <c r="AA65" i="12"/>
  <c r="AB64" i="12"/>
  <c r="AA64" i="12"/>
  <c r="AB63" i="12"/>
  <c r="AA63" i="12"/>
  <c r="AB62" i="12"/>
  <c r="AA62" i="12"/>
  <c r="AB61" i="12"/>
  <c r="AA61" i="12"/>
  <c r="AB60" i="12"/>
  <c r="AA60" i="12"/>
  <c r="AB59" i="12"/>
  <c r="AA59" i="12"/>
  <c r="AB58" i="12"/>
  <c r="AA58" i="12"/>
  <c r="AB57" i="12"/>
  <c r="AA57" i="12"/>
  <c r="AB56" i="12"/>
  <c r="AA56" i="12"/>
  <c r="AB55" i="12"/>
  <c r="AA55" i="12"/>
  <c r="AB54" i="12"/>
  <c r="AA54" i="12"/>
  <c r="AB53" i="12"/>
  <c r="AA53" i="12"/>
  <c r="AB52" i="12"/>
  <c r="AA52" i="12"/>
  <c r="AB51" i="12"/>
  <c r="AA51" i="12"/>
  <c r="AB50" i="12"/>
  <c r="AA50" i="12"/>
  <c r="AB49" i="12"/>
  <c r="AA49" i="12"/>
  <c r="AB48" i="12"/>
  <c r="AA48" i="12"/>
  <c r="AB47" i="12"/>
  <c r="AA47" i="12"/>
  <c r="AB46" i="12"/>
  <c r="AA46" i="12"/>
  <c r="AB45" i="12"/>
  <c r="AA45" i="12"/>
  <c r="AB44" i="12"/>
  <c r="AA44" i="12"/>
  <c r="AB43" i="12"/>
  <c r="AA43" i="12"/>
  <c r="AB42" i="12"/>
  <c r="AA42" i="12"/>
  <c r="AB41" i="12"/>
  <c r="AA41" i="12"/>
  <c r="AB40" i="12"/>
  <c r="AA40" i="12"/>
  <c r="AB39" i="12"/>
  <c r="AA39" i="12"/>
  <c r="AB38" i="12"/>
  <c r="AA38" i="12"/>
  <c r="AB37" i="12"/>
  <c r="AA37" i="12"/>
  <c r="AB36" i="12"/>
  <c r="AA36" i="12"/>
  <c r="AB35" i="12"/>
  <c r="AA35" i="12"/>
  <c r="AB34" i="12"/>
  <c r="AA34" i="12"/>
  <c r="AB33" i="12"/>
  <c r="AA33" i="12"/>
  <c r="AB32" i="12"/>
  <c r="AA32" i="12"/>
  <c r="AB31" i="12"/>
  <c r="AA31" i="12"/>
  <c r="AB30" i="12"/>
  <c r="AA30" i="12"/>
  <c r="AB29" i="12"/>
  <c r="AA29" i="12"/>
  <c r="AB28" i="12"/>
  <c r="AA28" i="12"/>
  <c r="AB27" i="12"/>
  <c r="AA27" i="12"/>
  <c r="AB26" i="12"/>
  <c r="AA26" i="12"/>
  <c r="AB25" i="12"/>
  <c r="AA25" i="12"/>
  <c r="AB24" i="12"/>
  <c r="AA24" i="12"/>
  <c r="AB23" i="12"/>
  <c r="AA23" i="12"/>
  <c r="AB22" i="12"/>
  <c r="AA22" i="12"/>
  <c r="AB21" i="12"/>
  <c r="AA21" i="12"/>
  <c r="AB20" i="12"/>
  <c r="AA20" i="12"/>
  <c r="AB19" i="12"/>
  <c r="AA19" i="12"/>
  <c r="AB18" i="12"/>
  <c r="AA18" i="12"/>
  <c r="AB17" i="12"/>
  <c r="AA17" i="12"/>
  <c r="AB16" i="12"/>
  <c r="AA16" i="12"/>
  <c r="AB15" i="12"/>
  <c r="AA15" i="12"/>
  <c r="AB14" i="12"/>
  <c r="AA14" i="12"/>
  <c r="AB13" i="12"/>
  <c r="AA13" i="12"/>
  <c r="AB12" i="12"/>
  <c r="AA12" i="12"/>
  <c r="AB11" i="12"/>
  <c r="AA11" i="12"/>
  <c r="T114" i="12"/>
  <c r="U113" i="12"/>
  <c r="T113" i="12"/>
  <c r="U112" i="12"/>
  <c r="T112" i="12"/>
  <c r="U111" i="12"/>
  <c r="T111" i="12"/>
  <c r="U110" i="12"/>
  <c r="T110" i="12"/>
  <c r="U109" i="12"/>
  <c r="T109" i="12"/>
  <c r="U108" i="12"/>
  <c r="T108" i="12"/>
  <c r="U107" i="12"/>
  <c r="T107" i="12"/>
  <c r="U106" i="12"/>
  <c r="T106" i="12"/>
  <c r="U105" i="12"/>
  <c r="T105" i="12"/>
  <c r="U104" i="12"/>
  <c r="T104" i="12"/>
  <c r="U103" i="12"/>
  <c r="T103" i="12"/>
  <c r="U102" i="12"/>
  <c r="T102" i="12"/>
  <c r="U101" i="12"/>
  <c r="T101" i="12"/>
  <c r="U100" i="12"/>
  <c r="T100" i="12"/>
  <c r="U99" i="12"/>
  <c r="T99" i="12"/>
  <c r="U98" i="12"/>
  <c r="T98" i="12"/>
  <c r="U97" i="12"/>
  <c r="T97" i="12"/>
  <c r="U96" i="12"/>
  <c r="T96" i="12"/>
  <c r="U95" i="12"/>
  <c r="T95" i="12"/>
  <c r="U94" i="12"/>
  <c r="T94" i="12"/>
  <c r="U93" i="12"/>
  <c r="T93" i="12"/>
  <c r="U92" i="12"/>
  <c r="T92" i="12"/>
  <c r="U91" i="12"/>
  <c r="T91" i="12"/>
  <c r="U90" i="12"/>
  <c r="T90" i="12"/>
  <c r="U89" i="12"/>
  <c r="T89" i="12"/>
  <c r="U88" i="12"/>
  <c r="T88" i="12"/>
  <c r="U87" i="12"/>
  <c r="T87" i="12"/>
  <c r="U86" i="12"/>
  <c r="T86" i="12"/>
  <c r="U85" i="12"/>
  <c r="T85" i="12"/>
  <c r="U84" i="12"/>
  <c r="T84" i="12"/>
  <c r="U83" i="12"/>
  <c r="T83" i="12"/>
  <c r="U82" i="12"/>
  <c r="T82" i="12"/>
  <c r="U81" i="12"/>
  <c r="T81" i="12"/>
  <c r="U80" i="12"/>
  <c r="T80" i="12"/>
  <c r="U79" i="12"/>
  <c r="T79" i="12"/>
  <c r="U78" i="12"/>
  <c r="T78" i="12"/>
  <c r="U77" i="12"/>
  <c r="T77" i="12"/>
  <c r="U76" i="12"/>
  <c r="T76" i="12"/>
  <c r="U75" i="12"/>
  <c r="T75" i="12"/>
  <c r="U74" i="12"/>
  <c r="T74" i="12"/>
  <c r="U73" i="12"/>
  <c r="T73" i="12"/>
  <c r="U72" i="12"/>
  <c r="T72" i="12"/>
  <c r="U71" i="12"/>
  <c r="T71" i="12"/>
  <c r="U70" i="12"/>
  <c r="T70" i="12"/>
  <c r="U69" i="12"/>
  <c r="T69" i="12"/>
  <c r="U68" i="12"/>
  <c r="T68" i="12"/>
  <c r="U67" i="12"/>
  <c r="T67" i="12"/>
  <c r="U66" i="12"/>
  <c r="T66" i="12"/>
  <c r="U65" i="12"/>
  <c r="T65" i="12"/>
  <c r="U64" i="12"/>
  <c r="T64" i="12"/>
  <c r="U63" i="12"/>
  <c r="T63" i="12"/>
  <c r="U62" i="12"/>
  <c r="T62" i="12"/>
  <c r="U61" i="12"/>
  <c r="T61" i="12"/>
  <c r="U60" i="12"/>
  <c r="T60" i="12"/>
  <c r="U59" i="12"/>
  <c r="T59" i="12"/>
  <c r="U58" i="12"/>
  <c r="T58" i="12"/>
  <c r="U57" i="12"/>
  <c r="T57" i="12"/>
  <c r="U56" i="12"/>
  <c r="T56" i="12"/>
  <c r="U55" i="12"/>
  <c r="T55" i="12"/>
  <c r="U54" i="12"/>
  <c r="T54" i="12"/>
  <c r="U53" i="12"/>
  <c r="T53" i="12"/>
  <c r="U52" i="12"/>
  <c r="T52" i="12"/>
  <c r="U51" i="12"/>
  <c r="T51" i="12"/>
  <c r="U50" i="12"/>
  <c r="T50" i="12"/>
  <c r="U49" i="12"/>
  <c r="T49" i="12"/>
  <c r="U48" i="12"/>
  <c r="T48" i="12"/>
  <c r="U47" i="12"/>
  <c r="T47" i="12"/>
  <c r="U46" i="12"/>
  <c r="T46" i="12"/>
  <c r="U45" i="12"/>
  <c r="T45" i="12"/>
  <c r="U44" i="12"/>
  <c r="T44" i="12"/>
  <c r="U43" i="12"/>
  <c r="T43" i="12"/>
  <c r="U42" i="12"/>
  <c r="T42" i="12"/>
  <c r="U41" i="12"/>
  <c r="T41" i="12"/>
  <c r="U40" i="12"/>
  <c r="T40" i="12"/>
  <c r="U39" i="12"/>
  <c r="T39" i="12"/>
  <c r="U38" i="12"/>
  <c r="T38" i="12"/>
  <c r="U37" i="12"/>
  <c r="T37" i="12"/>
  <c r="U36" i="12"/>
  <c r="T36" i="12"/>
  <c r="U35" i="12"/>
  <c r="T35" i="12"/>
  <c r="U34" i="12"/>
  <c r="T34" i="12"/>
  <c r="U33" i="12"/>
  <c r="T33" i="12"/>
  <c r="U32" i="12"/>
  <c r="T32" i="12"/>
  <c r="U31" i="12"/>
  <c r="T31" i="12"/>
  <c r="U30" i="12"/>
  <c r="T30" i="12"/>
  <c r="U29" i="12"/>
  <c r="T29" i="12"/>
  <c r="U28" i="12"/>
  <c r="T28" i="12"/>
  <c r="U27" i="12"/>
  <c r="T27" i="12"/>
  <c r="U26" i="12"/>
  <c r="T26" i="12"/>
  <c r="U25" i="12"/>
  <c r="T25" i="12"/>
  <c r="U24" i="12"/>
  <c r="T24" i="12"/>
  <c r="U23" i="12"/>
  <c r="T23" i="12"/>
  <c r="U22" i="12"/>
  <c r="T22" i="12"/>
  <c r="U21" i="12"/>
  <c r="T21" i="12"/>
  <c r="U20" i="12"/>
  <c r="T20" i="12"/>
  <c r="U19" i="12"/>
  <c r="T19" i="12"/>
  <c r="U18" i="12"/>
  <c r="T18" i="12"/>
  <c r="U17" i="12"/>
  <c r="T17" i="12"/>
  <c r="U16" i="12"/>
  <c r="T16" i="12"/>
  <c r="U15" i="12"/>
  <c r="T15" i="12"/>
  <c r="U14" i="12"/>
  <c r="T14" i="12"/>
  <c r="U13" i="12"/>
  <c r="T13" i="12"/>
  <c r="U12" i="12"/>
  <c r="T12" i="12"/>
  <c r="U11" i="12"/>
  <c r="T11" i="12"/>
  <c r="M114" i="12"/>
  <c r="N113" i="12"/>
  <c r="M113" i="12"/>
  <c r="N112" i="12"/>
  <c r="M112" i="12"/>
  <c r="N111" i="12"/>
  <c r="M111" i="12"/>
  <c r="N110" i="12"/>
  <c r="M110" i="12"/>
  <c r="N109" i="12"/>
  <c r="M109" i="12"/>
  <c r="N108" i="12"/>
  <c r="M108" i="12"/>
  <c r="N107" i="12"/>
  <c r="M107" i="12"/>
  <c r="N106" i="12"/>
  <c r="M106" i="12"/>
  <c r="N105" i="12"/>
  <c r="M105" i="12"/>
  <c r="N104" i="12"/>
  <c r="M104" i="12"/>
  <c r="N103" i="12"/>
  <c r="M103" i="12"/>
  <c r="N102" i="12"/>
  <c r="M102" i="12"/>
  <c r="N101" i="12"/>
  <c r="M101" i="12"/>
  <c r="N100" i="12"/>
  <c r="M100" i="12"/>
  <c r="N99" i="12"/>
  <c r="M99" i="12"/>
  <c r="N98" i="12"/>
  <c r="M98" i="12"/>
  <c r="N97" i="12"/>
  <c r="M97" i="12"/>
  <c r="N96" i="12"/>
  <c r="M96" i="12"/>
  <c r="N95" i="12"/>
  <c r="M95" i="12"/>
  <c r="N94" i="12"/>
  <c r="M94" i="12"/>
  <c r="N93" i="12"/>
  <c r="M93" i="12"/>
  <c r="N92" i="12"/>
  <c r="M92" i="12"/>
  <c r="N91" i="12"/>
  <c r="M91" i="12"/>
  <c r="N90" i="12"/>
  <c r="M90" i="12"/>
  <c r="N89" i="12"/>
  <c r="M89" i="12"/>
  <c r="N88" i="12"/>
  <c r="M88" i="12"/>
  <c r="N87" i="12"/>
  <c r="M87" i="12"/>
  <c r="N86" i="12"/>
  <c r="M86" i="12"/>
  <c r="N85" i="12"/>
  <c r="M85" i="12"/>
  <c r="N84" i="12"/>
  <c r="M84" i="12"/>
  <c r="N83" i="12"/>
  <c r="M83" i="12"/>
  <c r="N82" i="12"/>
  <c r="M82" i="12"/>
  <c r="N81" i="12"/>
  <c r="M81" i="12"/>
  <c r="N80" i="12"/>
  <c r="M80" i="12"/>
  <c r="N79" i="12"/>
  <c r="M79" i="12"/>
  <c r="N78" i="12"/>
  <c r="M78" i="12"/>
  <c r="N77" i="12"/>
  <c r="M77" i="12"/>
  <c r="N76" i="12"/>
  <c r="M76" i="12"/>
  <c r="N75" i="12"/>
  <c r="M75" i="12"/>
  <c r="N74" i="12"/>
  <c r="M74" i="12"/>
  <c r="N73" i="12"/>
  <c r="M73" i="12"/>
  <c r="N72" i="12"/>
  <c r="M72" i="12"/>
  <c r="N71" i="12"/>
  <c r="M71" i="12"/>
  <c r="N70" i="12"/>
  <c r="M70" i="12"/>
  <c r="N69" i="12"/>
  <c r="M69" i="12"/>
  <c r="N68" i="12"/>
  <c r="M68" i="12"/>
  <c r="N67" i="12"/>
  <c r="M67" i="12"/>
  <c r="N66" i="12"/>
  <c r="M66" i="12"/>
  <c r="N65" i="12"/>
  <c r="M65" i="12"/>
  <c r="N64" i="12"/>
  <c r="M64" i="12"/>
  <c r="N63" i="12"/>
  <c r="M63" i="12"/>
  <c r="N62" i="12"/>
  <c r="M62" i="12"/>
  <c r="N61" i="12"/>
  <c r="M61" i="12"/>
  <c r="N60" i="12"/>
  <c r="M60" i="12"/>
  <c r="N59" i="12"/>
  <c r="M59" i="12"/>
  <c r="N58" i="12"/>
  <c r="M58" i="12"/>
  <c r="N57" i="12"/>
  <c r="M57" i="12"/>
  <c r="N56" i="12"/>
  <c r="M56" i="12"/>
  <c r="N55" i="12"/>
  <c r="M55" i="12"/>
  <c r="N54" i="12"/>
  <c r="M54" i="12"/>
  <c r="N53" i="12"/>
  <c r="M53" i="12"/>
  <c r="N52" i="12"/>
  <c r="M52" i="12"/>
  <c r="N51" i="12"/>
  <c r="M51" i="12"/>
  <c r="N50" i="12"/>
  <c r="M50" i="12"/>
  <c r="N49" i="12"/>
  <c r="M49" i="12"/>
  <c r="N48" i="12"/>
  <c r="M48" i="12"/>
  <c r="N47" i="12"/>
  <c r="M47" i="12"/>
  <c r="N46" i="12"/>
  <c r="M46" i="12"/>
  <c r="N45" i="12"/>
  <c r="M45" i="12"/>
  <c r="N44" i="12"/>
  <c r="M44" i="12"/>
  <c r="N43" i="12"/>
  <c r="M43" i="12"/>
  <c r="N42" i="12"/>
  <c r="M42" i="12"/>
  <c r="N41" i="12"/>
  <c r="M41" i="12"/>
  <c r="N40" i="12"/>
  <c r="M40" i="12"/>
  <c r="N39" i="12"/>
  <c r="M39" i="12"/>
  <c r="N38" i="12"/>
  <c r="M38" i="12"/>
  <c r="N37" i="12"/>
  <c r="M37" i="12"/>
  <c r="N36" i="12"/>
  <c r="M36" i="12"/>
  <c r="N35" i="12"/>
  <c r="M35" i="12"/>
  <c r="N34" i="12"/>
  <c r="M34" i="12"/>
  <c r="N33" i="12"/>
  <c r="M33" i="12"/>
  <c r="N32" i="12"/>
  <c r="M32" i="12"/>
  <c r="N31" i="12"/>
  <c r="M31" i="12"/>
  <c r="N30" i="12"/>
  <c r="M30" i="12"/>
  <c r="N29" i="12"/>
  <c r="M29" i="12"/>
  <c r="N28" i="12"/>
  <c r="M28" i="12"/>
  <c r="N27" i="12"/>
  <c r="M27" i="12"/>
  <c r="N26" i="12"/>
  <c r="M26" i="12"/>
  <c r="N25" i="12"/>
  <c r="M25" i="12"/>
  <c r="N24" i="12"/>
  <c r="M24" i="12"/>
  <c r="N23" i="12"/>
  <c r="M23" i="12"/>
  <c r="N22" i="12"/>
  <c r="M22" i="12"/>
  <c r="N21" i="12"/>
  <c r="M21" i="12"/>
  <c r="N20" i="12"/>
  <c r="M20" i="12"/>
  <c r="N19" i="12"/>
  <c r="M19" i="12"/>
  <c r="N18" i="12"/>
  <c r="M18" i="12"/>
  <c r="N17" i="12"/>
  <c r="M17" i="12"/>
  <c r="N16" i="12"/>
  <c r="M16" i="12"/>
  <c r="N15" i="12"/>
  <c r="M15" i="12"/>
  <c r="N14" i="12"/>
  <c r="M14" i="12"/>
  <c r="N13" i="12"/>
  <c r="M13" i="12"/>
  <c r="N12" i="12"/>
  <c r="M12" i="12"/>
  <c r="N11" i="12"/>
  <c r="M11" i="12"/>
  <c r="F114" i="12"/>
  <c r="G113" i="12"/>
  <c r="F113" i="12"/>
  <c r="G112" i="12"/>
  <c r="F112" i="12"/>
  <c r="G111" i="12"/>
  <c r="F111" i="12"/>
  <c r="G110" i="12"/>
  <c r="F110" i="12"/>
  <c r="G109" i="12"/>
  <c r="F109" i="12"/>
  <c r="G108" i="12"/>
  <c r="F108" i="12"/>
  <c r="G107" i="12"/>
  <c r="F107" i="12"/>
  <c r="G106" i="12"/>
  <c r="F106" i="12"/>
  <c r="G105" i="12"/>
  <c r="F105" i="12"/>
  <c r="G104" i="12"/>
  <c r="F104" i="12"/>
  <c r="G103" i="12"/>
  <c r="F103" i="12"/>
  <c r="G102" i="12"/>
  <c r="F102" i="12"/>
  <c r="G101" i="12"/>
  <c r="F101" i="12"/>
  <c r="G100" i="12"/>
  <c r="F100" i="12"/>
  <c r="G99" i="12"/>
  <c r="F99" i="12"/>
  <c r="G98" i="12"/>
  <c r="F98" i="12"/>
  <c r="G97" i="12"/>
  <c r="F97" i="12"/>
  <c r="G96" i="12"/>
  <c r="F96" i="12"/>
  <c r="G95" i="12"/>
  <c r="F95" i="12"/>
  <c r="G94" i="12"/>
  <c r="F94" i="12"/>
  <c r="G93" i="12"/>
  <c r="F93" i="12"/>
  <c r="G92" i="12"/>
  <c r="F92" i="12"/>
  <c r="G91" i="12"/>
  <c r="F91" i="12"/>
  <c r="G90" i="12"/>
  <c r="F90" i="12"/>
  <c r="G89" i="12"/>
  <c r="F89" i="12"/>
  <c r="G88" i="12"/>
  <c r="F88" i="12"/>
  <c r="G87" i="12"/>
  <c r="F87" i="12"/>
  <c r="G86" i="12"/>
  <c r="F86" i="12"/>
  <c r="G85" i="12"/>
  <c r="F85" i="12"/>
  <c r="G84" i="12"/>
  <c r="F84" i="12"/>
  <c r="G83" i="12"/>
  <c r="F83" i="12"/>
  <c r="G82" i="12"/>
  <c r="F82" i="12"/>
  <c r="G81" i="12"/>
  <c r="F81" i="12"/>
  <c r="G80" i="12"/>
  <c r="F80" i="12"/>
  <c r="G79" i="12"/>
  <c r="F79" i="12"/>
  <c r="G78" i="12"/>
  <c r="F78" i="12"/>
  <c r="G77" i="12"/>
  <c r="F77" i="12"/>
  <c r="G76" i="12"/>
  <c r="F76" i="12"/>
  <c r="G75" i="12"/>
  <c r="F75" i="12"/>
  <c r="G74" i="12"/>
  <c r="F74" i="12"/>
  <c r="G73" i="12"/>
  <c r="F73" i="12"/>
  <c r="G72" i="12"/>
  <c r="F72" i="12"/>
  <c r="G71" i="12"/>
  <c r="F71" i="12"/>
  <c r="G70" i="12"/>
  <c r="F70" i="12"/>
  <c r="G69" i="12"/>
  <c r="F69" i="12"/>
  <c r="G68" i="12"/>
  <c r="F68" i="12"/>
  <c r="G67" i="12"/>
  <c r="F67" i="12"/>
  <c r="G66" i="12"/>
  <c r="F66" i="12"/>
  <c r="G65" i="12"/>
  <c r="F65" i="12"/>
  <c r="G64" i="12"/>
  <c r="F64" i="12"/>
  <c r="G63" i="12"/>
  <c r="F63" i="12"/>
  <c r="G62" i="12"/>
  <c r="F62" i="12"/>
  <c r="G61" i="12"/>
  <c r="F61" i="12"/>
  <c r="G60" i="12"/>
  <c r="F60" i="12"/>
  <c r="G59" i="12"/>
  <c r="F59" i="12"/>
  <c r="G58" i="12"/>
  <c r="F58" i="12"/>
  <c r="G57" i="12"/>
  <c r="F57" i="12"/>
  <c r="G56" i="12"/>
  <c r="F56" i="12"/>
  <c r="G55" i="12"/>
  <c r="F55" i="12"/>
  <c r="G54" i="12"/>
  <c r="F54" i="12"/>
  <c r="G53" i="12"/>
  <c r="F53" i="12"/>
  <c r="G52" i="12"/>
  <c r="F52" i="12"/>
  <c r="G51" i="12"/>
  <c r="F51" i="12"/>
  <c r="G50" i="12"/>
  <c r="F50" i="12"/>
  <c r="G49" i="12"/>
  <c r="F49" i="12"/>
  <c r="G48" i="12"/>
  <c r="F48" i="12"/>
  <c r="G47" i="12"/>
  <c r="F47" i="12"/>
  <c r="G46" i="12"/>
  <c r="F46" i="12"/>
  <c r="G45" i="12"/>
  <c r="F45" i="12"/>
  <c r="G44" i="12"/>
  <c r="F44" i="12"/>
  <c r="G43" i="12"/>
  <c r="F43" i="12"/>
  <c r="G42" i="12"/>
  <c r="F42" i="12"/>
  <c r="G41" i="12"/>
  <c r="F41" i="12"/>
  <c r="G40" i="12"/>
  <c r="F40" i="12"/>
  <c r="G39" i="12"/>
  <c r="F39" i="12"/>
  <c r="G38" i="12"/>
  <c r="F38" i="12"/>
  <c r="G37" i="12"/>
  <c r="F37" i="12"/>
  <c r="G36" i="12"/>
  <c r="F36" i="12"/>
  <c r="G35" i="12"/>
  <c r="F35" i="12"/>
  <c r="G34" i="12"/>
  <c r="F34" i="12"/>
  <c r="G33" i="12"/>
  <c r="F33" i="12"/>
  <c r="G32" i="12"/>
  <c r="F32" i="12"/>
  <c r="G31" i="12"/>
  <c r="F31" i="12"/>
  <c r="G30" i="12"/>
  <c r="F30" i="12"/>
  <c r="G29" i="12"/>
  <c r="F29" i="12"/>
  <c r="G28" i="12"/>
  <c r="F28" i="12"/>
  <c r="G27" i="12"/>
  <c r="F27" i="12"/>
  <c r="G26" i="12"/>
  <c r="F26" i="12"/>
  <c r="G25" i="12"/>
  <c r="F25" i="12"/>
  <c r="G24" i="12"/>
  <c r="F24" i="12"/>
  <c r="G23" i="12"/>
  <c r="F23" i="12"/>
  <c r="G22" i="12"/>
  <c r="F22" i="12"/>
  <c r="G21" i="12"/>
  <c r="F21" i="12"/>
  <c r="G20" i="12"/>
  <c r="F20" i="12"/>
  <c r="G19" i="12"/>
  <c r="F19" i="12"/>
  <c r="G18" i="12"/>
  <c r="F18" i="12"/>
  <c r="G17" i="12"/>
  <c r="F17" i="12"/>
  <c r="G16" i="12"/>
  <c r="F16" i="12"/>
  <c r="G15" i="12"/>
  <c r="F15" i="12"/>
  <c r="G14" i="12"/>
  <c r="F14" i="12"/>
  <c r="G13" i="12"/>
  <c r="F13" i="12"/>
  <c r="G12" i="12"/>
  <c r="F12" i="12"/>
  <c r="G11" i="12"/>
  <c r="F11" i="12"/>
  <c r="AP10" i="12"/>
  <c r="AO10" i="12"/>
  <c r="AI10" i="12"/>
  <c r="AH10" i="12"/>
  <c r="AB10" i="12"/>
  <c r="AA10" i="12"/>
  <c r="U10" i="12"/>
  <c r="T10" i="12"/>
  <c r="N10" i="12"/>
  <c r="M10" i="12"/>
  <c r="G10" i="12"/>
  <c r="F10" i="12"/>
  <c r="R211" i="1"/>
  <c r="P211" i="1"/>
  <c r="R210" i="1"/>
  <c r="P210" i="1"/>
  <c r="R209" i="1"/>
  <c r="P209" i="1"/>
  <c r="R208" i="1"/>
  <c r="P208" i="1"/>
  <c r="R207" i="1"/>
  <c r="P207" i="1"/>
  <c r="R206" i="1"/>
  <c r="P206" i="1"/>
  <c r="R205" i="1"/>
  <c r="P205" i="1"/>
  <c r="R204" i="1"/>
  <c r="P204" i="1"/>
  <c r="R203" i="1"/>
  <c r="P203" i="1"/>
  <c r="R202" i="1"/>
  <c r="P202" i="1"/>
  <c r="R201" i="1"/>
  <c r="P201" i="1"/>
  <c r="R200" i="1"/>
  <c r="P200" i="1"/>
  <c r="R199" i="1"/>
  <c r="P199" i="1"/>
  <c r="R198" i="1"/>
  <c r="P198" i="1"/>
  <c r="R197" i="1"/>
  <c r="P197" i="1"/>
  <c r="R196" i="1"/>
  <c r="P196" i="1"/>
  <c r="R195" i="1"/>
  <c r="P195" i="1"/>
  <c r="R194" i="1"/>
  <c r="P194" i="1"/>
  <c r="R193" i="1"/>
  <c r="P193" i="1"/>
  <c r="R192" i="1"/>
  <c r="P192" i="1"/>
  <c r="R191" i="1"/>
  <c r="P191" i="1"/>
  <c r="R190" i="1"/>
  <c r="P190" i="1"/>
  <c r="R189" i="1"/>
  <c r="P189" i="1"/>
  <c r="R188" i="1"/>
  <c r="P188" i="1"/>
  <c r="R187" i="1"/>
  <c r="P187" i="1"/>
  <c r="R186" i="1"/>
  <c r="P186" i="1"/>
  <c r="R185" i="1"/>
  <c r="P185" i="1"/>
  <c r="R184" i="1"/>
  <c r="P184" i="1"/>
  <c r="R183" i="1"/>
  <c r="P183" i="1"/>
  <c r="R182" i="1"/>
  <c r="P182" i="1"/>
  <c r="R181" i="1"/>
  <c r="P181" i="1"/>
  <c r="R180" i="1"/>
  <c r="P180" i="1"/>
  <c r="R179" i="1"/>
  <c r="P179" i="1"/>
  <c r="R178" i="1"/>
  <c r="P178" i="1"/>
  <c r="R177" i="1"/>
  <c r="P177" i="1"/>
  <c r="R176" i="1"/>
  <c r="P176" i="1"/>
  <c r="R175" i="1"/>
  <c r="P175" i="1"/>
  <c r="R174" i="1"/>
  <c r="P174" i="1"/>
  <c r="R173" i="1"/>
  <c r="P173" i="1"/>
  <c r="R172" i="1"/>
  <c r="P172" i="1"/>
  <c r="R171" i="1"/>
  <c r="P171" i="1"/>
  <c r="R170" i="1"/>
  <c r="P170" i="1"/>
  <c r="R169" i="1"/>
  <c r="P169" i="1"/>
  <c r="R168" i="1"/>
  <c r="P168" i="1"/>
  <c r="R167" i="1"/>
  <c r="P167" i="1"/>
  <c r="R166" i="1"/>
  <c r="P166" i="1"/>
  <c r="R165" i="1"/>
  <c r="P165" i="1"/>
  <c r="R164" i="1"/>
  <c r="P164" i="1"/>
  <c r="R163" i="1"/>
  <c r="P163" i="1"/>
  <c r="R162" i="1"/>
  <c r="P162" i="1"/>
  <c r="R161" i="1"/>
  <c r="P161" i="1"/>
  <c r="R160" i="1"/>
  <c r="P160" i="1"/>
  <c r="R159" i="1"/>
  <c r="P159" i="1"/>
  <c r="R158" i="1"/>
  <c r="P158" i="1"/>
  <c r="R157" i="1"/>
  <c r="P157" i="1"/>
  <c r="R156" i="1"/>
  <c r="P156" i="1"/>
  <c r="R155" i="1"/>
  <c r="P155" i="1"/>
  <c r="R154" i="1"/>
  <c r="P154" i="1"/>
  <c r="R153" i="1"/>
  <c r="P153" i="1"/>
  <c r="R152" i="1"/>
  <c r="P152" i="1"/>
  <c r="R151" i="1"/>
  <c r="P151" i="1"/>
  <c r="R150" i="1"/>
  <c r="P150" i="1"/>
  <c r="R149" i="1"/>
  <c r="P149" i="1"/>
  <c r="R148" i="1"/>
  <c r="P148" i="1"/>
  <c r="R147" i="1"/>
  <c r="P147" i="1"/>
  <c r="R146" i="1"/>
  <c r="P146" i="1"/>
  <c r="R145" i="1"/>
  <c r="P145" i="1"/>
  <c r="R144" i="1"/>
  <c r="P144" i="1"/>
  <c r="R143" i="1"/>
  <c r="P143" i="1"/>
  <c r="R142" i="1"/>
  <c r="P142" i="1"/>
  <c r="R141" i="1"/>
  <c r="P141" i="1"/>
  <c r="R140" i="1"/>
  <c r="P140" i="1"/>
  <c r="R139" i="1"/>
  <c r="P139" i="1"/>
  <c r="R138" i="1"/>
  <c r="P138" i="1"/>
  <c r="R137" i="1"/>
  <c r="P137" i="1"/>
  <c r="R136" i="1"/>
  <c r="P136" i="1"/>
  <c r="R135" i="1"/>
  <c r="P135" i="1"/>
  <c r="R134" i="1"/>
  <c r="P134" i="1"/>
  <c r="R133" i="1"/>
  <c r="P133" i="1"/>
  <c r="R132" i="1"/>
  <c r="P132" i="1"/>
  <c r="R131" i="1"/>
  <c r="P131" i="1"/>
  <c r="R130" i="1"/>
  <c r="P130" i="1"/>
  <c r="R129" i="1"/>
  <c r="P129" i="1"/>
  <c r="R128" i="1"/>
  <c r="P128" i="1"/>
  <c r="R127" i="1"/>
  <c r="P127" i="1"/>
  <c r="R126" i="1"/>
  <c r="P126" i="1"/>
  <c r="R125" i="1"/>
  <c r="P125" i="1"/>
  <c r="R124" i="1"/>
  <c r="P124" i="1"/>
  <c r="R123" i="1"/>
  <c r="P123" i="1"/>
  <c r="R122" i="1"/>
  <c r="P122" i="1"/>
  <c r="R121" i="1"/>
  <c r="P121" i="1"/>
  <c r="R120" i="1"/>
  <c r="P120" i="1"/>
  <c r="R119" i="1"/>
  <c r="P119" i="1"/>
  <c r="R118" i="1"/>
  <c r="P118" i="1"/>
  <c r="R117" i="1"/>
  <c r="P117" i="1"/>
  <c r="R116" i="1"/>
  <c r="P116" i="1"/>
  <c r="R115" i="1"/>
  <c r="P115" i="1"/>
  <c r="R114" i="1"/>
  <c r="P114" i="1"/>
  <c r="R113" i="1"/>
  <c r="P113" i="1"/>
  <c r="R112" i="1"/>
  <c r="P112" i="1"/>
  <c r="R111" i="1"/>
  <c r="P111" i="1"/>
  <c r="R110" i="1"/>
  <c r="P110" i="1"/>
  <c r="R109" i="1"/>
  <c r="P109"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R108" i="1"/>
  <c r="P108" i="1"/>
  <c r="N108" i="1"/>
  <c r="L108" i="1"/>
  <c r="J108" i="1"/>
  <c r="H108" i="1"/>
  <c r="C114" i="12"/>
  <c r="B114" i="12"/>
  <c r="D113" i="12"/>
  <c r="C113" i="12"/>
  <c r="B113" i="12"/>
  <c r="D112" i="12"/>
  <c r="C112" i="12"/>
  <c r="B112" i="12"/>
  <c r="D111" i="12"/>
  <c r="C111" i="12"/>
  <c r="B111" i="12"/>
  <c r="D110" i="12"/>
  <c r="C110" i="12"/>
  <c r="B110" i="12"/>
  <c r="D109" i="12"/>
  <c r="C109" i="12"/>
  <c r="B109" i="12"/>
  <c r="D108" i="12"/>
  <c r="C108" i="12"/>
  <c r="B108" i="12"/>
  <c r="D107" i="12"/>
  <c r="C107" i="12"/>
  <c r="B107" i="12"/>
  <c r="D106" i="12"/>
  <c r="C106" i="12"/>
  <c r="B106" i="12"/>
  <c r="D105" i="12"/>
  <c r="C105" i="12"/>
  <c r="B105" i="12"/>
  <c r="D104" i="12"/>
  <c r="C104" i="12"/>
  <c r="B104" i="12"/>
  <c r="D103" i="12"/>
  <c r="C103" i="12"/>
  <c r="B103" i="12"/>
  <c r="D102" i="12"/>
  <c r="C102" i="12"/>
  <c r="B102" i="12"/>
  <c r="D101" i="12"/>
  <c r="C101" i="12"/>
  <c r="B101" i="12"/>
  <c r="D100" i="12"/>
  <c r="C100" i="12"/>
  <c r="B100" i="12"/>
  <c r="D99" i="12"/>
  <c r="C99" i="12"/>
  <c r="B99" i="12"/>
  <c r="D98" i="12"/>
  <c r="C98" i="12"/>
  <c r="B98" i="12"/>
  <c r="D97" i="12"/>
  <c r="C97" i="12"/>
  <c r="B97" i="12"/>
  <c r="D96" i="12"/>
  <c r="C96" i="12"/>
  <c r="B96" i="12"/>
  <c r="D95" i="12"/>
  <c r="C95" i="12"/>
  <c r="B95" i="12"/>
  <c r="D94" i="12"/>
  <c r="C94" i="12"/>
  <c r="B94" i="12"/>
  <c r="D93" i="12"/>
  <c r="C93" i="12"/>
  <c r="B93" i="12"/>
  <c r="D92" i="12"/>
  <c r="C92" i="12"/>
  <c r="B92" i="12"/>
  <c r="D91" i="12"/>
  <c r="C91" i="12"/>
  <c r="B91" i="12"/>
  <c r="D90" i="12"/>
  <c r="C90" i="12"/>
  <c r="B90" i="12"/>
  <c r="D89" i="12"/>
  <c r="C89" i="12"/>
  <c r="B89" i="12"/>
  <c r="D88" i="12"/>
  <c r="C88" i="12"/>
  <c r="B88" i="12"/>
  <c r="D87" i="12"/>
  <c r="C87" i="12"/>
  <c r="B87" i="12"/>
  <c r="D86" i="12"/>
  <c r="C86" i="12"/>
  <c r="B86" i="12"/>
  <c r="D85" i="12"/>
  <c r="C85" i="12"/>
  <c r="B85" i="12"/>
  <c r="D84" i="12"/>
  <c r="C84" i="12"/>
  <c r="B84" i="12"/>
  <c r="D83" i="12"/>
  <c r="C83" i="12"/>
  <c r="B83" i="12"/>
  <c r="D82" i="12"/>
  <c r="C82" i="12"/>
  <c r="B82" i="12"/>
  <c r="D81" i="12"/>
  <c r="C81" i="12"/>
  <c r="B81" i="12"/>
  <c r="D80" i="12"/>
  <c r="C80" i="12"/>
  <c r="B80" i="12"/>
  <c r="D79" i="12"/>
  <c r="C79" i="12"/>
  <c r="B79" i="12"/>
  <c r="D78" i="12"/>
  <c r="C78" i="12"/>
  <c r="B78" i="12"/>
  <c r="D77" i="12"/>
  <c r="C77" i="12"/>
  <c r="B77" i="12"/>
  <c r="D76" i="12"/>
  <c r="C76" i="12"/>
  <c r="B76" i="12"/>
  <c r="D75" i="12"/>
  <c r="C75" i="12"/>
  <c r="B75" i="12"/>
  <c r="D74" i="12"/>
  <c r="C74" i="12"/>
  <c r="B74" i="12"/>
  <c r="D73" i="12"/>
  <c r="C73" i="12"/>
  <c r="B73" i="12"/>
  <c r="D72" i="12"/>
  <c r="C72" i="12"/>
  <c r="B72" i="12"/>
  <c r="D71" i="12"/>
  <c r="C71" i="12"/>
  <c r="B71" i="12"/>
  <c r="D70" i="12"/>
  <c r="C70" i="12"/>
  <c r="B70" i="12"/>
  <c r="D69" i="12"/>
  <c r="C69" i="12"/>
  <c r="B69" i="12"/>
  <c r="D68" i="12"/>
  <c r="C68" i="12"/>
  <c r="B68" i="12"/>
  <c r="D67" i="12"/>
  <c r="C67" i="12"/>
  <c r="B67" i="12"/>
  <c r="D66" i="12"/>
  <c r="C66" i="12"/>
  <c r="B66" i="12"/>
  <c r="D65" i="12"/>
  <c r="C65" i="12"/>
  <c r="B65" i="12"/>
  <c r="D64" i="12"/>
  <c r="C64" i="12"/>
  <c r="B64" i="12"/>
  <c r="D63" i="12"/>
  <c r="C63" i="12"/>
  <c r="B63" i="12"/>
  <c r="D62" i="12"/>
  <c r="C62" i="12"/>
  <c r="B62" i="12"/>
  <c r="D61" i="12"/>
  <c r="C61" i="12"/>
  <c r="B61" i="12"/>
  <c r="D60" i="12"/>
  <c r="C60" i="12"/>
  <c r="B60" i="12"/>
  <c r="D59" i="12"/>
  <c r="C59" i="12"/>
  <c r="B59" i="12"/>
  <c r="D58" i="12"/>
  <c r="C58" i="12"/>
  <c r="B58" i="12"/>
  <c r="D57" i="12"/>
  <c r="C57" i="12"/>
  <c r="B57" i="12"/>
  <c r="D56" i="12"/>
  <c r="C56" i="12"/>
  <c r="B56" i="12"/>
  <c r="D55" i="12"/>
  <c r="C55" i="12"/>
  <c r="B55" i="12"/>
  <c r="D54" i="12"/>
  <c r="C54" i="12"/>
  <c r="B54" i="12"/>
  <c r="D53" i="12"/>
  <c r="C53" i="12"/>
  <c r="B53" i="12"/>
  <c r="D52" i="12"/>
  <c r="C52" i="12"/>
  <c r="B52" i="12"/>
  <c r="D51" i="12"/>
  <c r="C51" i="12"/>
  <c r="B51" i="12"/>
  <c r="D50" i="12"/>
  <c r="C50" i="12"/>
  <c r="B50" i="12"/>
  <c r="D49" i="12"/>
  <c r="C49" i="12"/>
  <c r="B49" i="12"/>
  <c r="D48" i="12"/>
  <c r="C48" i="12"/>
  <c r="B48" i="12"/>
  <c r="D47" i="12"/>
  <c r="C47" i="12"/>
  <c r="B47" i="12"/>
  <c r="D46" i="12"/>
  <c r="C46" i="12"/>
  <c r="B46" i="12"/>
  <c r="D45" i="12"/>
  <c r="C45" i="12"/>
  <c r="B45" i="12"/>
  <c r="D44" i="12"/>
  <c r="C44" i="12"/>
  <c r="B44" i="12"/>
  <c r="D43" i="12"/>
  <c r="C43" i="12"/>
  <c r="B43" i="12"/>
  <c r="D42" i="12"/>
  <c r="C42" i="12"/>
  <c r="B42" i="12"/>
  <c r="D41" i="12"/>
  <c r="C41" i="12"/>
  <c r="B41" i="12"/>
  <c r="D40" i="12"/>
  <c r="C40" i="12"/>
  <c r="B40" i="12"/>
  <c r="D39" i="12"/>
  <c r="C39" i="12"/>
  <c r="B39" i="12"/>
  <c r="D38" i="12"/>
  <c r="C38" i="12"/>
  <c r="B38" i="12"/>
  <c r="D37" i="12"/>
  <c r="C37" i="12"/>
  <c r="B37" i="12"/>
  <c r="D36" i="12"/>
  <c r="C36" i="12"/>
  <c r="B36" i="12"/>
  <c r="D35" i="12"/>
  <c r="C35" i="12"/>
  <c r="B35" i="12"/>
  <c r="D34" i="12"/>
  <c r="C34" i="12"/>
  <c r="B34" i="12"/>
  <c r="D33" i="12"/>
  <c r="C33" i="12"/>
  <c r="B33" i="12"/>
  <c r="D32" i="12"/>
  <c r="C32" i="12"/>
  <c r="B32" i="12"/>
  <c r="D31" i="12"/>
  <c r="C31" i="12"/>
  <c r="B31" i="12"/>
  <c r="D30" i="12"/>
  <c r="C30" i="12"/>
  <c r="B30" i="12"/>
  <c r="D29" i="12"/>
  <c r="C29" i="12"/>
  <c r="B29" i="12"/>
  <c r="D28" i="12"/>
  <c r="C28" i="12"/>
  <c r="B28" i="12"/>
  <c r="D27" i="12"/>
  <c r="C27" i="12"/>
  <c r="B27" i="12"/>
  <c r="D26" i="12"/>
  <c r="C26" i="12"/>
  <c r="B26" i="12"/>
  <c r="D25" i="12"/>
  <c r="C25" i="12"/>
  <c r="B25" i="12"/>
  <c r="D24" i="12"/>
  <c r="C24" i="12"/>
  <c r="B24" i="12"/>
  <c r="D23" i="12"/>
  <c r="C23" i="12"/>
  <c r="B23" i="12"/>
  <c r="D22" i="12"/>
  <c r="C22" i="12"/>
  <c r="B22" i="12"/>
  <c r="D21" i="12"/>
  <c r="C21" i="12"/>
  <c r="B21" i="12"/>
  <c r="D20" i="12"/>
  <c r="C20" i="12"/>
  <c r="B20" i="12"/>
  <c r="D19" i="12"/>
  <c r="C19" i="12"/>
  <c r="B19" i="12"/>
  <c r="D18" i="12"/>
  <c r="C18" i="12"/>
  <c r="B18" i="12"/>
  <c r="D17" i="12"/>
  <c r="C17" i="12"/>
  <c r="B17" i="12"/>
  <c r="D16" i="12"/>
  <c r="C16" i="12"/>
  <c r="B16" i="12"/>
  <c r="D15" i="12"/>
  <c r="C15" i="12"/>
  <c r="B15" i="12"/>
  <c r="D14" i="12"/>
  <c r="C14" i="12"/>
  <c r="B14" i="12"/>
  <c r="D13" i="12"/>
  <c r="C13" i="12"/>
  <c r="B13" i="12"/>
  <c r="D12" i="12"/>
  <c r="C12" i="12"/>
  <c r="B12" i="12"/>
  <c r="D11" i="12"/>
  <c r="C11" i="12"/>
  <c r="B11" i="12"/>
  <c r="D10" i="12"/>
  <c r="C10" i="12"/>
  <c r="B10" i="12"/>
  <c r="AO6" i="12"/>
  <c r="AH6" i="12"/>
  <c r="AA6" i="12"/>
  <c r="T6" i="12"/>
  <c r="M6" i="12"/>
  <c r="F6" i="12"/>
  <c r="AT12" i="12"/>
  <c r="AM12" i="12"/>
  <c r="AF12" i="12"/>
  <c r="Y12" i="12"/>
  <c r="R12" i="12"/>
  <c r="K12" i="12"/>
  <c r="C219" i="1"/>
  <c r="K12" i="11"/>
  <c r="F17" i="19" l="1"/>
  <c r="F20" i="19" s="1"/>
  <c r="F37" i="19"/>
  <c r="F104" i="5"/>
  <c r="F48" i="2"/>
  <c r="H48" i="2"/>
  <c r="H104" i="5"/>
  <c r="H17" i="19"/>
  <c r="H20" i="19" s="1"/>
  <c r="H37" i="19"/>
  <c r="E48" i="2"/>
  <c r="E104" i="5"/>
  <c r="E17" i="19"/>
  <c r="E20" i="19" s="1"/>
  <c r="E37" i="19"/>
  <c r="K15" i="10"/>
  <c r="K14" i="10"/>
  <c r="K13" i="10"/>
  <c r="K12" i="10"/>
  <c r="K11" i="10"/>
  <c r="K10" i="10"/>
  <c r="K8" i="11"/>
  <c r="K14" i="11" s="1"/>
  <c r="F45" i="19" l="1"/>
  <c r="F48" i="19" s="1"/>
  <c r="F55" i="19" s="1"/>
  <c r="F40" i="19"/>
  <c r="C54" i="24" s="1"/>
  <c r="H45" i="19"/>
  <c r="H48" i="19" s="1"/>
  <c r="H55" i="19" s="1"/>
  <c r="H40" i="19"/>
  <c r="E54" i="24" s="1"/>
  <c r="E45" i="19"/>
  <c r="E48" i="19" s="1"/>
  <c r="C114" i="11"/>
  <c r="D113" i="11"/>
  <c r="C113" i="11"/>
  <c r="D112" i="11"/>
  <c r="C112" i="11"/>
  <c r="D111" i="11"/>
  <c r="C111" i="11"/>
  <c r="D110" i="11"/>
  <c r="C110" i="11"/>
  <c r="D109" i="11"/>
  <c r="C109" i="11"/>
  <c r="D108" i="11"/>
  <c r="C108" i="11"/>
  <c r="D107" i="11"/>
  <c r="C107" i="11"/>
  <c r="D106" i="11"/>
  <c r="C106" i="11"/>
  <c r="D105" i="11"/>
  <c r="C105" i="11"/>
  <c r="D104" i="11"/>
  <c r="C104" i="11"/>
  <c r="D103" i="11"/>
  <c r="C103" i="11"/>
  <c r="D102" i="11"/>
  <c r="C102" i="11"/>
  <c r="D101" i="11"/>
  <c r="C101" i="11"/>
  <c r="D100" i="11"/>
  <c r="C100" i="11"/>
  <c r="D99" i="11"/>
  <c r="C99" i="11"/>
  <c r="D98" i="11"/>
  <c r="C98" i="11"/>
  <c r="D97" i="11"/>
  <c r="C97" i="11"/>
  <c r="D96" i="11"/>
  <c r="C96" i="11"/>
  <c r="D95" i="11"/>
  <c r="C95" i="11"/>
  <c r="D94" i="11"/>
  <c r="C94" i="11"/>
  <c r="D93" i="11"/>
  <c r="C93" i="11"/>
  <c r="D92" i="11"/>
  <c r="C92" i="11"/>
  <c r="D91" i="11"/>
  <c r="C91" i="11"/>
  <c r="D90" i="11"/>
  <c r="C90" i="11"/>
  <c r="D89" i="11"/>
  <c r="C89" i="11"/>
  <c r="D88" i="11"/>
  <c r="C88" i="11"/>
  <c r="D87" i="11"/>
  <c r="C87" i="11"/>
  <c r="D86" i="11"/>
  <c r="C86" i="11"/>
  <c r="D85" i="11"/>
  <c r="C85" i="11"/>
  <c r="D84" i="11"/>
  <c r="C84" i="11"/>
  <c r="D83" i="11"/>
  <c r="C83" i="11"/>
  <c r="D82" i="11"/>
  <c r="C82" i="11"/>
  <c r="D81" i="11"/>
  <c r="C81" i="11"/>
  <c r="D80" i="11"/>
  <c r="C80" i="11"/>
  <c r="D79" i="11"/>
  <c r="C79" i="11"/>
  <c r="D78" i="11"/>
  <c r="C78" i="11"/>
  <c r="D77" i="11"/>
  <c r="C77" i="11"/>
  <c r="D76" i="11"/>
  <c r="C76" i="11"/>
  <c r="D75" i="11"/>
  <c r="C75" i="11"/>
  <c r="D74" i="11"/>
  <c r="C74" i="11"/>
  <c r="D73" i="11"/>
  <c r="C73" i="11"/>
  <c r="D72" i="11"/>
  <c r="C72" i="11"/>
  <c r="D71" i="11"/>
  <c r="C71" i="11"/>
  <c r="D70" i="11"/>
  <c r="C70" i="11"/>
  <c r="D69" i="11"/>
  <c r="C69" i="11"/>
  <c r="D68" i="11"/>
  <c r="C68" i="11"/>
  <c r="D67" i="11"/>
  <c r="C67" i="11"/>
  <c r="D66" i="11"/>
  <c r="C66" i="11"/>
  <c r="D65" i="11"/>
  <c r="C65" i="11"/>
  <c r="D64" i="11"/>
  <c r="C64" i="11"/>
  <c r="D63" i="11"/>
  <c r="C63" i="11"/>
  <c r="D62" i="11"/>
  <c r="C62" i="11"/>
  <c r="D61" i="11"/>
  <c r="C61" i="11"/>
  <c r="D60" i="11"/>
  <c r="C60" i="11"/>
  <c r="D59" i="11"/>
  <c r="C59" i="11"/>
  <c r="D58" i="11"/>
  <c r="C58" i="11"/>
  <c r="D57" i="11"/>
  <c r="C57" i="11"/>
  <c r="D56" i="11"/>
  <c r="C56" i="11"/>
  <c r="D55" i="11"/>
  <c r="C55" i="11"/>
  <c r="D54" i="11"/>
  <c r="C54" i="11"/>
  <c r="D53" i="11"/>
  <c r="C53" i="11"/>
  <c r="D52" i="11"/>
  <c r="C52" i="11"/>
  <c r="D51" i="11"/>
  <c r="C51" i="11"/>
  <c r="D50" i="11"/>
  <c r="C50" i="11"/>
  <c r="D49" i="11"/>
  <c r="C49" i="11"/>
  <c r="D48" i="11"/>
  <c r="C48" i="11"/>
  <c r="D47" i="11"/>
  <c r="C47" i="11"/>
  <c r="D46" i="11"/>
  <c r="C46" i="11"/>
  <c r="D45" i="11"/>
  <c r="C45" i="11"/>
  <c r="D44" i="11"/>
  <c r="C44" i="11"/>
  <c r="D43" i="11"/>
  <c r="C43" i="11"/>
  <c r="D42" i="11"/>
  <c r="C42" i="11"/>
  <c r="D41" i="11"/>
  <c r="C41" i="11"/>
  <c r="D40" i="11"/>
  <c r="C40" i="11"/>
  <c r="D39" i="11"/>
  <c r="C39" i="11"/>
  <c r="D38" i="11"/>
  <c r="C38" i="11"/>
  <c r="D37" i="11"/>
  <c r="C37" i="11"/>
  <c r="D36" i="11"/>
  <c r="C36" i="11"/>
  <c r="D35" i="11"/>
  <c r="C35" i="11"/>
  <c r="D34" i="11"/>
  <c r="C34" i="11"/>
  <c r="D33" i="11"/>
  <c r="C33" i="11"/>
  <c r="D32" i="11"/>
  <c r="C32" i="11"/>
  <c r="D31" i="11"/>
  <c r="C31" i="11"/>
  <c r="D30" i="11"/>
  <c r="C30" i="11"/>
  <c r="D29" i="11"/>
  <c r="C29" i="11"/>
  <c r="D28" i="11"/>
  <c r="C28" i="11"/>
  <c r="D27" i="11"/>
  <c r="C27" i="11"/>
  <c r="D26" i="11"/>
  <c r="C26" i="11"/>
  <c r="D25" i="11"/>
  <c r="C25" i="11"/>
  <c r="D24" i="11"/>
  <c r="C24" i="11"/>
  <c r="D23" i="11"/>
  <c r="C23" i="11"/>
  <c r="D22" i="11"/>
  <c r="C22" i="11"/>
  <c r="D21" i="11"/>
  <c r="C21" i="11"/>
  <c r="D20" i="11"/>
  <c r="C20" i="11"/>
  <c r="D19" i="11"/>
  <c r="C19" i="11"/>
  <c r="D18" i="11"/>
  <c r="C18" i="11"/>
  <c r="D17" i="11"/>
  <c r="C17" i="11"/>
  <c r="D16" i="11"/>
  <c r="C16" i="11"/>
  <c r="D15" i="11"/>
  <c r="C15" i="11"/>
  <c r="D14" i="11"/>
  <c r="C14" i="11"/>
  <c r="D13" i="11"/>
  <c r="C13" i="11"/>
  <c r="D12" i="11"/>
  <c r="C12" i="11"/>
  <c r="D11" i="11"/>
  <c r="C11" i="11"/>
  <c r="D10" i="11"/>
  <c r="C10" i="1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14" i="11"/>
  <c r="G113" i="11"/>
  <c r="F113" i="11"/>
  <c r="G112" i="11"/>
  <c r="F112" i="11"/>
  <c r="G111" i="11"/>
  <c r="F111" i="11"/>
  <c r="G110" i="11"/>
  <c r="F110" i="11"/>
  <c r="G109" i="11"/>
  <c r="F109" i="11"/>
  <c r="G108" i="11"/>
  <c r="F108" i="11"/>
  <c r="G107" i="11"/>
  <c r="F107" i="11"/>
  <c r="G106" i="11"/>
  <c r="F106" i="11"/>
  <c r="G105" i="11"/>
  <c r="F105" i="11"/>
  <c r="G104" i="11"/>
  <c r="F104" i="11"/>
  <c r="G103" i="11"/>
  <c r="F103" i="11"/>
  <c r="G102" i="11"/>
  <c r="F102" i="11"/>
  <c r="G101" i="11"/>
  <c r="F101" i="11"/>
  <c r="G100" i="11"/>
  <c r="F100" i="11"/>
  <c r="G99" i="11"/>
  <c r="F99" i="11"/>
  <c r="G98" i="11"/>
  <c r="F98" i="11"/>
  <c r="G97" i="11"/>
  <c r="F97" i="11"/>
  <c r="G96" i="11"/>
  <c r="F96" i="11"/>
  <c r="G95" i="11"/>
  <c r="F95" i="11"/>
  <c r="G94" i="11"/>
  <c r="F94" i="11"/>
  <c r="G93" i="11"/>
  <c r="F93" i="11"/>
  <c r="G92" i="11"/>
  <c r="F92" i="11"/>
  <c r="G91" i="11"/>
  <c r="F91" i="11"/>
  <c r="G90" i="11"/>
  <c r="F90" i="11"/>
  <c r="G89" i="11"/>
  <c r="F89" i="11"/>
  <c r="G88" i="11"/>
  <c r="F88" i="11"/>
  <c r="G87" i="11"/>
  <c r="F87" i="11"/>
  <c r="G86" i="11"/>
  <c r="F86" i="11"/>
  <c r="G85" i="11"/>
  <c r="F85" i="11"/>
  <c r="G84" i="11"/>
  <c r="F84" i="11"/>
  <c r="G83" i="11"/>
  <c r="F83" i="11"/>
  <c r="G82" i="11"/>
  <c r="F82" i="11"/>
  <c r="G81" i="11"/>
  <c r="F81" i="11"/>
  <c r="G80" i="11"/>
  <c r="F80" i="11"/>
  <c r="G79" i="11"/>
  <c r="F79" i="11"/>
  <c r="G78" i="11"/>
  <c r="F78" i="11"/>
  <c r="G77" i="11"/>
  <c r="F77" i="11"/>
  <c r="G76" i="11"/>
  <c r="F76" i="11"/>
  <c r="G75" i="11"/>
  <c r="F75" i="11"/>
  <c r="G74" i="11"/>
  <c r="F74" i="11"/>
  <c r="G73" i="11"/>
  <c r="F73" i="11"/>
  <c r="G72" i="11"/>
  <c r="F72" i="11"/>
  <c r="G71" i="11"/>
  <c r="F71" i="11"/>
  <c r="G70" i="11"/>
  <c r="F70" i="11"/>
  <c r="G69" i="11"/>
  <c r="F69" i="11"/>
  <c r="G68" i="11"/>
  <c r="F68" i="11"/>
  <c r="G67" i="11"/>
  <c r="F67" i="11"/>
  <c r="G66" i="11"/>
  <c r="F66" i="11"/>
  <c r="G65" i="11"/>
  <c r="F65" i="11"/>
  <c r="G64" i="11"/>
  <c r="F64" i="11"/>
  <c r="G63" i="11"/>
  <c r="F63" i="11"/>
  <c r="G62" i="11"/>
  <c r="F62" i="11"/>
  <c r="G61" i="11"/>
  <c r="F61" i="11"/>
  <c r="G60" i="11"/>
  <c r="F60" i="11"/>
  <c r="G59" i="11"/>
  <c r="F59" i="11"/>
  <c r="G58" i="11"/>
  <c r="F58" i="11"/>
  <c r="G57" i="11"/>
  <c r="F57" i="11"/>
  <c r="G56" i="11"/>
  <c r="F56" i="11"/>
  <c r="G55" i="11"/>
  <c r="F55" i="11"/>
  <c r="G54" i="11"/>
  <c r="F54" i="11"/>
  <c r="G53" i="11"/>
  <c r="F53" i="11"/>
  <c r="G52" i="11"/>
  <c r="F52" i="11"/>
  <c r="G51" i="11"/>
  <c r="F51" i="11"/>
  <c r="G50" i="11"/>
  <c r="F50" i="11"/>
  <c r="G49" i="11"/>
  <c r="F49" i="11"/>
  <c r="G48" i="11"/>
  <c r="F48" i="11"/>
  <c r="G47" i="11"/>
  <c r="F47" i="11"/>
  <c r="G46" i="11"/>
  <c r="F46" i="11"/>
  <c r="G45" i="11"/>
  <c r="F45" i="11"/>
  <c r="G44" i="11"/>
  <c r="F44" i="11"/>
  <c r="G43" i="11"/>
  <c r="F43" i="11"/>
  <c r="G42" i="11"/>
  <c r="F42" i="11"/>
  <c r="G41" i="11"/>
  <c r="F41" i="11"/>
  <c r="G40" i="11"/>
  <c r="F40" i="11"/>
  <c r="G39" i="11"/>
  <c r="F39" i="11"/>
  <c r="G38" i="11"/>
  <c r="F38" i="11"/>
  <c r="G37" i="11"/>
  <c r="F37" i="11"/>
  <c r="G36" i="11"/>
  <c r="F36" i="11"/>
  <c r="G35" i="11"/>
  <c r="F35" i="11"/>
  <c r="G34" i="11"/>
  <c r="F34" i="11"/>
  <c r="G33" i="11"/>
  <c r="F33" i="11"/>
  <c r="G32" i="11"/>
  <c r="F32" i="11"/>
  <c r="G31" i="11"/>
  <c r="F31" i="11"/>
  <c r="G30" i="11"/>
  <c r="F30" i="11"/>
  <c r="G29" i="11"/>
  <c r="F29" i="11"/>
  <c r="G28" i="11"/>
  <c r="F28" i="11"/>
  <c r="G27" i="11"/>
  <c r="F27" i="11"/>
  <c r="G26" i="11"/>
  <c r="F26" i="11"/>
  <c r="G25" i="11"/>
  <c r="F25" i="11"/>
  <c r="G24" i="11"/>
  <c r="F24" i="11"/>
  <c r="G23" i="11"/>
  <c r="F23" i="11"/>
  <c r="G22" i="11"/>
  <c r="F22" i="11"/>
  <c r="G21" i="11"/>
  <c r="F21" i="11"/>
  <c r="G20" i="11"/>
  <c r="F20" i="11"/>
  <c r="G19" i="11"/>
  <c r="F19" i="11"/>
  <c r="G18" i="11"/>
  <c r="F18" i="11"/>
  <c r="G17" i="11"/>
  <c r="F17" i="11"/>
  <c r="G16" i="11"/>
  <c r="F16" i="11"/>
  <c r="G15" i="11"/>
  <c r="F15" i="11"/>
  <c r="G14" i="11"/>
  <c r="F14" i="11"/>
  <c r="G13" i="11"/>
  <c r="F13" i="11"/>
  <c r="G12" i="11"/>
  <c r="F12" i="11"/>
  <c r="G11" i="11"/>
  <c r="F11" i="11"/>
  <c r="G10" i="11"/>
  <c r="F10"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I15" i="10"/>
  <c r="I14" i="10"/>
  <c r="I13" i="10"/>
  <c r="I12" i="10"/>
  <c r="I11" i="10"/>
  <c r="I18" i="10" s="1"/>
  <c r="I10" i="10"/>
  <c r="H15" i="10"/>
  <c r="H18" i="10" s="1"/>
  <c r="H14" i="10"/>
  <c r="H13" i="10"/>
  <c r="H12" i="10"/>
  <c r="H11" i="10"/>
  <c r="H10" i="10"/>
  <c r="K18" i="10"/>
  <c r="K32" i="10" s="1"/>
  <c r="J18" i="10"/>
  <c r="G18" i="10"/>
  <c r="K17" i="10"/>
  <c r="J17" i="10"/>
  <c r="H17" i="10"/>
  <c r="G17" i="10"/>
  <c r="L4" i="9"/>
  <c r="M4" i="9" s="1"/>
  <c r="N4" i="9" s="1"/>
  <c r="O4" i="9" s="1"/>
  <c r="E4" i="9"/>
  <c r="F4" i="9" s="1"/>
  <c r="G4" i="9" s="1"/>
  <c r="H4" i="9" s="1"/>
  <c r="L4" i="8"/>
  <c r="M4" i="8" s="1"/>
  <c r="N4" i="8" s="1"/>
  <c r="O4" i="8" s="1"/>
  <c r="E4" i="8"/>
  <c r="F4" i="8" s="1"/>
  <c r="G4" i="8" s="1"/>
  <c r="H4" i="8" s="1"/>
  <c r="H69" i="13"/>
  <c r="E4" i="4"/>
  <c r="F4" i="4" s="1"/>
  <c r="G4" i="4" s="1"/>
  <c r="H4" i="4" s="1"/>
  <c r="K4" i="4" s="1"/>
  <c r="L4" i="4" s="1"/>
  <c r="M4" i="4" s="1"/>
  <c r="N4" i="4" s="1"/>
  <c r="O4" i="4" s="1"/>
  <c r="AC44" i="6"/>
  <c r="AB44" i="6"/>
  <c r="AA44" i="6"/>
  <c r="Z44" i="6"/>
  <c r="Y44" i="6"/>
  <c r="V44" i="6"/>
  <c r="U44" i="6"/>
  <c r="T44" i="6"/>
  <c r="S44" i="6"/>
  <c r="R44" i="6"/>
  <c r="O44" i="6"/>
  <c r="N44" i="6"/>
  <c r="M44" i="6"/>
  <c r="L44" i="6"/>
  <c r="K44" i="6"/>
  <c r="H68" i="1"/>
  <c r="E105" i="6"/>
  <c r="E4" i="3"/>
  <c r="F4" i="3" s="1"/>
  <c r="G4" i="3" s="1"/>
  <c r="H4" i="3" s="1"/>
  <c r="K4" i="3" s="1"/>
  <c r="L4" i="3" s="1"/>
  <c r="M4" i="3" s="1"/>
  <c r="N4" i="3" s="1"/>
  <c r="O4" i="3" s="1"/>
  <c r="K41" i="2"/>
  <c r="L41" i="2" s="1"/>
  <c r="M41" i="2" s="1"/>
  <c r="N41" i="2" s="1"/>
  <c r="O41" i="2" s="1"/>
  <c r="O45" i="2"/>
  <c r="N45" i="2"/>
  <c r="M45" i="2"/>
  <c r="L45" i="2"/>
  <c r="K45" i="2"/>
  <c r="AC97" i="5"/>
  <c r="AB97" i="5"/>
  <c r="AA97" i="5"/>
  <c r="Z97" i="5"/>
  <c r="Y97" i="5"/>
  <c r="V97" i="5"/>
  <c r="U97" i="5"/>
  <c r="T97" i="5"/>
  <c r="S97" i="5"/>
  <c r="R97" i="5"/>
  <c r="AC91" i="5"/>
  <c r="AB91" i="5"/>
  <c r="AA91" i="5"/>
  <c r="Z91" i="5"/>
  <c r="AC89" i="5"/>
  <c r="AB89" i="5"/>
  <c r="AA89" i="5"/>
  <c r="Z89" i="5"/>
  <c r="Y91" i="5"/>
  <c r="Y89" i="5"/>
  <c r="V91" i="5"/>
  <c r="U91" i="5"/>
  <c r="T91" i="5"/>
  <c r="S91" i="5"/>
  <c r="V89" i="5"/>
  <c r="U89" i="5"/>
  <c r="T89" i="5"/>
  <c r="S89" i="5"/>
  <c r="R91" i="5"/>
  <c r="R89" i="5"/>
  <c r="O91" i="5"/>
  <c r="N91" i="5"/>
  <c r="M91" i="5"/>
  <c r="L91" i="5"/>
  <c r="O89" i="5"/>
  <c r="N89" i="5"/>
  <c r="M89" i="5"/>
  <c r="L89" i="5"/>
  <c r="K91" i="5"/>
  <c r="K89" i="5"/>
  <c r="G91" i="5"/>
  <c r="F91" i="5"/>
  <c r="D84" i="5"/>
  <c r="Y80" i="5"/>
  <c r="D9" i="6"/>
  <c r="D71" i="5" s="1"/>
  <c r="H75" i="5"/>
  <c r="H16" i="6" s="1"/>
  <c r="H15" i="6" s="1"/>
  <c r="K9" i="6" s="1"/>
  <c r="AC71" i="5"/>
  <c r="AB71" i="5"/>
  <c r="AA71" i="5"/>
  <c r="Z71" i="5"/>
  <c r="Y71" i="5"/>
  <c r="AC68" i="5"/>
  <c r="AB68" i="5"/>
  <c r="AA68" i="5"/>
  <c r="Z68" i="5"/>
  <c r="V71" i="5"/>
  <c r="U71" i="5"/>
  <c r="T71" i="5"/>
  <c r="S71" i="5"/>
  <c r="R71" i="5"/>
  <c r="V68" i="5"/>
  <c r="U68" i="5"/>
  <c r="T68" i="5"/>
  <c r="S68" i="5"/>
  <c r="O71" i="5"/>
  <c r="N71" i="5"/>
  <c r="M71" i="5"/>
  <c r="L71" i="5"/>
  <c r="K71" i="5"/>
  <c r="O68" i="5"/>
  <c r="N68" i="5"/>
  <c r="M68" i="5"/>
  <c r="L68" i="5"/>
  <c r="D4" i="6"/>
  <c r="H67" i="5"/>
  <c r="G67" i="5"/>
  <c r="F67" i="5"/>
  <c r="E67" i="5"/>
  <c r="D67" i="5"/>
  <c r="R62" i="5"/>
  <c r="O62" i="5"/>
  <c r="N62" i="5"/>
  <c r="M62" i="5"/>
  <c r="L62" i="5"/>
  <c r="O58" i="5"/>
  <c r="N58" i="5"/>
  <c r="M58" i="5"/>
  <c r="L58" i="5"/>
  <c r="V62" i="5"/>
  <c r="U62" i="5"/>
  <c r="T62" i="5"/>
  <c r="S62" i="5"/>
  <c r="V58" i="5"/>
  <c r="U58" i="5"/>
  <c r="T58" i="5"/>
  <c r="S58" i="5"/>
  <c r="AC62" i="5"/>
  <c r="AB62" i="5"/>
  <c r="AA62" i="5"/>
  <c r="Z62" i="5"/>
  <c r="AC58" i="5"/>
  <c r="AB58" i="5"/>
  <c r="AA58" i="5"/>
  <c r="Z58" i="5"/>
  <c r="Y62" i="5"/>
  <c r="Y58" i="5"/>
  <c r="R58" i="5"/>
  <c r="K62" i="5"/>
  <c r="K58" i="5"/>
  <c r="AC29" i="5"/>
  <c r="AB29" i="5"/>
  <c r="AA29" i="5"/>
  <c r="Z29" i="5"/>
  <c r="Y29" i="5"/>
  <c r="V29" i="5"/>
  <c r="U29" i="5"/>
  <c r="T29" i="5"/>
  <c r="S29" i="5"/>
  <c r="R29" i="5"/>
  <c r="O29" i="5"/>
  <c r="N29" i="5"/>
  <c r="M29" i="5"/>
  <c r="L29" i="5"/>
  <c r="K29" i="5"/>
  <c r="H19" i="5"/>
  <c r="E19" i="5"/>
  <c r="H22" i="5"/>
  <c r="G22" i="5"/>
  <c r="F22" i="5"/>
  <c r="E22" i="5"/>
  <c r="D22" i="5"/>
  <c r="D19" i="5"/>
  <c r="E12" i="5"/>
  <c r="H12" i="5"/>
  <c r="G12" i="5"/>
  <c r="F12" i="5"/>
  <c r="D4" i="5"/>
  <c r="H60" i="5"/>
  <c r="H62" i="5" s="1"/>
  <c r="G60" i="5"/>
  <c r="G62" i="5" s="1"/>
  <c r="F60" i="5"/>
  <c r="F62" i="5" s="1"/>
  <c r="E60" i="5"/>
  <c r="E62" i="5" s="1"/>
  <c r="D60" i="5"/>
  <c r="D62" i="5" s="1"/>
  <c r="E56" i="5"/>
  <c r="L11" i="8"/>
  <c r="N5" i="1"/>
  <c r="M5" i="1"/>
  <c r="L5" i="1"/>
  <c r="K5" i="1"/>
  <c r="J5" i="1"/>
  <c r="G82" i="5"/>
  <c r="G81" i="5" s="1"/>
  <c r="E17" i="8"/>
  <c r="E11" i="8"/>
  <c r="E4" i="2"/>
  <c r="D71" i="1"/>
  <c r="E71" i="1" s="1"/>
  <c r="F71" i="1" s="1"/>
  <c r="G71" i="1" s="1"/>
  <c r="H71" i="1" s="1"/>
  <c r="I71" i="1" s="1"/>
  <c r="J71" i="1" s="1"/>
  <c r="K71" i="1" s="1"/>
  <c r="L71" i="1" s="1"/>
  <c r="M71" i="1" s="1"/>
  <c r="N71" i="1" s="1"/>
  <c r="D32" i="1"/>
  <c r="E32" i="1" s="1"/>
  <c r="F32" i="1" s="1"/>
  <c r="G32" i="1" s="1"/>
  <c r="H32" i="1" s="1"/>
  <c r="I32" i="1" s="1"/>
  <c r="J32" i="1" s="1"/>
  <c r="K32" i="1" s="1"/>
  <c r="L32" i="1" s="1"/>
  <c r="M32" i="1" s="1"/>
  <c r="N32" i="1" s="1"/>
  <c r="D2" i="1"/>
  <c r="E2" i="1" s="1"/>
  <c r="F2" i="1" s="1"/>
  <c r="G2" i="1" s="1"/>
  <c r="H2" i="1" s="1"/>
  <c r="I2" i="1" s="1"/>
  <c r="J2" i="1" s="1"/>
  <c r="K2" i="1" s="1"/>
  <c r="L2" i="1" s="1"/>
  <c r="M2" i="1" s="1"/>
  <c r="N2" i="1" s="1"/>
  <c r="K70" i="5" l="1"/>
  <c r="D9" i="7"/>
  <c r="E153" i="6"/>
  <c r="E27" i="6"/>
  <c r="E130" i="6"/>
  <c r="E137" i="6"/>
  <c r="E56" i="6"/>
  <c r="E103" i="6"/>
  <c r="K12" i="6"/>
  <c r="D43" i="7" s="1"/>
  <c r="E69" i="13"/>
  <c r="F69" i="13"/>
  <c r="G69" i="13"/>
  <c r="D69" i="13"/>
  <c r="D64" i="6"/>
  <c r="D65" i="6" s="1"/>
  <c r="F64" i="6"/>
  <c r="F65" i="6" s="1"/>
  <c r="G64" i="6"/>
  <c r="G65" i="6" s="1"/>
  <c r="E64" i="6"/>
  <c r="E65" i="6" s="1"/>
  <c r="H64" i="6"/>
  <c r="H65" i="6" s="1"/>
  <c r="D27" i="16"/>
  <c r="H105" i="6"/>
  <c r="G105" i="6"/>
  <c r="F105" i="6"/>
  <c r="C37" i="14"/>
  <c r="H62" i="4"/>
  <c r="G62" i="4"/>
  <c r="H61" i="4" s="1"/>
  <c r="F62" i="4"/>
  <c r="G61" i="4" s="1"/>
  <c r="E62" i="4"/>
  <c r="F61" i="4" s="1"/>
  <c r="H240" i="1"/>
  <c r="I240" i="1" s="1"/>
  <c r="H239" i="1"/>
  <c r="I239" i="1" s="1"/>
  <c r="H238" i="1"/>
  <c r="I238" i="1" s="1"/>
  <c r="H237" i="1"/>
  <c r="I237" i="1" s="1"/>
  <c r="H11" i="15"/>
  <c r="C38" i="14"/>
  <c r="E127" i="6"/>
  <c r="E147" i="6"/>
  <c r="H118" i="6"/>
  <c r="G118" i="6"/>
  <c r="F118" i="6"/>
  <c r="E118" i="6"/>
  <c r="H120" i="6"/>
  <c r="G120" i="6"/>
  <c r="F120" i="6"/>
  <c r="E120" i="6"/>
  <c r="D67" i="3"/>
  <c r="C33" i="10"/>
  <c r="C34" i="10" s="1"/>
  <c r="C36" i="10" s="1"/>
  <c r="D13" i="5"/>
  <c r="D20" i="5"/>
  <c r="E13" i="5"/>
  <c r="E20" i="5"/>
  <c r="F13" i="5"/>
  <c r="F20" i="5"/>
  <c r="G13" i="5"/>
  <c r="G20" i="5"/>
  <c r="H13" i="5"/>
  <c r="K22" i="5"/>
  <c r="R22" i="5"/>
  <c r="Y22" i="5"/>
  <c r="H20" i="5"/>
  <c r="E58" i="5"/>
  <c r="D89" i="5"/>
  <c r="D91" i="5"/>
  <c r="E91" i="5"/>
  <c r="G89" i="5"/>
  <c r="R80" i="5"/>
  <c r="R86" i="5" s="1"/>
  <c r="H89" i="5"/>
  <c r="E89" i="5"/>
  <c r="K80" i="5"/>
  <c r="F89" i="5"/>
  <c r="H91" i="5"/>
  <c r="Y86" i="5"/>
  <c r="H29" i="20" s="1"/>
  <c r="Y82" i="5"/>
  <c r="D73" i="5"/>
  <c r="D75" i="5" s="1"/>
  <c r="F73" i="5"/>
  <c r="F75" i="5" s="1"/>
  <c r="F11" i="8"/>
  <c r="M17" i="8"/>
  <c r="L13" i="8"/>
  <c r="H17" i="8"/>
  <c r="L17" i="8"/>
  <c r="N17" i="8"/>
  <c r="G11" i="8"/>
  <c r="O11" i="8"/>
  <c r="M9" i="8"/>
  <c r="E19" i="22" s="1"/>
  <c r="N9" i="8"/>
  <c r="F19" i="22" s="1"/>
  <c r="H56" i="5"/>
  <c r="H58" i="5" s="1"/>
  <c r="L15" i="8"/>
  <c r="O15" i="8"/>
  <c r="G9" i="8"/>
  <c r="H9" i="8"/>
  <c r="F17" i="8"/>
  <c r="G17" i="8"/>
  <c r="F82" i="5"/>
  <c r="F81" i="5" s="1"/>
  <c r="F56" i="5"/>
  <c r="F58" i="5" s="1"/>
  <c r="G56" i="5"/>
  <c r="O9" i="8"/>
  <c r="G19" i="22" s="1"/>
  <c r="F7" i="9"/>
  <c r="H23" i="9"/>
  <c r="G7" i="9"/>
  <c r="H7" i="9"/>
  <c r="D56" i="5"/>
  <c r="D58" i="5" s="1"/>
  <c r="D17" i="8"/>
  <c r="D23" i="10"/>
  <c r="D26" i="10" s="1"/>
  <c r="J41" i="10" s="1"/>
  <c r="O17" i="8"/>
  <c r="H82" i="5"/>
  <c r="H81" i="5" s="1"/>
  <c r="D7" i="9"/>
  <c r="D9" i="8"/>
  <c r="L9" i="8"/>
  <c r="D19" i="22" s="1"/>
  <c r="F4" i="2"/>
  <c r="E4" i="6"/>
  <c r="E4" i="5"/>
  <c r="E97" i="6"/>
  <c r="M13" i="8"/>
  <c r="N13" i="8"/>
  <c r="O13" i="8"/>
  <c r="E13" i="8"/>
  <c r="G13" i="8"/>
  <c r="F30" i="16"/>
  <c r="G100" i="6" s="1"/>
  <c r="F27" i="16"/>
  <c r="F28" i="16" s="1"/>
  <c r="F31" i="16"/>
  <c r="F32" i="16" s="1"/>
  <c r="G109" i="6" s="1"/>
  <c r="H11" i="8"/>
  <c r="G30" i="16"/>
  <c r="H100" i="6" s="1"/>
  <c r="K11" i="15"/>
  <c r="M15" i="8"/>
  <c r="D82" i="5"/>
  <c r="N15" i="8"/>
  <c r="F12" i="8"/>
  <c r="E20" i="22" s="1"/>
  <c r="E30" i="16"/>
  <c r="F100" i="6" s="1"/>
  <c r="E31" i="16"/>
  <c r="E32" i="16" s="1"/>
  <c r="F109" i="6" s="1"/>
  <c r="E27" i="16"/>
  <c r="E28" i="16" s="1"/>
  <c r="G27" i="16"/>
  <c r="G28" i="16" s="1"/>
  <c r="G31" i="16"/>
  <c r="G32" i="16" s="1"/>
  <c r="H109" i="6" s="1"/>
  <c r="E82" i="5"/>
  <c r="E81" i="5" s="1"/>
  <c r="G73" i="5"/>
  <c r="G75" i="5" s="1"/>
  <c r="E9" i="8"/>
  <c r="M11" i="8"/>
  <c r="F9" i="8"/>
  <c r="N11" i="8"/>
  <c r="E7" i="9"/>
  <c r="I17" i="10"/>
  <c r="R9" i="6"/>
  <c r="G77" i="3"/>
  <c r="E77" i="3"/>
  <c r="F77" i="3"/>
  <c r="H77" i="3"/>
  <c r="E55" i="3"/>
  <c r="F55" i="3"/>
  <c r="G55" i="3"/>
  <c r="H55" i="3"/>
  <c r="E67" i="3"/>
  <c r="F67" i="3"/>
  <c r="G67" i="3"/>
  <c r="H67" i="3"/>
  <c r="E61" i="5"/>
  <c r="F61" i="5"/>
  <c r="G61" i="5"/>
  <c r="H61" i="5"/>
  <c r="Y28" i="5"/>
  <c r="G15" i="8"/>
  <c r="H15" i="8"/>
  <c r="F15" i="8"/>
  <c r="E15" i="8"/>
  <c r="D15" i="8"/>
  <c r="D13" i="8"/>
  <c r="F13" i="8"/>
  <c r="H13" i="8"/>
  <c r="D23" i="9"/>
  <c r="D11" i="8"/>
  <c r="K56" i="5" l="1"/>
  <c r="O83" i="8"/>
  <c r="H83" i="8"/>
  <c r="N83" i="8"/>
  <c r="G83" i="8"/>
  <c r="M83" i="8"/>
  <c r="F83" i="8"/>
  <c r="L83" i="8"/>
  <c r="E83" i="8"/>
  <c r="O71" i="8"/>
  <c r="H71" i="8"/>
  <c r="N71" i="8"/>
  <c r="G71" i="8"/>
  <c r="H10" i="19"/>
  <c r="O93" i="8"/>
  <c r="H93" i="8"/>
  <c r="F10" i="19"/>
  <c r="M93" i="8"/>
  <c r="F93" i="8"/>
  <c r="R56" i="5"/>
  <c r="M71" i="8"/>
  <c r="F71" i="8"/>
  <c r="L71" i="8"/>
  <c r="E71" i="8"/>
  <c r="R90" i="5"/>
  <c r="H28" i="20"/>
  <c r="E10" i="19"/>
  <c r="L93" i="8"/>
  <c r="E93" i="8"/>
  <c r="G10" i="19"/>
  <c r="N93" i="8"/>
  <c r="G93" i="8"/>
  <c r="F16" i="6"/>
  <c r="F15" i="6" s="1"/>
  <c r="G9" i="6" s="1"/>
  <c r="G71" i="5" s="1"/>
  <c r="F56" i="13"/>
  <c r="D16" i="6"/>
  <c r="D15" i="6" s="1"/>
  <c r="E9" i="6" s="1"/>
  <c r="E71" i="5" s="1"/>
  <c r="D56" i="13"/>
  <c r="G16" i="6"/>
  <c r="G15" i="6" s="1"/>
  <c r="H9" i="6" s="1"/>
  <c r="H71" i="5" s="1"/>
  <c r="G56" i="13"/>
  <c r="R168" i="6"/>
  <c r="K29" i="7" s="1"/>
  <c r="R10" i="6"/>
  <c r="K42" i="7" s="1"/>
  <c r="K10" i="6"/>
  <c r="D42" i="7" s="1"/>
  <c r="K42" i="4" s="1"/>
  <c r="K168" i="6"/>
  <c r="D29" i="7" s="1"/>
  <c r="K29" i="4" s="1"/>
  <c r="Y10" i="6"/>
  <c r="R42" i="7" s="1"/>
  <c r="Y168" i="6"/>
  <c r="R29" i="7" s="1"/>
  <c r="Y56" i="5"/>
  <c r="R70" i="5"/>
  <c r="K9" i="7" s="1"/>
  <c r="K9" i="4" s="1"/>
  <c r="H153" i="6"/>
  <c r="H27" i="6"/>
  <c r="F153" i="6"/>
  <c r="F27" i="6"/>
  <c r="G153" i="6"/>
  <c r="G27" i="6"/>
  <c r="D153" i="6"/>
  <c r="D27" i="6"/>
  <c r="D130" i="6"/>
  <c r="D137" i="6"/>
  <c r="H130" i="6"/>
  <c r="H137" i="6"/>
  <c r="F130" i="6"/>
  <c r="F137" i="6"/>
  <c r="G130" i="6"/>
  <c r="G137" i="6"/>
  <c r="G114" i="6"/>
  <c r="G116" i="6" s="1"/>
  <c r="G56" i="6"/>
  <c r="G103" i="6"/>
  <c r="H56" i="6"/>
  <c r="H103" i="6"/>
  <c r="F56" i="6"/>
  <c r="F103" i="6"/>
  <c r="D56" i="6"/>
  <c r="D103" i="6"/>
  <c r="G11" i="16"/>
  <c r="F11" i="16"/>
  <c r="E11" i="16"/>
  <c r="R23" i="6"/>
  <c r="K17" i="7" s="1"/>
  <c r="R35" i="6"/>
  <c r="K20" i="7" s="1"/>
  <c r="K6" i="2"/>
  <c r="Y23" i="6"/>
  <c r="R17" i="7" s="1"/>
  <c r="Y35" i="6"/>
  <c r="R20" i="7" s="1"/>
  <c r="K23" i="6"/>
  <c r="D17" i="7" s="1"/>
  <c r="K35" i="6"/>
  <c r="D20" i="7" s="1"/>
  <c r="Y9" i="6"/>
  <c r="Y70" i="5" s="1"/>
  <c r="R9" i="7" s="1"/>
  <c r="R12" i="6"/>
  <c r="K43" i="7" s="1"/>
  <c r="D21" i="3"/>
  <c r="L41" i="8" s="1"/>
  <c r="D55" i="3"/>
  <c r="F127" i="6"/>
  <c r="D37" i="3"/>
  <c r="L57" i="8" s="1"/>
  <c r="E242" i="1"/>
  <c r="E245" i="1" s="1"/>
  <c r="E49" i="16" s="1"/>
  <c r="E10" i="16"/>
  <c r="E9" i="16"/>
  <c r="D242" i="1"/>
  <c r="D245" i="1" s="1"/>
  <c r="D49" i="16" s="1"/>
  <c r="G69" i="3"/>
  <c r="F34" i="22" s="1"/>
  <c r="G22" i="18"/>
  <c r="G24" i="18" s="1"/>
  <c r="G25" i="18" s="1"/>
  <c r="F69" i="3"/>
  <c r="E34" i="22" s="1"/>
  <c r="F22" i="18"/>
  <c r="F24" i="18" s="1"/>
  <c r="F25" i="18" s="1"/>
  <c r="Q30" i="15"/>
  <c r="O30" i="15"/>
  <c r="P30" i="15"/>
  <c r="I11" i="15"/>
  <c r="O11" i="15" s="1"/>
  <c r="D67" i="24" s="1"/>
  <c r="E69" i="3"/>
  <c r="D34" i="22" s="1"/>
  <c r="E22" i="18"/>
  <c r="E24" i="18" s="1"/>
  <c r="E25" i="18" s="1"/>
  <c r="D31" i="16"/>
  <c r="L31" i="16" s="1"/>
  <c r="D62" i="4"/>
  <c r="F114" i="6"/>
  <c r="F116" i="6" s="1"/>
  <c r="H114" i="6"/>
  <c r="H116" i="6" s="1"/>
  <c r="E38" i="16"/>
  <c r="K114" i="6"/>
  <c r="K118" i="6" s="1"/>
  <c r="D53" i="7" s="1"/>
  <c r="Y114" i="6"/>
  <c r="Y118" i="6" s="1"/>
  <c r="R53" i="7" s="1"/>
  <c r="R114" i="6"/>
  <c r="F38" i="16"/>
  <c r="D118" i="6"/>
  <c r="E114" i="6" s="1"/>
  <c r="E116" i="6" s="1"/>
  <c r="H236" i="1"/>
  <c r="I236" i="1" s="1"/>
  <c r="D147" i="6"/>
  <c r="D127" i="6"/>
  <c r="G242" i="1"/>
  <c r="G245" i="1" s="1"/>
  <c r="G49" i="16" s="1"/>
  <c r="F10" i="16"/>
  <c r="F9" i="16"/>
  <c r="F121" i="6"/>
  <c r="D9" i="16"/>
  <c r="D10" i="16"/>
  <c r="F242" i="1"/>
  <c r="F245" i="1" s="1"/>
  <c r="F49" i="16" s="1"/>
  <c r="G121" i="6"/>
  <c r="D77" i="3"/>
  <c r="D38" i="16" s="1"/>
  <c r="H121" i="6"/>
  <c r="Y120" i="6"/>
  <c r="K120" i="6"/>
  <c r="L120" i="6" s="1"/>
  <c r="M120" i="6" s="1"/>
  <c r="N120" i="6" s="1"/>
  <c r="O120" i="6" s="1"/>
  <c r="R120" i="6"/>
  <c r="S120" i="6" s="1"/>
  <c r="T120" i="6" s="1"/>
  <c r="U120" i="6" s="1"/>
  <c r="V120" i="6" s="1"/>
  <c r="G10" i="16"/>
  <c r="G9" i="16"/>
  <c r="D22" i="18"/>
  <c r="D24" i="18" s="1"/>
  <c r="D25" i="18" s="1"/>
  <c r="D120" i="6"/>
  <c r="E121" i="6" s="1"/>
  <c r="D105" i="6"/>
  <c r="H22" i="18"/>
  <c r="H24" i="18" s="1"/>
  <c r="H25" i="18" s="1"/>
  <c r="G38" i="16"/>
  <c r="D11" i="16"/>
  <c r="Z28" i="5"/>
  <c r="G97" i="6"/>
  <c r="G58" i="5"/>
  <c r="Y11" i="5"/>
  <c r="Z22" i="5"/>
  <c r="Y18" i="5"/>
  <c r="R18" i="5"/>
  <c r="S22" i="5"/>
  <c r="R11" i="5"/>
  <c r="L22" i="5"/>
  <c r="K11" i="5"/>
  <c r="E73" i="5"/>
  <c r="E75" i="5" s="1"/>
  <c r="K82" i="5"/>
  <c r="K86" i="5"/>
  <c r="H27" i="20" s="1"/>
  <c r="D97" i="6"/>
  <c r="R82" i="5"/>
  <c r="K30" i="2" s="1"/>
  <c r="S80" i="5"/>
  <c r="S82" i="5" s="1"/>
  <c r="R88" i="5"/>
  <c r="C41" i="10" s="1"/>
  <c r="D33" i="10" s="1"/>
  <c r="K41" i="10" s="1"/>
  <c r="Z80" i="5"/>
  <c r="Y90" i="5"/>
  <c r="Y88" i="5"/>
  <c r="G29" i="5"/>
  <c r="F23" i="5"/>
  <c r="E30" i="5"/>
  <c r="G23" i="5"/>
  <c r="G147" i="6"/>
  <c r="G127" i="6"/>
  <c r="H127" i="6"/>
  <c r="N14" i="8"/>
  <c r="H57" i="5"/>
  <c r="H147" i="6"/>
  <c r="F30" i="5"/>
  <c r="H97" i="6"/>
  <c r="N12" i="8"/>
  <c r="G23" i="9"/>
  <c r="G57" i="5"/>
  <c r="F97" i="6"/>
  <c r="F29" i="5"/>
  <c r="H12" i="8"/>
  <c r="G20" i="22" s="1"/>
  <c r="G12" i="8"/>
  <c r="F20" i="22" s="1"/>
  <c r="F57" i="5"/>
  <c r="L11" i="15"/>
  <c r="E23" i="5"/>
  <c r="E68" i="5"/>
  <c r="G68" i="5"/>
  <c r="O12" i="8"/>
  <c r="F68" i="5"/>
  <c r="H23" i="5"/>
  <c r="H68" i="5"/>
  <c r="G30" i="5"/>
  <c r="E57" i="5"/>
  <c r="F147" i="6"/>
  <c r="E33" i="16"/>
  <c r="F106" i="6"/>
  <c r="D28" i="16"/>
  <c r="L27" i="16"/>
  <c r="K27" i="16"/>
  <c r="D30" i="5"/>
  <c r="F23" i="9"/>
  <c r="M12" i="8"/>
  <c r="G106" i="6"/>
  <c r="F33" i="16"/>
  <c r="D23" i="5"/>
  <c r="D30" i="16"/>
  <c r="L29" i="16"/>
  <c r="K29" i="16"/>
  <c r="E23" i="9"/>
  <c r="L12" i="8"/>
  <c r="G4" i="2"/>
  <c r="F4" i="6"/>
  <c r="F4" i="5"/>
  <c r="G40" i="16"/>
  <c r="J239" i="1"/>
  <c r="K239" i="1" s="1"/>
  <c r="F47" i="16" s="1"/>
  <c r="F33" i="22" s="1"/>
  <c r="G39" i="16"/>
  <c r="G39" i="9"/>
  <c r="H106" i="6"/>
  <c r="G33" i="16"/>
  <c r="D68" i="5"/>
  <c r="H69" i="3"/>
  <c r="G34" i="22" s="1"/>
  <c r="H29" i="5"/>
  <c r="E29" i="5"/>
  <c r="R28" i="5"/>
  <c r="S28" i="5" s="1"/>
  <c r="H30" i="5"/>
  <c r="K28" i="5"/>
  <c r="E12" i="8"/>
  <c r="D20" i="22" s="1"/>
  <c r="D12" i="8"/>
  <c r="C20" i="22" s="1"/>
  <c r="D21" i="2"/>
  <c r="D22" i="2" s="1"/>
  <c r="G28" i="19" l="1"/>
  <c r="G30" i="19" s="1"/>
  <c r="G32" i="19" s="1"/>
  <c r="G12" i="19"/>
  <c r="E28" i="19"/>
  <c r="E12" i="19"/>
  <c r="D35" i="22" s="1"/>
  <c r="G12" i="6"/>
  <c r="G13" i="6" s="1"/>
  <c r="F28" i="19"/>
  <c r="F30" i="19" s="1"/>
  <c r="F32" i="19" s="1"/>
  <c r="F12" i="19"/>
  <c r="H12" i="6"/>
  <c r="H13" i="6" s="1"/>
  <c r="H28" i="19"/>
  <c r="H30" i="19" s="1"/>
  <c r="H32" i="19" s="1"/>
  <c r="H12" i="19"/>
  <c r="D12" i="6"/>
  <c r="K17" i="4"/>
  <c r="K20" i="4"/>
  <c r="E16" i="6"/>
  <c r="E15" i="6" s="1"/>
  <c r="F9" i="6" s="1"/>
  <c r="F71" i="5" s="1"/>
  <c r="E56" i="13"/>
  <c r="G79" i="3"/>
  <c r="G81" i="3" s="1"/>
  <c r="N85" i="8"/>
  <c r="G85" i="8"/>
  <c r="O85" i="8"/>
  <c r="H85" i="8"/>
  <c r="E85" i="8"/>
  <c r="F79" i="3"/>
  <c r="F81" i="3" s="1"/>
  <c r="M85" i="8"/>
  <c r="F85" i="8"/>
  <c r="K43" i="4"/>
  <c r="D13" i="6"/>
  <c r="D43" i="4"/>
  <c r="K8" i="2"/>
  <c r="K10" i="2" s="1"/>
  <c r="Z10" i="6"/>
  <c r="S42" i="7" s="1"/>
  <c r="Z168" i="6"/>
  <c r="S29" i="7" s="1"/>
  <c r="Z56" i="5"/>
  <c r="S168" i="6"/>
  <c r="L29" i="7" s="1"/>
  <c r="S10" i="6"/>
  <c r="L42" i="7" s="1"/>
  <c r="S56" i="5"/>
  <c r="L168" i="6"/>
  <c r="E29" i="7" s="1"/>
  <c r="L10" i="6"/>
  <c r="E42" i="7" s="1"/>
  <c r="L56" i="5"/>
  <c r="K18" i="3"/>
  <c r="K14" i="3"/>
  <c r="K50" i="3"/>
  <c r="K88" i="5"/>
  <c r="S86" i="5"/>
  <c r="T80" i="5" s="1"/>
  <c r="T82" i="5" s="1"/>
  <c r="G115" i="6"/>
  <c r="H115" i="6"/>
  <c r="F115" i="6"/>
  <c r="R118" i="6"/>
  <c r="K53" i="7" s="1"/>
  <c r="K53" i="4" s="1"/>
  <c r="Y12" i="6"/>
  <c r="R43" i="7" s="1"/>
  <c r="R47" i="7" s="1"/>
  <c r="Y12" i="5"/>
  <c r="K12" i="5"/>
  <c r="L23" i="6"/>
  <c r="E17" i="7" s="1"/>
  <c r="L35" i="6"/>
  <c r="E20" i="7" s="1"/>
  <c r="R12" i="5"/>
  <c r="S23" i="6"/>
  <c r="L17" i="7" s="1"/>
  <c r="S35" i="6"/>
  <c r="L20" i="7" s="1"/>
  <c r="L6" i="2"/>
  <c r="Z23" i="6"/>
  <c r="S17" i="7" s="1"/>
  <c r="Z35" i="6"/>
  <c r="S20" i="7" s="1"/>
  <c r="D39" i="3"/>
  <c r="E23" i="19" s="1"/>
  <c r="C10" i="16"/>
  <c r="K10" i="16" s="1"/>
  <c r="C11" i="16"/>
  <c r="K11" i="16" s="1"/>
  <c r="E115" i="6"/>
  <c r="C9" i="16"/>
  <c r="K9" i="16" s="1"/>
  <c r="D58" i="13"/>
  <c r="D69" i="3"/>
  <c r="D32" i="16"/>
  <c r="E109" i="6" s="1"/>
  <c r="O22" i="15"/>
  <c r="O20" i="15"/>
  <c r="O24" i="15"/>
  <c r="O21" i="15"/>
  <c r="O23" i="15"/>
  <c r="O29" i="15" s="1"/>
  <c r="O31" i="15" s="1"/>
  <c r="O34" i="15" s="1"/>
  <c r="O36" i="15" s="1"/>
  <c r="O25" i="15"/>
  <c r="L38" i="16"/>
  <c r="K38" i="16"/>
  <c r="H7" i="18"/>
  <c r="H12" i="18" s="1"/>
  <c r="H17" i="18" s="1"/>
  <c r="H28" i="18" s="1"/>
  <c r="H26" i="8"/>
  <c r="O26" i="8"/>
  <c r="G26" i="16"/>
  <c r="G7" i="18"/>
  <c r="G12" i="18" s="1"/>
  <c r="G17" i="18" s="1"/>
  <c r="G28" i="18" s="1"/>
  <c r="N26" i="8"/>
  <c r="G26" i="8"/>
  <c r="F26" i="16"/>
  <c r="E7" i="18"/>
  <c r="E12" i="18" s="1"/>
  <c r="E17" i="18" s="1"/>
  <c r="E28" i="18" s="1"/>
  <c r="E26" i="8"/>
  <c r="P11" i="15"/>
  <c r="E79" i="3"/>
  <c r="E81" i="3" s="1"/>
  <c r="F7" i="18"/>
  <c r="F12" i="18" s="1"/>
  <c r="F17" i="18" s="1"/>
  <c r="F28" i="18" s="1"/>
  <c r="M26" i="8"/>
  <c r="F26" i="8"/>
  <c r="E26" i="16"/>
  <c r="K31" i="16"/>
  <c r="E61" i="4"/>
  <c r="H79" i="3"/>
  <c r="H81" i="3" s="1"/>
  <c r="Z114" i="6"/>
  <c r="Z118" i="6" s="1"/>
  <c r="S53" i="7" s="1"/>
  <c r="Z120" i="6"/>
  <c r="K74" i="3"/>
  <c r="C242" i="1"/>
  <c r="C245" i="1" s="1"/>
  <c r="C49" i="16" s="1"/>
  <c r="Y6" i="5"/>
  <c r="AA28" i="5"/>
  <c r="L8" i="2"/>
  <c r="L11" i="5"/>
  <c r="L18" i="5"/>
  <c r="M22" i="5"/>
  <c r="S11" i="5"/>
  <c r="T22" i="5"/>
  <c r="S18" i="5"/>
  <c r="S19" i="5" s="1"/>
  <c r="K90" i="5"/>
  <c r="K59" i="3" s="1"/>
  <c r="L80" i="5"/>
  <c r="L86" i="5" s="1"/>
  <c r="Z11" i="5"/>
  <c r="Z18" i="5"/>
  <c r="Z19" i="5" s="1"/>
  <c r="AA22" i="5"/>
  <c r="D34" i="10"/>
  <c r="K42" i="10" s="1"/>
  <c r="Z82" i="5"/>
  <c r="Z86" i="5"/>
  <c r="C42" i="10"/>
  <c r="K45" i="3"/>
  <c r="G16" i="16"/>
  <c r="F39" i="9"/>
  <c r="F39" i="16"/>
  <c r="J238" i="1"/>
  <c r="K238" i="1" s="1"/>
  <c r="E47" i="16" s="1"/>
  <c r="E33" i="22" s="1"/>
  <c r="F40" i="16"/>
  <c r="H16" i="18"/>
  <c r="M14" i="8"/>
  <c r="O14" i="8"/>
  <c r="J240" i="1"/>
  <c r="K240" i="1" s="1"/>
  <c r="H39" i="9"/>
  <c r="L30" i="16"/>
  <c r="K30" i="16"/>
  <c r="E100" i="6"/>
  <c r="E16" i="16"/>
  <c r="F14" i="8"/>
  <c r="F16" i="16"/>
  <c r="G14" i="8"/>
  <c r="G16" i="18"/>
  <c r="G61" i="13"/>
  <c r="F20" i="16"/>
  <c r="G41" i="16"/>
  <c r="L239" i="1"/>
  <c r="F48" i="16" s="1"/>
  <c r="H4" i="2"/>
  <c r="G4" i="6"/>
  <c r="G4" i="5"/>
  <c r="D40" i="16"/>
  <c r="D39" i="16"/>
  <c r="J236" i="1"/>
  <c r="K236" i="1" s="1"/>
  <c r="C47" i="16" s="1"/>
  <c r="C33" i="22" s="1"/>
  <c r="D39" i="9"/>
  <c r="E40" i="16"/>
  <c r="E39" i="16"/>
  <c r="J237" i="1"/>
  <c r="K237" i="1" s="1"/>
  <c r="D47" i="16" s="1"/>
  <c r="D33" i="22" s="1"/>
  <c r="E39" i="9"/>
  <c r="L14" i="8"/>
  <c r="E106" i="6"/>
  <c r="L28" i="16"/>
  <c r="K28" i="16"/>
  <c r="R6" i="5"/>
  <c r="T28" i="5"/>
  <c r="L28" i="5"/>
  <c r="D27" i="2"/>
  <c r="D28" i="2" s="1"/>
  <c r="F12" i="6" l="1"/>
  <c r="D79" i="3"/>
  <c r="C34" i="22"/>
  <c r="G35" i="22"/>
  <c r="E56" i="24"/>
  <c r="G43" i="4"/>
  <c r="G47" i="4" s="1"/>
  <c r="G57" i="4" s="1"/>
  <c r="G71" i="9" s="1"/>
  <c r="H43" i="4"/>
  <c r="H47" i="4" s="1"/>
  <c r="H57" i="4" s="1"/>
  <c r="H71" i="9" s="1"/>
  <c r="C56" i="24"/>
  <c r="E35" i="22"/>
  <c r="L42" i="4"/>
  <c r="E27" i="19"/>
  <c r="E30" i="19" s="1"/>
  <c r="E38" i="19"/>
  <c r="E25" i="19"/>
  <c r="F35" i="22"/>
  <c r="D56" i="24"/>
  <c r="L29" i="4"/>
  <c r="E12" i="6"/>
  <c r="E13" i="6" s="1"/>
  <c r="P21" i="15"/>
  <c r="E67" i="24"/>
  <c r="L20" i="4"/>
  <c r="L17" i="4"/>
  <c r="L85" i="8"/>
  <c r="D85" i="8"/>
  <c r="D67" i="8"/>
  <c r="D63" i="8"/>
  <c r="D51" i="8"/>
  <c r="D35" i="8"/>
  <c r="D41" i="8"/>
  <c r="D79" i="8"/>
  <c r="D47" i="8"/>
  <c r="D93" i="8"/>
  <c r="D75" i="8"/>
  <c r="D55" i="8"/>
  <c r="D39" i="8"/>
  <c r="D31" i="8"/>
  <c r="D36" i="8"/>
  <c r="D91" i="8"/>
  <c r="D83" i="8"/>
  <c r="D78" i="8"/>
  <c r="D71" i="8"/>
  <c r="D66" i="8"/>
  <c r="D62" i="8"/>
  <c r="D54" i="8"/>
  <c r="D50" i="8"/>
  <c r="D46" i="8"/>
  <c r="D38" i="8"/>
  <c r="D34" i="8"/>
  <c r="D30" i="8"/>
  <c r="D90" i="8"/>
  <c r="D69" i="8"/>
  <c r="D65" i="8"/>
  <c r="D49" i="8"/>
  <c r="D37" i="8"/>
  <c r="D80" i="8"/>
  <c r="D64" i="8"/>
  <c r="D48" i="8"/>
  <c r="D77" i="8"/>
  <c r="D53" i="8"/>
  <c r="D45" i="8"/>
  <c r="D33" i="8"/>
  <c r="D76" i="8"/>
  <c r="D57" i="8"/>
  <c r="D32" i="8"/>
  <c r="D81" i="8"/>
  <c r="D61" i="8"/>
  <c r="D89" i="8"/>
  <c r="D68" i="8"/>
  <c r="D52" i="8"/>
  <c r="H59" i="4"/>
  <c r="G59" i="4"/>
  <c r="F13" i="6"/>
  <c r="F43" i="4"/>
  <c r="F47" i="4" s="1"/>
  <c r="F57" i="4" s="1"/>
  <c r="T168" i="6"/>
  <c r="M29" i="7" s="1"/>
  <c r="T10" i="6"/>
  <c r="M42" i="7" s="1"/>
  <c r="T56" i="5"/>
  <c r="M168" i="6"/>
  <c r="F29" i="7" s="1"/>
  <c r="M29" i="4" s="1"/>
  <c r="M10" i="6"/>
  <c r="F42" i="7" s="1"/>
  <c r="M42" i="4" s="1"/>
  <c r="M56" i="5"/>
  <c r="R60" i="5"/>
  <c r="R41" i="6"/>
  <c r="C40" i="10"/>
  <c r="AA168" i="6"/>
  <c r="T29" i="7" s="1"/>
  <c r="AA10" i="6"/>
  <c r="T42" i="7" s="1"/>
  <c r="AA56" i="5"/>
  <c r="Y41" i="6"/>
  <c r="Y99" i="6" s="1"/>
  <c r="R16" i="7" s="1"/>
  <c r="S114" i="6"/>
  <c r="S118" i="6" s="1"/>
  <c r="L53" i="7" s="1"/>
  <c r="L53" i="4" s="1"/>
  <c r="L50" i="3"/>
  <c r="Y60" i="5"/>
  <c r="L14" i="3"/>
  <c r="L18" i="3"/>
  <c r="T86" i="5"/>
  <c r="U80" i="5" s="1"/>
  <c r="U86" i="5" s="1"/>
  <c r="U90" i="5" s="1"/>
  <c r="S90" i="5"/>
  <c r="S88" i="5"/>
  <c r="L10" i="2"/>
  <c r="Y15" i="6"/>
  <c r="M6" i="2"/>
  <c r="AA23" i="6"/>
  <c r="T17" i="7" s="1"/>
  <c r="AA35" i="6"/>
  <c r="T20" i="7" s="1"/>
  <c r="Y23" i="5"/>
  <c r="Y30" i="5"/>
  <c r="R43" i="6"/>
  <c r="Y57" i="5"/>
  <c r="T23" i="6"/>
  <c r="M17" i="7" s="1"/>
  <c r="T35" i="6"/>
  <c r="M20" i="7" s="1"/>
  <c r="M23" i="6"/>
  <c r="F17" i="7" s="1"/>
  <c r="M35" i="6"/>
  <c r="S12" i="5"/>
  <c r="K43" i="6"/>
  <c r="L12" i="5"/>
  <c r="Y43" i="6"/>
  <c r="D26" i="16"/>
  <c r="L26" i="16" s="1"/>
  <c r="L10" i="16"/>
  <c r="L9" i="16"/>
  <c r="D37" i="13"/>
  <c r="D6" i="18" s="1"/>
  <c r="L11" i="16"/>
  <c r="E37" i="13"/>
  <c r="E6" i="18" s="1"/>
  <c r="E9" i="18" s="1"/>
  <c r="F37" i="13"/>
  <c r="F6" i="18" s="1"/>
  <c r="F9" i="18" s="1"/>
  <c r="G37" i="13"/>
  <c r="G6" i="18" s="1"/>
  <c r="G9" i="18" s="1"/>
  <c r="H37" i="13"/>
  <c r="D33" i="16"/>
  <c r="L33" i="16" s="1"/>
  <c r="D26" i="8"/>
  <c r="L32" i="16"/>
  <c r="F58" i="13"/>
  <c r="E58" i="13"/>
  <c r="L26" i="8"/>
  <c r="H58" i="13"/>
  <c r="G58" i="13"/>
  <c r="D7" i="18"/>
  <c r="D12" i="18" s="1"/>
  <c r="D17" i="18" s="1"/>
  <c r="D28" i="18" s="1"/>
  <c r="D81" i="3"/>
  <c r="K32" i="16"/>
  <c r="H19" i="18"/>
  <c r="P24" i="15"/>
  <c r="P20" i="15"/>
  <c r="P22" i="15"/>
  <c r="AA120" i="6"/>
  <c r="L74" i="3"/>
  <c r="G19" i="18"/>
  <c r="L49" i="16"/>
  <c r="K49" i="16"/>
  <c r="AA114" i="6"/>
  <c r="AA118" i="6" s="1"/>
  <c r="T53" i="7" s="1"/>
  <c r="G47" i="16"/>
  <c r="P23" i="15"/>
  <c r="P25" i="15"/>
  <c r="AB28" i="5"/>
  <c r="M8" i="2"/>
  <c r="S6" i="5"/>
  <c r="AB22" i="5"/>
  <c r="AA11" i="5"/>
  <c r="AA18" i="5"/>
  <c r="AA19" i="5" s="1"/>
  <c r="Z12" i="5"/>
  <c r="Z6" i="5"/>
  <c r="U22" i="5"/>
  <c r="T18" i="5"/>
  <c r="T19" i="5" s="1"/>
  <c r="T11" i="5"/>
  <c r="N22" i="5"/>
  <c r="M11" i="5"/>
  <c r="M18" i="5"/>
  <c r="M19" i="5" s="1"/>
  <c r="L82" i="5"/>
  <c r="D36" i="10"/>
  <c r="K33" i="10" s="1"/>
  <c r="K36" i="10" s="1"/>
  <c r="K27" i="10" s="1"/>
  <c r="J42" i="10" s="1"/>
  <c r="K44" i="10" s="1"/>
  <c r="C18" i="14" s="1"/>
  <c r="D12" i="14" s="1"/>
  <c r="M80" i="5"/>
  <c r="M86" i="5" s="1"/>
  <c r="L90" i="5"/>
  <c r="L88" i="5"/>
  <c r="AA80" i="5"/>
  <c r="Z90" i="5"/>
  <c r="Z88" i="5"/>
  <c r="E20" i="16"/>
  <c r="F41" i="16"/>
  <c r="H14" i="8"/>
  <c r="N16" i="8"/>
  <c r="M16" i="8"/>
  <c r="L238" i="1"/>
  <c r="E48" i="16" s="1"/>
  <c r="F61" i="13"/>
  <c r="F16" i="18"/>
  <c r="F19" i="18" s="1"/>
  <c r="F16" i="8"/>
  <c r="E21" i="22" s="1"/>
  <c r="F18" i="8"/>
  <c r="O16" i="8"/>
  <c r="L240" i="1"/>
  <c r="G48" i="16" s="1"/>
  <c r="H16" i="8"/>
  <c r="G21" i="22" s="1"/>
  <c r="C6" i="14"/>
  <c r="C8" i="14" s="1"/>
  <c r="H61" i="13"/>
  <c r="H71" i="13" s="1"/>
  <c r="G20" i="16"/>
  <c r="L39" i="16"/>
  <c r="R15" i="6"/>
  <c r="L40" i="16"/>
  <c r="K40" i="16"/>
  <c r="K4" i="2"/>
  <c r="H4" i="6"/>
  <c r="H4" i="5"/>
  <c r="D16" i="18"/>
  <c r="D41" i="16"/>
  <c r="D61" i="13"/>
  <c r="C20" i="16"/>
  <c r="L236" i="1"/>
  <c r="C48" i="16" s="1"/>
  <c r="H96" i="5"/>
  <c r="O18" i="8"/>
  <c r="F17" i="16"/>
  <c r="G16" i="8"/>
  <c r="F21" i="22" s="1"/>
  <c r="G96" i="5"/>
  <c r="E16" i="18"/>
  <c r="E19" i="18" s="1"/>
  <c r="E61" i="13"/>
  <c r="E41" i="16"/>
  <c r="D20" i="16"/>
  <c r="L237" i="1"/>
  <c r="D48" i="16" s="1"/>
  <c r="L16" i="8"/>
  <c r="C16" i="16"/>
  <c r="D14" i="8"/>
  <c r="G71" i="13"/>
  <c r="F96" i="5"/>
  <c r="K39" i="16"/>
  <c r="D16" i="16"/>
  <c r="E14" i="8"/>
  <c r="R23" i="5"/>
  <c r="R30" i="5"/>
  <c r="U28" i="5"/>
  <c r="M28" i="5"/>
  <c r="L6" i="5"/>
  <c r="D32" i="2"/>
  <c r="D33" i="2" s="1"/>
  <c r="H18" i="8"/>
  <c r="G18" i="8"/>
  <c r="E43" i="4" l="1"/>
  <c r="E47" i="4" s="1"/>
  <c r="E57" i="4" s="1"/>
  <c r="E71" i="9" s="1"/>
  <c r="Y61" i="5"/>
  <c r="I29" i="20"/>
  <c r="G14" i="20" s="1"/>
  <c r="M17" i="4"/>
  <c r="E51" i="19"/>
  <c r="E53" i="19" s="1"/>
  <c r="E55" i="19" s="1"/>
  <c r="E40" i="19"/>
  <c r="E32" i="19"/>
  <c r="R96" i="5"/>
  <c r="I28" i="20"/>
  <c r="P29" i="15"/>
  <c r="P31" i="15" s="1"/>
  <c r="P34" i="15" s="1"/>
  <c r="P36" i="15" s="1"/>
  <c r="H14" i="20"/>
  <c r="E8" i="25" s="1"/>
  <c r="K47" i="16"/>
  <c r="G33" i="22"/>
  <c r="Y96" i="5"/>
  <c r="Y99" i="5" s="1"/>
  <c r="Y160" i="6" s="1"/>
  <c r="Y159" i="6" s="1"/>
  <c r="R32" i="7" s="1"/>
  <c r="E59" i="4"/>
  <c r="M18" i="3"/>
  <c r="F20" i="7"/>
  <c r="M20" i="4" s="1"/>
  <c r="Z9" i="6"/>
  <c r="Z12" i="6" s="1"/>
  <c r="S43" i="7" s="1"/>
  <c r="S47" i="7" s="1"/>
  <c r="F71" i="9"/>
  <c r="F59" i="4"/>
  <c r="R99" i="5"/>
  <c r="K35" i="2" s="1"/>
  <c r="R101" i="5"/>
  <c r="Y146" i="6"/>
  <c r="R30" i="7" s="1"/>
  <c r="R61" i="5"/>
  <c r="Y46" i="6"/>
  <c r="Y152" i="6"/>
  <c r="R31" i="7" s="1"/>
  <c r="Y129" i="6"/>
  <c r="Y136" i="6"/>
  <c r="Y139" i="6"/>
  <c r="Y26" i="6"/>
  <c r="Y102" i="6"/>
  <c r="Y55" i="6"/>
  <c r="L60" i="5"/>
  <c r="L41" i="6"/>
  <c r="N168" i="6"/>
  <c r="G29" i="7" s="1"/>
  <c r="N10" i="6"/>
  <c r="G42" i="7" s="1"/>
  <c r="N56" i="5"/>
  <c r="R46" i="6"/>
  <c r="R136" i="6"/>
  <c r="R152" i="6"/>
  <c r="K31" i="7" s="1"/>
  <c r="R102" i="6"/>
  <c r="R129" i="6"/>
  <c r="R139" i="6"/>
  <c r="R55" i="6"/>
  <c r="K45" i="7" s="1"/>
  <c r="R26" i="6"/>
  <c r="Y126" i="6"/>
  <c r="R21" i="7" s="1"/>
  <c r="U168" i="6"/>
  <c r="N29" i="7" s="1"/>
  <c r="U10" i="6"/>
  <c r="N42" i="7" s="1"/>
  <c r="U56" i="5"/>
  <c r="Z60" i="5"/>
  <c r="Z61" i="5" s="1"/>
  <c r="Z41" i="6"/>
  <c r="M14" i="3"/>
  <c r="AB168" i="6"/>
  <c r="U29" i="7" s="1"/>
  <c r="AB10" i="6"/>
  <c r="U42" i="7" s="1"/>
  <c r="AB56" i="5"/>
  <c r="S41" i="6"/>
  <c r="S126" i="6" s="1"/>
  <c r="L59" i="3"/>
  <c r="T114" i="6"/>
  <c r="T118" i="6" s="1"/>
  <c r="M53" i="7" s="1"/>
  <c r="M53" i="4" s="1"/>
  <c r="K27" i="3"/>
  <c r="M50" i="3"/>
  <c r="S97" i="6"/>
  <c r="S105" i="6" s="1"/>
  <c r="S60" i="5"/>
  <c r="S61" i="5" s="1"/>
  <c r="L30" i="2"/>
  <c r="U88" i="5"/>
  <c r="T90" i="5"/>
  <c r="T88" i="5"/>
  <c r="V80" i="5"/>
  <c r="V86" i="5" s="1"/>
  <c r="V88" i="5" s="1"/>
  <c r="U82" i="5"/>
  <c r="L45" i="3"/>
  <c r="M10" i="2"/>
  <c r="N23" i="6"/>
  <c r="G17" i="7" s="1"/>
  <c r="N35" i="6"/>
  <c r="G20" i="7" s="1"/>
  <c r="U23" i="6"/>
  <c r="N17" i="7" s="1"/>
  <c r="U35" i="6"/>
  <c r="N20" i="7" s="1"/>
  <c r="N6" i="2"/>
  <c r="AB23" i="6"/>
  <c r="U17" i="7" s="1"/>
  <c r="AB35" i="6"/>
  <c r="U20" i="7" s="1"/>
  <c r="M12" i="5"/>
  <c r="T12" i="5"/>
  <c r="Y97" i="6"/>
  <c r="Y105" i="6" s="1"/>
  <c r="R15" i="7" s="1"/>
  <c r="S67" i="5"/>
  <c r="K26" i="16"/>
  <c r="H70" i="13"/>
  <c r="H73" i="13" s="1"/>
  <c r="H75" i="13" s="1"/>
  <c r="H83" i="13" s="1"/>
  <c r="K33" i="16"/>
  <c r="D60" i="13"/>
  <c r="D64" i="13" s="1"/>
  <c r="G60" i="13"/>
  <c r="G64" i="13" s="1"/>
  <c r="H60" i="13"/>
  <c r="H64" i="13" s="1"/>
  <c r="H6" i="18"/>
  <c r="H9" i="18" s="1"/>
  <c r="G70" i="13"/>
  <c r="G73" i="13" s="1"/>
  <c r="G75" i="13" s="1"/>
  <c r="G83" i="13" s="1"/>
  <c r="F60" i="13"/>
  <c r="F64" i="13" s="1"/>
  <c r="F70" i="13"/>
  <c r="F73" i="13" s="1"/>
  <c r="E70" i="13"/>
  <c r="E73" i="13" s="1"/>
  <c r="D19" i="18"/>
  <c r="E60" i="13"/>
  <c r="E64" i="13" s="1"/>
  <c r="D9" i="18"/>
  <c r="L47" i="16"/>
  <c r="AB120" i="6"/>
  <c r="M74" i="3"/>
  <c r="AB114" i="6"/>
  <c r="AB118" i="6" s="1"/>
  <c r="U53" i="7" s="1"/>
  <c r="S30" i="5"/>
  <c r="S23" i="5"/>
  <c r="AC28" i="5"/>
  <c r="N8" i="2"/>
  <c r="V22" i="5"/>
  <c r="U18" i="5"/>
  <c r="U19" i="5" s="1"/>
  <c r="U11" i="5"/>
  <c r="Z23" i="5"/>
  <c r="Z30" i="5"/>
  <c r="Z67" i="5"/>
  <c r="T6" i="5"/>
  <c r="O22" i="5"/>
  <c r="N18" i="5"/>
  <c r="N19" i="5" s="1"/>
  <c r="N11" i="5"/>
  <c r="AA12" i="5"/>
  <c r="AA6" i="5"/>
  <c r="AC22" i="5"/>
  <c r="AB11" i="5"/>
  <c r="AB18" i="5"/>
  <c r="AB19" i="5" s="1"/>
  <c r="G12" i="14"/>
  <c r="H12" i="14"/>
  <c r="F12" i="14"/>
  <c r="C24" i="14"/>
  <c r="E12" i="14"/>
  <c r="AA82" i="5"/>
  <c r="AA86" i="5"/>
  <c r="M82" i="5"/>
  <c r="D96" i="5"/>
  <c r="D36" i="2"/>
  <c r="D18" i="8"/>
  <c r="E17" i="16"/>
  <c r="N18" i="8"/>
  <c r="E21" i="16"/>
  <c r="E37" i="22" s="1"/>
  <c r="F71" i="13"/>
  <c r="S9" i="6"/>
  <c r="S70" i="5" s="1"/>
  <c r="G17" i="16"/>
  <c r="L20" i="16"/>
  <c r="H99" i="5"/>
  <c r="H97" i="5" s="1"/>
  <c r="H19" i="8"/>
  <c r="O19" i="8"/>
  <c r="L4" i="2"/>
  <c r="D4" i="7"/>
  <c r="K4" i="7" s="1"/>
  <c r="R4" i="7" s="1"/>
  <c r="K4" i="5"/>
  <c r="R4" i="5" s="1"/>
  <c r="Y4" i="5" s="1"/>
  <c r="K4" i="6"/>
  <c r="R4" i="6" s="1"/>
  <c r="Y4" i="6" s="1"/>
  <c r="D17" i="16"/>
  <c r="E16" i="8"/>
  <c r="D21" i="22" s="1"/>
  <c r="L18" i="8"/>
  <c r="E96" i="5"/>
  <c r="E71" i="13"/>
  <c r="F30" i="18"/>
  <c r="E19" i="16"/>
  <c r="K24" i="2"/>
  <c r="K25" i="2" s="1"/>
  <c r="C17" i="16"/>
  <c r="D16" i="8"/>
  <c r="C21" i="22" s="1"/>
  <c r="L7" i="9"/>
  <c r="L48" i="16"/>
  <c r="K48" i="16"/>
  <c r="K20" i="16"/>
  <c r="R126" i="6"/>
  <c r="K21" i="7" s="1"/>
  <c r="R99" i="6"/>
  <c r="K16" i="7" s="1"/>
  <c r="R146" i="6"/>
  <c r="K30" i="7" s="1"/>
  <c r="R57" i="5"/>
  <c r="R97" i="6"/>
  <c r="F99" i="5"/>
  <c r="F97" i="5" s="1"/>
  <c r="F19" i="8"/>
  <c r="D71" i="13"/>
  <c r="L41" i="16"/>
  <c r="K41" i="16"/>
  <c r="G99" i="5"/>
  <c r="G97" i="5" s="1"/>
  <c r="N19" i="8"/>
  <c r="G19" i="8"/>
  <c r="M18" i="8"/>
  <c r="L16" i="16"/>
  <c r="K16" i="16"/>
  <c r="L30" i="5"/>
  <c r="L97" i="6"/>
  <c r="L67" i="5"/>
  <c r="S57" i="5"/>
  <c r="L23" i="5"/>
  <c r="N28" i="5"/>
  <c r="M6" i="5"/>
  <c r="V28" i="5"/>
  <c r="E18" i="8"/>
  <c r="M19" i="8"/>
  <c r="N20" i="4" l="1"/>
  <c r="N17" i="4"/>
  <c r="Z70" i="5"/>
  <c r="Z96" i="5" s="1"/>
  <c r="G84" i="13"/>
  <c r="G86" i="13" s="1"/>
  <c r="D57" i="24"/>
  <c r="F36" i="22"/>
  <c r="D84" i="13"/>
  <c r="C36" i="22"/>
  <c r="E84" i="13"/>
  <c r="D36" i="22"/>
  <c r="F84" i="13"/>
  <c r="C57" i="24"/>
  <c r="E36" i="22"/>
  <c r="H84" i="13"/>
  <c r="E57" i="24"/>
  <c r="G36" i="22"/>
  <c r="N42" i="4"/>
  <c r="N29" i="4"/>
  <c r="Y101" i="5"/>
  <c r="Y103" i="5" s="1"/>
  <c r="R52" i="7" s="1"/>
  <c r="R55" i="7" s="1"/>
  <c r="G101" i="5"/>
  <c r="N50" i="3"/>
  <c r="Y61" i="6"/>
  <c r="R8" i="7"/>
  <c r="R28" i="7"/>
  <c r="R18" i="7"/>
  <c r="R23" i="7" s="1"/>
  <c r="K47" i="7"/>
  <c r="K18" i="7"/>
  <c r="K28" i="7"/>
  <c r="L21" i="7"/>
  <c r="R103" i="5"/>
  <c r="K52" i="7" s="1"/>
  <c r="R104" i="5"/>
  <c r="H101" i="5"/>
  <c r="R160" i="6"/>
  <c r="R159" i="6" s="1"/>
  <c r="K32" i="7" s="1"/>
  <c r="K8" i="7"/>
  <c r="R61" i="6"/>
  <c r="S108" i="6"/>
  <c r="F101" i="5"/>
  <c r="S96" i="5"/>
  <c r="N18" i="3"/>
  <c r="Z46" i="6"/>
  <c r="Z136" i="6"/>
  <c r="Z102" i="6"/>
  <c r="Z139" i="6"/>
  <c r="Z26" i="6"/>
  <c r="Z152" i="6"/>
  <c r="S31" i="7" s="1"/>
  <c r="Z55" i="6"/>
  <c r="Z129" i="6"/>
  <c r="V10" i="6"/>
  <c r="O42" i="7" s="1"/>
  <c r="V168" i="6"/>
  <c r="O29" i="7" s="1"/>
  <c r="V56" i="5"/>
  <c r="AC10" i="6"/>
  <c r="V42" i="7" s="1"/>
  <c r="AC168" i="6"/>
  <c r="V29" i="7" s="1"/>
  <c r="AC56" i="5"/>
  <c r="R30" i="6"/>
  <c r="R28" i="6"/>
  <c r="Y30" i="6"/>
  <c r="Y28" i="6"/>
  <c r="Y143" i="6"/>
  <c r="Y141" i="6"/>
  <c r="M60" i="5"/>
  <c r="M41" i="6"/>
  <c r="L46" i="6"/>
  <c r="L136" i="6"/>
  <c r="L139" i="6"/>
  <c r="L55" i="6"/>
  <c r="L102" i="6"/>
  <c r="L26" i="6"/>
  <c r="L129" i="6"/>
  <c r="L152" i="6"/>
  <c r="AA60" i="5"/>
  <c r="AA61" i="5" s="1"/>
  <c r="AA41" i="6"/>
  <c r="R141" i="6"/>
  <c r="R143" i="6"/>
  <c r="O168" i="6"/>
  <c r="H29" i="7" s="1"/>
  <c r="O29" i="4" s="1"/>
  <c r="O10" i="6"/>
  <c r="H42" i="7" s="1"/>
  <c r="O56" i="5"/>
  <c r="R133" i="6"/>
  <c r="R131" i="6"/>
  <c r="Y131" i="6"/>
  <c r="Y133" i="6"/>
  <c r="T60" i="5"/>
  <c r="T61" i="5" s="1"/>
  <c r="T41" i="6"/>
  <c r="Y156" i="6"/>
  <c r="Y154" i="6"/>
  <c r="R154" i="6"/>
  <c r="R156" i="6"/>
  <c r="S46" i="6"/>
  <c r="S152" i="6"/>
  <c r="L31" i="7" s="1"/>
  <c r="S129" i="6"/>
  <c r="S55" i="6"/>
  <c r="L29" i="3" s="1"/>
  <c r="S26" i="6"/>
  <c r="S102" i="6"/>
  <c r="S136" i="6"/>
  <c r="S139" i="6"/>
  <c r="U114" i="6"/>
  <c r="U118" i="6" s="1"/>
  <c r="N53" i="7" s="1"/>
  <c r="N53" i="4" s="1"/>
  <c r="S9" i="7"/>
  <c r="V90" i="5"/>
  <c r="N14" i="3"/>
  <c r="M30" i="2"/>
  <c r="L9" i="7"/>
  <c r="V82" i="5"/>
  <c r="N10" i="2"/>
  <c r="S75" i="5"/>
  <c r="S16" i="6" s="1"/>
  <c r="Y108" i="6"/>
  <c r="R27" i="7" s="1"/>
  <c r="U12" i="5"/>
  <c r="V23" i="6"/>
  <c r="O17" i="7" s="1"/>
  <c r="V35" i="6"/>
  <c r="O20" i="7" s="1"/>
  <c r="O6" i="2"/>
  <c r="AC23" i="6"/>
  <c r="V17" i="7" s="1"/>
  <c r="AC35" i="6"/>
  <c r="V20" i="7" s="1"/>
  <c r="O8" i="2"/>
  <c r="S99" i="6"/>
  <c r="L16" i="7" s="1"/>
  <c r="N12" i="5"/>
  <c r="S146" i="6"/>
  <c r="L30" i="7" s="1"/>
  <c r="O23" i="6"/>
  <c r="H17" i="7" s="1"/>
  <c r="O35" i="6"/>
  <c r="H20" i="7" s="1"/>
  <c r="S12" i="6"/>
  <c r="L43" i="7" s="1"/>
  <c r="F75" i="13"/>
  <c r="F83" i="13" s="1"/>
  <c r="F86" i="13" s="1"/>
  <c r="E75" i="13"/>
  <c r="E83" i="13" s="1"/>
  <c r="C9" i="14"/>
  <c r="C10" i="14" s="1"/>
  <c r="AC114" i="6"/>
  <c r="AC118" i="6" s="1"/>
  <c r="V53" i="7" s="1"/>
  <c r="AC120" i="6"/>
  <c r="O74" i="3" s="1"/>
  <c r="N74" i="3"/>
  <c r="U6" i="5"/>
  <c r="T30" i="5"/>
  <c r="T23" i="5"/>
  <c r="AC18" i="5"/>
  <c r="AC19" i="5" s="1"/>
  <c r="AC11" i="5"/>
  <c r="T57" i="5"/>
  <c r="Z126" i="6"/>
  <c r="S21" i="7" s="1"/>
  <c r="Z99" i="6"/>
  <c r="S16" i="7" s="1"/>
  <c r="Z146" i="6"/>
  <c r="S30" i="7" s="1"/>
  <c r="AA67" i="5"/>
  <c r="AA30" i="5"/>
  <c r="AA23" i="5"/>
  <c r="O11" i="5"/>
  <c r="O18" i="5"/>
  <c r="O19" i="5" s="1"/>
  <c r="Z97" i="6"/>
  <c r="Z57" i="5"/>
  <c r="T67" i="5"/>
  <c r="V11" i="5"/>
  <c r="V18" i="5"/>
  <c r="V19" i="5" s="1"/>
  <c r="AB12" i="5"/>
  <c r="AB6" i="5"/>
  <c r="N80" i="5"/>
  <c r="N86" i="5" s="1"/>
  <c r="M90" i="5"/>
  <c r="M88" i="5"/>
  <c r="AB80" i="5"/>
  <c r="AA90" i="5"/>
  <c r="AA88" i="5"/>
  <c r="D238" i="1"/>
  <c r="E238" i="1" s="1"/>
  <c r="E46" i="16" s="1"/>
  <c r="F55" i="9"/>
  <c r="H86" i="13"/>
  <c r="L17" i="16"/>
  <c r="K17" i="16"/>
  <c r="F11" i="18"/>
  <c r="F14" i="18" s="1"/>
  <c r="F34" i="18" s="1"/>
  <c r="F35" i="18" s="1"/>
  <c r="F21" i="8"/>
  <c r="M7" i="9"/>
  <c r="L39" i="9"/>
  <c r="L126" i="6"/>
  <c r="L146" i="6"/>
  <c r="L99" i="6"/>
  <c r="E18" i="16"/>
  <c r="F20" i="8"/>
  <c r="E22" i="22" s="1"/>
  <c r="L108" i="6"/>
  <c r="L105" i="6"/>
  <c r="R105" i="6"/>
  <c r="K15" i="7" s="1"/>
  <c r="R108" i="6"/>
  <c r="K27" i="7" s="1"/>
  <c r="L23" i="9"/>
  <c r="H30" i="18"/>
  <c r="M11" i="15"/>
  <c r="G19" i="16"/>
  <c r="G21" i="16"/>
  <c r="G37" i="22" s="1"/>
  <c r="O20" i="8"/>
  <c r="H55" i="9"/>
  <c r="G30" i="18"/>
  <c r="F19" i="16"/>
  <c r="F21" i="16"/>
  <c r="F37" i="22" s="1"/>
  <c r="N20" i="8"/>
  <c r="G55" i="9"/>
  <c r="D239" i="1"/>
  <c r="E239" i="1" s="1"/>
  <c r="F46" i="16" s="1"/>
  <c r="M4" i="2"/>
  <c r="E4" i="7"/>
  <c r="L4" i="7" s="1"/>
  <c r="S4" i="7" s="1"/>
  <c r="L4" i="5"/>
  <c r="S4" i="5" s="1"/>
  <c r="Z4" i="5" s="1"/>
  <c r="L4" i="6"/>
  <c r="S4" i="6" s="1"/>
  <c r="Z4" i="6" s="1"/>
  <c r="E99" i="5"/>
  <c r="E97" i="5" s="1"/>
  <c r="L19" i="8"/>
  <c r="E19" i="8"/>
  <c r="D99" i="5"/>
  <c r="D97" i="5" s="1"/>
  <c r="D19" i="8"/>
  <c r="M30" i="5"/>
  <c r="M97" i="6"/>
  <c r="M67" i="5"/>
  <c r="L12" i="2"/>
  <c r="L18" i="2"/>
  <c r="L19" i="2" s="1"/>
  <c r="M23" i="5"/>
  <c r="O28" i="5"/>
  <c r="N6" i="5"/>
  <c r="D38" i="2"/>
  <c r="D53" i="24" l="1"/>
  <c r="F32" i="22"/>
  <c r="C53" i="24"/>
  <c r="E32" i="22"/>
  <c r="Z75" i="5"/>
  <c r="Z16" i="6" s="1"/>
  <c r="D9" i="19"/>
  <c r="D39" i="2"/>
  <c r="E86" i="13"/>
  <c r="O20" i="4"/>
  <c r="O17" i="4"/>
  <c r="O42" i="4"/>
  <c r="L27" i="7"/>
  <c r="L65" i="3"/>
  <c r="L26" i="3"/>
  <c r="R34" i="7"/>
  <c r="R36" i="7" s="1"/>
  <c r="R38" i="7" s="1"/>
  <c r="R57" i="7" s="1"/>
  <c r="L15" i="7"/>
  <c r="L31" i="3"/>
  <c r="S28" i="7"/>
  <c r="S18" i="7"/>
  <c r="L18" i="7"/>
  <c r="L28" i="7"/>
  <c r="K23" i="7"/>
  <c r="K34" i="7"/>
  <c r="L47" i="7"/>
  <c r="K55" i="7"/>
  <c r="Y104" i="5"/>
  <c r="D101" i="5"/>
  <c r="S99" i="5"/>
  <c r="S101" i="5" s="1"/>
  <c r="Z99" i="5"/>
  <c r="Z101" i="5" s="1"/>
  <c r="E101" i="5"/>
  <c r="M46" i="6"/>
  <c r="M55" i="6"/>
  <c r="F45" i="7" s="1"/>
  <c r="M26" i="6"/>
  <c r="M152" i="6"/>
  <c r="F31" i="7" s="1"/>
  <c r="M129" i="6"/>
  <c r="M136" i="6"/>
  <c r="M139" i="6"/>
  <c r="M102" i="6"/>
  <c r="U60" i="5"/>
  <c r="U61" i="5" s="1"/>
  <c r="U41" i="6"/>
  <c r="U99" i="6" s="1"/>
  <c r="Z133" i="6"/>
  <c r="Z131" i="6"/>
  <c r="S143" i="6"/>
  <c r="L61" i="3" s="1"/>
  <c r="S141" i="6"/>
  <c r="Z154" i="6"/>
  <c r="Z156" i="6"/>
  <c r="N60" i="5"/>
  <c r="N41" i="6"/>
  <c r="Z28" i="6"/>
  <c r="Z30" i="6"/>
  <c r="Z143" i="6"/>
  <c r="Z141" i="6"/>
  <c r="S30" i="6"/>
  <c r="S28" i="6"/>
  <c r="S133" i="6"/>
  <c r="S131" i="6"/>
  <c r="L141" i="6"/>
  <c r="L143" i="6"/>
  <c r="S154" i="6"/>
  <c r="S156" i="6"/>
  <c r="L156" i="6"/>
  <c r="L154" i="6"/>
  <c r="L131" i="6"/>
  <c r="L133" i="6"/>
  <c r="L28" i="6"/>
  <c r="L30" i="6"/>
  <c r="AB60" i="5"/>
  <c r="AB61" i="5" s="1"/>
  <c r="AB41" i="6"/>
  <c r="T46" i="6"/>
  <c r="T139" i="6"/>
  <c r="T152" i="6"/>
  <c r="M31" i="7" s="1"/>
  <c r="T129" i="6"/>
  <c r="T55" i="6"/>
  <c r="T102" i="6"/>
  <c r="M31" i="3" s="1"/>
  <c r="T26" i="6"/>
  <c r="T136" i="6"/>
  <c r="AA46" i="6"/>
  <c r="AA55" i="6"/>
  <c r="AA26" i="6"/>
  <c r="AA152" i="6"/>
  <c r="T31" i="7" s="1"/>
  <c r="AA129" i="6"/>
  <c r="AA102" i="6"/>
  <c r="AA136" i="6"/>
  <c r="AA139" i="6"/>
  <c r="V114" i="6"/>
  <c r="V118" i="6" s="1"/>
  <c r="O53" i="7" s="1"/>
  <c r="O53" i="4" s="1"/>
  <c r="S15" i="6"/>
  <c r="S18" i="6" s="1"/>
  <c r="S43" i="6"/>
  <c r="Z43" i="6"/>
  <c r="Z15" i="6"/>
  <c r="O50" i="3"/>
  <c r="L13" i="2"/>
  <c r="L15" i="2"/>
  <c r="L16" i="2" s="1"/>
  <c r="D57" i="4"/>
  <c r="D71" i="9" s="1"/>
  <c r="D8" i="4"/>
  <c r="V6" i="5"/>
  <c r="O18" i="3"/>
  <c r="O14" i="3"/>
  <c r="V97" i="6"/>
  <c r="V105" i="6" s="1"/>
  <c r="L51" i="3"/>
  <c r="O10" i="2"/>
  <c r="M45" i="3"/>
  <c r="M59" i="3"/>
  <c r="U30" i="5"/>
  <c r="U23" i="5"/>
  <c r="U67" i="5"/>
  <c r="V12" i="5"/>
  <c r="O12" i="5"/>
  <c r="L13" i="3"/>
  <c r="L19" i="3"/>
  <c r="H77" i="13"/>
  <c r="H78" i="13"/>
  <c r="D9" i="14"/>
  <c r="E9" i="14" s="1"/>
  <c r="T97" i="6"/>
  <c r="T105" i="6" s="1"/>
  <c r="M15" i="7" s="1"/>
  <c r="AA126" i="6"/>
  <c r="T21" i="7" s="1"/>
  <c r="AA99" i="6"/>
  <c r="T16" i="7" s="1"/>
  <c r="AA146" i="6"/>
  <c r="T30" i="7" s="1"/>
  <c r="AA97" i="6"/>
  <c r="AA57" i="5"/>
  <c r="T146" i="6"/>
  <c r="M30" i="7" s="1"/>
  <c r="Z108" i="6"/>
  <c r="Z105" i="6"/>
  <c r="S15" i="7" s="1"/>
  <c r="T99" i="6"/>
  <c r="M16" i="7" s="1"/>
  <c r="T126" i="6"/>
  <c r="M21" i="7" s="1"/>
  <c r="M21" i="4" s="1"/>
  <c r="AC12" i="5"/>
  <c r="AC6" i="5"/>
  <c r="AB30" i="5"/>
  <c r="AB67" i="5"/>
  <c r="AB23" i="5"/>
  <c r="D47" i="2"/>
  <c r="D104" i="5" s="1"/>
  <c r="D45" i="2"/>
  <c r="AB82" i="5"/>
  <c r="AB86" i="5"/>
  <c r="N82" i="5"/>
  <c r="M39" i="9"/>
  <c r="M23" i="9"/>
  <c r="F18" i="16"/>
  <c r="G20" i="8"/>
  <c r="F22" i="22" s="1"/>
  <c r="N7" i="9"/>
  <c r="M126" i="6"/>
  <c r="F21" i="7" s="1"/>
  <c r="M146" i="6"/>
  <c r="F30" i="7" s="1"/>
  <c r="M99" i="6"/>
  <c r="F16" i="7" s="1"/>
  <c r="U57" i="5"/>
  <c r="U97" i="6"/>
  <c r="H89" i="13"/>
  <c r="C16" i="14" s="1"/>
  <c r="H88" i="13"/>
  <c r="H11" i="18"/>
  <c r="H14" i="18" s="1"/>
  <c r="H34" i="18" s="1"/>
  <c r="H35" i="18" s="1"/>
  <c r="H21" i="8"/>
  <c r="O21" i="8"/>
  <c r="G18" i="16"/>
  <c r="H20" i="8"/>
  <c r="G22" i="22" s="1"/>
  <c r="D236" i="1"/>
  <c r="E236" i="1" s="1"/>
  <c r="C46" i="16" s="1"/>
  <c r="C32" i="22" s="1"/>
  <c r="D30" i="18"/>
  <c r="D55" i="9"/>
  <c r="N4" i="2"/>
  <c r="F4" i="7"/>
  <c r="M4" i="7" s="1"/>
  <c r="T4" i="7" s="1"/>
  <c r="M4" i="5"/>
  <c r="T4" i="5" s="1"/>
  <c r="AA4" i="5" s="1"/>
  <c r="M4" i="6"/>
  <c r="T4" i="6" s="1"/>
  <c r="AA4" i="6" s="1"/>
  <c r="Q11" i="15"/>
  <c r="D240" i="1"/>
  <c r="E240" i="1" s="1"/>
  <c r="M108" i="6"/>
  <c r="F27" i="7" s="1"/>
  <c r="M105" i="6"/>
  <c r="F15" i="7" s="1"/>
  <c r="E30" i="18"/>
  <c r="D19" i="16"/>
  <c r="D21" i="16"/>
  <c r="D37" i="22" s="1"/>
  <c r="E55" i="9"/>
  <c r="L20" i="8"/>
  <c r="D237" i="1"/>
  <c r="E237" i="1" s="1"/>
  <c r="D46" i="16" s="1"/>
  <c r="D32" i="22" s="1"/>
  <c r="M20" i="8"/>
  <c r="G11" i="18"/>
  <c r="G14" i="18" s="1"/>
  <c r="G34" i="18" s="1"/>
  <c r="G35" i="18" s="1"/>
  <c r="G21" i="8"/>
  <c r="N21" i="8"/>
  <c r="V57" i="5"/>
  <c r="N97" i="6"/>
  <c r="N67" i="5"/>
  <c r="M12" i="2"/>
  <c r="M57" i="5"/>
  <c r="M18" i="2"/>
  <c r="M19" i="2" s="1"/>
  <c r="M61" i="5"/>
  <c r="N23" i="5"/>
  <c r="N30" i="5"/>
  <c r="O6" i="5"/>
  <c r="D37" i="19" l="1"/>
  <c r="D45" i="19" s="1"/>
  <c r="D48" i="19" s="1"/>
  <c r="D17" i="19"/>
  <c r="D20" i="19" s="1"/>
  <c r="S23" i="7"/>
  <c r="L49" i="3"/>
  <c r="R59" i="7"/>
  <c r="M65" i="3"/>
  <c r="M30" i="4"/>
  <c r="L46" i="3"/>
  <c r="L60" i="3"/>
  <c r="M15" i="4"/>
  <c r="M31" i="4"/>
  <c r="AA9" i="6"/>
  <c r="AA70" i="5" s="1"/>
  <c r="AA96" i="5" s="1"/>
  <c r="Z18" i="6"/>
  <c r="M26" i="3"/>
  <c r="L48" i="3"/>
  <c r="S27" i="7"/>
  <c r="T18" i="7"/>
  <c r="T28" i="7"/>
  <c r="M16" i="4"/>
  <c r="N16" i="7"/>
  <c r="M18" i="7"/>
  <c r="M18" i="4" s="1"/>
  <c r="M28" i="7"/>
  <c r="M29" i="3"/>
  <c r="M45" i="7"/>
  <c r="M45" i="4" s="1"/>
  <c r="L23" i="7"/>
  <c r="F18" i="7"/>
  <c r="F23" i="7" s="1"/>
  <c r="F28" i="7"/>
  <c r="S103" i="5"/>
  <c r="L52" i="7" s="1"/>
  <c r="Z103" i="5"/>
  <c r="S52" i="7" s="1"/>
  <c r="S55" i="7" s="1"/>
  <c r="K36" i="7"/>
  <c r="S8" i="7"/>
  <c r="Z160" i="6"/>
  <c r="Z159" i="6" s="1"/>
  <c r="S32" i="7" s="1"/>
  <c r="Z61" i="6"/>
  <c r="S61" i="6"/>
  <c r="S160" i="6"/>
  <c r="L8" i="7"/>
  <c r="L35" i="2"/>
  <c r="T156" i="6"/>
  <c r="T154" i="6"/>
  <c r="AB46" i="6"/>
  <c r="AB136" i="6"/>
  <c r="AB139" i="6"/>
  <c r="AB102" i="6"/>
  <c r="AB152" i="6"/>
  <c r="U31" i="7" s="1"/>
  <c r="AB55" i="6"/>
  <c r="U45" i="7" s="1"/>
  <c r="AB129" i="6"/>
  <c r="AB26" i="6"/>
  <c r="U46" i="6"/>
  <c r="U139" i="6"/>
  <c r="U152" i="6"/>
  <c r="N31" i="7" s="1"/>
  <c r="U55" i="6"/>
  <c r="U129" i="6"/>
  <c r="U136" i="6"/>
  <c r="N65" i="3" s="1"/>
  <c r="U102" i="6"/>
  <c r="U26" i="6"/>
  <c r="L32" i="3"/>
  <c r="L16" i="3"/>
  <c r="T131" i="6"/>
  <c r="T133" i="6"/>
  <c r="AA141" i="6"/>
  <c r="AA143" i="6"/>
  <c r="M141" i="6"/>
  <c r="M143" i="6"/>
  <c r="AC60" i="5"/>
  <c r="AC61" i="5" s="1"/>
  <c r="AC41" i="6"/>
  <c r="O60" i="5"/>
  <c r="O41" i="6"/>
  <c r="AA156" i="6"/>
  <c r="AA154" i="6"/>
  <c r="M156" i="6"/>
  <c r="M154" i="6"/>
  <c r="M28" i="6"/>
  <c r="M30" i="6"/>
  <c r="T30" i="6"/>
  <c r="T28" i="6"/>
  <c r="T141" i="6"/>
  <c r="T143" i="6"/>
  <c r="AA133" i="6"/>
  <c r="AA131" i="6"/>
  <c r="L52" i="3"/>
  <c r="M131" i="6"/>
  <c r="M133" i="6"/>
  <c r="L62" i="3"/>
  <c r="AA30" i="6"/>
  <c r="AA28" i="6"/>
  <c r="U146" i="6"/>
  <c r="V60" i="5"/>
  <c r="V61" i="5" s="1"/>
  <c r="V41" i="6"/>
  <c r="V99" i="6" s="1"/>
  <c r="O16" i="7" s="1"/>
  <c r="N46" i="6"/>
  <c r="N136" i="6"/>
  <c r="N139" i="6"/>
  <c r="N55" i="6"/>
  <c r="G45" i="7" s="1"/>
  <c r="N129" i="6"/>
  <c r="N152" i="6"/>
  <c r="G31" i="7" s="1"/>
  <c r="N102" i="6"/>
  <c r="N26" i="6"/>
  <c r="T9" i="6"/>
  <c r="T12" i="6" s="1"/>
  <c r="M43" i="7" s="1"/>
  <c r="V30" i="5"/>
  <c r="V67" i="5"/>
  <c r="V23" i="5"/>
  <c r="M13" i="2"/>
  <c r="M15" i="2"/>
  <c r="M16" i="2" s="1"/>
  <c r="V108" i="6"/>
  <c r="M51" i="3"/>
  <c r="N30" i="2"/>
  <c r="L10" i="3"/>
  <c r="S64" i="6"/>
  <c r="S165" i="6"/>
  <c r="U126" i="6"/>
  <c r="N21" i="7" s="1"/>
  <c r="M19" i="3"/>
  <c r="M13" i="3"/>
  <c r="T108" i="6"/>
  <c r="M27" i="7" s="1"/>
  <c r="M27" i="4" s="1"/>
  <c r="AA108" i="6"/>
  <c r="T27" i="7" s="1"/>
  <c r="AA105" i="6"/>
  <c r="T15" i="7" s="1"/>
  <c r="AB97" i="6"/>
  <c r="AB57" i="5"/>
  <c r="AB126" i="6"/>
  <c r="U21" i="7" s="1"/>
  <c r="AB146" i="6"/>
  <c r="U30" i="7" s="1"/>
  <c r="AB99" i="6"/>
  <c r="U16" i="7" s="1"/>
  <c r="AC67" i="5"/>
  <c r="AC30" i="5"/>
  <c r="AC23" i="5"/>
  <c r="O80" i="5"/>
  <c r="O86" i="5" s="1"/>
  <c r="N90" i="5"/>
  <c r="N88" i="5"/>
  <c r="AC80" i="5"/>
  <c r="AB90" i="5"/>
  <c r="AB88" i="5"/>
  <c r="N39" i="9"/>
  <c r="N108" i="6"/>
  <c r="G27" i="7" s="1"/>
  <c r="N105" i="6"/>
  <c r="G15" i="7" s="1"/>
  <c r="E11" i="18"/>
  <c r="E14" i="18" s="1"/>
  <c r="E34" i="18" s="1"/>
  <c r="E35" i="18" s="1"/>
  <c r="L21" i="8"/>
  <c r="E21" i="8"/>
  <c r="M21" i="8"/>
  <c r="D18" i="16"/>
  <c r="E20" i="8"/>
  <c r="D22" i="22" s="1"/>
  <c r="D48" i="2"/>
  <c r="D11" i="18"/>
  <c r="D14" i="18" s="1"/>
  <c r="D34" i="18" s="1"/>
  <c r="D35" i="18" s="1"/>
  <c r="D21" i="8"/>
  <c r="C18" i="16"/>
  <c r="D20" i="8"/>
  <c r="C22" i="22" s="1"/>
  <c r="K21" i="16"/>
  <c r="L21" i="16"/>
  <c r="L19" i="16"/>
  <c r="K19" i="16"/>
  <c r="G46" i="16"/>
  <c r="Q21" i="15"/>
  <c r="Q25" i="15"/>
  <c r="G10" i="20" s="1"/>
  <c r="Q23" i="15"/>
  <c r="Q22" i="15"/>
  <c r="Q20" i="15"/>
  <c r="I10" i="20" s="1"/>
  <c r="Q24" i="15"/>
  <c r="O7" i="9"/>
  <c r="O4" i="2"/>
  <c r="G4" i="7"/>
  <c r="N4" i="7" s="1"/>
  <c r="U4" i="7" s="1"/>
  <c r="N4" i="5"/>
  <c r="U4" i="5" s="1"/>
  <c r="AB4" i="5" s="1"/>
  <c r="N4" i="6"/>
  <c r="U4" i="6" s="1"/>
  <c r="AB4" i="6" s="1"/>
  <c r="N23" i="9"/>
  <c r="U108" i="6"/>
  <c r="U105" i="6"/>
  <c r="N15" i="7" s="1"/>
  <c r="N126" i="6"/>
  <c r="G21" i="7" s="1"/>
  <c r="N146" i="6"/>
  <c r="G30" i="7" s="1"/>
  <c r="N99" i="6"/>
  <c r="G16" i="7" s="1"/>
  <c r="F9" i="14"/>
  <c r="O97" i="6"/>
  <c r="O67" i="5"/>
  <c r="N61" i="5"/>
  <c r="N18" i="2"/>
  <c r="N19" i="2" s="1"/>
  <c r="N12" i="2"/>
  <c r="N57" i="5"/>
  <c r="L21" i="2"/>
  <c r="L22" i="2" s="1"/>
  <c r="O23" i="5"/>
  <c r="O30" i="5"/>
  <c r="L46" i="16" l="1"/>
  <c r="E53" i="24"/>
  <c r="C67" i="24" s="1"/>
  <c r="G32" i="22"/>
  <c r="Q31" i="15"/>
  <c r="H10" i="20"/>
  <c r="E7" i="25" s="1"/>
  <c r="M28" i="4"/>
  <c r="N21" i="4"/>
  <c r="N31" i="4"/>
  <c r="N26" i="3"/>
  <c r="O27" i="7"/>
  <c r="N31" i="3"/>
  <c r="N15" i="4"/>
  <c r="N27" i="7"/>
  <c r="N27" i="4" s="1"/>
  <c r="AA12" i="6"/>
  <c r="T43" i="7" s="1"/>
  <c r="T47" i="7" s="1"/>
  <c r="M60" i="3"/>
  <c r="M52" i="3"/>
  <c r="M46" i="3"/>
  <c r="M62" i="3"/>
  <c r="M61" i="3"/>
  <c r="M49" i="3"/>
  <c r="T23" i="7"/>
  <c r="S34" i="7"/>
  <c r="S36" i="7" s="1"/>
  <c r="S38" i="7" s="1"/>
  <c r="S57" i="7" s="1"/>
  <c r="O15" i="7"/>
  <c r="O15" i="4" s="1"/>
  <c r="U28" i="7"/>
  <c r="U18" i="7"/>
  <c r="N29" i="3"/>
  <c r="N45" i="7"/>
  <c r="N45" i="4" s="1"/>
  <c r="N16" i="4"/>
  <c r="N28" i="7"/>
  <c r="N18" i="7"/>
  <c r="M23" i="7"/>
  <c r="M23" i="4" s="1"/>
  <c r="G18" i="7"/>
  <c r="G23" i="7" s="1"/>
  <c r="G28" i="7"/>
  <c r="K38" i="7"/>
  <c r="M47" i="7"/>
  <c r="S104" i="5"/>
  <c r="Z104" i="5"/>
  <c r="L55" i="7"/>
  <c r="T70" i="5"/>
  <c r="T96" i="5" s="1"/>
  <c r="AA99" i="5"/>
  <c r="T8" i="7" s="1"/>
  <c r="S159" i="6"/>
  <c r="L32" i="7" s="1"/>
  <c r="V126" i="6"/>
  <c r="O21" i="7" s="1"/>
  <c r="L21" i="3"/>
  <c r="O46" i="6"/>
  <c r="O102" i="6"/>
  <c r="O136" i="6"/>
  <c r="O55" i="6"/>
  <c r="H45" i="7" s="1"/>
  <c r="O26" i="6"/>
  <c r="O152" i="6"/>
  <c r="H31" i="7" s="1"/>
  <c r="O129" i="6"/>
  <c r="O139" i="6"/>
  <c r="AC46" i="6"/>
  <c r="AC136" i="6"/>
  <c r="AC139" i="6"/>
  <c r="AC26" i="6"/>
  <c r="AC102" i="6"/>
  <c r="AC55" i="6"/>
  <c r="V45" i="7" s="1"/>
  <c r="AC152" i="6"/>
  <c r="V31" i="7" s="1"/>
  <c r="AC129" i="6"/>
  <c r="V146" i="6"/>
  <c r="O30" i="7" s="1"/>
  <c r="N28" i="6"/>
  <c r="N30" i="6"/>
  <c r="AB30" i="6"/>
  <c r="AB28" i="6"/>
  <c r="N156" i="6"/>
  <c r="N154" i="6"/>
  <c r="AB133" i="6"/>
  <c r="AB131" i="6"/>
  <c r="U30" i="6"/>
  <c r="U28" i="6"/>
  <c r="U131" i="6"/>
  <c r="U133" i="6"/>
  <c r="U156" i="6"/>
  <c r="U154" i="6"/>
  <c r="U143" i="6"/>
  <c r="U141" i="6"/>
  <c r="N131" i="6"/>
  <c r="N133" i="6"/>
  <c r="AB154" i="6"/>
  <c r="AB156" i="6"/>
  <c r="N141" i="6"/>
  <c r="N143" i="6"/>
  <c r="M16" i="3"/>
  <c r="AB141" i="6"/>
  <c r="AB143" i="6"/>
  <c r="M32" i="3"/>
  <c r="V46" i="6"/>
  <c r="V139" i="6"/>
  <c r="V129" i="6"/>
  <c r="V102" i="6"/>
  <c r="V26" i="6"/>
  <c r="V55" i="6"/>
  <c r="O45" i="7" s="1"/>
  <c r="V152" i="6"/>
  <c r="O31" i="7" s="1"/>
  <c r="V136" i="6"/>
  <c r="Z64" i="6"/>
  <c r="Z165" i="6"/>
  <c r="T9" i="7"/>
  <c r="AA75" i="5"/>
  <c r="AA16" i="6" s="1"/>
  <c r="N13" i="2"/>
  <c r="N15" i="2"/>
  <c r="N16" i="2" s="1"/>
  <c r="N51" i="3"/>
  <c r="M10" i="3"/>
  <c r="N45" i="3"/>
  <c r="N59" i="3"/>
  <c r="N13" i="3"/>
  <c r="N19" i="3"/>
  <c r="M48" i="3"/>
  <c r="AB105" i="6"/>
  <c r="U15" i="7" s="1"/>
  <c r="AB108" i="6"/>
  <c r="U27" i="7" s="1"/>
  <c r="AC97" i="6"/>
  <c r="AC57" i="5"/>
  <c r="AC126" i="6"/>
  <c r="V21" i="7" s="1"/>
  <c r="AC146" i="6"/>
  <c r="V30" i="7" s="1"/>
  <c r="AC99" i="6"/>
  <c r="V16" i="7" s="1"/>
  <c r="O82" i="5"/>
  <c r="AC82" i="5"/>
  <c r="O30" i="2" s="1"/>
  <c r="AC86" i="5"/>
  <c r="K46" i="16"/>
  <c r="O39" i="9"/>
  <c r="O23" i="9"/>
  <c r="G9" i="14"/>
  <c r="Q34" i="15"/>
  <c r="Q36" i="15" s="1"/>
  <c r="Q29" i="15"/>
  <c r="O126" i="6"/>
  <c r="H21" i="7" s="1"/>
  <c r="O99" i="6"/>
  <c r="H16" i="7" s="1"/>
  <c r="O16" i="4" s="1"/>
  <c r="O146" i="6"/>
  <c r="H30" i="7" s="1"/>
  <c r="L18" i="16"/>
  <c r="K18" i="16"/>
  <c r="H4" i="7"/>
  <c r="O4" i="7" s="1"/>
  <c r="V4" i="7" s="1"/>
  <c r="O4" i="5"/>
  <c r="V4" i="5" s="1"/>
  <c r="AC4" i="5" s="1"/>
  <c r="O4" i="6"/>
  <c r="V4" i="6" s="1"/>
  <c r="AC4" i="6" s="1"/>
  <c r="O108" i="6"/>
  <c r="H27" i="7" s="1"/>
  <c r="O105" i="6"/>
  <c r="H15" i="7" s="1"/>
  <c r="M21" i="2"/>
  <c r="M22" i="2" s="1"/>
  <c r="O61" i="5"/>
  <c r="O18" i="2"/>
  <c r="O19" i="2" s="1"/>
  <c r="O12" i="2"/>
  <c r="O57" i="5"/>
  <c r="O31" i="4" l="1"/>
  <c r="O45" i="4"/>
  <c r="O65" i="3"/>
  <c r="N52" i="3"/>
  <c r="AA101" i="5"/>
  <c r="AA103" i="5" s="1"/>
  <c r="T52" i="7" s="1"/>
  <c r="T55" i="7" s="1"/>
  <c r="N60" i="3"/>
  <c r="N18" i="4"/>
  <c r="N28" i="4"/>
  <c r="O31" i="3"/>
  <c r="N32" i="3"/>
  <c r="O26" i="3"/>
  <c r="S59" i="7"/>
  <c r="T75" i="5"/>
  <c r="T16" i="6" s="1"/>
  <c r="O27" i="4"/>
  <c r="T99" i="5"/>
  <c r="T160" i="6" s="1"/>
  <c r="T159" i="6" s="1"/>
  <c r="M32" i="7" s="1"/>
  <c r="N49" i="3"/>
  <c r="O21" i="4"/>
  <c r="O30" i="4"/>
  <c r="M9" i="7"/>
  <c r="N61" i="3"/>
  <c r="U23" i="7"/>
  <c r="V18" i="7"/>
  <c r="V28" i="7"/>
  <c r="N23" i="7"/>
  <c r="N23" i="4" s="1"/>
  <c r="O18" i="7"/>
  <c r="O28" i="7"/>
  <c r="H28" i="7"/>
  <c r="H18" i="7"/>
  <c r="H23" i="7" s="1"/>
  <c r="AA61" i="6"/>
  <c r="AA160" i="6"/>
  <c r="AA159" i="6" s="1"/>
  <c r="T32" i="7" s="1"/>
  <c r="T34" i="7" s="1"/>
  <c r="T36" i="7" s="1"/>
  <c r="T38" i="7" s="1"/>
  <c r="L34" i="7"/>
  <c r="K57" i="7"/>
  <c r="M21" i="3"/>
  <c r="V133" i="6"/>
  <c r="O60" i="3" s="1"/>
  <c r="V131" i="6"/>
  <c r="O46" i="3" s="1"/>
  <c r="AC131" i="6"/>
  <c r="AC133" i="6"/>
  <c r="N16" i="3"/>
  <c r="AC28" i="6"/>
  <c r="AC30" i="6"/>
  <c r="AC143" i="6"/>
  <c r="AC141" i="6"/>
  <c r="O143" i="6"/>
  <c r="O141" i="6"/>
  <c r="N62" i="3"/>
  <c r="O133" i="6"/>
  <c r="O131" i="6"/>
  <c r="N46" i="3"/>
  <c r="V154" i="6"/>
  <c r="V156" i="6"/>
  <c r="O29" i="3"/>
  <c r="V30" i="6"/>
  <c r="V28" i="6"/>
  <c r="V143" i="6"/>
  <c r="O61" i="3" s="1"/>
  <c r="V141" i="6"/>
  <c r="O49" i="3" s="1"/>
  <c r="AC154" i="6"/>
  <c r="AC156" i="6"/>
  <c r="O156" i="6"/>
  <c r="O154" i="6"/>
  <c r="O30" i="6"/>
  <c r="O28" i="6"/>
  <c r="AA43" i="6"/>
  <c r="AA15" i="6"/>
  <c r="T43" i="6"/>
  <c r="T15" i="6"/>
  <c r="U9" i="6" s="1"/>
  <c r="U12" i="6" s="1"/>
  <c r="N43" i="7" s="1"/>
  <c r="O13" i="2"/>
  <c r="O15" i="2"/>
  <c r="O16" i="2" s="1"/>
  <c r="O51" i="3"/>
  <c r="N48" i="3"/>
  <c r="N10" i="3"/>
  <c r="O19" i="3"/>
  <c r="O13" i="3"/>
  <c r="AC108" i="6"/>
  <c r="V27" i="7" s="1"/>
  <c r="AC105" i="6"/>
  <c r="V15" i="7" s="1"/>
  <c r="AC90" i="5"/>
  <c r="AC88" i="5"/>
  <c r="O90" i="5"/>
  <c r="O88" i="5"/>
  <c r="N21" i="2"/>
  <c r="N22" i="2" s="1"/>
  <c r="T61" i="6" l="1"/>
  <c r="M35" i="2"/>
  <c r="M8" i="7"/>
  <c r="O32" i="3"/>
  <c r="O62" i="3"/>
  <c r="O52" i="3"/>
  <c r="O28" i="4"/>
  <c r="AB9" i="6"/>
  <c r="AB70" i="5" s="1"/>
  <c r="AB96" i="5" s="1"/>
  <c r="AA18" i="6"/>
  <c r="T101" i="5"/>
  <c r="T103" i="5" s="1"/>
  <c r="M52" i="7" s="1"/>
  <c r="V23" i="7"/>
  <c r="T57" i="7"/>
  <c r="O18" i="4"/>
  <c r="O23" i="7"/>
  <c r="O23" i="4" s="1"/>
  <c r="M55" i="7"/>
  <c r="K59" i="7"/>
  <c r="N47" i="7"/>
  <c r="T104" i="5"/>
  <c r="L36" i="7"/>
  <c r="M34" i="7"/>
  <c r="AA104" i="5"/>
  <c r="N21" i="3"/>
  <c r="O16" i="3"/>
  <c r="U70" i="5"/>
  <c r="T18" i="6"/>
  <c r="O10" i="3"/>
  <c r="O48" i="3"/>
  <c r="O45" i="3"/>
  <c r="O59" i="3"/>
  <c r="O21" i="2"/>
  <c r="O22" i="2" s="1"/>
  <c r="K67" i="5"/>
  <c r="R67" i="5"/>
  <c r="R75" i="5" s="1"/>
  <c r="R16" i="6" s="1"/>
  <c r="R18" i="6" s="1"/>
  <c r="H73" i="5"/>
  <c r="Y67" i="5"/>
  <c r="Y75" i="5" s="1"/>
  <c r="T59" i="7" l="1"/>
  <c r="AB12" i="6"/>
  <c r="U43" i="7" s="1"/>
  <c r="U47" i="7" s="1"/>
  <c r="L38" i="7"/>
  <c r="M36" i="7"/>
  <c r="AB99" i="5"/>
  <c r="AB61" i="6" s="1"/>
  <c r="O21" i="3"/>
  <c r="U15" i="6"/>
  <c r="V9" i="6" s="1"/>
  <c r="V70" i="5" s="1"/>
  <c r="V96" i="5" s="1"/>
  <c r="U96" i="5"/>
  <c r="U75" i="5"/>
  <c r="U16" i="6" s="1"/>
  <c r="N9" i="7"/>
  <c r="AA64" i="6"/>
  <c r="AA165" i="6"/>
  <c r="U9" i="7"/>
  <c r="AB75" i="5"/>
  <c r="AB16" i="6" s="1"/>
  <c r="T64" i="6"/>
  <c r="T165" i="6"/>
  <c r="U43" i="6"/>
  <c r="R64" i="6"/>
  <c r="R165" i="6"/>
  <c r="R68" i="5"/>
  <c r="Y68" i="5"/>
  <c r="Y16" i="6"/>
  <c r="Y18" i="6" s="1"/>
  <c r="AB160" i="6" l="1"/>
  <c r="AB159" i="6" s="1"/>
  <c r="U32" i="7" s="1"/>
  <c r="U34" i="7" s="1"/>
  <c r="U36" i="7" s="1"/>
  <c r="M38" i="7"/>
  <c r="AB101" i="5"/>
  <c r="L57" i="7"/>
  <c r="U8" i="7"/>
  <c r="U38" i="7" s="1"/>
  <c r="U99" i="5"/>
  <c r="N8" i="7" s="1"/>
  <c r="V99" i="5"/>
  <c r="O8" i="7" s="1"/>
  <c r="V101" i="5"/>
  <c r="V12" i="6"/>
  <c r="O43" i="7" s="1"/>
  <c r="U18" i="6"/>
  <c r="U64" i="6" s="1"/>
  <c r="AB43" i="6"/>
  <c r="AB15" i="6"/>
  <c r="O9" i="7"/>
  <c r="V75" i="5"/>
  <c r="V16" i="6" s="1"/>
  <c r="Y64" i="6"/>
  <c r="Y165" i="6"/>
  <c r="AC9" i="6" l="1"/>
  <c r="AC70" i="5" s="1"/>
  <c r="AC96" i="5" s="1"/>
  <c r="AB18" i="6"/>
  <c r="O47" i="7"/>
  <c r="V103" i="5"/>
  <c r="O52" i="7" s="1"/>
  <c r="V104" i="5"/>
  <c r="L59" i="7"/>
  <c r="M57" i="7"/>
  <c r="AB103" i="5"/>
  <c r="U52" i="7" s="1"/>
  <c r="U55" i="7" s="1"/>
  <c r="U57" i="7" s="1"/>
  <c r="U101" i="5"/>
  <c r="U61" i="6"/>
  <c r="N35" i="2"/>
  <c r="O35" i="2"/>
  <c r="V160" i="6"/>
  <c r="V159" i="6" s="1"/>
  <c r="U165" i="6"/>
  <c r="U160" i="6"/>
  <c r="V61" i="6"/>
  <c r="V43" i="6"/>
  <c r="V15" i="6"/>
  <c r="V18" i="6" s="1"/>
  <c r="AC12" i="6" l="1"/>
  <c r="V43" i="7" s="1"/>
  <c r="V47" i="7" s="1"/>
  <c r="AB104" i="5"/>
  <c r="U59" i="7"/>
  <c r="O55" i="7"/>
  <c r="U103" i="5"/>
  <c r="N52" i="7" s="1"/>
  <c r="M59" i="7"/>
  <c r="AC99" i="5"/>
  <c r="AC101" i="5" s="1"/>
  <c r="U159" i="6"/>
  <c r="N32" i="7" s="1"/>
  <c r="AC15" i="6"/>
  <c r="V9" i="7"/>
  <c r="AC75" i="5"/>
  <c r="AC16" i="6" s="1"/>
  <c r="AB64" i="6"/>
  <c r="AB165" i="6"/>
  <c r="V165" i="6"/>
  <c r="V64" i="6"/>
  <c r="K18" i="5"/>
  <c r="L19" i="5" s="1"/>
  <c r="AC61" i="6" l="1"/>
  <c r="AC160" i="6"/>
  <c r="AC159" i="6" s="1"/>
  <c r="V32" i="7" s="1"/>
  <c r="V34" i="7" s="1"/>
  <c r="V36" i="7" s="1"/>
  <c r="V8" i="7"/>
  <c r="AC18" i="6"/>
  <c r="V38" i="7"/>
  <c r="U104" i="5"/>
  <c r="AC103" i="5"/>
  <c r="V52" i="7" s="1"/>
  <c r="V55" i="7" s="1"/>
  <c r="V57" i="7" s="1"/>
  <c r="N55" i="7"/>
  <c r="O32" i="7"/>
  <c r="AC43" i="6"/>
  <c r="K6" i="5"/>
  <c r="K12" i="2"/>
  <c r="K18" i="2"/>
  <c r="K19" i="2" s="1"/>
  <c r="AC104" i="5" l="1"/>
  <c r="V59" i="7"/>
  <c r="O34" i="7"/>
  <c r="K60" i="5"/>
  <c r="K41" i="6"/>
  <c r="AC64" i="6"/>
  <c r="AC165" i="6"/>
  <c r="K13" i="2"/>
  <c r="K15" i="2"/>
  <c r="K16" i="2" s="1"/>
  <c r="K23" i="5"/>
  <c r="K75" i="5"/>
  <c r="K16" i="6" s="1"/>
  <c r="K15" i="6"/>
  <c r="K7" i="9"/>
  <c r="K30" i="5"/>
  <c r="K68" i="5"/>
  <c r="L57" i="5"/>
  <c r="K57" i="5"/>
  <c r="K97" i="6"/>
  <c r="K23" i="9"/>
  <c r="K39" i="9" l="1"/>
  <c r="I27" i="20"/>
  <c r="I14" i="20" s="1"/>
  <c r="K96" i="5"/>
  <c r="K99" i="5" s="1"/>
  <c r="K101" i="5" s="1"/>
  <c r="O36" i="7"/>
  <c r="L61" i="5"/>
  <c r="K61" i="5"/>
  <c r="K55" i="9"/>
  <c r="D6" i="14"/>
  <c r="D8" i="14" s="1"/>
  <c r="D10" i="14" s="1"/>
  <c r="D14" i="14" s="1"/>
  <c r="K46" i="6"/>
  <c r="K26" i="3" s="1"/>
  <c r="K26" i="6"/>
  <c r="K136" i="6"/>
  <c r="K65" i="3" s="1"/>
  <c r="K139" i="6"/>
  <c r="K129" i="6"/>
  <c r="K152" i="6"/>
  <c r="K55" i="6"/>
  <c r="K29" i="3" s="1"/>
  <c r="K102" i="6"/>
  <c r="K31" i="3" s="1"/>
  <c r="K21" i="2"/>
  <c r="K22" i="2" s="1"/>
  <c r="K18" i="6"/>
  <c r="K165" i="6" s="1"/>
  <c r="K63" i="3" s="1"/>
  <c r="L9" i="6"/>
  <c r="L70" i="5" s="1"/>
  <c r="L96" i="5" s="1"/>
  <c r="K146" i="6"/>
  <c r="K126" i="6"/>
  <c r="K99" i="6"/>
  <c r="K105" i="6"/>
  <c r="K108" i="6"/>
  <c r="D27" i="7" l="1"/>
  <c r="K27" i="4" s="1"/>
  <c r="E27" i="7"/>
  <c r="L27" i="4" s="1"/>
  <c r="D15" i="7"/>
  <c r="K15" i="4" s="1"/>
  <c r="E15" i="7"/>
  <c r="L15" i="4" s="1"/>
  <c r="D45" i="7"/>
  <c r="E45" i="7"/>
  <c r="L45" i="4" s="1"/>
  <c r="D31" i="7"/>
  <c r="K31" i="4" s="1"/>
  <c r="E31" i="7"/>
  <c r="L31" i="4" s="1"/>
  <c r="D28" i="7"/>
  <c r="K28" i="4" s="1"/>
  <c r="D18" i="7"/>
  <c r="K18" i="4" s="1"/>
  <c r="E18" i="7"/>
  <c r="L18" i="4" s="1"/>
  <c r="E28" i="7"/>
  <c r="L28" i="4" s="1"/>
  <c r="D16" i="7"/>
  <c r="K16" i="4" s="1"/>
  <c r="E16" i="7"/>
  <c r="L16" i="4" s="1"/>
  <c r="D21" i="7"/>
  <c r="K21" i="4" s="1"/>
  <c r="E21" i="7"/>
  <c r="L21" i="4" s="1"/>
  <c r="N30" i="7"/>
  <c r="D30" i="7"/>
  <c r="K30" i="4" s="1"/>
  <c r="E30" i="7"/>
  <c r="L30" i="4" s="1"/>
  <c r="K103" i="5"/>
  <c r="D52" i="7" s="1"/>
  <c r="O38" i="7"/>
  <c r="L99" i="5"/>
  <c r="L101" i="5" s="1"/>
  <c r="L55" i="9"/>
  <c r="E6" i="14"/>
  <c r="E8" i="14" s="1"/>
  <c r="E10" i="14" s="1"/>
  <c r="E14" i="14" s="1"/>
  <c r="K154" i="6"/>
  <c r="K52" i="3" s="1"/>
  <c r="K156" i="6"/>
  <c r="K62" i="3" s="1"/>
  <c r="K131" i="6"/>
  <c r="K46" i="3" s="1"/>
  <c r="K133" i="6"/>
  <c r="K60" i="3" s="1"/>
  <c r="K143" i="6"/>
  <c r="K61" i="3" s="1"/>
  <c r="K141" i="6"/>
  <c r="K49" i="3" s="1"/>
  <c r="K28" i="6"/>
  <c r="K16" i="3" s="1"/>
  <c r="K30" i="6"/>
  <c r="K32" i="3" s="1"/>
  <c r="D8" i="7"/>
  <c r="K8" i="4" s="1"/>
  <c r="K160" i="6"/>
  <c r="K61" i="6"/>
  <c r="K34" i="3" s="1"/>
  <c r="L43" i="6"/>
  <c r="L27" i="3" s="1"/>
  <c r="K19" i="3"/>
  <c r="K51" i="3"/>
  <c r="E9" i="7"/>
  <c r="L9" i="4" s="1"/>
  <c r="L24" i="2"/>
  <c r="L25" i="2" s="1"/>
  <c r="K48" i="3"/>
  <c r="K10" i="3"/>
  <c r="K25" i="3"/>
  <c r="K64" i="6"/>
  <c r="K35" i="3" s="1"/>
  <c r="K13" i="3"/>
  <c r="L75" i="5"/>
  <c r="L16" i="6" s="1"/>
  <c r="L12" i="6"/>
  <c r="K27" i="2"/>
  <c r="K28" i="2" s="1"/>
  <c r="K67" i="3" l="1"/>
  <c r="D47" i="7"/>
  <c r="K47" i="4" s="1"/>
  <c r="K45" i="4"/>
  <c r="D55" i="7"/>
  <c r="K55" i="4" s="1"/>
  <c r="K52" i="4"/>
  <c r="K104" i="5"/>
  <c r="K159" i="6"/>
  <c r="D32" i="7" s="1"/>
  <c r="K53" i="3"/>
  <c r="K55" i="3" s="1"/>
  <c r="N30" i="4"/>
  <c r="N34" i="7"/>
  <c r="E23" i="7"/>
  <c r="L23" i="4" s="1"/>
  <c r="D23" i="7"/>
  <c r="L15" i="6"/>
  <c r="M9" i="6" s="1"/>
  <c r="M70" i="5" s="1"/>
  <c r="M96" i="5" s="1"/>
  <c r="E43" i="7"/>
  <c r="L103" i="5"/>
  <c r="E52" i="7" s="1"/>
  <c r="L52" i="4" s="1"/>
  <c r="O57" i="7"/>
  <c r="E8" i="7"/>
  <c r="L8" i="4" s="1"/>
  <c r="L61" i="6"/>
  <c r="L34" i="3" s="1"/>
  <c r="L160" i="6"/>
  <c r="L27" i="2"/>
  <c r="L28" i="2" s="1"/>
  <c r="K37" i="3"/>
  <c r="K32" i="2"/>
  <c r="K33" i="2" s="1"/>
  <c r="K69" i="3" l="1"/>
  <c r="E47" i="7"/>
  <c r="L47" i="4" s="1"/>
  <c r="L43" i="4"/>
  <c r="L159" i="6"/>
  <c r="E32" i="7" s="1"/>
  <c r="L53" i="3"/>
  <c r="L55" i="3" s="1"/>
  <c r="K23" i="4"/>
  <c r="D34" i="7"/>
  <c r="K34" i="4" s="1"/>
  <c r="K32" i="4"/>
  <c r="N36" i="7"/>
  <c r="L18" i="6"/>
  <c r="L165" i="6" s="1"/>
  <c r="L63" i="3" s="1"/>
  <c r="L67" i="3" s="1"/>
  <c r="O59" i="7"/>
  <c r="L104" i="5"/>
  <c r="M99" i="5"/>
  <c r="M101" i="5" s="1"/>
  <c r="M55" i="9"/>
  <c r="F6" i="14"/>
  <c r="F8" i="14" s="1"/>
  <c r="F10" i="14" s="1"/>
  <c r="F14" i="14" s="1"/>
  <c r="M43" i="6"/>
  <c r="M27" i="3" s="1"/>
  <c r="K36" i="2"/>
  <c r="F9" i="7"/>
  <c r="M9" i="4" s="1"/>
  <c r="M24" i="2"/>
  <c r="M25" i="2" s="1"/>
  <c r="L32" i="2"/>
  <c r="L33" i="2" s="1"/>
  <c r="L25" i="3"/>
  <c r="M75" i="5"/>
  <c r="M16" i="6" s="1"/>
  <c r="M12" i="6"/>
  <c r="K38" i="2"/>
  <c r="K39" i="2" s="1"/>
  <c r="L69" i="3" l="1"/>
  <c r="D36" i="7"/>
  <c r="E34" i="7"/>
  <c r="L32" i="4"/>
  <c r="N38" i="7"/>
  <c r="M15" i="6"/>
  <c r="M18" i="6" s="1"/>
  <c r="M165" i="6" s="1"/>
  <c r="M63" i="3" s="1"/>
  <c r="M67" i="3" s="1"/>
  <c r="F43" i="7"/>
  <c r="L64" i="6"/>
  <c r="L35" i="3" s="1"/>
  <c r="L37" i="3" s="1"/>
  <c r="L39" i="3" s="1"/>
  <c r="M103" i="5"/>
  <c r="F52" i="7" s="1"/>
  <c r="M52" i="4" s="1"/>
  <c r="F8" i="7"/>
  <c r="M8" i="4" s="1"/>
  <c r="M160" i="6"/>
  <c r="M61" i="6"/>
  <c r="M34" i="3" s="1"/>
  <c r="L36" i="2"/>
  <c r="M27" i="2"/>
  <c r="M28" i="2" s="1"/>
  <c r="L38" i="2"/>
  <c r="L39" i="2" s="1"/>
  <c r="K42" i="2"/>
  <c r="K44" i="2"/>
  <c r="K47" i="2" s="1"/>
  <c r="K48" i="2" s="1"/>
  <c r="M159" i="6" l="1"/>
  <c r="F32" i="7" s="1"/>
  <c r="M53" i="3"/>
  <c r="M55" i="3" s="1"/>
  <c r="M69" i="3" s="1"/>
  <c r="F47" i="7"/>
  <c r="M47" i="4" s="1"/>
  <c r="M43" i="4"/>
  <c r="E36" i="7"/>
  <c r="L34" i="4"/>
  <c r="D38" i="7"/>
  <c r="K36" i="4"/>
  <c r="N57" i="7"/>
  <c r="N9" i="6"/>
  <c r="N70" i="5" s="1"/>
  <c r="N96" i="5" s="1"/>
  <c r="N99" i="5" s="1"/>
  <c r="N101" i="5" s="1"/>
  <c r="M104" i="5"/>
  <c r="N43" i="6"/>
  <c r="N27" i="3" s="1"/>
  <c r="N24" i="2"/>
  <c r="N25" i="2" s="1"/>
  <c r="M32" i="2"/>
  <c r="M33" i="2" s="1"/>
  <c r="L42" i="2"/>
  <c r="L44" i="2"/>
  <c r="L47" i="2" s="1"/>
  <c r="L48" i="2" s="1"/>
  <c r="M25" i="3"/>
  <c r="M64" i="6"/>
  <c r="M35" i="3" s="1"/>
  <c r="D57" i="7" l="1"/>
  <c r="K71" i="9" s="1"/>
  <c r="K38" i="4"/>
  <c r="E38" i="7"/>
  <c r="L38" i="4" s="1"/>
  <c r="L36" i="4"/>
  <c r="F34" i="7"/>
  <c r="M32" i="4"/>
  <c r="N59" i="7"/>
  <c r="N103" i="5"/>
  <c r="G52" i="7" s="1"/>
  <c r="N52" i="4" s="1"/>
  <c r="N75" i="5"/>
  <c r="N16" i="6" s="1"/>
  <c r="N12" i="6"/>
  <c r="G9" i="7"/>
  <c r="N9" i="4" s="1"/>
  <c r="G6" i="14"/>
  <c r="G8" i="14" s="1"/>
  <c r="G10" i="14" s="1"/>
  <c r="G14" i="14" s="1"/>
  <c r="N55" i="9"/>
  <c r="G8" i="7"/>
  <c r="N8" i="4" s="1"/>
  <c r="N160" i="6"/>
  <c r="N61" i="6"/>
  <c r="N34" i="3" s="1"/>
  <c r="M36" i="2"/>
  <c r="N27" i="2"/>
  <c r="N28" i="2" s="1"/>
  <c r="M38" i="2"/>
  <c r="M39" i="2" s="1"/>
  <c r="M37" i="3"/>
  <c r="M39" i="3" s="1"/>
  <c r="N159" i="6" l="1"/>
  <c r="G32" i="7" s="1"/>
  <c r="N53" i="3"/>
  <c r="N55" i="3" s="1"/>
  <c r="N104" i="5"/>
  <c r="F36" i="7"/>
  <c r="M34" i="4"/>
  <c r="D59" i="7"/>
  <c r="K59" i="4" s="1"/>
  <c r="K57" i="4"/>
  <c r="N15" i="6"/>
  <c r="G43" i="7"/>
  <c r="O43" i="6"/>
  <c r="O27" i="3" s="1"/>
  <c r="O24" i="2"/>
  <c r="O25" i="2" s="1"/>
  <c r="N32" i="2"/>
  <c r="N33" i="2" s="1"/>
  <c r="M42" i="2"/>
  <c r="M44" i="2"/>
  <c r="M47" i="2" s="1"/>
  <c r="M48" i="2" s="1"/>
  <c r="G34" i="7" l="1"/>
  <c r="N32" i="4"/>
  <c r="G47" i="7"/>
  <c r="N47" i="4" s="1"/>
  <c r="N43" i="4"/>
  <c r="F38" i="7"/>
  <c r="M38" i="4" s="1"/>
  <c r="M36" i="4"/>
  <c r="N18" i="6"/>
  <c r="N25" i="3" s="1"/>
  <c r="O9" i="6"/>
  <c r="N36" i="2"/>
  <c r="O27" i="2"/>
  <c r="O28" i="2" s="1"/>
  <c r="N38" i="2"/>
  <c r="N39" i="2" s="1"/>
  <c r="G36" i="7" l="1"/>
  <c r="N34" i="4"/>
  <c r="O70" i="5"/>
  <c r="O12" i="6"/>
  <c r="N165" i="6"/>
  <c r="N63" i="3" s="1"/>
  <c r="N67" i="3" s="1"/>
  <c r="N69" i="3" s="1"/>
  <c r="N64" i="6"/>
  <c r="N35" i="3" s="1"/>
  <c r="N37" i="3" s="1"/>
  <c r="N39" i="3" s="1"/>
  <c r="O32" i="2"/>
  <c r="O33" i="2" s="1"/>
  <c r="N42" i="2"/>
  <c r="N44" i="2"/>
  <c r="N47" i="2" s="1"/>
  <c r="N48" i="2" s="1"/>
  <c r="G38" i="7" l="1"/>
  <c r="N38" i="4" s="1"/>
  <c r="N36" i="4"/>
  <c r="O96" i="5"/>
  <c r="H9" i="7"/>
  <c r="O9" i="4" s="1"/>
  <c r="O75" i="5"/>
  <c r="O16" i="6" s="1"/>
  <c r="O15" i="6"/>
  <c r="H43" i="7"/>
  <c r="O36" i="2"/>
  <c r="O38" i="2"/>
  <c r="O39" i="2" s="1"/>
  <c r="L114" i="6"/>
  <c r="L118" i="6" s="1"/>
  <c r="E53" i="7" s="1"/>
  <c r="E55" i="7" s="1"/>
  <c r="E57" i="7" l="1"/>
  <c r="L71" i="9" s="1"/>
  <c r="L55" i="4"/>
  <c r="H47" i="7"/>
  <c r="O47" i="4" s="1"/>
  <c r="O43" i="4"/>
  <c r="O99" i="5"/>
  <c r="H8" i="7" s="1"/>
  <c r="O8" i="4" s="1"/>
  <c r="O55" i="9"/>
  <c r="H6" i="14"/>
  <c r="H8" i="14" s="1"/>
  <c r="H10" i="14" s="1"/>
  <c r="O18" i="6"/>
  <c r="O25" i="3" s="1"/>
  <c r="O42" i="2"/>
  <c r="O44" i="2"/>
  <c r="O47" i="2" s="1"/>
  <c r="O48" i="2" s="1"/>
  <c r="M114" i="6"/>
  <c r="M118" i="6" s="1"/>
  <c r="F53" i="7" s="1"/>
  <c r="F55" i="7" s="1"/>
  <c r="L73" i="3"/>
  <c r="L77" i="3" s="1"/>
  <c r="L79" i="3" s="1"/>
  <c r="L6" i="3" s="1"/>
  <c r="K73" i="3"/>
  <c r="K77" i="3" s="1"/>
  <c r="K79" i="3" s="1"/>
  <c r="F57" i="7" l="1"/>
  <c r="M71" i="9" s="1"/>
  <c r="M55" i="4"/>
  <c r="E59" i="7"/>
  <c r="L59" i="4" s="1"/>
  <c r="L57" i="4"/>
  <c r="O165" i="6"/>
  <c r="O63" i="3" s="1"/>
  <c r="O67" i="3" s="1"/>
  <c r="O64" i="6"/>
  <c r="O35" i="3" s="1"/>
  <c r="H14" i="14"/>
  <c r="C32" i="14" s="1"/>
  <c r="F75" i="35" s="1"/>
  <c r="C23" i="14"/>
  <c r="C27" i="14" s="1"/>
  <c r="C83" i="35" s="1"/>
  <c r="I63" i="35" s="1"/>
  <c r="O101" i="5"/>
  <c r="O160" i="6"/>
  <c r="O61" i="6"/>
  <c r="O34" i="3" s="1"/>
  <c r="L81" i="3"/>
  <c r="Q39" i="3"/>
  <c r="N114" i="6"/>
  <c r="N118" i="6" s="1"/>
  <c r="G53" i="7" s="1"/>
  <c r="G55" i="7" s="1"/>
  <c r="M73" i="3"/>
  <c r="M77" i="3" s="1"/>
  <c r="M79" i="3" s="1"/>
  <c r="M6" i="3" s="1"/>
  <c r="O159" i="6" l="1"/>
  <c r="H32" i="7" s="1"/>
  <c r="O53" i="3"/>
  <c r="O55" i="3" s="1"/>
  <c r="O69" i="3" s="1"/>
  <c r="F59" i="7"/>
  <c r="M59" i="4" s="1"/>
  <c r="M57" i="4"/>
  <c r="G57" i="7"/>
  <c r="N71" i="9" s="1"/>
  <c r="N55" i="4"/>
  <c r="O37" i="3"/>
  <c r="O39" i="3" s="1"/>
  <c r="C33" i="14"/>
  <c r="E19" i="14"/>
  <c r="O103" i="5"/>
  <c r="H52" i="7" s="1"/>
  <c r="O52" i="4" s="1"/>
  <c r="M81" i="3"/>
  <c r="R39" i="3"/>
  <c r="O114" i="6"/>
  <c r="N73" i="3"/>
  <c r="N77" i="3" s="1"/>
  <c r="N79" i="3" s="1"/>
  <c r="N6" i="3" s="1"/>
  <c r="C35" i="14" l="1"/>
  <c r="F78" i="35" s="1"/>
  <c r="I72" i="35" s="1"/>
  <c r="F76" i="35"/>
  <c r="G59" i="7"/>
  <c r="N59" i="4" s="1"/>
  <c r="N57" i="4"/>
  <c r="H34" i="7"/>
  <c r="O32" i="4"/>
  <c r="O104" i="5"/>
  <c r="N81" i="3"/>
  <c r="S39" i="3"/>
  <c r="O118" i="6"/>
  <c r="H53" i="7" s="1"/>
  <c r="H55" i="7" s="1"/>
  <c r="E29" i="14" l="1"/>
  <c r="C40" i="14"/>
  <c r="O55" i="4"/>
  <c r="H36" i="7"/>
  <c r="O34" i="4"/>
  <c r="O73" i="3"/>
  <c r="O77" i="3" s="1"/>
  <c r="O79" i="3" s="1"/>
  <c r="O6" i="3" s="1"/>
  <c r="C43" i="14" l="1"/>
  <c r="C46" i="14" s="1"/>
  <c r="F83" i="35"/>
  <c r="H38" i="7"/>
  <c r="O36" i="4"/>
  <c r="T39" i="3"/>
  <c r="O81" i="3"/>
  <c r="E39" i="14" l="1"/>
  <c r="C6" i="25"/>
  <c r="E6" i="25" s="1"/>
  <c r="E12" i="25" s="1"/>
  <c r="E9" i="24" s="1"/>
  <c r="F86" i="35"/>
  <c r="I81" i="35" s="1"/>
  <c r="O38" i="4"/>
  <c r="H57" i="7"/>
  <c r="O71" i="9" s="1"/>
  <c r="D22" i="3"/>
  <c r="K21" i="3"/>
  <c r="K39" i="3" s="1"/>
  <c r="C86" i="35" l="1"/>
  <c r="E10" i="24"/>
  <c r="L81" i="27"/>
  <c r="E7" i="24"/>
  <c r="H59" i="7"/>
  <c r="O59" i="4" s="1"/>
  <c r="O57" i="4"/>
  <c r="K6" i="3"/>
  <c r="P39" i="3"/>
  <c r="K81" i="3"/>
  <c r="C33" i="31"/>
  <c r="C21" i="31" l="1"/>
  <c r="G21" i="31" s="1"/>
  <c r="G20" i="31" s="1"/>
  <c r="C19" i="31"/>
  <c r="G19" i="31" s="1"/>
  <c r="G18" i="31" s="1"/>
  <c r="C15" i="31"/>
  <c r="G15" i="31" s="1"/>
  <c r="G14" i="31" s="1"/>
  <c r="C30" i="31"/>
  <c r="G30" i="31" s="1"/>
  <c r="G29" i="31" s="1"/>
  <c r="C27" i="31"/>
  <c r="G27" i="31" s="1"/>
  <c r="G26" i="31" s="1"/>
  <c r="C25" i="31"/>
  <c r="G25" i="31" s="1"/>
  <c r="G24" i="31" s="1"/>
  <c r="C23" i="31"/>
  <c r="G23" i="31" s="1"/>
  <c r="G22" i="31" s="1"/>
  <c r="C17" i="31"/>
  <c r="G17" i="31" s="1"/>
  <c r="G16" i="31" s="1"/>
  <c r="C13" i="31"/>
  <c r="G13" i="31" s="1"/>
  <c r="G12" i="31" s="1"/>
  <c r="G28" i="31" l="1"/>
</calcChain>
</file>

<file path=xl/sharedStrings.xml><?xml version="1.0" encoding="utf-8"?>
<sst xmlns="http://schemas.openxmlformats.org/spreadsheetml/2006/main" count="5446" uniqueCount="3836">
  <si>
    <t>PROFIT &amp; LOSS</t>
  </si>
  <si>
    <r>
      <t>Sales </t>
    </r>
    <r>
      <rPr>
        <sz val="11"/>
        <color rgb="FF665EFD"/>
        <rFont val="Arial"/>
        <family val="2"/>
      </rPr>
      <t>-</t>
    </r>
  </si>
  <si>
    <t>Sales Growth %</t>
  </si>
  <si>
    <r>
      <t>Expenses </t>
    </r>
    <r>
      <rPr>
        <sz val="11"/>
        <color rgb="FF665EFD"/>
        <rFont val="Arial"/>
        <family val="2"/>
      </rPr>
      <t>-</t>
    </r>
  </si>
  <si>
    <r>
      <t>Material Cost % </t>
    </r>
    <r>
      <rPr>
        <sz val="11"/>
        <color rgb="FF665EFD"/>
        <rFont val="Arial"/>
        <family val="2"/>
      </rPr>
      <t>-</t>
    </r>
  </si>
  <si>
    <t>Manufacturing Cost %</t>
  </si>
  <si>
    <t>Employee Cost %</t>
  </si>
  <si>
    <t>Other Cost %</t>
  </si>
  <si>
    <t>Operating Profit</t>
  </si>
  <si>
    <t>OPM %</t>
  </si>
  <si>
    <r>
      <t>Other Income </t>
    </r>
    <r>
      <rPr>
        <sz val="11"/>
        <color rgb="FF665EFD"/>
        <rFont val="Arial"/>
        <family val="2"/>
      </rPr>
      <t>-</t>
    </r>
  </si>
  <si>
    <t>Exceptional items</t>
  </si>
  <si>
    <t>Other income normal</t>
  </si>
  <si>
    <t>Interest</t>
  </si>
  <si>
    <t>Depreciation</t>
  </si>
  <si>
    <t>Profit before tax</t>
  </si>
  <si>
    <t>Tax %</t>
  </si>
  <si>
    <r>
      <t>Net Profit </t>
    </r>
    <r>
      <rPr>
        <sz val="11"/>
        <color rgb="FF665EFD"/>
        <rFont val="Arial"/>
        <family val="2"/>
      </rPr>
      <t>-</t>
    </r>
  </si>
  <si>
    <t>Minority share</t>
  </si>
  <si>
    <t>Exceptional items AT</t>
  </si>
  <si>
    <t>Profit excl Excep</t>
  </si>
  <si>
    <t>Profit for PE</t>
  </si>
  <si>
    <t>Profit for EPS</t>
  </si>
  <si>
    <t>Profit Growth %</t>
  </si>
  <si>
    <t>EPS in Rs</t>
  </si>
  <si>
    <t>Dividend Payout %</t>
  </si>
  <si>
    <t>BALANCE SHEET</t>
  </si>
  <si>
    <t>Reserves</t>
  </si>
  <si>
    <r>
      <t>Borrowings </t>
    </r>
    <r>
      <rPr>
        <sz val="11"/>
        <color rgb="FF665EFD"/>
        <rFont val="Arial"/>
        <family val="2"/>
      </rPr>
      <t>-</t>
    </r>
  </si>
  <si>
    <t>Long term Borrowings</t>
  </si>
  <si>
    <t>Short term Borrowings</t>
  </si>
  <si>
    <t>Lease Liabilities</t>
  </si>
  <si>
    <t>Other Borrowings</t>
  </si>
  <si>
    <r>
      <t>Other Liabilities </t>
    </r>
    <r>
      <rPr>
        <sz val="11"/>
        <color rgb="FF665EFD"/>
        <rFont val="Arial"/>
        <family val="2"/>
      </rPr>
      <t>-</t>
    </r>
  </si>
  <si>
    <t>Trade Payables</t>
  </si>
  <si>
    <t>Advance from Customers</t>
  </si>
  <si>
    <t>Other liability items</t>
  </si>
  <si>
    <t>Total Liabilities</t>
  </si>
  <si>
    <r>
      <t>Fixed Assets </t>
    </r>
    <r>
      <rPr>
        <sz val="11"/>
        <color rgb="FF665EFD"/>
        <rFont val="Arial"/>
        <family val="2"/>
      </rPr>
      <t>-</t>
    </r>
  </si>
  <si>
    <t>Plant Machinery</t>
  </si>
  <si>
    <t>Equipments</t>
  </si>
  <si>
    <t>Computers</t>
  </si>
  <si>
    <t>Vehicles</t>
  </si>
  <si>
    <t>Other fixed assets</t>
  </si>
  <si>
    <t>Gross Block</t>
  </si>
  <si>
    <t>Accumulated Depreciation</t>
  </si>
  <si>
    <t>CWIP</t>
  </si>
  <si>
    <t>Investments</t>
  </si>
  <si>
    <r>
      <t>Other Assets </t>
    </r>
    <r>
      <rPr>
        <sz val="11"/>
        <color rgb="FF665EFD"/>
        <rFont val="Arial"/>
        <family val="2"/>
      </rPr>
      <t>-</t>
    </r>
  </si>
  <si>
    <t>Inventories</t>
  </si>
  <si>
    <t>Trade receivables</t>
  </si>
  <si>
    <t>Cash Equivalents</t>
  </si>
  <si>
    <t>Total Assets</t>
  </si>
  <si>
    <t>CASH FLOW STATEMENT</t>
  </si>
  <si>
    <r>
      <t>Cash from Operating Activity </t>
    </r>
    <r>
      <rPr>
        <sz val="11"/>
        <color rgb="FF665EFD"/>
        <rFont val="Arial"/>
        <family val="2"/>
      </rPr>
      <t>-</t>
    </r>
  </si>
  <si>
    <t>Receivables</t>
  </si>
  <si>
    <t>Inventory</t>
  </si>
  <si>
    <t>Payables</t>
  </si>
  <si>
    <t>Loans Advances</t>
  </si>
  <si>
    <t>Other WC items</t>
  </si>
  <si>
    <r>
      <t>Cash from Investing Activity </t>
    </r>
    <r>
      <rPr>
        <sz val="11"/>
        <color rgb="FF665EFD"/>
        <rFont val="Arial"/>
        <family val="2"/>
      </rPr>
      <t>-</t>
    </r>
  </si>
  <si>
    <t>Fixed assets purchased</t>
  </si>
  <si>
    <t>Fixed assets sold</t>
  </si>
  <si>
    <t>Investments purchased</t>
  </si>
  <si>
    <t>Investments sold</t>
  </si>
  <si>
    <t>Interest received</t>
  </si>
  <si>
    <t>Dividends received</t>
  </si>
  <si>
    <t>Investment in group cos</t>
  </si>
  <si>
    <t>Redemp n Canc of Shares</t>
  </si>
  <si>
    <t>Acquisition of companies</t>
  </si>
  <si>
    <t>Inter corporate deposits</t>
  </si>
  <si>
    <t>Other investing items</t>
  </si>
  <si>
    <r>
      <t>Cash from Financing Activity </t>
    </r>
    <r>
      <rPr>
        <sz val="11"/>
        <color rgb="FF665EFD"/>
        <rFont val="Arial"/>
        <family val="2"/>
      </rPr>
      <t>-</t>
    </r>
  </si>
  <si>
    <t>Proceeds from shares</t>
  </si>
  <si>
    <t>Proceeds from borrowings</t>
  </si>
  <si>
    <t>Repayment of borrowings</t>
  </si>
  <si>
    <t>Interest paid fin</t>
  </si>
  <si>
    <t>Dividends paid</t>
  </si>
  <si>
    <t>Financial liabilities</t>
  </si>
  <si>
    <t>Other financing items</t>
  </si>
  <si>
    <t>Net Cash Flow</t>
  </si>
  <si>
    <t>INCOME STATEMENT</t>
  </si>
  <si>
    <t>UNIT</t>
  </si>
  <si>
    <t>Year 1</t>
  </si>
  <si>
    <t>Year 2</t>
  </si>
  <si>
    <t>Year 3</t>
  </si>
  <si>
    <t>Year 4</t>
  </si>
  <si>
    <t>Year 5</t>
  </si>
  <si>
    <t>Year 6</t>
  </si>
  <si>
    <t>Year 7</t>
  </si>
  <si>
    <t>Year 8</t>
  </si>
  <si>
    <t>Year 9</t>
  </si>
  <si>
    <t>Year 10</t>
  </si>
  <si>
    <t>INCOME STATEMENT - FORECAST</t>
  </si>
  <si>
    <t>Particulars</t>
  </si>
  <si>
    <t>Revenue</t>
  </si>
  <si>
    <t>COGS</t>
  </si>
  <si>
    <t>% of Rev</t>
  </si>
  <si>
    <t>Gross Profit</t>
  </si>
  <si>
    <t>Other Expenses</t>
  </si>
  <si>
    <t>EBITDA</t>
  </si>
  <si>
    <t>D &amp; A</t>
  </si>
  <si>
    <t>EBIT</t>
  </si>
  <si>
    <t>EBT</t>
  </si>
  <si>
    <t>Tax</t>
  </si>
  <si>
    <t>Effective Tax Rate</t>
  </si>
  <si>
    <t>Net Profit</t>
  </si>
  <si>
    <t>EPS</t>
  </si>
  <si>
    <t>Dividend Paid</t>
  </si>
  <si>
    <t>Dividend Payout Ratio</t>
  </si>
  <si>
    <t>Retained Earnings</t>
  </si>
  <si>
    <t>% of Net Profit</t>
  </si>
  <si>
    <t>₹</t>
  </si>
  <si>
    <t>%</t>
  </si>
  <si>
    <t>Weighted Avg. Outstanding Shares</t>
  </si>
  <si>
    <t>IT SERVICES</t>
  </si>
  <si>
    <t>Revenue from IT Services</t>
  </si>
  <si>
    <t xml:space="preserve">YoY Change </t>
  </si>
  <si>
    <t>IT PRODUCTS</t>
  </si>
  <si>
    <t>Revenue from IT Products</t>
  </si>
  <si>
    <t>YoY Change</t>
  </si>
  <si>
    <t>Particulars (In Crores)</t>
  </si>
  <si>
    <t>N/A</t>
  </si>
  <si>
    <t>Rev from Operations</t>
  </si>
  <si>
    <t>OTHER INCOME</t>
  </si>
  <si>
    <t>Other Income</t>
  </si>
  <si>
    <t>YoY change</t>
  </si>
  <si>
    <t>Best Case</t>
  </si>
  <si>
    <t>Base Case</t>
  </si>
  <si>
    <t>Worst Case</t>
  </si>
  <si>
    <t>IT SERVICES - FORECAST (BEST CASE)</t>
  </si>
  <si>
    <t>IT SERVICES - FORECAST (BASE CASE)</t>
  </si>
  <si>
    <t>IT SERVICES - FORECAST (WORST CASE)</t>
  </si>
  <si>
    <t>IT PRODUCTS - FORECAST (BEST CASE)</t>
  </si>
  <si>
    <t>IT PRODUCTS - FORECAST (BASE CASE)</t>
  </si>
  <si>
    <t>IT PRODUCTS - FORECAST (WORST CASE)</t>
  </si>
  <si>
    <t>OTHER INCOME - FORECAST (BEST CASE)</t>
  </si>
  <si>
    <t>OTHER INCOME - FORECAST (BASE CASE)</t>
  </si>
  <si>
    <t>OTHER INCOME - FORECAST (WORST CASE)</t>
  </si>
  <si>
    <t>Revenue Assumption</t>
  </si>
  <si>
    <t>COGS &amp; OPEX</t>
  </si>
  <si>
    <t>OPEX</t>
  </si>
  <si>
    <t>Cogs % of Rev</t>
  </si>
  <si>
    <t>DEPRECIATION</t>
  </si>
  <si>
    <t>Opening Accumulated Depreciation</t>
  </si>
  <si>
    <t>Depreciation Expense</t>
  </si>
  <si>
    <t>Dep on Disposals</t>
  </si>
  <si>
    <t>Closing Accumulated Depreciation</t>
  </si>
  <si>
    <t>Opening Gross PPE</t>
  </si>
  <si>
    <t>Addition (CapEx)</t>
  </si>
  <si>
    <t>Disposals</t>
  </si>
  <si>
    <t>Closing Gross PPE</t>
  </si>
  <si>
    <t>Net PPE</t>
  </si>
  <si>
    <t>COGS &amp; OPEX - FORECAST (BEST CASE)</t>
  </si>
  <si>
    <t>COGS &amp; OPEX - FORECAST (BASE CASE)</t>
  </si>
  <si>
    <t>COGS &amp; OPEX - FORECAST (WORST CASE)</t>
  </si>
  <si>
    <t>DEPRECIATION - FORECAST (BEST CASE)</t>
  </si>
  <si>
    <t>DEPRECIATION - FORECAST (BASE CASE)</t>
  </si>
  <si>
    <t>DEPRECIATION - FORECAST (WORST CASE)</t>
  </si>
  <si>
    <t xml:space="preserve">INTEREST </t>
  </si>
  <si>
    <t>Opening Total Debt</t>
  </si>
  <si>
    <t>Interest Rate</t>
  </si>
  <si>
    <t>Interest Expense</t>
  </si>
  <si>
    <t xml:space="preserve">Debt Repayed </t>
  </si>
  <si>
    <t>New Borrowing</t>
  </si>
  <si>
    <t>Closing Debt</t>
  </si>
  <si>
    <t>Short Term Debt</t>
  </si>
  <si>
    <t>Long Term Debt</t>
  </si>
  <si>
    <t>% of Total Debt</t>
  </si>
  <si>
    <t>INTEREST - FORECAST (BEST CASE)</t>
  </si>
  <si>
    <t>INTEREST - FORECAST (BASE CASE)</t>
  </si>
  <si>
    <t>INTEREST - FORECAST (WORST CASE)</t>
  </si>
  <si>
    <t xml:space="preserve">COGS &amp; OpEx Assumption &amp; Interest </t>
  </si>
  <si>
    <t>Depreciation Assumption &amp; Interest</t>
  </si>
  <si>
    <t>Std % of Debt</t>
  </si>
  <si>
    <t>Ltd % of Debt</t>
  </si>
  <si>
    <t>TAX</t>
  </si>
  <si>
    <t>TAX - FORECAST (BEST CASE)</t>
  </si>
  <si>
    <t>TAX - FORECAST (BASE CASE)</t>
  </si>
  <si>
    <t>TAX - FORECAST (WORST CASE)</t>
  </si>
  <si>
    <t>Tax Rate</t>
  </si>
  <si>
    <t>Tax Expense</t>
  </si>
  <si>
    <t>Tax Assumption</t>
  </si>
  <si>
    <t>Tax % of EBT</t>
  </si>
  <si>
    <t>Dividend %</t>
  </si>
  <si>
    <t>PPE</t>
  </si>
  <si>
    <t>BALANCE SHEET - FORECAST (BEST CASE)</t>
  </si>
  <si>
    <t>BALANCE SHEET - FORECAST (BASE CASE)</t>
  </si>
  <si>
    <t>BALANCE SHEET - FORECAST (WORST CASE)</t>
  </si>
  <si>
    <t>INCOME STATEMENT ASSUMPTION</t>
  </si>
  <si>
    <t>INCOME STATEMENT - FORECAST (BEST CASE)</t>
  </si>
  <si>
    <t>INCOME STATEMENT - FORECAST (BASE CASE)</t>
  </si>
  <si>
    <t>INCOME STATEMENT - FORECAST (WORST CASE)</t>
  </si>
  <si>
    <t>Weighted O.S</t>
  </si>
  <si>
    <t>BALANCE SHEET - FORECAST</t>
  </si>
  <si>
    <t>ASSETS</t>
  </si>
  <si>
    <t>Current Assets</t>
  </si>
  <si>
    <t>Trade Receivables</t>
  </si>
  <si>
    <t>Loans &amp; Advances</t>
  </si>
  <si>
    <t>Other Current Assets</t>
  </si>
  <si>
    <t>Total Current Assets</t>
  </si>
  <si>
    <t>Fixed Assets</t>
  </si>
  <si>
    <t xml:space="preserve">Land </t>
  </si>
  <si>
    <t xml:space="preserve">Building </t>
  </si>
  <si>
    <t xml:space="preserve">Furniture </t>
  </si>
  <si>
    <t>Other Fixed Assets</t>
  </si>
  <si>
    <t>Total Fixed Assets</t>
  </si>
  <si>
    <t>LIABILITIES</t>
  </si>
  <si>
    <t>Current Liabilities</t>
  </si>
  <si>
    <t>Short Term Borrowings</t>
  </si>
  <si>
    <t>Total Current Liabilities</t>
  </si>
  <si>
    <t>Non Current Liabilities</t>
  </si>
  <si>
    <t>Long Term Borrowings</t>
  </si>
  <si>
    <t>Total Non Current Liabilities</t>
  </si>
  <si>
    <t>EQUITY</t>
  </si>
  <si>
    <t xml:space="preserve">Equity Capital </t>
  </si>
  <si>
    <t>Non Controlling Interest</t>
  </si>
  <si>
    <t>Total Equity</t>
  </si>
  <si>
    <t>Total Equity + Total Liabilities</t>
  </si>
  <si>
    <t>Check</t>
  </si>
  <si>
    <t>Intangiable Assets</t>
  </si>
  <si>
    <t>CWIP &amp; INVESTMENT</t>
  </si>
  <si>
    <t>Capex % of Revenue</t>
  </si>
  <si>
    <t>CWIP &amp; INVESTMENT - FORECAST (BEST CASE)</t>
  </si>
  <si>
    <t>CWIP &amp; INVESTMENT - FORECAST (BASE CASE)</t>
  </si>
  <si>
    <t>CWIP &amp; INVESTMENT - FORECAST (WORST CASE)</t>
  </si>
  <si>
    <t>Disposal</t>
  </si>
  <si>
    <t>AR Days</t>
  </si>
  <si>
    <t>Inventory Days</t>
  </si>
  <si>
    <t>Accounts Payable</t>
  </si>
  <si>
    <t>AP Days</t>
  </si>
  <si>
    <t>TRADE WORKING CAPITAL</t>
  </si>
  <si>
    <t>CASH FLOW STATEMENT - FORECAST</t>
  </si>
  <si>
    <t>OPERATING ACTIVITIES</t>
  </si>
  <si>
    <t>INVESTING ACTIVITIES</t>
  </si>
  <si>
    <t>FINANCING ACTIVITIES</t>
  </si>
  <si>
    <t>Beginning Cash</t>
  </si>
  <si>
    <t>Ending Cash</t>
  </si>
  <si>
    <t>Profit from Operations</t>
  </si>
  <si>
    <t>Working Capital Changes</t>
  </si>
  <si>
    <t>Direct Taxes</t>
  </si>
  <si>
    <t>Cash from Investing Act.</t>
  </si>
  <si>
    <t>Cash from Operating Act.</t>
  </si>
  <si>
    <t>Cash from Financing Act.</t>
  </si>
  <si>
    <t>COMMON - SIZE INCOME STATEMENT</t>
  </si>
  <si>
    <t>Direct Expense</t>
  </si>
  <si>
    <t>Indirect Expenses</t>
  </si>
  <si>
    <t>COMMON - SIZE BALANCE SHEET</t>
  </si>
  <si>
    <t>COMMON - SIZE STATEMENT</t>
  </si>
  <si>
    <t>YoY Change %</t>
  </si>
  <si>
    <t>YoY CHANGE % (BALANCE SHEET)</t>
  </si>
  <si>
    <t>YoY CHANGE % (INCOME STATEMENT)</t>
  </si>
  <si>
    <t>FORECAST - SIMPLIFICATION</t>
  </si>
  <si>
    <t>FORECAST - SIMPLIFICATION - FORECAST</t>
  </si>
  <si>
    <t>Actual Case</t>
  </si>
  <si>
    <t xml:space="preserve">Best Case </t>
  </si>
  <si>
    <t>Decline suggests weak industry growth</t>
  </si>
  <si>
    <t>W.C shows early signs of margin compression</t>
  </si>
  <si>
    <t>W.C shows negative operating leverage</t>
  </si>
  <si>
    <t>W.C shows severe profitability pressure</t>
  </si>
  <si>
    <t>WACC</t>
  </si>
  <si>
    <t>PEER COMPS</t>
  </si>
  <si>
    <t>Name of Comp.</t>
  </si>
  <si>
    <t>Country</t>
  </si>
  <si>
    <t>Total Debt</t>
  </si>
  <si>
    <t>Debt / Equity</t>
  </si>
  <si>
    <t>Debt /</t>
  </si>
  <si>
    <t>Equity</t>
  </si>
  <si>
    <t>Capital</t>
  </si>
  <si>
    <t xml:space="preserve">Levered </t>
  </si>
  <si>
    <t xml:space="preserve">Unlevered </t>
  </si>
  <si>
    <t>TCS</t>
  </si>
  <si>
    <t>Infosys</t>
  </si>
  <si>
    <t>HCL Technologies</t>
  </si>
  <si>
    <t>Tech Mahindra</t>
  </si>
  <si>
    <t>LTIMindtree</t>
  </si>
  <si>
    <t>Persistent Systems</t>
  </si>
  <si>
    <t>India</t>
  </si>
  <si>
    <t>Average</t>
  </si>
  <si>
    <t>Median</t>
  </si>
  <si>
    <t>Cost of Equity</t>
  </si>
  <si>
    <t>Risk Free Rate</t>
  </si>
  <si>
    <t>Equity Risk Premium</t>
  </si>
  <si>
    <r>
      <t xml:space="preserve">Levered Beta </t>
    </r>
    <r>
      <rPr>
        <vertAlign val="superscript"/>
        <sz val="12"/>
        <color theme="1"/>
        <rFont val="Arial"/>
        <family val="2"/>
      </rPr>
      <t>4</t>
    </r>
  </si>
  <si>
    <t>Cost of Debt</t>
  </si>
  <si>
    <t>Pre - Tax Cost of Debt</t>
  </si>
  <si>
    <t>Post Tax Cost of Debt</t>
  </si>
  <si>
    <t>Capital Structure</t>
  </si>
  <si>
    <t>Market Cap</t>
  </si>
  <si>
    <t>Current</t>
  </si>
  <si>
    <t>Target</t>
  </si>
  <si>
    <t>Levered Beta</t>
  </si>
  <si>
    <t>Target Debt / Equity</t>
  </si>
  <si>
    <t>Comps. Median Unlev. Beta</t>
  </si>
  <si>
    <t>Debt</t>
  </si>
  <si>
    <t>Total Cost</t>
  </si>
  <si>
    <t>Total Weight</t>
  </si>
  <si>
    <t>WEIGHTED AVERAGE COST OF CAPITAL</t>
  </si>
  <si>
    <r>
      <t xml:space="preserve">Tax Rate </t>
    </r>
    <r>
      <rPr>
        <b/>
        <vertAlign val="superscript"/>
        <sz val="12"/>
        <color theme="1"/>
        <rFont val="Arial"/>
        <family val="2"/>
      </rPr>
      <t>1</t>
    </r>
  </si>
  <si>
    <r>
      <t xml:space="preserve">Beta </t>
    </r>
    <r>
      <rPr>
        <b/>
        <vertAlign val="superscript"/>
        <sz val="12"/>
        <color theme="1"/>
        <rFont val="Arial"/>
        <family val="2"/>
      </rPr>
      <t>2</t>
    </r>
  </si>
  <si>
    <r>
      <t xml:space="preserve">Beta </t>
    </r>
    <r>
      <rPr>
        <b/>
        <vertAlign val="superscript"/>
        <sz val="12"/>
        <color theme="1"/>
        <rFont val="Arial"/>
        <family val="2"/>
      </rPr>
      <t>3</t>
    </r>
  </si>
  <si>
    <t>NIFTY Returns</t>
  </si>
  <si>
    <t>Date</t>
  </si>
  <si>
    <t>Closing Price</t>
  </si>
  <si>
    <t>Return</t>
  </si>
  <si>
    <t>WIPRO Returns</t>
  </si>
  <si>
    <t>Beta Drifting</t>
  </si>
  <si>
    <t>Levered Raw Beta</t>
  </si>
  <si>
    <t>Raw Beta Weight</t>
  </si>
  <si>
    <t>Market Beta</t>
  </si>
  <si>
    <t>Market Beta Weight</t>
  </si>
  <si>
    <t>Adjusted Beta</t>
  </si>
  <si>
    <t>HISTORICAL DATA</t>
  </si>
  <si>
    <t>30-03-2025</t>
  </si>
  <si>
    <t>23-03-2025</t>
  </si>
  <si>
    <t>16-03-2025</t>
  </si>
  <si>
    <t>23-02-2025</t>
  </si>
  <si>
    <t>16-02-2025</t>
  </si>
  <si>
    <t>26-01-2025</t>
  </si>
  <si>
    <t>19-01-2025</t>
  </si>
  <si>
    <t>29-12-2024</t>
  </si>
  <si>
    <t>22-12-2024</t>
  </si>
  <si>
    <t>15-12-2024</t>
  </si>
  <si>
    <t>24-11-2024</t>
  </si>
  <si>
    <t>17-11-2024</t>
  </si>
  <si>
    <t>27-10-2024</t>
  </si>
  <si>
    <t>20-10-2024</t>
  </si>
  <si>
    <t>13-10-2024</t>
  </si>
  <si>
    <t>29-09-2024</t>
  </si>
  <si>
    <t>22-09-2024</t>
  </si>
  <si>
    <t>15-09-2024</t>
  </si>
  <si>
    <t>25-08-2024</t>
  </si>
  <si>
    <t>18-08-2024</t>
  </si>
  <si>
    <t>28-07-2024</t>
  </si>
  <si>
    <t>21-07-2024</t>
  </si>
  <si>
    <t>14-07-2024</t>
  </si>
  <si>
    <t>30-06-2024</t>
  </si>
  <si>
    <t>23-06-2024</t>
  </si>
  <si>
    <t>16-06-2024</t>
  </si>
  <si>
    <t>26-05-2024</t>
  </si>
  <si>
    <t>19-05-2024</t>
  </si>
  <si>
    <t>28-04-2024</t>
  </si>
  <si>
    <t>21-04-2024</t>
  </si>
  <si>
    <t>14-04-2024</t>
  </si>
  <si>
    <t>31-03-2024</t>
  </si>
  <si>
    <t>24-03-2024</t>
  </si>
  <si>
    <t>17-03-2024</t>
  </si>
  <si>
    <t>25-02-2024</t>
  </si>
  <si>
    <t>18-02-2024</t>
  </si>
  <si>
    <t>28-01-2024</t>
  </si>
  <si>
    <t>21-01-2024</t>
  </si>
  <si>
    <t>14-01-2024</t>
  </si>
  <si>
    <t>31-12-2023</t>
  </si>
  <si>
    <t>24-12-2023</t>
  </si>
  <si>
    <t>17-12-2023</t>
  </si>
  <si>
    <t>26-11-2023</t>
  </si>
  <si>
    <t>19-11-2023</t>
  </si>
  <si>
    <t>29-10-2023</t>
  </si>
  <si>
    <t>22-10-2023</t>
  </si>
  <si>
    <t>15-10-2023</t>
  </si>
  <si>
    <t>24-09-2023</t>
  </si>
  <si>
    <t>17-09-2023</t>
  </si>
  <si>
    <t>27-08-2023</t>
  </si>
  <si>
    <t>20-08-2023</t>
  </si>
  <si>
    <t>13-08-2023</t>
  </si>
  <si>
    <t>30-07-2023</t>
  </si>
  <si>
    <t>23-07-2023</t>
  </si>
  <si>
    <t>16-07-2023</t>
  </si>
  <si>
    <t>25-06-2023</t>
  </si>
  <si>
    <t>18-06-2023</t>
  </si>
  <si>
    <t>28-05-2023</t>
  </si>
  <si>
    <t>21-05-2023</t>
  </si>
  <si>
    <t>14-05-2023</t>
  </si>
  <si>
    <t>30-04-2023</t>
  </si>
  <si>
    <t>23-04-2023</t>
  </si>
  <si>
    <t>16-04-2023</t>
  </si>
  <si>
    <t>Price</t>
  </si>
  <si>
    <t>% Change</t>
  </si>
  <si>
    <t>WIPRO</t>
  </si>
  <si>
    <t>NIFTY</t>
  </si>
  <si>
    <t>Regression Statistics</t>
  </si>
  <si>
    <t>Multiple R</t>
  </si>
  <si>
    <t>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</si>
  <si>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</si>
  <si>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</si>
  <si>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</si>
  <si>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</si>
  <si>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</si>
  <si>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</si>
  <si>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</si>
  <si>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</si>
  <si>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</si>
  <si>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</si>
  <si>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</si>
  <si>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</si>
  <si>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</si>
  <si>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</si>
  <si>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</si>
  <si>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</si>
  <si>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</si>
  <si>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</si>
  <si>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</si>
  <si>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</si>
  <si>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Adj. R Square</t>
  </si>
  <si>
    <t>REGRESSION - BETA (2 YEARS WEEKLY)</t>
  </si>
  <si>
    <t>Share Price &amp; Returns</t>
  </si>
  <si>
    <t>Nifty</t>
  </si>
  <si>
    <t>Wipro</t>
  </si>
  <si>
    <t>Note:</t>
  </si>
  <si>
    <t>By using Slope Formula</t>
  </si>
  <si>
    <t>HCL TECH</t>
  </si>
  <si>
    <t>LTIMIND TREE</t>
  </si>
  <si>
    <t>TECH MAHINDRA</t>
  </si>
  <si>
    <t>PERSISTENT SYSTEM</t>
  </si>
  <si>
    <t>INFOSYS</t>
  </si>
  <si>
    <t>REGRESSION BETA - (2 YEARS WEEKLY) -- PEER ANALYSIS</t>
  </si>
  <si>
    <t>REGRESSION ANALYSIS</t>
  </si>
  <si>
    <t>INTRINSIC GROWTH</t>
  </si>
  <si>
    <t>CURRENT ASSETS</t>
  </si>
  <si>
    <t>CURRENT LIABILITIES</t>
  </si>
  <si>
    <t>Net Working Capital</t>
  </si>
  <si>
    <t>FIXED ASSETS</t>
  </si>
  <si>
    <t>Net Non Current Assets</t>
  </si>
  <si>
    <t>Invested Capital</t>
  </si>
  <si>
    <t>Tax Rate Paid</t>
  </si>
  <si>
    <t>ROIC</t>
  </si>
  <si>
    <t>CALCULATION OF REINVESTMENT RATE</t>
  </si>
  <si>
    <t>Net Capex</t>
  </si>
  <si>
    <t>Change in Working Capital</t>
  </si>
  <si>
    <t>EBIT (1-T)</t>
  </si>
  <si>
    <t>Reinvestment</t>
  </si>
  <si>
    <t>Reinvestment Rate</t>
  </si>
  <si>
    <t>4 Year Avg.</t>
  </si>
  <si>
    <t>4 Year Median</t>
  </si>
  <si>
    <t>CALCULATION OF GROWTH RATE</t>
  </si>
  <si>
    <t>Intrinsic Growth</t>
  </si>
  <si>
    <t>CALCULATION OF PV OF FCFF</t>
  </si>
  <si>
    <t>Less: Reinvestment Rate</t>
  </si>
  <si>
    <t>Free Cash Flow to Firm</t>
  </si>
  <si>
    <t>Mid Year Convention</t>
  </si>
  <si>
    <t>Discounting Factor</t>
  </si>
  <si>
    <t xml:space="preserve">EBIT </t>
  </si>
  <si>
    <t>PV of FCFF</t>
  </si>
  <si>
    <t>Expected Growth</t>
  </si>
  <si>
    <t>Terminal Growth</t>
  </si>
  <si>
    <t>Calculation of Terminal Value</t>
  </si>
  <si>
    <t>FCFF (n+1)</t>
  </si>
  <si>
    <t>Terminal Growth Rate</t>
  </si>
  <si>
    <t>Terminal Value</t>
  </si>
  <si>
    <t>Calculation of Equity</t>
  </si>
  <si>
    <t>PV of Terminal Value</t>
  </si>
  <si>
    <t>Value of Operating Assets</t>
  </si>
  <si>
    <t>Add: Cash</t>
  </si>
  <si>
    <t>Value of Equity</t>
  </si>
  <si>
    <t>No. of Shares</t>
  </si>
  <si>
    <t>Equity Value per Share</t>
  </si>
  <si>
    <t>Share Price</t>
  </si>
  <si>
    <t>Discount / Premium</t>
  </si>
  <si>
    <t>Less: Debt</t>
  </si>
  <si>
    <t>Sensitivity Test (Terminal Value)</t>
  </si>
  <si>
    <t>Sensitivity Test (Value of Operating Assets)</t>
  </si>
  <si>
    <t>Sensitivity Test (Equity Value per Share)</t>
  </si>
  <si>
    <t xml:space="preserve">EBIT based on scenario </t>
  </si>
  <si>
    <t>Market Data</t>
  </si>
  <si>
    <t>Financials</t>
  </si>
  <si>
    <t>Valuation</t>
  </si>
  <si>
    <t>Share</t>
  </si>
  <si>
    <t>Shares</t>
  </si>
  <si>
    <t>Outstanding</t>
  </si>
  <si>
    <t>Market</t>
  </si>
  <si>
    <t>Cap.</t>
  </si>
  <si>
    <t xml:space="preserve">Net </t>
  </si>
  <si>
    <t>Enterprise</t>
  </si>
  <si>
    <t>Value</t>
  </si>
  <si>
    <t>Net Income</t>
  </si>
  <si>
    <t>EV / Rev</t>
  </si>
  <si>
    <t>EV / EBITDA</t>
  </si>
  <si>
    <t>P/E</t>
  </si>
  <si>
    <t>Ticker</t>
  </si>
  <si>
    <t>Company</t>
  </si>
  <si>
    <t>Conclusion</t>
  </si>
  <si>
    <t>Implied Value per Share</t>
  </si>
  <si>
    <t>Implied Enterprise Value</t>
  </si>
  <si>
    <t>Net Debt</t>
  </si>
  <si>
    <t>Implied Market Value</t>
  </si>
  <si>
    <t>Shares Outstanding</t>
  </si>
  <si>
    <t>WIPRO COMPARABLE VALUATION</t>
  </si>
  <si>
    <t>High</t>
  </si>
  <si>
    <r>
      <t>75</t>
    </r>
    <r>
      <rPr>
        <vertAlign val="superscript"/>
        <sz val="12"/>
        <color theme="1"/>
        <rFont val="Arial"/>
        <family val="2"/>
      </rPr>
      <t>th</t>
    </r>
    <r>
      <rPr>
        <sz val="12"/>
        <color theme="1"/>
        <rFont val="Arial"/>
        <family val="2"/>
      </rPr>
      <t xml:space="preserve"> Percentile</t>
    </r>
  </si>
  <si>
    <t>Low</t>
  </si>
  <si>
    <r>
      <t>25</t>
    </r>
    <r>
      <rPr>
        <vertAlign val="superscript"/>
        <sz val="12"/>
        <color theme="1"/>
        <rFont val="Arial"/>
        <family val="2"/>
      </rPr>
      <t>th</t>
    </r>
    <r>
      <rPr>
        <sz val="12"/>
        <color theme="1"/>
        <rFont val="Arial"/>
        <family val="2"/>
      </rPr>
      <t xml:space="preserve"> Percentile</t>
    </r>
  </si>
  <si>
    <t>INFY</t>
  </si>
  <si>
    <t>HCLTECH</t>
  </si>
  <si>
    <t>LTM</t>
  </si>
  <si>
    <t>TECHM</t>
  </si>
  <si>
    <t>PERSISTENT</t>
  </si>
  <si>
    <t>Share price</t>
  </si>
  <si>
    <t>Shares out</t>
  </si>
  <si>
    <t>Market cap</t>
  </si>
  <si>
    <t>Net. Debt</t>
  </si>
  <si>
    <t>EV</t>
  </si>
  <si>
    <t>EBITDa</t>
  </si>
  <si>
    <t>Ev/Rev</t>
  </si>
  <si>
    <t>Ev/ Ebitda</t>
  </si>
  <si>
    <t>EV / Rev (Chart Representation)</t>
  </si>
  <si>
    <t>EV / EBITDA (Chart Representation)</t>
  </si>
  <si>
    <t>P/E (Chart Representation)</t>
  </si>
  <si>
    <t>RELATIVE VALUATION</t>
  </si>
  <si>
    <t>Case Scenario for Target Debt</t>
  </si>
  <si>
    <t>Case Scenario</t>
  </si>
  <si>
    <t>RATIO ANALYSIS</t>
  </si>
  <si>
    <t>LIQUIDITY RATIOS</t>
  </si>
  <si>
    <t>PROFITABILITY RATIOS</t>
  </si>
  <si>
    <t>EFFICIENCY RATIOS</t>
  </si>
  <si>
    <t>LEVERAGE RATIOS</t>
  </si>
  <si>
    <t>VALUATION RATIOS</t>
  </si>
  <si>
    <t>Current Ratio</t>
  </si>
  <si>
    <t>Quick Ratio</t>
  </si>
  <si>
    <t>Cash Ratio</t>
  </si>
  <si>
    <t>EBITDA Margin</t>
  </si>
  <si>
    <t>EBIT Margin</t>
  </si>
  <si>
    <t>Net Profit Margin</t>
  </si>
  <si>
    <t>ROE</t>
  </si>
  <si>
    <t>ROCE</t>
  </si>
  <si>
    <t>Asset Turnover Ratio</t>
  </si>
  <si>
    <t>Inventory Turnover Ratio</t>
  </si>
  <si>
    <t>Receivable Days</t>
  </si>
  <si>
    <t>Payable Days</t>
  </si>
  <si>
    <t>Cash Conversion Cycle</t>
  </si>
  <si>
    <t>Debt / EBITDA</t>
  </si>
  <si>
    <t>EV / EBIT</t>
  </si>
  <si>
    <t>Price / Book</t>
  </si>
  <si>
    <t>P / E</t>
  </si>
  <si>
    <t>Net Debt / EBITDA</t>
  </si>
  <si>
    <t>Interest Coverage Ratio</t>
  </si>
  <si>
    <t>ROA</t>
  </si>
  <si>
    <t>Payable Turnover</t>
  </si>
  <si>
    <t>TRENDLINE</t>
  </si>
  <si>
    <t>MEAN</t>
  </si>
  <si>
    <t>MEDIAN</t>
  </si>
  <si>
    <t xml:space="preserve">TRENDLINE / MEAN / MEDIAN </t>
  </si>
  <si>
    <t>FOR RATIOS</t>
  </si>
  <si>
    <t>stock price</t>
  </si>
  <si>
    <t>shares out</t>
  </si>
  <si>
    <t>market cap</t>
  </si>
  <si>
    <t>net debt</t>
  </si>
  <si>
    <t>ev</t>
  </si>
  <si>
    <t>ebitda</t>
  </si>
  <si>
    <t>ev / ebitda</t>
  </si>
  <si>
    <t>ev / ebit</t>
  </si>
  <si>
    <t>P/B</t>
  </si>
  <si>
    <t>Book Value per Share</t>
  </si>
  <si>
    <t>Opening Equity</t>
  </si>
  <si>
    <t>New Shares Issued</t>
  </si>
  <si>
    <t>Buyback</t>
  </si>
  <si>
    <t>Closing Equity</t>
  </si>
  <si>
    <t>EQUITY &amp; RESERVES</t>
  </si>
  <si>
    <t>YoY Growth</t>
  </si>
  <si>
    <t>Other Current Liabilities</t>
  </si>
  <si>
    <t>Other C.L Days</t>
  </si>
  <si>
    <t>OTHER CURRENT ASSETS &amp; LIABILITIES</t>
  </si>
  <si>
    <t>28-03-2025</t>
  </si>
  <si>
    <t>27-03-2025</t>
  </si>
  <si>
    <t>26-03-2025</t>
  </si>
  <si>
    <t>25-03-2025</t>
  </si>
  <si>
    <t>24-03-2025</t>
  </si>
  <si>
    <t>21-03-2025</t>
  </si>
  <si>
    <t>20-03-2025</t>
  </si>
  <si>
    <t>19-03-2025</t>
  </si>
  <si>
    <t>18-03-2025</t>
  </si>
  <si>
    <t>17-03-2025</t>
  </si>
  <si>
    <t>13-03-2025</t>
  </si>
  <si>
    <t>28-02-2025</t>
  </si>
  <si>
    <t>27-02-2025</t>
  </si>
  <si>
    <t>25-02-2025</t>
  </si>
  <si>
    <t>24-02-2025</t>
  </si>
  <si>
    <t>21-02-2025</t>
  </si>
  <si>
    <t>20-02-2025</t>
  </si>
  <si>
    <t>19-02-2025</t>
  </si>
  <si>
    <t>18-02-2025</t>
  </si>
  <si>
    <t>17-02-2025</t>
  </si>
  <si>
    <t>14-02-2025</t>
  </si>
  <si>
    <t>13-02-2025</t>
  </si>
  <si>
    <t>31-01-2025</t>
  </si>
  <si>
    <t>30-01-2025</t>
  </si>
  <si>
    <t>29-01-2025</t>
  </si>
  <si>
    <t>28-01-2025</t>
  </si>
  <si>
    <t>27-01-2025</t>
  </si>
  <si>
    <t>24-01-2025</t>
  </si>
  <si>
    <t>23-01-2025</t>
  </si>
  <si>
    <t>22-01-2025</t>
  </si>
  <si>
    <t>21-01-2025</t>
  </si>
  <si>
    <t>20-01-2025</t>
  </si>
  <si>
    <t>17-01-2025</t>
  </si>
  <si>
    <t>16-01-2025</t>
  </si>
  <si>
    <t>15-01-2025</t>
  </si>
  <si>
    <t>14-01-2025</t>
  </si>
  <si>
    <t>13-01-2025</t>
  </si>
  <si>
    <t>31-12-2024</t>
  </si>
  <si>
    <t>30-12-2024</t>
  </si>
  <si>
    <t>27-12-2024</t>
  </si>
  <si>
    <t>26-12-2024</t>
  </si>
  <si>
    <t>24-12-2024</t>
  </si>
  <si>
    <t>23-12-2024</t>
  </si>
  <si>
    <t>20-12-2024</t>
  </si>
  <si>
    <t>19-12-2024</t>
  </si>
  <si>
    <t>18-12-2024</t>
  </si>
  <si>
    <t>17-12-2024</t>
  </si>
  <si>
    <t>16-12-2024</t>
  </si>
  <si>
    <t>13-12-2024</t>
  </si>
  <si>
    <t>29-11-2024</t>
  </si>
  <si>
    <t>28-11-2024</t>
  </si>
  <si>
    <t>27-11-2024</t>
  </si>
  <si>
    <t>26-11-2024</t>
  </si>
  <si>
    <t>25-11-2024</t>
  </si>
  <si>
    <t>22-11-2024</t>
  </si>
  <si>
    <t>21-11-2024</t>
  </si>
  <si>
    <t>19-11-2024</t>
  </si>
  <si>
    <t>18-11-2024</t>
  </si>
  <si>
    <t>14-11-2024</t>
  </si>
  <si>
    <t>13-11-2024</t>
  </si>
  <si>
    <t>31-10-2024</t>
  </si>
  <si>
    <t>30-10-2024</t>
  </si>
  <si>
    <t>29-10-2024</t>
  </si>
  <si>
    <t>28-10-2024</t>
  </si>
  <si>
    <t>25-10-2024</t>
  </si>
  <si>
    <t>24-10-2024</t>
  </si>
  <si>
    <t>23-10-2024</t>
  </si>
  <si>
    <t>22-10-2024</t>
  </si>
  <si>
    <t>21-10-2024</t>
  </si>
  <si>
    <t>18-10-2024</t>
  </si>
  <si>
    <t>17-10-2024</t>
  </si>
  <si>
    <t>16-10-2024</t>
  </si>
  <si>
    <t>15-10-2024</t>
  </si>
  <si>
    <t>14-10-2024</t>
  </si>
  <si>
    <t>30-09-2024</t>
  </si>
  <si>
    <t>27-09-2024</t>
  </si>
  <si>
    <t>26-09-2024</t>
  </si>
  <si>
    <t>25-09-2024</t>
  </si>
  <si>
    <t>24-09-2024</t>
  </si>
  <si>
    <t>23-09-2024</t>
  </si>
  <si>
    <t>20-09-2024</t>
  </si>
  <si>
    <t>19-09-2024</t>
  </si>
  <si>
    <t>18-09-2024</t>
  </si>
  <si>
    <t>17-09-2024</t>
  </si>
  <si>
    <t>16-09-2024</t>
  </si>
  <si>
    <t>13-09-2024</t>
  </si>
  <si>
    <t>30-08-2024</t>
  </si>
  <si>
    <t>29-08-2024</t>
  </si>
  <si>
    <t>28-08-2024</t>
  </si>
  <si>
    <t>27-08-2024</t>
  </si>
  <si>
    <t>26-08-2024</t>
  </si>
  <si>
    <t>23-08-2024</t>
  </si>
  <si>
    <t>22-08-2024</t>
  </si>
  <si>
    <t>21-08-2024</t>
  </si>
  <si>
    <t>20-08-2024</t>
  </si>
  <si>
    <t>19-08-2024</t>
  </si>
  <si>
    <t>16-08-2024</t>
  </si>
  <si>
    <t>14-08-2024</t>
  </si>
  <si>
    <t>13-08-2024</t>
  </si>
  <si>
    <t>31-07-2024</t>
  </si>
  <si>
    <t>30-07-2024</t>
  </si>
  <si>
    <t>29-07-2024</t>
  </si>
  <si>
    <t>26-07-2024</t>
  </si>
  <si>
    <t>25-07-2024</t>
  </si>
  <si>
    <t>24-07-2024</t>
  </si>
  <si>
    <t>23-07-2024</t>
  </si>
  <si>
    <t>22-07-2024</t>
  </si>
  <si>
    <t>19-07-2024</t>
  </si>
  <si>
    <t>18-07-2024</t>
  </si>
  <si>
    <t>16-07-2024</t>
  </si>
  <si>
    <t>15-07-2024</t>
  </si>
  <si>
    <t>28-06-2024</t>
  </si>
  <si>
    <t>27-06-2024</t>
  </si>
  <si>
    <t>26-06-2024</t>
  </si>
  <si>
    <t>25-06-2024</t>
  </si>
  <si>
    <t>24-06-2024</t>
  </si>
  <si>
    <t>21-06-2024</t>
  </si>
  <si>
    <t>20-06-2024</t>
  </si>
  <si>
    <t>19-06-2024</t>
  </si>
  <si>
    <t>18-06-2024</t>
  </si>
  <si>
    <t>14-06-2024</t>
  </si>
  <si>
    <t>13-06-2024</t>
  </si>
  <si>
    <t>31-05-2024</t>
  </si>
  <si>
    <t>30-05-2024</t>
  </si>
  <si>
    <t>29-05-2024</t>
  </si>
  <si>
    <t>28-05-2024</t>
  </si>
  <si>
    <t>27-05-2024</t>
  </si>
  <si>
    <t>24-05-2024</t>
  </si>
  <si>
    <t>23-05-2024</t>
  </si>
  <si>
    <t>22-05-2024</t>
  </si>
  <si>
    <t>21-05-2024</t>
  </si>
  <si>
    <t>18-05-2024</t>
  </si>
  <si>
    <t>17-05-2024</t>
  </si>
  <si>
    <t>16-05-2024</t>
  </si>
  <si>
    <t>15-05-2024</t>
  </si>
  <si>
    <t>14-05-2024</t>
  </si>
  <si>
    <t>13-05-2024</t>
  </si>
  <si>
    <t>30-04-2024</t>
  </si>
  <si>
    <t>29-04-2024</t>
  </si>
  <si>
    <t>26-04-2024</t>
  </si>
  <si>
    <t>25-04-2024</t>
  </si>
  <si>
    <t>24-04-2024</t>
  </si>
  <si>
    <t>23-04-2024</t>
  </si>
  <si>
    <t>22-04-2024</t>
  </si>
  <si>
    <t>19-04-2024</t>
  </si>
  <si>
    <t>18-04-2024</t>
  </si>
  <si>
    <t>16-04-2024</t>
  </si>
  <si>
    <t>15-04-2024</t>
  </si>
  <si>
    <t>28-03-2024</t>
  </si>
  <si>
    <t>27-03-2024</t>
  </si>
  <si>
    <t>26-03-2024</t>
  </si>
  <si>
    <t>22-03-2024</t>
  </si>
  <si>
    <t>21-03-2024</t>
  </si>
  <si>
    <t>20-03-2024</t>
  </si>
  <si>
    <t>19-03-2024</t>
  </si>
  <si>
    <t>18-03-2024</t>
  </si>
  <si>
    <t>15-03-2024</t>
  </si>
  <si>
    <t>14-03-2024</t>
  </si>
  <si>
    <t>13-03-2024</t>
  </si>
  <si>
    <t>29-02-2024</t>
  </si>
  <si>
    <t>28-02-2024</t>
  </si>
  <si>
    <t>27-02-2024</t>
  </si>
  <si>
    <t>26-02-2024</t>
  </si>
  <si>
    <t>23-02-2024</t>
  </si>
  <si>
    <t>22-02-2024</t>
  </si>
  <si>
    <t>21-02-2024</t>
  </si>
  <si>
    <t>20-02-2024</t>
  </si>
  <si>
    <t>19-02-2024</t>
  </si>
  <si>
    <t>16-02-2024</t>
  </si>
  <si>
    <t>15-02-2024</t>
  </si>
  <si>
    <t>14-02-2024</t>
  </si>
  <si>
    <t>13-02-2024</t>
  </si>
  <si>
    <t>31-01-2024</t>
  </si>
  <si>
    <t>30-01-2024</t>
  </si>
  <si>
    <t>29-01-2024</t>
  </si>
  <si>
    <t>25-01-2024</t>
  </si>
  <si>
    <t>24-01-2024</t>
  </si>
  <si>
    <t>23-01-2024</t>
  </si>
  <si>
    <t>20-01-2024</t>
  </si>
  <si>
    <t>19-01-2024</t>
  </si>
  <si>
    <t>18-01-2024</t>
  </si>
  <si>
    <t>17-01-2024</t>
  </si>
  <si>
    <t>16-01-2024</t>
  </si>
  <si>
    <t>15-01-2024</t>
  </si>
  <si>
    <t>29-12-2023</t>
  </si>
  <si>
    <t>28-12-2023</t>
  </si>
  <si>
    <t>27-12-2023</t>
  </si>
  <si>
    <t>26-12-2023</t>
  </si>
  <si>
    <t>22-12-2023</t>
  </si>
  <si>
    <t>21-12-2023</t>
  </si>
  <si>
    <t>20-12-2023</t>
  </si>
  <si>
    <t>19-12-2023</t>
  </si>
  <si>
    <t>18-12-2023</t>
  </si>
  <si>
    <t>15-12-2023</t>
  </si>
  <si>
    <t>14-12-2023</t>
  </si>
  <si>
    <t>13-12-2023</t>
  </si>
  <si>
    <t>30-11-2023</t>
  </si>
  <si>
    <t>29-11-2023</t>
  </si>
  <si>
    <t>28-11-2023</t>
  </si>
  <si>
    <t>24-11-2023</t>
  </si>
  <si>
    <t>23-11-2023</t>
  </si>
  <si>
    <t>22-11-2023</t>
  </si>
  <si>
    <t>21-11-2023</t>
  </si>
  <si>
    <t>20-11-2023</t>
  </si>
  <si>
    <t>17-11-2023</t>
  </si>
  <si>
    <t>16-11-2023</t>
  </si>
  <si>
    <t>15-11-2023</t>
  </si>
  <si>
    <t>13-11-2023</t>
  </si>
  <si>
    <t>31-10-2023</t>
  </si>
  <si>
    <t>30-10-2023</t>
  </si>
  <si>
    <t>27-10-2023</t>
  </si>
  <si>
    <t>26-10-2023</t>
  </si>
  <si>
    <t>25-10-2023</t>
  </si>
  <si>
    <t>23-10-2023</t>
  </si>
  <si>
    <t>20-10-2023</t>
  </si>
  <si>
    <t>19-10-2023</t>
  </si>
  <si>
    <t>18-10-2023</t>
  </si>
  <si>
    <t>17-10-2023</t>
  </si>
  <si>
    <t>16-10-2023</t>
  </si>
  <si>
    <t>13-10-2023</t>
  </si>
  <si>
    <t>29-09-2023</t>
  </si>
  <si>
    <t>28-09-2023</t>
  </si>
  <si>
    <t>27-09-2023</t>
  </si>
  <si>
    <t>26-09-2023</t>
  </si>
  <si>
    <t>25-09-2023</t>
  </si>
  <si>
    <t>22-09-2023</t>
  </si>
  <si>
    <t>21-09-2023</t>
  </si>
  <si>
    <t>20-09-2023</t>
  </si>
  <si>
    <t>18-09-2023</t>
  </si>
  <si>
    <t>15-09-2023</t>
  </si>
  <si>
    <t>14-09-2023</t>
  </si>
  <si>
    <t>13-09-2023</t>
  </si>
  <si>
    <t>31-08-2023</t>
  </si>
  <si>
    <t>30-08-2023</t>
  </si>
  <si>
    <t>29-08-2023</t>
  </si>
  <si>
    <t>28-08-2023</t>
  </si>
  <si>
    <t>25-08-2023</t>
  </si>
  <si>
    <t>24-08-2023</t>
  </si>
  <si>
    <t>23-08-2023</t>
  </si>
  <si>
    <t>22-08-2023</t>
  </si>
  <si>
    <t>21-08-2023</t>
  </si>
  <si>
    <t>18-08-2023</t>
  </si>
  <si>
    <t>17-08-2023</t>
  </si>
  <si>
    <t>16-08-2023</t>
  </si>
  <si>
    <t>14-08-2023</t>
  </si>
  <si>
    <t>31-07-2023</t>
  </si>
  <si>
    <t>28-07-2023</t>
  </si>
  <si>
    <t>27-07-2023</t>
  </si>
  <si>
    <t>26-07-2023</t>
  </si>
  <si>
    <t>25-07-2023</t>
  </si>
  <si>
    <t>24-07-2023</t>
  </si>
  <si>
    <t>21-07-2023</t>
  </si>
  <si>
    <t>20-07-2023</t>
  </si>
  <si>
    <t>19-07-2023</t>
  </si>
  <si>
    <t>18-07-2023</t>
  </si>
  <si>
    <t>17-07-2023</t>
  </si>
  <si>
    <t>14-07-2023</t>
  </si>
  <si>
    <t>13-07-2023</t>
  </si>
  <si>
    <t>30-06-2023</t>
  </si>
  <si>
    <t>28-06-2023</t>
  </si>
  <si>
    <t>27-06-2023</t>
  </si>
  <si>
    <t>26-06-2023</t>
  </si>
  <si>
    <t>23-06-2023</t>
  </si>
  <si>
    <t>22-06-2023</t>
  </si>
  <si>
    <t>21-06-2023</t>
  </si>
  <si>
    <t>20-06-2023</t>
  </si>
  <si>
    <t>19-06-2023</t>
  </si>
  <si>
    <t>16-06-2023</t>
  </si>
  <si>
    <t>15-06-2023</t>
  </si>
  <si>
    <t>14-06-2023</t>
  </si>
  <si>
    <t>13-06-2023</t>
  </si>
  <si>
    <t>31-05-2023</t>
  </si>
  <si>
    <t>30-05-2023</t>
  </si>
  <si>
    <t>29-05-2023</t>
  </si>
  <si>
    <t>26-05-2023</t>
  </si>
  <si>
    <t>25-05-2023</t>
  </si>
  <si>
    <t>24-05-2023</t>
  </si>
  <si>
    <t>23-05-2023</t>
  </si>
  <si>
    <t>22-05-2023</t>
  </si>
  <si>
    <t>19-05-2023</t>
  </si>
  <si>
    <t>18-05-2023</t>
  </si>
  <si>
    <t>17-05-2023</t>
  </si>
  <si>
    <t>16-05-2023</t>
  </si>
  <si>
    <t>15-05-2023</t>
  </si>
  <si>
    <t>28-04-2023</t>
  </si>
  <si>
    <t>27-04-2023</t>
  </si>
  <si>
    <t>26-04-2023</t>
  </si>
  <si>
    <t>25-04-2023</t>
  </si>
  <si>
    <t>24-04-2023</t>
  </si>
  <si>
    <t>21-04-2023</t>
  </si>
  <si>
    <t>20-04-2023</t>
  </si>
  <si>
    <t>19-04-2023</t>
  </si>
  <si>
    <t>18-04-2023</t>
  </si>
  <si>
    <t>17-04-2023</t>
  </si>
  <si>
    <t>13-04-2023</t>
  </si>
  <si>
    <t>31-03-2023</t>
  </si>
  <si>
    <t>29-03-2023</t>
  </si>
  <si>
    <t>28-03-2023</t>
  </si>
  <si>
    <t>27-03-2023</t>
  </si>
  <si>
    <t>24-03-2023</t>
  </si>
  <si>
    <t>23-03-2023</t>
  </si>
  <si>
    <t>22-03-2023</t>
  </si>
  <si>
    <t>21-03-2023</t>
  </si>
  <si>
    <t>20-03-2023</t>
  </si>
  <si>
    <t>17-03-2023</t>
  </si>
  <si>
    <t>16-03-2023</t>
  </si>
  <si>
    <t>15-03-2023</t>
  </si>
  <si>
    <t>14-03-2023</t>
  </si>
  <si>
    <t>13-03-2023</t>
  </si>
  <si>
    <t>28-02-2023</t>
  </si>
  <si>
    <t>27-02-2023</t>
  </si>
  <si>
    <t>24-02-2023</t>
  </si>
  <si>
    <t>23-02-2023</t>
  </si>
  <si>
    <t>22-02-2023</t>
  </si>
  <si>
    <t>21-02-2023</t>
  </si>
  <si>
    <t>20-02-2023</t>
  </si>
  <si>
    <t>17-02-2023</t>
  </si>
  <si>
    <t>16-02-2023</t>
  </si>
  <si>
    <t>15-02-2023</t>
  </si>
  <si>
    <t>14-02-2023</t>
  </si>
  <si>
    <t>13-02-2023</t>
  </si>
  <si>
    <t>31-01-2023</t>
  </si>
  <si>
    <t>30-01-2023</t>
  </si>
  <si>
    <t>27-01-2023</t>
  </si>
  <si>
    <t>25-01-2023</t>
  </si>
  <si>
    <t>24-01-2023</t>
  </si>
  <si>
    <t>23-01-2023</t>
  </si>
  <si>
    <t>20-01-2023</t>
  </si>
  <si>
    <t>19-01-2023</t>
  </si>
  <si>
    <t>18-01-2023</t>
  </si>
  <si>
    <t>17-01-2023</t>
  </si>
  <si>
    <t>16-01-2023</t>
  </si>
  <si>
    <t>13-01-2023</t>
  </si>
  <si>
    <t>30-12-2022</t>
  </si>
  <si>
    <t>29-12-2022</t>
  </si>
  <si>
    <t>28-12-2022</t>
  </si>
  <si>
    <t>27-12-2022</t>
  </si>
  <si>
    <t>26-12-2022</t>
  </si>
  <si>
    <t>23-12-2022</t>
  </si>
  <si>
    <t>22-12-2022</t>
  </si>
  <si>
    <t>21-12-2022</t>
  </si>
  <si>
    <t>20-12-2022</t>
  </si>
  <si>
    <t>19-12-2022</t>
  </si>
  <si>
    <t>16-12-2022</t>
  </si>
  <si>
    <t>15-12-2022</t>
  </si>
  <si>
    <t>14-12-2022</t>
  </si>
  <si>
    <t>13-12-2022</t>
  </si>
  <si>
    <t>30-11-2022</t>
  </si>
  <si>
    <t>29-11-2022</t>
  </si>
  <si>
    <t>28-11-2022</t>
  </si>
  <si>
    <t>25-11-2022</t>
  </si>
  <si>
    <t>24-11-2022</t>
  </si>
  <si>
    <t>23-11-2022</t>
  </si>
  <si>
    <t>22-11-2022</t>
  </si>
  <si>
    <t>21-11-2022</t>
  </si>
  <si>
    <t>18-11-2022</t>
  </si>
  <si>
    <t>17-11-2022</t>
  </si>
  <si>
    <t>16-11-2022</t>
  </si>
  <si>
    <t>15-11-2022</t>
  </si>
  <si>
    <t>14-11-2022</t>
  </si>
  <si>
    <t>31-10-2022</t>
  </si>
  <si>
    <t>28-10-2022</t>
  </si>
  <si>
    <t>27-10-2022</t>
  </si>
  <si>
    <t>25-10-2022</t>
  </si>
  <si>
    <t>24-10-2022</t>
  </si>
  <si>
    <t>21-10-2022</t>
  </si>
  <si>
    <t>20-10-2022</t>
  </si>
  <si>
    <t>19-10-2022</t>
  </si>
  <si>
    <t>18-10-2022</t>
  </si>
  <si>
    <t>17-10-2022</t>
  </si>
  <si>
    <t>14-10-2022</t>
  </si>
  <si>
    <t>13-10-2022</t>
  </si>
  <si>
    <t>30-09-2022</t>
  </si>
  <si>
    <t>29-09-2022</t>
  </si>
  <si>
    <t>28-09-2022</t>
  </si>
  <si>
    <t>27-09-2022</t>
  </si>
  <si>
    <t>26-09-2022</t>
  </si>
  <si>
    <t>23-09-2022</t>
  </si>
  <si>
    <t>22-09-2022</t>
  </si>
  <si>
    <t>21-09-2022</t>
  </si>
  <si>
    <t>20-09-2022</t>
  </si>
  <si>
    <t>19-09-2022</t>
  </si>
  <si>
    <t>16-09-2022</t>
  </si>
  <si>
    <t>15-09-2022</t>
  </si>
  <si>
    <t>14-09-2022</t>
  </si>
  <si>
    <t>13-09-2022</t>
  </si>
  <si>
    <t>30-08-2022</t>
  </si>
  <si>
    <t>29-08-2022</t>
  </si>
  <si>
    <t>26-08-2022</t>
  </si>
  <si>
    <t>25-08-2022</t>
  </si>
  <si>
    <t>24-08-2022</t>
  </si>
  <si>
    <t>23-08-2022</t>
  </si>
  <si>
    <t>22-08-2022</t>
  </si>
  <si>
    <t>19-08-2022</t>
  </si>
  <si>
    <t>18-08-2022</t>
  </si>
  <si>
    <t>17-08-2022</t>
  </si>
  <si>
    <t>16-08-2022</t>
  </si>
  <si>
    <t>29-07-2022</t>
  </si>
  <si>
    <t>28-07-2022</t>
  </si>
  <si>
    <t>27-07-2022</t>
  </si>
  <si>
    <t>26-07-2022</t>
  </si>
  <si>
    <t>25-07-2022</t>
  </si>
  <si>
    <t>22-07-2022</t>
  </si>
  <si>
    <t>21-07-2022</t>
  </si>
  <si>
    <t>20-07-2022</t>
  </si>
  <si>
    <t>19-07-2022</t>
  </si>
  <si>
    <t>18-07-2022</t>
  </si>
  <si>
    <t>15-07-2022</t>
  </si>
  <si>
    <t>14-07-2022</t>
  </si>
  <si>
    <t>13-07-2022</t>
  </si>
  <si>
    <t>30-06-2022</t>
  </si>
  <si>
    <t>29-06-2022</t>
  </si>
  <si>
    <t>28-06-2022</t>
  </si>
  <si>
    <t>27-06-2022</t>
  </si>
  <si>
    <t>24-06-2022</t>
  </si>
  <si>
    <t>23-06-2022</t>
  </si>
  <si>
    <t>22-06-2022</t>
  </si>
  <si>
    <t>21-06-2022</t>
  </si>
  <si>
    <t>20-06-2022</t>
  </si>
  <si>
    <t>17-06-2022</t>
  </si>
  <si>
    <t>16-06-2022</t>
  </si>
  <si>
    <t>15-06-2022</t>
  </si>
  <si>
    <t>14-06-2022</t>
  </si>
  <si>
    <t>13-06-2022</t>
  </si>
  <si>
    <t>31-05-2022</t>
  </si>
  <si>
    <t>30-05-2022</t>
  </si>
  <si>
    <t>27-05-2022</t>
  </si>
  <si>
    <t>26-05-2022</t>
  </si>
  <si>
    <t>25-05-2022</t>
  </si>
  <si>
    <t>24-05-2022</t>
  </si>
  <si>
    <t>23-05-2022</t>
  </si>
  <si>
    <t>20-05-2022</t>
  </si>
  <si>
    <t>19-05-2022</t>
  </si>
  <si>
    <t>18-05-2022</t>
  </si>
  <si>
    <t>17-05-2022</t>
  </si>
  <si>
    <t>16-05-2022</t>
  </si>
  <si>
    <t>13-05-2022</t>
  </si>
  <si>
    <t>29-04-2022</t>
  </si>
  <si>
    <t>28-04-2022</t>
  </si>
  <si>
    <t>27-04-2022</t>
  </si>
  <si>
    <t>26-04-2022</t>
  </si>
  <si>
    <t>25-04-2022</t>
  </si>
  <si>
    <t>22-04-2022</t>
  </si>
  <si>
    <t>21-04-2022</t>
  </si>
  <si>
    <t>20-04-2022</t>
  </si>
  <si>
    <t>19-04-2022</t>
  </si>
  <si>
    <t>18-04-2022</t>
  </si>
  <si>
    <t>13-04-2022</t>
  </si>
  <si>
    <t>31-03-2022</t>
  </si>
  <si>
    <t>30-03-2022</t>
  </si>
  <si>
    <t>29-03-2022</t>
  </si>
  <si>
    <t>28-03-2022</t>
  </si>
  <si>
    <t>25-03-2022</t>
  </si>
  <si>
    <t>24-03-2022</t>
  </si>
  <si>
    <t>23-03-2022</t>
  </si>
  <si>
    <t>22-03-2022</t>
  </si>
  <si>
    <t>21-03-2022</t>
  </si>
  <si>
    <t>17-03-2022</t>
  </si>
  <si>
    <t>16-03-2022</t>
  </si>
  <si>
    <t>15-03-2022</t>
  </si>
  <si>
    <t>14-03-2022</t>
  </si>
  <si>
    <t>28-02-2022</t>
  </si>
  <si>
    <t>25-02-2022</t>
  </si>
  <si>
    <t>24-02-2022</t>
  </si>
  <si>
    <t>23-02-2022</t>
  </si>
  <si>
    <t>22-02-2022</t>
  </si>
  <si>
    <t>21-02-2022</t>
  </si>
  <si>
    <t>18-02-2022</t>
  </si>
  <si>
    <t>17-02-2022</t>
  </si>
  <si>
    <t>16-02-2022</t>
  </si>
  <si>
    <t>15-02-2022</t>
  </si>
  <si>
    <t>14-02-2022</t>
  </si>
  <si>
    <t>31-01-2022</t>
  </si>
  <si>
    <t>28-01-2022</t>
  </si>
  <si>
    <t>27-01-2022</t>
  </si>
  <si>
    <t>25-01-2022</t>
  </si>
  <si>
    <t>24-01-2022</t>
  </si>
  <si>
    <t>21-01-2022</t>
  </si>
  <si>
    <t>20-01-2022</t>
  </si>
  <si>
    <t>19-01-2022</t>
  </si>
  <si>
    <t>18-01-2022</t>
  </si>
  <si>
    <t>17-01-2022</t>
  </si>
  <si>
    <t>14-01-2022</t>
  </si>
  <si>
    <t>13-01-2022</t>
  </si>
  <si>
    <t>31-12-2021</t>
  </si>
  <si>
    <t>30-12-2021</t>
  </si>
  <si>
    <t>29-12-2021</t>
  </si>
  <si>
    <t>28-12-2021</t>
  </si>
  <si>
    <t>27-12-2021</t>
  </si>
  <si>
    <t>24-12-2021</t>
  </si>
  <si>
    <t>23-12-2021</t>
  </si>
  <si>
    <t>22-12-2021</t>
  </si>
  <si>
    <t>21-12-2021</t>
  </si>
  <si>
    <t>20-12-2021</t>
  </si>
  <si>
    <t>17-12-2021</t>
  </si>
  <si>
    <t>16-12-2021</t>
  </si>
  <si>
    <t>15-12-2021</t>
  </si>
  <si>
    <t>14-12-2021</t>
  </si>
  <si>
    <t>13-12-2021</t>
  </si>
  <si>
    <t>30-11-2021</t>
  </si>
  <si>
    <t>29-11-2021</t>
  </si>
  <si>
    <t>26-11-2021</t>
  </si>
  <si>
    <t>25-11-2021</t>
  </si>
  <si>
    <t>24-11-2021</t>
  </si>
  <si>
    <t>23-11-2021</t>
  </si>
  <si>
    <t>22-11-2021</t>
  </si>
  <si>
    <t>18-11-2021</t>
  </si>
  <si>
    <t>17-11-2021</t>
  </si>
  <si>
    <t>16-11-2021</t>
  </si>
  <si>
    <t>15-11-2021</t>
  </si>
  <si>
    <t>29-10-2021</t>
  </si>
  <si>
    <t>28-10-2021</t>
  </si>
  <si>
    <t>27-10-2021</t>
  </si>
  <si>
    <t>26-10-2021</t>
  </si>
  <si>
    <t>25-10-2021</t>
  </si>
  <si>
    <t>22-10-2021</t>
  </si>
  <si>
    <t>21-10-2021</t>
  </si>
  <si>
    <t>20-10-2021</t>
  </si>
  <si>
    <t>19-10-2021</t>
  </si>
  <si>
    <t>18-10-2021</t>
  </si>
  <si>
    <t>14-10-2021</t>
  </si>
  <si>
    <t>13-10-2021</t>
  </si>
  <si>
    <t>30-09-2021</t>
  </si>
  <si>
    <t>29-09-2021</t>
  </si>
  <si>
    <t>28-09-2021</t>
  </si>
  <si>
    <t>27-09-2021</t>
  </si>
  <si>
    <t>24-09-2021</t>
  </si>
  <si>
    <t>23-09-2021</t>
  </si>
  <si>
    <t>22-09-2021</t>
  </si>
  <si>
    <t>21-09-2021</t>
  </si>
  <si>
    <t>20-09-2021</t>
  </si>
  <si>
    <t>17-09-2021</t>
  </si>
  <si>
    <t>16-09-2021</t>
  </si>
  <si>
    <t>15-09-2021</t>
  </si>
  <si>
    <t>14-09-2021</t>
  </si>
  <si>
    <t>13-09-2021</t>
  </si>
  <si>
    <t>31-08-2021</t>
  </si>
  <si>
    <t>30-08-2021</t>
  </si>
  <si>
    <t>27-08-2021</t>
  </si>
  <si>
    <t>26-08-2021</t>
  </si>
  <si>
    <t>25-08-2021</t>
  </si>
  <si>
    <t>24-08-2021</t>
  </si>
  <si>
    <t>23-08-2021</t>
  </si>
  <si>
    <t>20-08-2021</t>
  </si>
  <si>
    <t>18-08-2021</t>
  </si>
  <si>
    <t>17-08-2021</t>
  </si>
  <si>
    <t>16-08-2021</t>
  </si>
  <si>
    <t>13-08-2021</t>
  </si>
  <si>
    <t>30-07-2021</t>
  </si>
  <si>
    <t>29-07-2021</t>
  </si>
  <si>
    <t>28-07-2021</t>
  </si>
  <si>
    <t>27-07-2021</t>
  </si>
  <si>
    <t>26-07-2021</t>
  </si>
  <si>
    <t>23-07-2021</t>
  </si>
  <si>
    <t>22-07-2021</t>
  </si>
  <si>
    <t>20-07-2021</t>
  </si>
  <si>
    <t>19-07-2021</t>
  </si>
  <si>
    <t>16-07-2021</t>
  </si>
  <si>
    <t>15-07-2021</t>
  </si>
  <si>
    <t>14-07-2021</t>
  </si>
  <si>
    <t>13-07-2021</t>
  </si>
  <si>
    <t>30-06-2021</t>
  </si>
  <si>
    <t>29-06-2021</t>
  </si>
  <si>
    <t>28-06-2021</t>
  </si>
  <si>
    <t>25-06-2021</t>
  </si>
  <si>
    <t>24-06-2021</t>
  </si>
  <si>
    <t>23-06-2021</t>
  </si>
  <si>
    <t>22-06-2021</t>
  </si>
  <si>
    <t>21-06-2021</t>
  </si>
  <si>
    <t>18-06-2021</t>
  </si>
  <si>
    <t>17-06-2021</t>
  </si>
  <si>
    <t>16-06-2021</t>
  </si>
  <si>
    <t>15-06-2021</t>
  </si>
  <si>
    <t>14-06-2021</t>
  </si>
  <si>
    <t>31-05-2021</t>
  </si>
  <si>
    <t>28-05-2021</t>
  </si>
  <si>
    <t>27-05-2021</t>
  </si>
  <si>
    <t>26-05-2021</t>
  </si>
  <si>
    <t>25-05-2021</t>
  </si>
  <si>
    <t>24-05-2021</t>
  </si>
  <si>
    <t>21-05-2021</t>
  </si>
  <si>
    <t>20-05-2021</t>
  </si>
  <si>
    <t>19-05-2021</t>
  </si>
  <si>
    <t>18-05-2021</t>
  </si>
  <si>
    <t>17-05-2021</t>
  </si>
  <si>
    <t>14-05-2021</t>
  </si>
  <si>
    <t>30-04-2021</t>
  </si>
  <si>
    <t>29-04-2021</t>
  </si>
  <si>
    <t>28-04-2021</t>
  </si>
  <si>
    <t>27-04-2021</t>
  </si>
  <si>
    <t>26-04-2021</t>
  </si>
  <si>
    <t>23-04-2021</t>
  </si>
  <si>
    <t>22-04-2021</t>
  </si>
  <si>
    <t>20-04-2021</t>
  </si>
  <si>
    <t>19-04-2021</t>
  </si>
  <si>
    <t>16-04-2021</t>
  </si>
  <si>
    <t>15-04-2021</t>
  </si>
  <si>
    <t>13-04-2021</t>
  </si>
  <si>
    <t>31-03-2021</t>
  </si>
  <si>
    <t>30-03-2021</t>
  </si>
  <si>
    <t>26-03-2021</t>
  </si>
  <si>
    <t>25-03-2021</t>
  </si>
  <si>
    <t>24-03-2021</t>
  </si>
  <si>
    <t>23-03-2021</t>
  </si>
  <si>
    <t>22-03-2021</t>
  </si>
  <si>
    <t>19-03-2021</t>
  </si>
  <si>
    <t>18-03-2021</t>
  </si>
  <si>
    <t>17-03-2021</t>
  </si>
  <si>
    <t>16-03-2021</t>
  </si>
  <si>
    <t>15-03-2021</t>
  </si>
  <si>
    <t>26-02-2021</t>
  </si>
  <si>
    <t>25-02-2021</t>
  </si>
  <si>
    <t>24-02-2021</t>
  </si>
  <si>
    <t>23-02-2021</t>
  </si>
  <si>
    <t>22-02-2021</t>
  </si>
  <si>
    <t>19-02-2021</t>
  </si>
  <si>
    <t>18-02-2021</t>
  </si>
  <si>
    <t>17-02-2021</t>
  </si>
  <si>
    <t>16-02-2021</t>
  </si>
  <si>
    <t>15-02-2021</t>
  </si>
  <si>
    <t>29-01-2021</t>
  </si>
  <si>
    <t>28-01-2021</t>
  </si>
  <si>
    <t>27-01-2021</t>
  </si>
  <si>
    <t>25-01-2021</t>
  </si>
  <si>
    <t>22-01-2021</t>
  </si>
  <si>
    <t>21-01-2021</t>
  </si>
  <si>
    <t>20-01-2021</t>
  </si>
  <si>
    <t>19-01-2021</t>
  </si>
  <si>
    <t>18-01-2021</t>
  </si>
  <si>
    <t>15-01-2021</t>
  </si>
  <si>
    <t>14-01-2021</t>
  </si>
  <si>
    <t>13-01-2021</t>
  </si>
  <si>
    <t>31-12-2020</t>
  </si>
  <si>
    <t>30-12-2020</t>
  </si>
  <si>
    <t>29-12-2020</t>
  </si>
  <si>
    <t>28-12-2020</t>
  </si>
  <si>
    <t>24-12-2020</t>
  </si>
  <si>
    <t>23-12-2020</t>
  </si>
  <si>
    <t>22-12-2020</t>
  </si>
  <si>
    <t>21-12-2020</t>
  </si>
  <si>
    <t>18-12-2020</t>
  </si>
  <si>
    <t>17-12-2020</t>
  </si>
  <si>
    <t>16-12-2020</t>
  </si>
  <si>
    <t>15-12-2020</t>
  </si>
  <si>
    <t>14-12-2020</t>
  </si>
  <si>
    <t>27-11-2020</t>
  </si>
  <si>
    <t>26-11-2020</t>
  </si>
  <si>
    <t>25-11-2020</t>
  </si>
  <si>
    <t>24-11-2020</t>
  </si>
  <si>
    <t>23-11-2020</t>
  </si>
  <si>
    <t>20-11-2020</t>
  </si>
  <si>
    <t>19-11-2020</t>
  </si>
  <si>
    <t>18-11-2020</t>
  </si>
  <si>
    <t>17-11-2020</t>
  </si>
  <si>
    <t>14-11-2020</t>
  </si>
  <si>
    <t>13-11-2020</t>
  </si>
  <si>
    <t>30-10-2020</t>
  </si>
  <si>
    <t>29-10-2020</t>
  </si>
  <si>
    <t>28-10-2020</t>
  </si>
  <si>
    <t>27-10-2020</t>
  </si>
  <si>
    <t>26-10-2020</t>
  </si>
  <si>
    <t>23-10-2020</t>
  </si>
  <si>
    <t>22-10-2020</t>
  </si>
  <si>
    <t>21-10-2020</t>
  </si>
  <si>
    <t>20-10-2020</t>
  </si>
  <si>
    <t>19-10-2020</t>
  </si>
  <si>
    <t>16-10-2020</t>
  </si>
  <si>
    <t>15-10-2020</t>
  </si>
  <si>
    <t>14-10-2020</t>
  </si>
  <si>
    <t>13-10-2020</t>
  </si>
  <si>
    <t>30-09-2020</t>
  </si>
  <si>
    <t>29-09-2020</t>
  </si>
  <si>
    <t>28-09-2020</t>
  </si>
  <si>
    <t>25-09-2020</t>
  </si>
  <si>
    <t>24-09-2020</t>
  </si>
  <si>
    <t>23-09-2020</t>
  </si>
  <si>
    <t>22-09-2020</t>
  </si>
  <si>
    <t>21-09-2020</t>
  </si>
  <si>
    <t>18-09-2020</t>
  </si>
  <si>
    <t>17-09-2020</t>
  </si>
  <si>
    <t>16-09-2020</t>
  </si>
  <si>
    <t>15-09-2020</t>
  </si>
  <si>
    <t>14-09-2020</t>
  </si>
  <si>
    <t>31-08-2020</t>
  </si>
  <si>
    <t>28-08-2020</t>
  </si>
  <si>
    <t>27-08-2020</t>
  </si>
  <si>
    <t>26-08-2020</t>
  </si>
  <si>
    <t>25-08-2020</t>
  </si>
  <si>
    <t>24-08-2020</t>
  </si>
  <si>
    <t>21-08-2020</t>
  </si>
  <si>
    <t>20-08-2020</t>
  </si>
  <si>
    <t>19-08-2020</t>
  </si>
  <si>
    <t>18-08-2020</t>
  </si>
  <si>
    <t>17-08-2020</t>
  </si>
  <si>
    <t>14-08-2020</t>
  </si>
  <si>
    <t>13-08-2020</t>
  </si>
  <si>
    <t>31-07-2020</t>
  </si>
  <si>
    <t>30-07-2020</t>
  </si>
  <si>
    <t>29-07-2020</t>
  </si>
  <si>
    <t>28-07-2020</t>
  </si>
  <si>
    <t>27-07-2020</t>
  </si>
  <si>
    <t>24-07-2020</t>
  </si>
  <si>
    <t>23-07-2020</t>
  </si>
  <si>
    <t>22-07-2020</t>
  </si>
  <si>
    <t>21-07-2020</t>
  </si>
  <si>
    <t>20-07-2020</t>
  </si>
  <si>
    <t>17-07-2020</t>
  </si>
  <si>
    <t>16-07-2020</t>
  </si>
  <si>
    <t>15-07-2020</t>
  </si>
  <si>
    <t>14-07-2020</t>
  </si>
  <si>
    <t>13-07-2020</t>
  </si>
  <si>
    <t>30-06-2020</t>
  </si>
  <si>
    <t>29-06-2020</t>
  </si>
  <si>
    <t>26-06-2020</t>
  </si>
  <si>
    <t>25-06-2020</t>
  </si>
  <si>
    <t>24-06-2020</t>
  </si>
  <si>
    <t>23-06-2020</t>
  </si>
  <si>
    <t>22-06-2020</t>
  </si>
  <si>
    <t>19-06-2020</t>
  </si>
  <si>
    <t>18-06-2020</t>
  </si>
  <si>
    <t>17-06-2020</t>
  </si>
  <si>
    <t>16-06-2020</t>
  </si>
  <si>
    <t>15-06-2020</t>
  </si>
  <si>
    <t>29-05-2020</t>
  </si>
  <si>
    <t>28-05-2020</t>
  </si>
  <si>
    <t>27-05-2020</t>
  </si>
  <si>
    <t>26-05-2020</t>
  </si>
  <si>
    <t>22-05-2020</t>
  </si>
  <si>
    <t>21-05-2020</t>
  </si>
  <si>
    <t>20-05-2020</t>
  </si>
  <si>
    <t>19-05-2020</t>
  </si>
  <si>
    <t>18-05-2020</t>
  </si>
  <si>
    <t>15-05-2020</t>
  </si>
  <si>
    <t>14-05-2020</t>
  </si>
  <si>
    <t>13-05-2020</t>
  </si>
  <si>
    <t>30-04-2020</t>
  </si>
  <si>
    <t>29-04-2020</t>
  </si>
  <si>
    <t>28-04-2020</t>
  </si>
  <si>
    <t>27-04-2020</t>
  </si>
  <si>
    <t>24-04-2020</t>
  </si>
  <si>
    <t>23-04-2020</t>
  </si>
  <si>
    <t>22-04-2020</t>
  </si>
  <si>
    <t>21-04-2020</t>
  </si>
  <si>
    <t>20-04-2020</t>
  </si>
  <si>
    <t>17-04-2020</t>
  </si>
  <si>
    <t>16-04-2020</t>
  </si>
  <si>
    <t>15-04-2020</t>
  </si>
  <si>
    <t>13-04-2020</t>
  </si>
  <si>
    <t>31-03-2020</t>
  </si>
  <si>
    <t>30-03-2020</t>
  </si>
  <si>
    <t>27-03-2020</t>
  </si>
  <si>
    <t>26-03-2020</t>
  </si>
  <si>
    <t>25-03-2020</t>
  </si>
  <si>
    <t>24-03-2020</t>
  </si>
  <si>
    <t>23-03-2020</t>
  </si>
  <si>
    <t>20-03-2020</t>
  </si>
  <si>
    <t>19-03-2020</t>
  </si>
  <si>
    <t>18-03-2020</t>
  </si>
  <si>
    <t>17-03-2020</t>
  </si>
  <si>
    <t>16-03-2020</t>
  </si>
  <si>
    <t>13-03-2020</t>
  </si>
  <si>
    <t>28-02-2020</t>
  </si>
  <si>
    <t>27-02-2020</t>
  </si>
  <si>
    <t>26-02-2020</t>
  </si>
  <si>
    <t>25-02-2020</t>
  </si>
  <si>
    <t>24-02-2020</t>
  </si>
  <si>
    <t>20-02-2020</t>
  </si>
  <si>
    <t>19-02-2020</t>
  </si>
  <si>
    <t>18-02-2020</t>
  </si>
  <si>
    <t>17-02-2020</t>
  </si>
  <si>
    <t>14-02-2020</t>
  </si>
  <si>
    <t>13-02-2020</t>
  </si>
  <si>
    <t>31-01-2020</t>
  </si>
  <si>
    <t>30-01-2020</t>
  </si>
  <si>
    <t>29-01-2020</t>
  </si>
  <si>
    <t>28-01-2020</t>
  </si>
  <si>
    <t>27-01-2020</t>
  </si>
  <si>
    <t>24-01-2020</t>
  </si>
  <si>
    <t>23-01-2020</t>
  </si>
  <si>
    <t>22-01-2020</t>
  </si>
  <si>
    <t>21-01-2020</t>
  </si>
  <si>
    <t>20-01-2020</t>
  </si>
  <si>
    <t>17-01-2020</t>
  </si>
  <si>
    <t>16-01-2020</t>
  </si>
  <si>
    <t>15-01-2020</t>
  </si>
  <si>
    <t>14-01-2020</t>
  </si>
  <si>
    <t>13-01-2020</t>
  </si>
  <si>
    <t>31-12-2019</t>
  </si>
  <si>
    <t>30-12-2019</t>
  </si>
  <si>
    <t>27-12-2019</t>
  </si>
  <si>
    <t>26-12-2019</t>
  </si>
  <si>
    <t>24-12-2019</t>
  </si>
  <si>
    <t>23-12-2019</t>
  </si>
  <si>
    <t>20-12-2019</t>
  </si>
  <si>
    <t>19-12-2019</t>
  </si>
  <si>
    <t>18-12-2019</t>
  </si>
  <si>
    <t>17-12-2019</t>
  </si>
  <si>
    <t>16-12-2019</t>
  </si>
  <si>
    <t>13-12-2019</t>
  </si>
  <si>
    <t>29-11-2019</t>
  </si>
  <si>
    <t>28-11-2019</t>
  </si>
  <si>
    <t>27-11-2019</t>
  </si>
  <si>
    <t>26-11-2019</t>
  </si>
  <si>
    <t>25-11-2019</t>
  </si>
  <si>
    <t>22-11-2019</t>
  </si>
  <si>
    <t>21-11-2019</t>
  </si>
  <si>
    <t>20-11-2019</t>
  </si>
  <si>
    <t>19-11-2019</t>
  </si>
  <si>
    <t>18-11-2019</t>
  </si>
  <si>
    <t>15-11-2019</t>
  </si>
  <si>
    <t>14-11-2019</t>
  </si>
  <si>
    <t>13-11-2019</t>
  </si>
  <si>
    <t>31-10-2019</t>
  </si>
  <si>
    <t>30-10-2019</t>
  </si>
  <si>
    <t>29-10-2019</t>
  </si>
  <si>
    <t>27-10-2019</t>
  </si>
  <si>
    <t>25-10-2019</t>
  </si>
  <si>
    <t>24-10-2019</t>
  </si>
  <si>
    <t>23-10-2019</t>
  </si>
  <si>
    <t>22-10-2019</t>
  </si>
  <si>
    <t>18-10-2019</t>
  </si>
  <si>
    <t>17-10-2019</t>
  </si>
  <si>
    <t>16-10-2019</t>
  </si>
  <si>
    <t>15-10-2019</t>
  </si>
  <si>
    <t>14-10-2019</t>
  </si>
  <si>
    <t>30-09-2019</t>
  </si>
  <si>
    <t>27-09-2019</t>
  </si>
  <si>
    <t>26-09-2019</t>
  </si>
  <si>
    <t>25-09-2019</t>
  </si>
  <si>
    <t>24-09-2019</t>
  </si>
  <si>
    <t>23-09-2019</t>
  </si>
  <si>
    <t>20-09-2019</t>
  </si>
  <si>
    <t>19-09-2019</t>
  </si>
  <si>
    <t>18-09-2019</t>
  </si>
  <si>
    <t>17-09-2019</t>
  </si>
  <si>
    <t>16-09-2019</t>
  </si>
  <si>
    <t>13-09-2019</t>
  </si>
  <si>
    <t>30-08-2019</t>
  </si>
  <si>
    <t>29-08-2019</t>
  </si>
  <si>
    <t>28-08-2019</t>
  </si>
  <si>
    <t>27-08-2019</t>
  </si>
  <si>
    <t>26-08-2019</t>
  </si>
  <si>
    <t>23-08-2019</t>
  </si>
  <si>
    <t>22-08-2019</t>
  </si>
  <si>
    <t>21-08-2019</t>
  </si>
  <si>
    <t>20-08-2019</t>
  </si>
  <si>
    <t>19-08-2019</t>
  </si>
  <si>
    <t>16-08-2019</t>
  </si>
  <si>
    <t>14-08-2019</t>
  </si>
  <si>
    <t>13-08-2019</t>
  </si>
  <si>
    <t>31-07-2019</t>
  </si>
  <si>
    <t>30-07-2019</t>
  </si>
  <si>
    <t>29-07-2019</t>
  </si>
  <si>
    <t>26-07-2019</t>
  </si>
  <si>
    <t>25-07-2019</t>
  </si>
  <si>
    <t>24-07-2019</t>
  </si>
  <si>
    <t>23-07-2019</t>
  </si>
  <si>
    <t>22-07-2019</t>
  </si>
  <si>
    <t>19-07-2019</t>
  </si>
  <si>
    <t>18-07-2019</t>
  </si>
  <si>
    <t>17-07-2019</t>
  </si>
  <si>
    <t>16-07-2019</t>
  </si>
  <si>
    <t>15-07-2019</t>
  </si>
  <si>
    <t>28-06-2019</t>
  </si>
  <si>
    <t>27-06-2019</t>
  </si>
  <si>
    <t>26-06-2019</t>
  </si>
  <si>
    <t>25-06-2019</t>
  </si>
  <si>
    <t>24-06-2019</t>
  </si>
  <si>
    <t>21-06-2019</t>
  </si>
  <si>
    <t>20-06-2019</t>
  </si>
  <si>
    <t>19-06-2019</t>
  </si>
  <si>
    <t>18-06-2019</t>
  </si>
  <si>
    <t>17-06-2019</t>
  </si>
  <si>
    <t>14-06-2019</t>
  </si>
  <si>
    <t>13-06-2019</t>
  </si>
  <si>
    <t>31-05-2019</t>
  </si>
  <si>
    <t>30-05-2019</t>
  </si>
  <si>
    <t>29-05-2019</t>
  </si>
  <si>
    <t>28-05-2019</t>
  </si>
  <si>
    <t>27-05-2019</t>
  </si>
  <si>
    <t>24-05-2019</t>
  </si>
  <si>
    <t>23-05-2019</t>
  </si>
  <si>
    <t>22-05-2019</t>
  </si>
  <si>
    <t>21-05-2019</t>
  </si>
  <si>
    <t>20-05-2019</t>
  </si>
  <si>
    <t>17-05-2019</t>
  </si>
  <si>
    <t>16-05-2019</t>
  </si>
  <si>
    <t>15-05-2019</t>
  </si>
  <si>
    <t>14-05-2019</t>
  </si>
  <si>
    <t>13-05-2019</t>
  </si>
  <si>
    <t>30-04-2019</t>
  </si>
  <si>
    <t>26-04-2019</t>
  </si>
  <si>
    <t>25-04-2019</t>
  </si>
  <si>
    <t>24-04-2019</t>
  </si>
  <si>
    <t>23-04-2019</t>
  </si>
  <si>
    <t>22-04-2019</t>
  </si>
  <si>
    <t>18-04-2019</t>
  </si>
  <si>
    <t>16-04-2019</t>
  </si>
  <si>
    <t>15-04-2019</t>
  </si>
  <si>
    <t>29-03-2019</t>
  </si>
  <si>
    <t>28-03-2019</t>
  </si>
  <si>
    <t>27-03-2019</t>
  </si>
  <si>
    <t>26-03-2019</t>
  </si>
  <si>
    <t>25-03-2019</t>
  </si>
  <si>
    <t>22-03-2019</t>
  </si>
  <si>
    <t>20-03-2019</t>
  </si>
  <si>
    <t>19-03-2019</t>
  </si>
  <si>
    <t>18-03-2019</t>
  </si>
  <si>
    <t>15-03-2019</t>
  </si>
  <si>
    <t>14-03-2019</t>
  </si>
  <si>
    <t>13-03-2019</t>
  </si>
  <si>
    <t>28-02-2019</t>
  </si>
  <si>
    <t>27-02-2019</t>
  </si>
  <si>
    <t>26-02-2019</t>
  </si>
  <si>
    <t>25-02-2019</t>
  </si>
  <si>
    <t>22-02-2019</t>
  </si>
  <si>
    <t>21-02-2019</t>
  </si>
  <si>
    <t>20-02-2019</t>
  </si>
  <si>
    <t>19-02-2019</t>
  </si>
  <si>
    <t>18-02-2019</t>
  </si>
  <si>
    <t>15-02-2019</t>
  </si>
  <si>
    <t>14-02-2019</t>
  </si>
  <si>
    <t>13-02-2019</t>
  </si>
  <si>
    <t>31-01-2019</t>
  </si>
  <si>
    <t>30-01-2019</t>
  </si>
  <si>
    <t>29-01-2019</t>
  </si>
  <si>
    <t>28-01-2019</t>
  </si>
  <si>
    <t>25-01-2019</t>
  </si>
  <si>
    <t>24-01-2019</t>
  </si>
  <si>
    <t>23-01-2019</t>
  </si>
  <si>
    <t>22-01-2019</t>
  </si>
  <si>
    <t>21-01-2019</t>
  </si>
  <si>
    <t>18-01-2019</t>
  </si>
  <si>
    <t>17-01-2019</t>
  </si>
  <si>
    <t>16-01-2019</t>
  </si>
  <si>
    <t>15-01-2019</t>
  </si>
  <si>
    <t>14-01-2019</t>
  </si>
  <si>
    <t>31-12-2018</t>
  </si>
  <si>
    <t>28-12-2018</t>
  </si>
  <si>
    <t>27-12-2018</t>
  </si>
  <si>
    <t>26-12-2018</t>
  </si>
  <si>
    <t>24-12-2018</t>
  </si>
  <si>
    <t>21-12-2018</t>
  </si>
  <si>
    <t>20-12-2018</t>
  </si>
  <si>
    <t>19-12-2018</t>
  </si>
  <si>
    <t>18-12-2018</t>
  </si>
  <si>
    <t>17-12-2018</t>
  </si>
  <si>
    <t>14-12-2018</t>
  </si>
  <si>
    <t>13-12-2018</t>
  </si>
  <si>
    <t>30-11-2018</t>
  </si>
  <si>
    <t>29-11-2018</t>
  </si>
  <si>
    <t>28-11-2018</t>
  </si>
  <si>
    <t>27-11-2018</t>
  </si>
  <si>
    <t>26-11-2018</t>
  </si>
  <si>
    <t>22-11-2018</t>
  </si>
  <si>
    <t>21-11-2018</t>
  </si>
  <si>
    <t>20-11-2018</t>
  </si>
  <si>
    <t>19-11-2018</t>
  </si>
  <si>
    <t>16-11-2018</t>
  </si>
  <si>
    <t>15-11-2018</t>
  </si>
  <si>
    <t>14-11-2018</t>
  </si>
  <si>
    <t>13-11-2018</t>
  </si>
  <si>
    <t>31-10-2018</t>
  </si>
  <si>
    <t>30-10-2018</t>
  </si>
  <si>
    <t>29-10-2018</t>
  </si>
  <si>
    <t>26-10-2018</t>
  </si>
  <si>
    <t>25-10-2018</t>
  </si>
  <si>
    <t>24-10-2018</t>
  </si>
  <si>
    <t>23-10-2018</t>
  </si>
  <si>
    <t>22-10-2018</t>
  </si>
  <si>
    <t>19-10-2018</t>
  </si>
  <si>
    <t>17-10-2018</t>
  </si>
  <si>
    <t>16-10-2018</t>
  </si>
  <si>
    <t>15-10-2018</t>
  </si>
  <si>
    <t>28-09-2018</t>
  </si>
  <si>
    <t>27-09-2018</t>
  </si>
  <si>
    <t>26-09-2018</t>
  </si>
  <si>
    <t>25-09-2018</t>
  </si>
  <si>
    <t>24-09-2018</t>
  </si>
  <si>
    <t>21-09-2018</t>
  </si>
  <si>
    <t>19-09-2018</t>
  </si>
  <si>
    <t>18-09-2018</t>
  </si>
  <si>
    <t>17-09-2018</t>
  </si>
  <si>
    <t>14-09-2018</t>
  </si>
  <si>
    <t>31-08-2018</t>
  </si>
  <si>
    <t>30-08-2018</t>
  </si>
  <si>
    <t>29-08-2018</t>
  </si>
  <si>
    <t>28-08-2018</t>
  </si>
  <si>
    <t>27-08-2018</t>
  </si>
  <si>
    <t>24-08-2018</t>
  </si>
  <si>
    <t>23-08-2018</t>
  </si>
  <si>
    <t>21-08-2018</t>
  </si>
  <si>
    <t>20-08-2018</t>
  </si>
  <si>
    <t>17-08-2018</t>
  </si>
  <si>
    <t>16-08-2018</t>
  </si>
  <si>
    <t>14-08-2018</t>
  </si>
  <si>
    <t>13-08-2018</t>
  </si>
  <si>
    <t>31-07-2018</t>
  </si>
  <si>
    <t>30-07-2018</t>
  </si>
  <si>
    <t>27-07-2018</t>
  </si>
  <si>
    <t>26-07-2018</t>
  </si>
  <si>
    <t>25-07-2018</t>
  </si>
  <si>
    <t>24-07-2018</t>
  </si>
  <si>
    <t>23-07-2018</t>
  </si>
  <si>
    <t>20-07-2018</t>
  </si>
  <si>
    <t>19-07-2018</t>
  </si>
  <si>
    <t>18-07-2018</t>
  </si>
  <si>
    <t>17-07-2018</t>
  </si>
  <si>
    <t>16-07-2018</t>
  </si>
  <si>
    <t>13-07-2018</t>
  </si>
  <si>
    <t>29-06-2018</t>
  </si>
  <si>
    <t>28-06-2018</t>
  </si>
  <si>
    <t>27-06-2018</t>
  </si>
  <si>
    <t>26-06-2018</t>
  </si>
  <si>
    <t>25-06-2018</t>
  </si>
  <si>
    <t>22-06-2018</t>
  </si>
  <si>
    <t>21-06-2018</t>
  </si>
  <si>
    <t>20-06-2018</t>
  </si>
  <si>
    <t>19-06-2018</t>
  </si>
  <si>
    <t>18-06-2018</t>
  </si>
  <si>
    <t>15-06-2018</t>
  </si>
  <si>
    <t>14-06-2018</t>
  </si>
  <si>
    <t>13-06-2018</t>
  </si>
  <si>
    <t>31-05-2018</t>
  </si>
  <si>
    <t>30-05-2018</t>
  </si>
  <si>
    <t>29-05-2018</t>
  </si>
  <si>
    <t>28-05-2018</t>
  </si>
  <si>
    <t>25-05-2018</t>
  </si>
  <si>
    <t>24-05-2018</t>
  </si>
  <si>
    <t>23-05-2018</t>
  </si>
  <si>
    <t>22-05-2018</t>
  </si>
  <si>
    <t>21-05-2018</t>
  </si>
  <si>
    <t>18-05-2018</t>
  </si>
  <si>
    <t>17-05-2018</t>
  </si>
  <si>
    <t>16-05-2018</t>
  </si>
  <si>
    <t>15-05-2018</t>
  </si>
  <si>
    <t>14-05-2018</t>
  </si>
  <si>
    <t>30-04-2018</t>
  </si>
  <si>
    <t>27-04-2018</t>
  </si>
  <si>
    <t>26-04-2018</t>
  </si>
  <si>
    <t>25-04-2018</t>
  </si>
  <si>
    <t>24-04-2018</t>
  </si>
  <si>
    <t>23-04-2018</t>
  </si>
  <si>
    <t>20-04-2018</t>
  </si>
  <si>
    <t>19-04-2018</t>
  </si>
  <si>
    <t>18-04-2018</t>
  </si>
  <si>
    <t>17-04-2018</t>
  </si>
  <si>
    <t>16-04-2018</t>
  </si>
  <si>
    <t>13-04-2018</t>
  </si>
  <si>
    <t>28-03-2018</t>
  </si>
  <si>
    <t>27-03-2018</t>
  </si>
  <si>
    <t>26-03-2018</t>
  </si>
  <si>
    <t>23-03-2018</t>
  </si>
  <si>
    <t>22-03-2018</t>
  </si>
  <si>
    <t>21-03-2018</t>
  </si>
  <si>
    <t>20-03-2018</t>
  </si>
  <si>
    <t>19-03-2018</t>
  </si>
  <si>
    <t>16-03-2018</t>
  </si>
  <si>
    <t>15-03-2018</t>
  </si>
  <si>
    <t>14-03-2018</t>
  </si>
  <si>
    <t>13-03-2018</t>
  </si>
  <si>
    <t>28-02-2018</t>
  </si>
  <si>
    <t>27-02-2018</t>
  </si>
  <si>
    <t>26-02-2018</t>
  </si>
  <si>
    <t>23-02-2018</t>
  </si>
  <si>
    <t>22-02-2018</t>
  </si>
  <si>
    <t>21-02-2018</t>
  </si>
  <si>
    <t>20-02-2018</t>
  </si>
  <si>
    <t>19-02-2018</t>
  </si>
  <si>
    <t>16-02-2018</t>
  </si>
  <si>
    <t>15-02-2018</t>
  </si>
  <si>
    <t>14-02-2018</t>
  </si>
  <si>
    <t>31-01-2018</t>
  </si>
  <si>
    <t>30-01-2018</t>
  </si>
  <si>
    <t>29-01-2018</t>
  </si>
  <si>
    <t>25-01-2018</t>
  </si>
  <si>
    <t>24-01-2018</t>
  </si>
  <si>
    <t>23-01-2018</t>
  </si>
  <si>
    <t>22-01-2018</t>
  </si>
  <si>
    <t>19-01-2018</t>
  </si>
  <si>
    <t>18-01-2018</t>
  </si>
  <si>
    <t>17-01-2018</t>
  </si>
  <si>
    <t>16-01-2018</t>
  </si>
  <si>
    <t>15-01-2018</t>
  </si>
  <si>
    <t>29-12-2017</t>
  </si>
  <si>
    <t>28-12-2017</t>
  </si>
  <si>
    <t>27-12-2017</t>
  </si>
  <si>
    <t>26-12-2017</t>
  </si>
  <si>
    <t>22-12-2017</t>
  </si>
  <si>
    <t>21-12-2017</t>
  </si>
  <si>
    <t>20-12-2017</t>
  </si>
  <si>
    <t>19-12-2017</t>
  </si>
  <si>
    <t>18-12-2017</t>
  </si>
  <si>
    <t>15-12-2017</t>
  </si>
  <si>
    <t>14-12-2017</t>
  </si>
  <si>
    <t>13-12-2017</t>
  </si>
  <si>
    <t>30-11-2017</t>
  </si>
  <si>
    <t>29-11-2017</t>
  </si>
  <si>
    <t>28-11-2017</t>
  </si>
  <si>
    <t>27-11-2017</t>
  </si>
  <si>
    <t>24-11-2017</t>
  </si>
  <si>
    <t>23-11-2017</t>
  </si>
  <si>
    <t>22-11-2017</t>
  </si>
  <si>
    <t>21-11-2017</t>
  </si>
  <si>
    <t>20-11-2017</t>
  </si>
  <si>
    <t>17-11-2017</t>
  </si>
  <si>
    <t>16-11-2017</t>
  </si>
  <si>
    <t>15-11-2017</t>
  </si>
  <si>
    <t>14-11-2017</t>
  </si>
  <si>
    <t>13-11-2017</t>
  </si>
  <si>
    <t>31-10-2017</t>
  </si>
  <si>
    <t>30-10-2017</t>
  </si>
  <si>
    <t>27-10-2017</t>
  </si>
  <si>
    <t>26-10-2017</t>
  </si>
  <si>
    <t>25-10-2017</t>
  </si>
  <si>
    <t>24-10-2017</t>
  </si>
  <si>
    <t>23-10-2017</t>
  </si>
  <si>
    <t>19-10-2017</t>
  </si>
  <si>
    <t>18-10-2017</t>
  </si>
  <si>
    <t>17-10-2017</t>
  </si>
  <si>
    <t>16-10-2017</t>
  </si>
  <si>
    <t>13-10-2017</t>
  </si>
  <si>
    <t>29-09-2017</t>
  </si>
  <si>
    <t>28-09-2017</t>
  </si>
  <si>
    <t>27-09-2017</t>
  </si>
  <si>
    <t>26-09-2017</t>
  </si>
  <si>
    <t>25-09-2017</t>
  </si>
  <si>
    <t>22-09-2017</t>
  </si>
  <si>
    <t>21-09-2017</t>
  </si>
  <si>
    <t>20-09-2017</t>
  </si>
  <si>
    <t>19-09-2017</t>
  </si>
  <si>
    <t>18-09-2017</t>
  </si>
  <si>
    <t>15-09-2017</t>
  </si>
  <si>
    <t>14-09-2017</t>
  </si>
  <si>
    <t>13-09-2017</t>
  </si>
  <si>
    <t>31-08-2017</t>
  </si>
  <si>
    <t>30-08-2017</t>
  </si>
  <si>
    <t>29-08-2017</t>
  </si>
  <si>
    <t>28-08-2017</t>
  </si>
  <si>
    <t>24-08-2017</t>
  </si>
  <si>
    <t>23-08-2017</t>
  </si>
  <si>
    <t>22-08-2017</t>
  </si>
  <si>
    <t>21-08-2017</t>
  </si>
  <si>
    <t>18-08-2017</t>
  </si>
  <si>
    <t>17-08-2017</t>
  </si>
  <si>
    <t>16-08-2017</t>
  </si>
  <si>
    <t>14-08-2017</t>
  </si>
  <si>
    <t>31-07-2017</t>
  </si>
  <si>
    <t>28-07-2017</t>
  </si>
  <si>
    <t>27-07-2017</t>
  </si>
  <si>
    <t>26-07-2017</t>
  </si>
  <si>
    <t>25-07-2017</t>
  </si>
  <si>
    <t>24-07-2017</t>
  </si>
  <si>
    <t>21-07-2017</t>
  </si>
  <si>
    <t>20-07-2017</t>
  </si>
  <si>
    <t>19-07-2017</t>
  </si>
  <si>
    <t>18-07-2017</t>
  </si>
  <si>
    <t>17-07-2017</t>
  </si>
  <si>
    <t>14-07-2017</t>
  </si>
  <si>
    <t>13-07-2017</t>
  </si>
  <si>
    <t>30-06-2017</t>
  </si>
  <si>
    <t>29-06-2017</t>
  </si>
  <si>
    <t>28-06-2017</t>
  </si>
  <si>
    <t>27-06-2017</t>
  </si>
  <si>
    <t>23-06-2017</t>
  </si>
  <si>
    <t>22-06-2017</t>
  </si>
  <si>
    <t>21-06-2017</t>
  </si>
  <si>
    <t>20-06-2017</t>
  </si>
  <si>
    <t>19-06-2017</t>
  </si>
  <si>
    <t>16-06-2017</t>
  </si>
  <si>
    <t>15-06-2017</t>
  </si>
  <si>
    <t>14-06-2017</t>
  </si>
  <si>
    <t>13-06-2017</t>
  </si>
  <si>
    <t>31-05-2017</t>
  </si>
  <si>
    <t>30-05-2017</t>
  </si>
  <si>
    <t>29-05-2017</t>
  </si>
  <si>
    <t>26-05-2017</t>
  </si>
  <si>
    <t>25-05-2017</t>
  </si>
  <si>
    <t>24-05-2017</t>
  </si>
  <si>
    <t>23-05-2017</t>
  </si>
  <si>
    <t>22-05-2017</t>
  </si>
  <si>
    <t>19-05-2017</t>
  </si>
  <si>
    <t>18-05-2017</t>
  </si>
  <si>
    <t>17-05-2017</t>
  </si>
  <si>
    <t>16-05-2017</t>
  </si>
  <si>
    <t>15-05-2017</t>
  </si>
  <si>
    <t>28-04-2017</t>
  </si>
  <si>
    <t>27-04-2017</t>
  </si>
  <si>
    <t>26-04-2017</t>
  </si>
  <si>
    <t>25-04-2017</t>
  </si>
  <si>
    <t>24-04-2017</t>
  </si>
  <si>
    <t>21-04-2017</t>
  </si>
  <si>
    <t>20-04-2017</t>
  </si>
  <si>
    <t>19-04-2017</t>
  </si>
  <si>
    <t>18-04-2017</t>
  </si>
  <si>
    <t>17-04-2017</t>
  </si>
  <si>
    <t>13-04-2017</t>
  </si>
  <si>
    <t>31-03-2017</t>
  </si>
  <si>
    <t>30-03-2017</t>
  </si>
  <si>
    <t>29-03-2017</t>
  </si>
  <si>
    <t>28-03-2017</t>
  </si>
  <si>
    <t>27-03-2017</t>
  </si>
  <si>
    <t>24-03-2017</t>
  </si>
  <si>
    <t>23-03-2017</t>
  </si>
  <si>
    <t>22-03-2017</t>
  </si>
  <si>
    <t>21-03-2017</t>
  </si>
  <si>
    <t>20-03-2017</t>
  </si>
  <si>
    <t>17-03-2017</t>
  </si>
  <si>
    <t>16-03-2017</t>
  </si>
  <si>
    <t>15-03-2017</t>
  </si>
  <si>
    <t>14-03-2017</t>
  </si>
  <si>
    <t>28-02-2017</t>
  </si>
  <si>
    <t>27-02-2017</t>
  </si>
  <si>
    <t>23-02-2017</t>
  </si>
  <si>
    <t>22-02-2017</t>
  </si>
  <si>
    <t>21-02-2017</t>
  </si>
  <si>
    <t>20-02-2017</t>
  </si>
  <si>
    <t>17-02-2017</t>
  </si>
  <si>
    <t>16-02-2017</t>
  </si>
  <si>
    <t>15-02-2017</t>
  </si>
  <si>
    <t>14-02-2017</t>
  </si>
  <si>
    <t>13-02-2017</t>
  </si>
  <si>
    <t>31-01-2017</t>
  </si>
  <si>
    <t>30-01-2017</t>
  </si>
  <si>
    <t>27-01-2017</t>
  </si>
  <si>
    <t>25-01-2017</t>
  </si>
  <si>
    <t>24-01-2017</t>
  </si>
  <si>
    <t>23-01-2017</t>
  </si>
  <si>
    <t>20-01-2017</t>
  </si>
  <si>
    <t>19-01-2017</t>
  </si>
  <si>
    <t>18-01-2017</t>
  </si>
  <si>
    <t>17-01-2017</t>
  </si>
  <si>
    <t>16-01-2017</t>
  </si>
  <si>
    <t>13-01-2017</t>
  </si>
  <si>
    <t>30-12-2016</t>
  </si>
  <si>
    <t>29-12-2016</t>
  </si>
  <si>
    <t>28-12-2016</t>
  </si>
  <si>
    <t>27-12-2016</t>
  </si>
  <si>
    <t>26-12-2016</t>
  </si>
  <si>
    <t>23-12-2016</t>
  </si>
  <si>
    <t>22-12-2016</t>
  </si>
  <si>
    <t>21-12-2016</t>
  </si>
  <si>
    <t>20-12-2016</t>
  </si>
  <si>
    <t>19-12-2016</t>
  </si>
  <si>
    <t>16-12-2016</t>
  </si>
  <si>
    <t>15-12-2016</t>
  </si>
  <si>
    <t>14-12-2016</t>
  </si>
  <si>
    <t>13-12-2016</t>
  </si>
  <si>
    <t>30-11-2016</t>
  </si>
  <si>
    <t>29-11-2016</t>
  </si>
  <si>
    <t>28-11-2016</t>
  </si>
  <si>
    <t>25-11-2016</t>
  </si>
  <si>
    <t>24-11-2016</t>
  </si>
  <si>
    <t>23-11-2016</t>
  </si>
  <si>
    <t>22-11-2016</t>
  </si>
  <si>
    <t>21-11-2016</t>
  </si>
  <si>
    <t>18-11-2016</t>
  </si>
  <si>
    <t>17-11-2016</t>
  </si>
  <si>
    <t>16-11-2016</t>
  </si>
  <si>
    <t>15-11-2016</t>
  </si>
  <si>
    <t>30-10-2016</t>
  </si>
  <si>
    <t>28-10-2016</t>
  </si>
  <si>
    <t>27-10-2016</t>
  </si>
  <si>
    <t>26-10-2016</t>
  </si>
  <si>
    <t>25-10-2016</t>
  </si>
  <si>
    <t>24-10-2016</t>
  </si>
  <si>
    <t>21-10-2016</t>
  </si>
  <si>
    <t>20-10-2016</t>
  </si>
  <si>
    <t>19-10-2016</t>
  </si>
  <si>
    <t>18-10-2016</t>
  </si>
  <si>
    <t>17-10-2016</t>
  </si>
  <si>
    <t>14-10-2016</t>
  </si>
  <si>
    <t>13-10-2016</t>
  </si>
  <si>
    <t>30-09-2016</t>
  </si>
  <si>
    <t>29-09-2016</t>
  </si>
  <si>
    <t>28-09-2016</t>
  </si>
  <si>
    <t>27-09-2016</t>
  </si>
  <si>
    <t>26-09-2016</t>
  </si>
  <si>
    <t>23-09-2016</t>
  </si>
  <si>
    <t>22-09-2016</t>
  </si>
  <si>
    <t>21-09-2016</t>
  </si>
  <si>
    <t>20-09-2016</t>
  </si>
  <si>
    <t>19-09-2016</t>
  </si>
  <si>
    <t>16-09-2016</t>
  </si>
  <si>
    <t>15-09-2016</t>
  </si>
  <si>
    <t>14-09-2016</t>
  </si>
  <si>
    <t>31-08-2016</t>
  </si>
  <si>
    <t>30-08-2016</t>
  </si>
  <si>
    <t>29-08-2016</t>
  </si>
  <si>
    <t>26-08-2016</t>
  </si>
  <si>
    <t>25-08-2016</t>
  </si>
  <si>
    <t>24-08-2016</t>
  </si>
  <si>
    <t>23-08-2016</t>
  </si>
  <si>
    <t>22-08-2016</t>
  </si>
  <si>
    <t>19-08-2016</t>
  </si>
  <si>
    <t>18-08-2016</t>
  </si>
  <si>
    <t>17-08-2016</t>
  </si>
  <si>
    <t>16-08-2016</t>
  </si>
  <si>
    <t>29-07-2016</t>
  </si>
  <si>
    <t>28-07-2016</t>
  </si>
  <si>
    <t>27-07-2016</t>
  </si>
  <si>
    <t>26-07-2016</t>
  </si>
  <si>
    <t>25-07-2016</t>
  </si>
  <si>
    <t>22-07-2016</t>
  </si>
  <si>
    <t>21-07-2016</t>
  </si>
  <si>
    <t>20-07-2016</t>
  </si>
  <si>
    <t>19-07-2016</t>
  </si>
  <si>
    <t>18-07-2016</t>
  </si>
  <si>
    <t>15-07-2016</t>
  </si>
  <si>
    <t>14-07-2016</t>
  </si>
  <si>
    <t>13-07-2016</t>
  </si>
  <si>
    <t>30-06-2016</t>
  </si>
  <si>
    <t>29-06-2016</t>
  </si>
  <si>
    <t>28-06-2016</t>
  </si>
  <si>
    <t>27-06-2016</t>
  </si>
  <si>
    <t>24-06-2016</t>
  </si>
  <si>
    <t>23-06-2016</t>
  </si>
  <si>
    <t>22-06-2016</t>
  </si>
  <si>
    <t>21-06-2016</t>
  </si>
  <si>
    <t>20-06-2016</t>
  </si>
  <si>
    <t>17-06-2016</t>
  </si>
  <si>
    <t>16-06-2016</t>
  </si>
  <si>
    <t>15-06-2016</t>
  </si>
  <si>
    <t>14-06-2016</t>
  </si>
  <si>
    <t>13-06-2016</t>
  </si>
  <si>
    <t>31-05-2016</t>
  </si>
  <si>
    <t>30-05-2016</t>
  </si>
  <si>
    <t>27-05-2016</t>
  </si>
  <si>
    <t>26-05-2016</t>
  </si>
  <si>
    <t>25-05-2016</t>
  </si>
  <si>
    <t>24-05-2016</t>
  </si>
  <si>
    <t>23-05-2016</t>
  </si>
  <si>
    <t>20-05-2016</t>
  </si>
  <si>
    <t>19-05-2016</t>
  </si>
  <si>
    <t>18-05-2016</t>
  </si>
  <si>
    <t>17-05-2016</t>
  </si>
  <si>
    <t>16-05-2016</t>
  </si>
  <si>
    <t>13-05-2016</t>
  </si>
  <si>
    <t>29-04-2016</t>
  </si>
  <si>
    <t>28-04-2016</t>
  </si>
  <si>
    <t>27-04-2016</t>
  </si>
  <si>
    <t>26-04-2016</t>
  </si>
  <si>
    <t>25-04-2016</t>
  </si>
  <si>
    <t>22-04-2016</t>
  </si>
  <si>
    <t>21-04-2016</t>
  </si>
  <si>
    <t>20-04-2016</t>
  </si>
  <si>
    <t>18-04-2016</t>
  </si>
  <si>
    <t>13-04-2016</t>
  </si>
  <si>
    <t>31-03-2016</t>
  </si>
  <si>
    <t>30-03-2016</t>
  </si>
  <si>
    <t>29-03-2016</t>
  </si>
  <si>
    <t>28-03-2016</t>
  </si>
  <si>
    <t>23-03-2016</t>
  </si>
  <si>
    <t>22-03-2016</t>
  </si>
  <si>
    <t>21-03-2016</t>
  </si>
  <si>
    <t>18-03-2016</t>
  </si>
  <si>
    <t>17-03-2016</t>
  </si>
  <si>
    <t>16-03-2016</t>
  </si>
  <si>
    <t>15-03-2016</t>
  </si>
  <si>
    <t>14-03-2016</t>
  </si>
  <si>
    <t>29-02-2016</t>
  </si>
  <si>
    <t>26-02-2016</t>
  </si>
  <si>
    <t>25-02-2016</t>
  </si>
  <si>
    <t>24-02-2016</t>
  </si>
  <si>
    <t>23-02-2016</t>
  </si>
  <si>
    <t>22-02-2016</t>
  </si>
  <si>
    <t>19-02-2016</t>
  </si>
  <si>
    <t>18-02-2016</t>
  </si>
  <si>
    <t>17-02-2016</t>
  </si>
  <si>
    <t>16-02-2016</t>
  </si>
  <si>
    <t>15-02-2016</t>
  </si>
  <si>
    <t>29-01-2016</t>
  </si>
  <si>
    <t>28-01-2016</t>
  </si>
  <si>
    <t>27-01-2016</t>
  </si>
  <si>
    <t>25-01-2016</t>
  </si>
  <si>
    <t>22-01-2016</t>
  </si>
  <si>
    <t>21-01-2016</t>
  </si>
  <si>
    <t>20-01-2016</t>
  </si>
  <si>
    <t>19-01-2016</t>
  </si>
  <si>
    <t>18-01-2016</t>
  </si>
  <si>
    <t>15-01-2016</t>
  </si>
  <si>
    <t>14-01-2016</t>
  </si>
  <si>
    <t>13-01-2016</t>
  </si>
  <si>
    <t>31-12-2015</t>
  </si>
  <si>
    <t>30-12-2015</t>
  </si>
  <si>
    <t>29-12-2015</t>
  </si>
  <si>
    <t>28-12-2015</t>
  </si>
  <si>
    <t>24-12-2015</t>
  </si>
  <si>
    <t>23-12-2015</t>
  </si>
  <si>
    <t>22-12-2015</t>
  </si>
  <si>
    <t>21-12-2015</t>
  </si>
  <si>
    <t>18-12-2015</t>
  </si>
  <si>
    <t>17-12-2015</t>
  </si>
  <si>
    <t>16-12-2015</t>
  </si>
  <si>
    <t>15-12-2015</t>
  </si>
  <si>
    <t>14-12-2015</t>
  </si>
  <si>
    <t>30-11-2015</t>
  </si>
  <si>
    <t>27-11-2015</t>
  </si>
  <si>
    <t>26-11-2015</t>
  </si>
  <si>
    <t>24-11-2015</t>
  </si>
  <si>
    <t>23-11-2015</t>
  </si>
  <si>
    <t>20-11-2015</t>
  </si>
  <si>
    <t>19-11-2015</t>
  </si>
  <si>
    <t>18-11-2015</t>
  </si>
  <si>
    <t>17-11-2015</t>
  </si>
  <si>
    <t>16-11-2015</t>
  </si>
  <si>
    <t>13-11-2015</t>
  </si>
  <si>
    <t>30-10-2015</t>
  </si>
  <si>
    <t>29-10-2015</t>
  </si>
  <si>
    <t>28-10-2015</t>
  </si>
  <si>
    <t>27-10-2015</t>
  </si>
  <si>
    <t>26-10-2015</t>
  </si>
  <si>
    <t>23-10-2015</t>
  </si>
  <si>
    <t>21-10-2015</t>
  </si>
  <si>
    <t>20-10-2015</t>
  </si>
  <si>
    <t>19-10-2015</t>
  </si>
  <si>
    <t>16-10-2015</t>
  </si>
  <si>
    <t>15-10-2015</t>
  </si>
  <si>
    <t>14-10-2015</t>
  </si>
  <si>
    <t>13-10-2015</t>
  </si>
  <si>
    <t>30-09-2015</t>
  </si>
  <si>
    <t>29-09-2015</t>
  </si>
  <si>
    <t>28-09-2015</t>
  </si>
  <si>
    <t>24-09-2015</t>
  </si>
  <si>
    <t>23-09-2015</t>
  </si>
  <si>
    <t>22-09-2015</t>
  </si>
  <si>
    <t>21-09-2015</t>
  </si>
  <si>
    <t>18-09-2015</t>
  </si>
  <si>
    <t>16-09-2015</t>
  </si>
  <si>
    <t>15-09-2015</t>
  </si>
  <si>
    <t>14-09-2015</t>
  </si>
  <si>
    <t>31-08-2015</t>
  </si>
  <si>
    <t>28-08-2015</t>
  </si>
  <si>
    <t>27-08-2015</t>
  </si>
  <si>
    <t>26-08-2015</t>
  </si>
  <si>
    <t>25-08-2015</t>
  </si>
  <si>
    <t>24-08-2015</t>
  </si>
  <si>
    <t>21-08-2015</t>
  </si>
  <si>
    <t>20-08-2015</t>
  </si>
  <si>
    <t>19-08-2015</t>
  </si>
  <si>
    <t>18-08-2015</t>
  </si>
  <si>
    <t>17-08-2015</t>
  </si>
  <si>
    <t>14-08-2015</t>
  </si>
  <si>
    <t>13-08-2015</t>
  </si>
  <si>
    <t>31-07-2015</t>
  </si>
  <si>
    <t>30-07-2015</t>
  </si>
  <si>
    <t>29-07-2015</t>
  </si>
  <si>
    <t>28-07-2015</t>
  </si>
  <si>
    <t>27-07-2015</t>
  </si>
  <si>
    <t>24-07-2015</t>
  </si>
  <si>
    <t>23-07-2015</t>
  </si>
  <si>
    <t>22-07-2015</t>
  </si>
  <si>
    <t>21-07-2015</t>
  </si>
  <si>
    <t>20-07-2015</t>
  </si>
  <si>
    <t>17-07-2015</t>
  </si>
  <si>
    <t>16-07-2015</t>
  </si>
  <si>
    <t>15-07-2015</t>
  </si>
  <si>
    <t>14-07-2015</t>
  </si>
  <si>
    <t>13-07-2015</t>
  </si>
  <si>
    <t>30-06-2015</t>
  </si>
  <si>
    <t>29-06-2015</t>
  </si>
  <si>
    <t>26-06-2015</t>
  </si>
  <si>
    <t>25-06-2015</t>
  </si>
  <si>
    <t>24-06-2015</t>
  </si>
  <si>
    <t>23-06-2015</t>
  </si>
  <si>
    <t>22-06-2015</t>
  </si>
  <si>
    <t>19-06-2015</t>
  </si>
  <si>
    <t>18-06-2015</t>
  </si>
  <si>
    <t>17-06-2015</t>
  </si>
  <si>
    <t>16-06-2015</t>
  </si>
  <si>
    <t>15-06-2015</t>
  </si>
  <si>
    <t>29-05-2015</t>
  </si>
  <si>
    <t>28-05-2015</t>
  </si>
  <si>
    <t>27-05-2015</t>
  </si>
  <si>
    <t>26-05-2015</t>
  </si>
  <si>
    <t>25-05-2015</t>
  </si>
  <si>
    <t>22-05-2015</t>
  </si>
  <si>
    <t>21-05-2015</t>
  </si>
  <si>
    <t>20-05-2015</t>
  </si>
  <si>
    <t>19-05-2015</t>
  </si>
  <si>
    <t>18-05-2015</t>
  </si>
  <si>
    <t>15-05-2015</t>
  </si>
  <si>
    <t>14-05-2015</t>
  </si>
  <si>
    <t>13-05-2015</t>
  </si>
  <si>
    <t>30-04-2015</t>
  </si>
  <si>
    <t>29-04-2015</t>
  </si>
  <si>
    <t>28-04-2015</t>
  </si>
  <si>
    <t>27-04-2015</t>
  </si>
  <si>
    <t>24-04-2015</t>
  </si>
  <si>
    <t>23-04-2015</t>
  </si>
  <si>
    <t>22-04-2015</t>
  </si>
  <si>
    <t>21-04-2015</t>
  </si>
  <si>
    <t>20-04-2015</t>
  </si>
  <si>
    <t>17-04-2015</t>
  </si>
  <si>
    <t>16-04-2015</t>
  </si>
  <si>
    <t>15-04-2015</t>
  </si>
  <si>
    <t>13-04-2015</t>
  </si>
  <si>
    <t>31-03-2015</t>
  </si>
  <si>
    <t>30-03-2015</t>
  </si>
  <si>
    <t>27-03-2015</t>
  </si>
  <si>
    <t>26-03-2015</t>
  </si>
  <si>
    <t>25-03-2015</t>
  </si>
  <si>
    <t>24-03-2015</t>
  </si>
  <si>
    <t>23-03-2015</t>
  </si>
  <si>
    <t>20-03-2015</t>
  </si>
  <si>
    <t>19-03-2015</t>
  </si>
  <si>
    <t>18-03-2015</t>
  </si>
  <si>
    <t>17-03-2015</t>
  </si>
  <si>
    <t>16-03-2015</t>
  </si>
  <si>
    <t>13-03-2015</t>
  </si>
  <si>
    <t>28-02-2015</t>
  </si>
  <si>
    <t>27-02-2015</t>
  </si>
  <si>
    <t>26-02-2015</t>
  </si>
  <si>
    <t>25-02-2015</t>
  </si>
  <si>
    <t>24-02-2015</t>
  </si>
  <si>
    <t>23-02-2015</t>
  </si>
  <si>
    <t>20-02-2015</t>
  </si>
  <si>
    <t>19-02-2015</t>
  </si>
  <si>
    <t>18-02-2015</t>
  </si>
  <si>
    <t>16-02-2015</t>
  </si>
  <si>
    <t>13-02-2015</t>
  </si>
  <si>
    <t>30-01-2015</t>
  </si>
  <si>
    <t>29-01-2015</t>
  </si>
  <si>
    <t>28-01-2015</t>
  </si>
  <si>
    <t>27-01-2015</t>
  </si>
  <si>
    <t>23-01-2015</t>
  </si>
  <si>
    <t>22-01-2015</t>
  </si>
  <si>
    <t>21-01-2015</t>
  </si>
  <si>
    <t>20-01-2015</t>
  </si>
  <si>
    <t>19-01-2015</t>
  </si>
  <si>
    <t>16-01-2015</t>
  </si>
  <si>
    <t>15-01-2015</t>
  </si>
  <si>
    <t>14-01-2015</t>
  </si>
  <si>
    <t>13-01-2015</t>
  </si>
  <si>
    <t>31-12-2014</t>
  </si>
  <si>
    <t>30-12-2014</t>
  </si>
  <si>
    <t>29-12-2014</t>
  </si>
  <si>
    <t>26-12-2014</t>
  </si>
  <si>
    <t>24-12-2014</t>
  </si>
  <si>
    <t>23-12-2014</t>
  </si>
  <si>
    <t>22-12-2014</t>
  </si>
  <si>
    <t>19-12-2014</t>
  </si>
  <si>
    <t>18-12-2014</t>
  </si>
  <si>
    <t>17-12-2014</t>
  </si>
  <si>
    <t>16-12-2014</t>
  </si>
  <si>
    <t>15-12-2014</t>
  </si>
  <si>
    <t>28-11-2014</t>
  </si>
  <si>
    <t>27-11-2014</t>
  </si>
  <si>
    <t>26-11-2014</t>
  </si>
  <si>
    <t>25-11-2014</t>
  </si>
  <si>
    <t>24-11-2014</t>
  </si>
  <si>
    <t>21-11-2014</t>
  </si>
  <si>
    <t>20-11-2014</t>
  </si>
  <si>
    <t>19-11-2014</t>
  </si>
  <si>
    <t>18-11-2014</t>
  </si>
  <si>
    <t>17-11-2014</t>
  </si>
  <si>
    <t>14-11-2014</t>
  </si>
  <si>
    <t>13-11-2014</t>
  </si>
  <si>
    <t>31-10-2014</t>
  </si>
  <si>
    <t>30-10-2014</t>
  </si>
  <si>
    <t>29-10-2014</t>
  </si>
  <si>
    <t>28-10-2014</t>
  </si>
  <si>
    <t>27-10-2014</t>
  </si>
  <si>
    <t>23-10-2014</t>
  </si>
  <si>
    <t>22-10-2014</t>
  </si>
  <si>
    <t>21-10-2014</t>
  </si>
  <si>
    <t>20-10-2014</t>
  </si>
  <si>
    <t>17-10-2014</t>
  </si>
  <si>
    <t>16-10-2014</t>
  </si>
  <si>
    <t>14-10-2014</t>
  </si>
  <si>
    <t>13-10-2014</t>
  </si>
  <si>
    <t>30-09-2014</t>
  </si>
  <si>
    <t>29-09-2014</t>
  </si>
  <si>
    <t>26-09-2014</t>
  </si>
  <si>
    <t>25-09-2014</t>
  </si>
  <si>
    <t>24-09-2014</t>
  </si>
  <si>
    <t>23-09-2014</t>
  </si>
  <si>
    <t>22-09-2014</t>
  </si>
  <si>
    <t>19-09-2014</t>
  </si>
  <si>
    <t>18-09-2014</t>
  </si>
  <si>
    <t>17-09-2014</t>
  </si>
  <si>
    <t>16-09-2014</t>
  </si>
  <si>
    <t>15-09-2014</t>
  </si>
  <si>
    <t>28-08-2014</t>
  </si>
  <si>
    <t>27-08-2014</t>
  </si>
  <si>
    <t>26-08-2014</t>
  </si>
  <si>
    <t>25-08-2014</t>
  </si>
  <si>
    <t>22-08-2014</t>
  </si>
  <si>
    <t>21-08-2014</t>
  </si>
  <si>
    <t>20-08-2014</t>
  </si>
  <si>
    <t>19-08-2014</t>
  </si>
  <si>
    <t>18-08-2014</t>
  </si>
  <si>
    <t>14-08-2014</t>
  </si>
  <si>
    <t>13-08-2014</t>
  </si>
  <si>
    <t>31-07-2014</t>
  </si>
  <si>
    <t>30-07-2014</t>
  </si>
  <si>
    <t>28-07-2014</t>
  </si>
  <si>
    <t>25-07-2014</t>
  </si>
  <si>
    <t>24-07-2014</t>
  </si>
  <si>
    <t>23-07-2014</t>
  </si>
  <si>
    <t>22-07-2014</t>
  </si>
  <si>
    <t>21-07-2014</t>
  </si>
  <si>
    <t>18-07-2014</t>
  </si>
  <si>
    <t>17-07-2014</t>
  </si>
  <si>
    <t>16-07-2014</t>
  </si>
  <si>
    <t>15-07-2014</t>
  </si>
  <si>
    <t>14-07-2014</t>
  </si>
  <si>
    <t>30-06-2014</t>
  </si>
  <si>
    <t>27-06-2014</t>
  </si>
  <si>
    <t>26-06-2014</t>
  </si>
  <si>
    <t>25-06-2014</t>
  </si>
  <si>
    <t>24-06-2014</t>
  </si>
  <si>
    <t>23-06-2014</t>
  </si>
  <si>
    <t>20-06-2014</t>
  </si>
  <si>
    <t>19-06-2014</t>
  </si>
  <si>
    <t>18-06-2014</t>
  </si>
  <si>
    <t>17-06-2014</t>
  </si>
  <si>
    <t>16-06-2014</t>
  </si>
  <si>
    <t>13-06-2014</t>
  </si>
  <si>
    <t>30-05-2014</t>
  </si>
  <si>
    <t>29-05-2014</t>
  </si>
  <si>
    <t>28-05-2014</t>
  </si>
  <si>
    <t>27-05-2014</t>
  </si>
  <si>
    <t>26-05-2014</t>
  </si>
  <si>
    <t>23-05-2014</t>
  </si>
  <si>
    <t>22-05-2014</t>
  </si>
  <si>
    <t>21-05-2014</t>
  </si>
  <si>
    <t>20-05-2014</t>
  </si>
  <si>
    <t>19-05-2014</t>
  </si>
  <si>
    <t>16-05-2014</t>
  </si>
  <si>
    <t>15-05-2014</t>
  </si>
  <si>
    <t>14-05-2014</t>
  </si>
  <si>
    <t>13-05-2014</t>
  </si>
  <si>
    <t>30-04-2014</t>
  </si>
  <si>
    <t>29-04-2014</t>
  </si>
  <si>
    <t>28-04-2014</t>
  </si>
  <si>
    <t>25-04-2014</t>
  </si>
  <si>
    <t>23-04-2014</t>
  </si>
  <si>
    <t>22-04-2014</t>
  </si>
  <si>
    <t>21-04-2014</t>
  </si>
  <si>
    <t>17-04-2014</t>
  </si>
  <si>
    <t>16-04-2014</t>
  </si>
  <si>
    <t>15-04-2014</t>
  </si>
  <si>
    <t>31-03-2014</t>
  </si>
  <si>
    <t>28-03-2014</t>
  </si>
  <si>
    <t>27-03-2014</t>
  </si>
  <si>
    <t>26-03-2014</t>
  </si>
  <si>
    <t>25-03-2014</t>
  </si>
  <si>
    <t>24-03-2014</t>
  </si>
  <si>
    <t>22-03-2014</t>
  </si>
  <si>
    <t>21-03-2014</t>
  </si>
  <si>
    <t>20-03-2014</t>
  </si>
  <si>
    <t>19-03-2014</t>
  </si>
  <si>
    <t>18-03-2014</t>
  </si>
  <si>
    <t>14-03-2014</t>
  </si>
  <si>
    <t>13-03-2014</t>
  </si>
  <si>
    <t>28-02-2014</t>
  </si>
  <si>
    <t>26-02-2014</t>
  </si>
  <si>
    <t>25-02-2014</t>
  </si>
  <si>
    <t>24-02-2014</t>
  </si>
  <si>
    <t>21-02-2014</t>
  </si>
  <si>
    <t>20-02-2014</t>
  </si>
  <si>
    <t>19-02-2014</t>
  </si>
  <si>
    <t>18-02-2014</t>
  </si>
  <si>
    <t>17-02-2014</t>
  </si>
  <si>
    <t>14-02-2014</t>
  </si>
  <si>
    <t>13-02-2014</t>
  </si>
  <si>
    <t>31-01-2014</t>
  </si>
  <si>
    <t>30-01-2014</t>
  </si>
  <si>
    <t>29-01-2014</t>
  </si>
  <si>
    <t>28-01-2014</t>
  </si>
  <si>
    <t>27-01-2014</t>
  </si>
  <si>
    <t>24-01-2014</t>
  </si>
  <si>
    <t>23-01-2014</t>
  </si>
  <si>
    <t>22-01-2014</t>
  </si>
  <si>
    <t>21-01-2014</t>
  </si>
  <si>
    <t>20-01-2014</t>
  </si>
  <si>
    <t>17-01-2014</t>
  </si>
  <si>
    <t>16-01-2014</t>
  </si>
  <si>
    <t>15-01-2014</t>
  </si>
  <si>
    <t>14-01-2014</t>
  </si>
  <si>
    <t>13-01-2014</t>
  </si>
  <si>
    <t>31-12-2013</t>
  </si>
  <si>
    <t>30-12-2013</t>
  </si>
  <si>
    <t>27-12-2013</t>
  </si>
  <si>
    <t>26-12-2013</t>
  </si>
  <si>
    <t>24-12-2013</t>
  </si>
  <si>
    <t>23-12-2013</t>
  </si>
  <si>
    <t>20-12-2013</t>
  </si>
  <si>
    <t>19-12-2013</t>
  </si>
  <si>
    <t>18-12-2013</t>
  </si>
  <si>
    <t>17-12-2013</t>
  </si>
  <si>
    <t>16-12-2013</t>
  </si>
  <si>
    <t>13-12-2013</t>
  </si>
  <si>
    <t>29-11-2013</t>
  </si>
  <si>
    <t>28-11-2013</t>
  </si>
  <si>
    <t>27-11-2013</t>
  </si>
  <si>
    <t>26-11-2013</t>
  </si>
  <si>
    <t>25-11-2013</t>
  </si>
  <si>
    <t>22-11-2013</t>
  </si>
  <si>
    <t>21-11-2013</t>
  </si>
  <si>
    <t>20-11-2013</t>
  </si>
  <si>
    <t>19-11-2013</t>
  </si>
  <si>
    <t>18-11-2013</t>
  </si>
  <si>
    <t>14-11-2013</t>
  </si>
  <si>
    <t>13-11-2013</t>
  </si>
  <si>
    <t>31-10-2013</t>
  </si>
  <si>
    <t>30-10-2013</t>
  </si>
  <si>
    <t>29-10-2013</t>
  </si>
  <si>
    <t>28-10-2013</t>
  </si>
  <si>
    <t>25-10-2013</t>
  </si>
  <si>
    <t>24-10-2013</t>
  </si>
  <si>
    <t>23-10-2013</t>
  </si>
  <si>
    <t>22-10-2013</t>
  </si>
  <si>
    <t>21-10-2013</t>
  </si>
  <si>
    <t>18-10-2013</t>
  </si>
  <si>
    <t>17-10-2013</t>
  </si>
  <si>
    <t>15-10-2013</t>
  </si>
  <si>
    <t>14-10-2013</t>
  </si>
  <si>
    <t>30-09-2013</t>
  </si>
  <si>
    <t>27-09-2013</t>
  </si>
  <si>
    <t>26-09-2013</t>
  </si>
  <si>
    <t>25-09-2013</t>
  </si>
  <si>
    <t>24-09-2013</t>
  </si>
  <si>
    <t>23-09-2013</t>
  </si>
  <si>
    <t>20-09-2013</t>
  </si>
  <si>
    <t>19-09-2013</t>
  </si>
  <si>
    <t>18-09-2013</t>
  </si>
  <si>
    <t>17-09-2013</t>
  </si>
  <si>
    <t>16-09-2013</t>
  </si>
  <si>
    <t>13-09-2013</t>
  </si>
  <si>
    <t>30-08-2013</t>
  </si>
  <si>
    <t>29-08-2013</t>
  </si>
  <si>
    <t>28-08-2013</t>
  </si>
  <si>
    <t>27-08-2013</t>
  </si>
  <si>
    <t>26-08-2013</t>
  </si>
  <si>
    <t>23-08-2013</t>
  </si>
  <si>
    <t>22-08-2013</t>
  </si>
  <si>
    <t>21-08-2013</t>
  </si>
  <si>
    <t>20-08-2013</t>
  </si>
  <si>
    <t>19-08-2013</t>
  </si>
  <si>
    <t>16-08-2013</t>
  </si>
  <si>
    <t>14-08-2013</t>
  </si>
  <si>
    <t>13-08-2013</t>
  </si>
  <si>
    <t>31-07-2013</t>
  </si>
  <si>
    <t>30-07-2013</t>
  </si>
  <si>
    <t>29-07-2013</t>
  </si>
  <si>
    <t>26-07-2013</t>
  </si>
  <si>
    <t>25-07-2013</t>
  </si>
  <si>
    <t>24-07-2013</t>
  </si>
  <si>
    <t>23-07-2013</t>
  </si>
  <si>
    <t>22-07-2013</t>
  </si>
  <si>
    <t>19-07-2013</t>
  </si>
  <si>
    <t>18-07-2013</t>
  </si>
  <si>
    <t>17-07-2013</t>
  </si>
  <si>
    <t>16-07-2013</t>
  </si>
  <si>
    <t>15-07-2013</t>
  </si>
  <si>
    <t>28-06-2013</t>
  </si>
  <si>
    <t>27-06-2013</t>
  </si>
  <si>
    <t>26-06-2013</t>
  </si>
  <si>
    <t>25-06-2013</t>
  </si>
  <si>
    <t>24-06-2013</t>
  </si>
  <si>
    <t>21-06-2013</t>
  </si>
  <si>
    <t>20-06-2013</t>
  </si>
  <si>
    <t>19-06-2013</t>
  </si>
  <si>
    <t>18-06-2013</t>
  </si>
  <si>
    <t>17-06-2013</t>
  </si>
  <si>
    <t>14-06-2013</t>
  </si>
  <si>
    <t>13-06-2013</t>
  </si>
  <si>
    <t>31-05-2013</t>
  </si>
  <si>
    <t>30-05-2013</t>
  </si>
  <si>
    <t>29-05-2013</t>
  </si>
  <si>
    <t>28-05-2013</t>
  </si>
  <si>
    <t>27-05-2013</t>
  </si>
  <si>
    <t>24-05-2013</t>
  </si>
  <si>
    <t>23-05-2013</t>
  </si>
  <si>
    <t>22-05-2013</t>
  </si>
  <si>
    <t>21-05-2013</t>
  </si>
  <si>
    <t>20-05-2013</t>
  </si>
  <si>
    <t>17-05-2013</t>
  </si>
  <si>
    <t>16-05-2013</t>
  </si>
  <si>
    <t>15-05-2013</t>
  </si>
  <si>
    <t>14-05-2013</t>
  </si>
  <si>
    <t>13-05-2013</t>
  </si>
  <si>
    <t>30-04-2013</t>
  </si>
  <si>
    <t>29-04-2013</t>
  </si>
  <si>
    <t>26-04-2013</t>
  </si>
  <si>
    <t>25-04-2013</t>
  </si>
  <si>
    <t>23-04-2013</t>
  </si>
  <si>
    <t>22-04-2013</t>
  </si>
  <si>
    <t>18-04-2013</t>
  </si>
  <si>
    <t>17-04-2013</t>
  </si>
  <si>
    <t>16-04-2013</t>
  </si>
  <si>
    <t>15-04-2013</t>
  </si>
  <si>
    <t>28-03-2013</t>
  </si>
  <si>
    <t>26-03-2013</t>
  </si>
  <si>
    <t>25-03-2013</t>
  </si>
  <si>
    <t>22-03-2013</t>
  </si>
  <si>
    <t>21-03-2013</t>
  </si>
  <si>
    <t>20-03-2013</t>
  </si>
  <si>
    <t>19-03-2013</t>
  </si>
  <si>
    <t>18-03-2013</t>
  </si>
  <si>
    <t>15-03-2013</t>
  </si>
  <si>
    <t>14-03-2013</t>
  </si>
  <si>
    <t>13-03-2013</t>
  </si>
  <si>
    <t>28-02-2013</t>
  </si>
  <si>
    <t>27-02-2013</t>
  </si>
  <si>
    <t>26-02-2013</t>
  </si>
  <si>
    <t>25-02-2013</t>
  </si>
  <si>
    <t>22-02-2013</t>
  </si>
  <si>
    <t>21-02-2013</t>
  </si>
  <si>
    <t>20-02-2013</t>
  </si>
  <si>
    <t>19-02-2013</t>
  </si>
  <si>
    <t>18-02-2013</t>
  </si>
  <si>
    <t>15-02-2013</t>
  </si>
  <si>
    <t>14-02-2013</t>
  </si>
  <si>
    <t>13-02-2013</t>
  </si>
  <si>
    <t>31-01-2013</t>
  </si>
  <si>
    <t>30-01-2013</t>
  </si>
  <si>
    <t>29-01-2013</t>
  </si>
  <si>
    <t>28-01-2013</t>
  </si>
  <si>
    <t>25-01-2013</t>
  </si>
  <si>
    <t>24-01-2013</t>
  </si>
  <si>
    <t>23-01-2013</t>
  </si>
  <si>
    <t>22-01-2013</t>
  </si>
  <si>
    <t>21-01-2013</t>
  </si>
  <si>
    <t>18-01-2013</t>
  </si>
  <si>
    <t>17-01-2013</t>
  </si>
  <si>
    <t>16-01-2013</t>
  </si>
  <si>
    <t>15-01-2013</t>
  </si>
  <si>
    <t>14-01-2013</t>
  </si>
  <si>
    <t>31-12-2012</t>
  </si>
  <si>
    <t>28-12-2012</t>
  </si>
  <si>
    <t>27-12-2012</t>
  </si>
  <si>
    <t>26-12-2012</t>
  </si>
  <si>
    <t>24-12-2012</t>
  </si>
  <si>
    <t>21-12-2012</t>
  </si>
  <si>
    <t>20-12-2012</t>
  </si>
  <si>
    <t>19-12-2012</t>
  </si>
  <si>
    <t>18-12-2012</t>
  </si>
  <si>
    <t>17-12-2012</t>
  </si>
  <si>
    <t>14-12-2012</t>
  </si>
  <si>
    <t>13-12-2012</t>
  </si>
  <si>
    <t>30-11-2012</t>
  </si>
  <si>
    <t>29-11-2012</t>
  </si>
  <si>
    <t>27-11-2012</t>
  </si>
  <si>
    <t>26-11-2012</t>
  </si>
  <si>
    <t>23-11-2012</t>
  </si>
  <si>
    <t>22-11-2012</t>
  </si>
  <si>
    <t>21-11-2012</t>
  </si>
  <si>
    <t>20-11-2012</t>
  </si>
  <si>
    <t>19-11-2012</t>
  </si>
  <si>
    <t>16-11-2012</t>
  </si>
  <si>
    <t>15-11-2012</t>
  </si>
  <si>
    <t>13-11-2012</t>
  </si>
  <si>
    <t>31-10-2012</t>
  </si>
  <si>
    <t>30-10-2012</t>
  </si>
  <si>
    <t>29-10-2012</t>
  </si>
  <si>
    <t>26-10-2012</t>
  </si>
  <si>
    <t>25-10-2012</t>
  </si>
  <si>
    <t>23-10-2012</t>
  </si>
  <si>
    <t>22-10-2012</t>
  </si>
  <si>
    <t>19-10-2012</t>
  </si>
  <si>
    <t>18-10-2012</t>
  </si>
  <si>
    <t>17-10-2012</t>
  </si>
  <si>
    <t>16-10-2012</t>
  </si>
  <si>
    <t>15-10-2012</t>
  </si>
  <si>
    <t>28-09-2012</t>
  </si>
  <si>
    <t>27-09-2012</t>
  </si>
  <si>
    <t>26-09-2012</t>
  </si>
  <si>
    <t>25-09-2012</t>
  </si>
  <si>
    <t>24-09-2012</t>
  </si>
  <si>
    <t>21-09-2012</t>
  </si>
  <si>
    <t>20-09-2012</t>
  </si>
  <si>
    <t>18-09-2012</t>
  </si>
  <si>
    <t>17-09-2012</t>
  </si>
  <si>
    <t>14-09-2012</t>
  </si>
  <si>
    <t>13-09-2012</t>
  </si>
  <si>
    <t>31-08-2012</t>
  </si>
  <si>
    <t>30-08-2012</t>
  </si>
  <si>
    <t>29-08-2012</t>
  </si>
  <si>
    <t>28-08-2012</t>
  </si>
  <si>
    <t>27-08-2012</t>
  </si>
  <si>
    <t>24-08-2012</t>
  </si>
  <si>
    <t>23-08-2012</t>
  </si>
  <si>
    <t>22-08-2012</t>
  </si>
  <si>
    <t>21-08-2012</t>
  </si>
  <si>
    <t>17-08-2012</t>
  </si>
  <si>
    <t>16-08-2012</t>
  </si>
  <si>
    <t>14-08-2012</t>
  </si>
  <si>
    <t>13-08-2012</t>
  </si>
  <si>
    <t>31-07-2012</t>
  </si>
  <si>
    <t>30-07-2012</t>
  </si>
  <si>
    <t>27-07-2012</t>
  </si>
  <si>
    <t>26-07-2012</t>
  </si>
  <si>
    <t>25-07-2012</t>
  </si>
  <si>
    <t>24-07-2012</t>
  </si>
  <si>
    <t>23-07-2012</t>
  </si>
  <si>
    <t>20-07-2012</t>
  </si>
  <si>
    <t>19-07-2012</t>
  </si>
  <si>
    <t>18-07-2012</t>
  </si>
  <si>
    <t>17-07-2012</t>
  </si>
  <si>
    <t>16-07-2012</t>
  </si>
  <si>
    <t>13-07-2012</t>
  </si>
  <si>
    <t>29-06-2012</t>
  </si>
  <si>
    <t>28-06-2012</t>
  </si>
  <si>
    <t>27-06-2012</t>
  </si>
  <si>
    <t>26-06-2012</t>
  </si>
  <si>
    <t>25-06-2012</t>
  </si>
  <si>
    <t>22-06-2012</t>
  </si>
  <si>
    <t>21-06-2012</t>
  </si>
  <si>
    <t>20-06-2012</t>
  </si>
  <si>
    <t>19-06-2012</t>
  </si>
  <si>
    <t>18-06-2012</t>
  </si>
  <si>
    <t>15-06-2012</t>
  </si>
  <si>
    <t>14-06-2012</t>
  </si>
  <si>
    <t>13-06-2012</t>
  </si>
  <si>
    <t>31-05-2012</t>
  </si>
  <si>
    <t>30-05-2012</t>
  </si>
  <si>
    <t>29-05-2012</t>
  </si>
  <si>
    <t>28-05-2012</t>
  </si>
  <si>
    <t>25-05-2012</t>
  </si>
  <si>
    <t>24-05-2012</t>
  </si>
  <si>
    <t>23-05-2012</t>
  </si>
  <si>
    <t>22-05-2012</t>
  </si>
  <si>
    <t>21-05-2012</t>
  </si>
  <si>
    <t>18-05-2012</t>
  </si>
  <si>
    <t>17-05-2012</t>
  </si>
  <si>
    <t>16-05-2012</t>
  </si>
  <si>
    <t>15-05-2012</t>
  </si>
  <si>
    <t>14-05-2012</t>
  </si>
  <si>
    <t>30-04-2012</t>
  </si>
  <si>
    <t>28-04-2012</t>
  </si>
  <si>
    <t>27-04-2012</t>
  </si>
  <si>
    <t>26-04-2012</t>
  </si>
  <si>
    <t>25-04-2012</t>
  </si>
  <si>
    <t>24-04-2012</t>
  </si>
  <si>
    <t>23-04-2012</t>
  </si>
  <si>
    <t>20-04-2012</t>
  </si>
  <si>
    <t>19-04-2012</t>
  </si>
  <si>
    <t>18-04-2012</t>
  </si>
  <si>
    <t>17-04-2012</t>
  </si>
  <si>
    <t>16-04-2012</t>
  </si>
  <si>
    <t>13-04-2012</t>
  </si>
  <si>
    <t>30-03-2012</t>
  </si>
  <si>
    <t>29-03-2012</t>
  </si>
  <si>
    <t>28-03-2012</t>
  </si>
  <si>
    <t>27-03-2012</t>
  </si>
  <si>
    <t>26-03-2012</t>
  </si>
  <si>
    <t>23-03-2012</t>
  </si>
  <si>
    <t>22-03-2012</t>
  </si>
  <si>
    <t>21-03-2012</t>
  </si>
  <si>
    <t>20-03-2012</t>
  </si>
  <si>
    <t>19-03-2012</t>
  </si>
  <si>
    <t>16-03-2012</t>
  </si>
  <si>
    <t>15-03-2012</t>
  </si>
  <si>
    <t>14-03-2012</t>
  </si>
  <si>
    <t>13-03-2012</t>
  </si>
  <si>
    <t>29-02-2012</t>
  </si>
  <si>
    <t>28-02-2012</t>
  </si>
  <si>
    <t>27-02-2012</t>
  </si>
  <si>
    <t>24-02-2012</t>
  </si>
  <si>
    <t>23-02-2012</t>
  </si>
  <si>
    <t>22-02-2012</t>
  </si>
  <si>
    <t>21-02-2012</t>
  </si>
  <si>
    <t>17-02-2012</t>
  </si>
  <si>
    <t>16-02-2012</t>
  </si>
  <si>
    <t>15-02-2012</t>
  </si>
  <si>
    <t>14-02-2012</t>
  </si>
  <si>
    <t>13-02-2012</t>
  </si>
  <si>
    <t>31-01-2012</t>
  </si>
  <si>
    <t>30-01-2012</t>
  </si>
  <si>
    <t>27-01-2012</t>
  </si>
  <si>
    <t>25-01-2012</t>
  </si>
  <si>
    <t>24-01-2012</t>
  </si>
  <si>
    <t>23-01-2012</t>
  </si>
  <si>
    <t>20-01-2012</t>
  </si>
  <si>
    <t>19-01-2012</t>
  </si>
  <si>
    <t>18-01-2012</t>
  </si>
  <si>
    <t>17-01-2012</t>
  </si>
  <si>
    <t>16-01-2012</t>
  </si>
  <si>
    <t>13-01-2012</t>
  </si>
  <si>
    <t>30-12-2011</t>
  </si>
  <si>
    <t>29-12-2011</t>
  </si>
  <si>
    <t>28-12-2011</t>
  </si>
  <si>
    <t>27-12-2011</t>
  </si>
  <si>
    <t>26-12-2011</t>
  </si>
  <si>
    <t>23-12-2011</t>
  </si>
  <si>
    <t>22-12-2011</t>
  </si>
  <si>
    <t>21-12-2011</t>
  </si>
  <si>
    <t>20-12-2011</t>
  </si>
  <si>
    <t>19-12-2011</t>
  </si>
  <si>
    <t>16-12-2011</t>
  </si>
  <si>
    <t>15-12-2011</t>
  </si>
  <si>
    <t>14-12-2011</t>
  </si>
  <si>
    <t>13-12-2011</t>
  </si>
  <si>
    <t>30-11-2011</t>
  </si>
  <si>
    <t>29-11-2011</t>
  </si>
  <si>
    <t>28-11-2011</t>
  </si>
  <si>
    <t>25-11-2011</t>
  </si>
  <si>
    <t>24-11-2011</t>
  </si>
  <si>
    <t>23-11-2011</t>
  </si>
  <si>
    <t>22-11-2011</t>
  </si>
  <si>
    <t>21-11-2011</t>
  </si>
  <si>
    <t>18-11-2011</t>
  </si>
  <si>
    <t>17-11-2011</t>
  </si>
  <si>
    <t>16-11-2011</t>
  </si>
  <si>
    <t>15-11-2011</t>
  </si>
  <si>
    <t>14-11-2011</t>
  </si>
  <si>
    <t>31-10-2011</t>
  </si>
  <si>
    <t>28-10-2011</t>
  </si>
  <si>
    <t>26-10-2011</t>
  </si>
  <si>
    <t>25-10-2011</t>
  </si>
  <si>
    <t>24-10-2011</t>
  </si>
  <si>
    <t>21-10-2011</t>
  </si>
  <si>
    <t>20-10-2011</t>
  </si>
  <si>
    <t>19-10-2011</t>
  </si>
  <si>
    <t>18-10-2011</t>
  </si>
  <si>
    <t>17-10-2011</t>
  </si>
  <si>
    <t>14-10-2011</t>
  </si>
  <si>
    <t>13-10-2011</t>
  </si>
  <si>
    <t>30-09-2011</t>
  </si>
  <si>
    <t>29-09-2011</t>
  </si>
  <si>
    <t>28-09-2011</t>
  </si>
  <si>
    <t>27-09-2011</t>
  </si>
  <si>
    <t>26-09-2011</t>
  </si>
  <si>
    <t>23-09-2011</t>
  </si>
  <si>
    <t>22-09-2011</t>
  </si>
  <si>
    <t>21-09-2011</t>
  </si>
  <si>
    <t>20-09-2011</t>
  </si>
  <si>
    <t>19-09-2011</t>
  </si>
  <si>
    <t>16-09-2011</t>
  </si>
  <si>
    <t>15-09-2011</t>
  </si>
  <si>
    <t>14-09-2011</t>
  </si>
  <si>
    <t>13-09-2011</t>
  </si>
  <si>
    <t>30-08-2011</t>
  </si>
  <si>
    <t>29-08-2011</t>
  </si>
  <si>
    <t>26-08-2011</t>
  </si>
  <si>
    <t>25-08-2011</t>
  </si>
  <si>
    <t>24-08-2011</t>
  </si>
  <si>
    <t>23-08-2011</t>
  </si>
  <si>
    <t>22-08-2011</t>
  </si>
  <si>
    <t>19-08-2011</t>
  </si>
  <si>
    <t>18-08-2011</t>
  </si>
  <si>
    <t>17-08-2011</t>
  </si>
  <si>
    <t>16-08-2011</t>
  </si>
  <si>
    <t>29-07-2011</t>
  </si>
  <si>
    <t>28-07-2011</t>
  </si>
  <si>
    <t>27-07-2011</t>
  </si>
  <si>
    <t>26-07-2011</t>
  </si>
  <si>
    <t>25-07-2011</t>
  </si>
  <si>
    <t>22-07-2011</t>
  </si>
  <si>
    <t>21-07-2011</t>
  </si>
  <si>
    <t>20-07-2011</t>
  </si>
  <si>
    <t>19-07-2011</t>
  </si>
  <si>
    <t>18-07-2011</t>
  </si>
  <si>
    <t>15-07-2011</t>
  </si>
  <si>
    <t>14-07-2011</t>
  </si>
  <si>
    <t>13-07-2011</t>
  </si>
  <si>
    <t>30-06-2011</t>
  </si>
  <si>
    <t>29-06-2011</t>
  </si>
  <si>
    <t>28-06-2011</t>
  </si>
  <si>
    <t>27-06-2011</t>
  </si>
  <si>
    <t>24-06-2011</t>
  </si>
  <si>
    <t>23-06-2011</t>
  </si>
  <si>
    <t>22-06-2011</t>
  </si>
  <si>
    <t>21-06-2011</t>
  </si>
  <si>
    <t>20-06-2011</t>
  </si>
  <si>
    <t>17-06-2011</t>
  </si>
  <si>
    <t>16-06-2011</t>
  </si>
  <si>
    <t>15-06-2011</t>
  </si>
  <si>
    <t>14-06-2011</t>
  </si>
  <si>
    <t>13-06-2011</t>
  </si>
  <si>
    <t>31-05-2011</t>
  </si>
  <si>
    <t>30-05-2011</t>
  </si>
  <si>
    <t>27-05-2011</t>
  </si>
  <si>
    <t>26-05-2011</t>
  </si>
  <si>
    <t>25-05-2011</t>
  </si>
  <si>
    <t>24-05-2011</t>
  </si>
  <si>
    <t>23-05-2011</t>
  </si>
  <si>
    <t>20-05-2011</t>
  </si>
  <si>
    <t>19-05-2011</t>
  </si>
  <si>
    <t>18-05-2011</t>
  </si>
  <si>
    <t>17-05-2011</t>
  </si>
  <si>
    <t>16-05-2011</t>
  </si>
  <si>
    <t>13-05-2011</t>
  </si>
  <si>
    <t>29-04-2011</t>
  </si>
  <si>
    <t>28-04-2011</t>
  </si>
  <si>
    <t>27-04-2011</t>
  </si>
  <si>
    <t>26-04-2011</t>
  </si>
  <si>
    <t>25-04-2011</t>
  </si>
  <si>
    <t>21-04-2011</t>
  </si>
  <si>
    <t>20-04-2011</t>
  </si>
  <si>
    <t>19-04-2011</t>
  </si>
  <si>
    <t>18-04-2011</t>
  </si>
  <si>
    <t>15-04-2011</t>
  </si>
  <si>
    <t>13-04-2011</t>
  </si>
  <si>
    <t>31-03-2011</t>
  </si>
  <si>
    <t>30-03-2011</t>
  </si>
  <si>
    <t>29-03-2011</t>
  </si>
  <si>
    <t>28-03-2011</t>
  </si>
  <si>
    <t>25-03-2011</t>
  </si>
  <si>
    <t>24-03-2011</t>
  </si>
  <si>
    <t>23-03-2011</t>
  </si>
  <si>
    <t>22-03-2011</t>
  </si>
  <si>
    <t>21-03-2011</t>
  </si>
  <si>
    <t>18-03-2011</t>
  </si>
  <si>
    <t>17-03-2011</t>
  </si>
  <si>
    <t>16-03-2011</t>
  </si>
  <si>
    <t>15-03-2011</t>
  </si>
  <si>
    <t>14-03-2011</t>
  </si>
  <si>
    <t>28-02-2011</t>
  </si>
  <si>
    <t>25-02-2011</t>
  </si>
  <si>
    <t>24-02-2011</t>
  </si>
  <si>
    <t>23-02-2011</t>
  </si>
  <si>
    <t>22-02-2011</t>
  </si>
  <si>
    <t>21-02-2011</t>
  </si>
  <si>
    <t>18-02-2011</t>
  </si>
  <si>
    <t>17-02-2011</t>
  </si>
  <si>
    <t>16-02-2011</t>
  </si>
  <si>
    <t>15-02-2011</t>
  </si>
  <si>
    <t>14-02-2011</t>
  </si>
  <si>
    <t>31-01-2011</t>
  </si>
  <si>
    <t>28-01-2011</t>
  </si>
  <si>
    <t>27-01-2011</t>
  </si>
  <si>
    <t>25-01-2011</t>
  </si>
  <si>
    <t>24-01-2011</t>
  </si>
  <si>
    <t>21-01-2011</t>
  </si>
  <si>
    <t>20-01-2011</t>
  </si>
  <si>
    <t>19-01-2011</t>
  </si>
  <si>
    <t>18-01-2011</t>
  </si>
  <si>
    <t>17-01-2011</t>
  </si>
  <si>
    <t>14-01-2011</t>
  </si>
  <si>
    <t>13-01-2011</t>
  </si>
  <si>
    <t>31-12-2010</t>
  </si>
  <si>
    <t>30-12-2010</t>
  </si>
  <si>
    <t>29-12-2010</t>
  </si>
  <si>
    <t>28-12-2010</t>
  </si>
  <si>
    <t>27-12-2010</t>
  </si>
  <si>
    <t>24-12-2010</t>
  </si>
  <si>
    <t>23-12-2010</t>
  </si>
  <si>
    <t>22-12-2010</t>
  </si>
  <si>
    <t>21-12-2010</t>
  </si>
  <si>
    <t>20-12-2010</t>
  </si>
  <si>
    <t>16-12-2010</t>
  </si>
  <si>
    <t>15-12-2010</t>
  </si>
  <si>
    <t>14-12-2010</t>
  </si>
  <si>
    <t>13-12-2010</t>
  </si>
  <si>
    <t>30-11-2010</t>
  </si>
  <si>
    <t>29-11-2010</t>
  </si>
  <si>
    <t>26-11-2010</t>
  </si>
  <si>
    <t>25-11-2010</t>
  </si>
  <si>
    <t>24-11-2010</t>
  </si>
  <si>
    <t>23-11-2010</t>
  </si>
  <si>
    <t>22-11-2010</t>
  </si>
  <si>
    <t>19-11-2010</t>
  </si>
  <si>
    <t>18-11-2010</t>
  </si>
  <si>
    <t>16-11-2010</t>
  </si>
  <si>
    <t>15-11-2010</t>
  </si>
  <si>
    <t>29-10-2010</t>
  </si>
  <si>
    <t>28-10-2010</t>
  </si>
  <si>
    <t>27-10-2010</t>
  </si>
  <si>
    <t>26-10-2010</t>
  </si>
  <si>
    <t>25-10-2010</t>
  </si>
  <si>
    <t>22-10-2010</t>
  </si>
  <si>
    <t>21-10-2010</t>
  </si>
  <si>
    <t>20-10-2010</t>
  </si>
  <si>
    <t>19-10-2010</t>
  </si>
  <si>
    <t>18-10-2010</t>
  </si>
  <si>
    <t>15-10-2010</t>
  </si>
  <si>
    <t>14-10-2010</t>
  </si>
  <si>
    <t>13-10-2010</t>
  </si>
  <si>
    <t>30-09-2010</t>
  </si>
  <si>
    <t>29-09-2010</t>
  </si>
  <si>
    <t>28-09-2010</t>
  </si>
  <si>
    <t>27-09-2010</t>
  </si>
  <si>
    <t>24-09-2010</t>
  </si>
  <si>
    <t>23-09-2010</t>
  </si>
  <si>
    <t>22-09-2010</t>
  </si>
  <si>
    <t>21-09-2010</t>
  </si>
  <si>
    <t>20-09-2010</t>
  </si>
  <si>
    <t>17-09-2010</t>
  </si>
  <si>
    <t>16-09-2010</t>
  </si>
  <si>
    <t>15-09-2010</t>
  </si>
  <si>
    <t>14-09-2010</t>
  </si>
  <si>
    <t>13-09-2010</t>
  </si>
  <si>
    <t>31-08-2010</t>
  </si>
  <si>
    <t>30-08-2010</t>
  </si>
  <si>
    <t>27-08-2010</t>
  </si>
  <si>
    <t>26-08-2010</t>
  </si>
  <si>
    <t>25-08-2010</t>
  </si>
  <si>
    <t>24-08-2010</t>
  </si>
  <si>
    <t>23-08-2010</t>
  </si>
  <si>
    <t>20-08-2010</t>
  </si>
  <si>
    <t>19-08-2010</t>
  </si>
  <si>
    <t>18-08-2010</t>
  </si>
  <si>
    <t>17-08-2010</t>
  </si>
  <si>
    <t>16-08-2010</t>
  </si>
  <si>
    <t>13-08-2010</t>
  </si>
  <si>
    <t>30-07-2010</t>
  </si>
  <si>
    <t>29-07-2010</t>
  </si>
  <si>
    <t>28-07-2010</t>
  </si>
  <si>
    <t>27-07-2010</t>
  </si>
  <si>
    <t>26-07-2010</t>
  </si>
  <si>
    <t>23-07-2010</t>
  </si>
  <si>
    <t>22-07-2010</t>
  </si>
  <si>
    <t>21-07-2010</t>
  </si>
  <si>
    <t>20-07-2010</t>
  </si>
  <si>
    <t>19-07-2010</t>
  </si>
  <si>
    <t>16-07-2010</t>
  </si>
  <si>
    <t>15-07-2010</t>
  </si>
  <si>
    <t>14-07-2010</t>
  </si>
  <si>
    <t>13-07-2010</t>
  </si>
  <si>
    <t>30-06-2010</t>
  </si>
  <si>
    <t>29-06-2010</t>
  </si>
  <si>
    <t>28-06-2010</t>
  </si>
  <si>
    <t>25-06-2010</t>
  </si>
  <si>
    <t>24-06-2010</t>
  </si>
  <si>
    <t>23-06-2010</t>
  </si>
  <si>
    <t>22-06-2010</t>
  </si>
  <si>
    <t>21-06-2010</t>
  </si>
  <si>
    <t>18-06-2010</t>
  </si>
  <si>
    <t>17-06-2010</t>
  </si>
  <si>
    <t>16-06-2010</t>
  </si>
  <si>
    <t>15-06-2010</t>
  </si>
  <si>
    <t>14-06-2010</t>
  </si>
  <si>
    <t>31-05-2010</t>
  </si>
  <si>
    <t>28-05-2010</t>
  </si>
  <si>
    <t>27-05-2010</t>
  </si>
  <si>
    <t>26-05-2010</t>
  </si>
  <si>
    <t>25-05-2010</t>
  </si>
  <si>
    <t>24-05-2010</t>
  </si>
  <si>
    <t>21-05-2010</t>
  </si>
  <si>
    <t>20-05-2010</t>
  </si>
  <si>
    <t>19-05-2010</t>
  </si>
  <si>
    <t>18-05-2010</t>
  </si>
  <si>
    <t>17-05-2010</t>
  </si>
  <si>
    <t>14-05-2010</t>
  </si>
  <si>
    <t>13-05-2010</t>
  </si>
  <si>
    <t>30-04-2010</t>
  </si>
  <si>
    <t>29-04-2010</t>
  </si>
  <si>
    <t>28-04-2010</t>
  </si>
  <si>
    <t>27-04-2010</t>
  </si>
  <si>
    <t>26-04-2010</t>
  </si>
  <si>
    <t>23-04-2010</t>
  </si>
  <si>
    <t>22-04-2010</t>
  </si>
  <si>
    <t>21-04-2010</t>
  </si>
  <si>
    <t>20-04-2010</t>
  </si>
  <si>
    <t>19-04-2010</t>
  </si>
  <si>
    <t>16-04-2010</t>
  </si>
  <si>
    <t>15-04-2010</t>
  </si>
  <si>
    <t>13-04-2010</t>
  </si>
  <si>
    <t>31-03-2010</t>
  </si>
  <si>
    <t>30-03-2010</t>
  </si>
  <si>
    <t>29-03-2010</t>
  </si>
  <si>
    <t>26-03-2010</t>
  </si>
  <si>
    <t>25-03-2010</t>
  </si>
  <si>
    <t>23-03-2010</t>
  </si>
  <si>
    <t>22-03-2010</t>
  </si>
  <si>
    <t>19-03-2010</t>
  </si>
  <si>
    <t>18-03-2010</t>
  </si>
  <si>
    <t>17-03-2010</t>
  </si>
  <si>
    <t>16-03-2010</t>
  </si>
  <si>
    <t>15-03-2010</t>
  </si>
  <si>
    <t>26-02-2010</t>
  </si>
  <si>
    <t>25-02-2010</t>
  </si>
  <si>
    <t>24-02-2010</t>
  </si>
  <si>
    <t>23-02-2010</t>
  </si>
  <si>
    <t>22-02-2010</t>
  </si>
  <si>
    <t>19-02-2010</t>
  </si>
  <si>
    <t>18-02-2010</t>
  </si>
  <si>
    <t>17-02-2010</t>
  </si>
  <si>
    <t>16-02-2010</t>
  </si>
  <si>
    <t>15-02-2010</t>
  </si>
  <si>
    <t>29-01-2010</t>
  </si>
  <si>
    <t>28-01-2010</t>
  </si>
  <si>
    <t>27-01-2010</t>
  </si>
  <si>
    <t>25-01-2010</t>
  </si>
  <si>
    <t>22-01-2010</t>
  </si>
  <si>
    <t>21-01-2010</t>
  </si>
  <si>
    <t>20-01-2010</t>
  </si>
  <si>
    <t>19-01-2010</t>
  </si>
  <si>
    <t>18-01-2010</t>
  </si>
  <si>
    <t>15-01-2010</t>
  </si>
  <si>
    <t>14-01-2010</t>
  </si>
  <si>
    <t>13-01-2010</t>
  </si>
  <si>
    <t>31-12-2009</t>
  </si>
  <si>
    <t>30-12-2009</t>
  </si>
  <si>
    <t>29-12-2009</t>
  </si>
  <si>
    <t>24-12-2009</t>
  </si>
  <si>
    <t>23-12-2009</t>
  </si>
  <si>
    <t>22-12-2009</t>
  </si>
  <si>
    <t>21-12-2009</t>
  </si>
  <si>
    <t>18-12-2009</t>
  </si>
  <si>
    <t>17-12-2009</t>
  </si>
  <si>
    <t>16-12-2009</t>
  </si>
  <si>
    <t>15-12-2009</t>
  </si>
  <si>
    <t>14-12-2009</t>
  </si>
  <si>
    <t>30-11-2009</t>
  </si>
  <si>
    <t>27-11-2009</t>
  </si>
  <si>
    <t>26-11-2009</t>
  </si>
  <si>
    <t>25-11-2009</t>
  </si>
  <si>
    <t>24-11-2009</t>
  </si>
  <si>
    <t>23-11-2009</t>
  </si>
  <si>
    <t>20-11-2009</t>
  </si>
  <si>
    <t>19-11-2009</t>
  </si>
  <si>
    <t>18-11-2009</t>
  </si>
  <si>
    <t>17-11-2009</t>
  </si>
  <si>
    <t>16-11-2009</t>
  </si>
  <si>
    <t>13-11-2009</t>
  </si>
  <si>
    <t>30-10-2009</t>
  </si>
  <si>
    <t>29-10-2009</t>
  </si>
  <si>
    <t>28-10-2009</t>
  </si>
  <si>
    <t>27-10-2009</t>
  </si>
  <si>
    <t>26-10-2009</t>
  </si>
  <si>
    <t>23-10-2009</t>
  </si>
  <si>
    <t>22-10-2009</t>
  </si>
  <si>
    <t>21-10-2009</t>
  </si>
  <si>
    <t>20-10-2009</t>
  </si>
  <si>
    <t>17-10-2009</t>
  </si>
  <si>
    <t>16-10-2009</t>
  </si>
  <si>
    <t>15-10-2009</t>
  </si>
  <si>
    <t>14-10-2009</t>
  </si>
  <si>
    <t>30-09-2009</t>
  </si>
  <si>
    <t>29-09-2009</t>
  </si>
  <si>
    <t>25-09-2009</t>
  </si>
  <si>
    <t>24-09-2009</t>
  </si>
  <si>
    <t>23-09-2009</t>
  </si>
  <si>
    <t>22-09-2009</t>
  </si>
  <si>
    <t>18-09-2009</t>
  </si>
  <si>
    <t>17-09-2009</t>
  </si>
  <si>
    <t>16-09-2009</t>
  </si>
  <si>
    <t>15-09-2009</t>
  </si>
  <si>
    <t>14-09-2009</t>
  </si>
  <si>
    <t>31-08-2009</t>
  </si>
  <si>
    <t>28-08-2009</t>
  </si>
  <si>
    <t>27-08-2009</t>
  </si>
  <si>
    <t>26-08-2009</t>
  </si>
  <si>
    <t>25-08-2009</t>
  </si>
  <si>
    <t>24-08-2009</t>
  </si>
  <si>
    <t>21-08-2009</t>
  </si>
  <si>
    <t>20-08-2009</t>
  </si>
  <si>
    <t>19-08-2009</t>
  </si>
  <si>
    <t>18-08-2009</t>
  </si>
  <si>
    <t>17-08-2009</t>
  </si>
  <si>
    <t>14-08-2009</t>
  </si>
  <si>
    <t>13-08-2009</t>
  </si>
  <si>
    <t>31-07-2009</t>
  </si>
  <si>
    <t>30-07-2009</t>
  </si>
  <si>
    <t>29-07-2009</t>
  </si>
  <si>
    <t>28-07-2009</t>
  </si>
  <si>
    <t>27-07-2009</t>
  </si>
  <si>
    <t>24-07-2009</t>
  </si>
  <si>
    <t>23-07-2009</t>
  </si>
  <si>
    <t>22-07-2009</t>
  </si>
  <si>
    <t>21-07-2009</t>
  </si>
  <si>
    <t>20-07-2009</t>
  </si>
  <si>
    <t>17-07-2009</t>
  </si>
  <si>
    <t>16-07-2009</t>
  </si>
  <si>
    <t>15-07-2009</t>
  </si>
  <si>
    <t>14-07-2009</t>
  </si>
  <si>
    <t>13-07-2009</t>
  </si>
  <si>
    <t>30-06-2009</t>
  </si>
  <si>
    <t>29-06-2009</t>
  </si>
  <si>
    <t>26-06-2009</t>
  </si>
  <si>
    <t>25-06-2009</t>
  </si>
  <si>
    <t>24-06-2009</t>
  </si>
  <si>
    <t>23-06-2009</t>
  </si>
  <si>
    <t>22-06-2009</t>
  </si>
  <si>
    <t>19-06-2009</t>
  </si>
  <si>
    <t>18-06-2009</t>
  </si>
  <si>
    <t>17-06-2009</t>
  </si>
  <si>
    <t>16-06-2009</t>
  </si>
  <si>
    <t>15-06-2009</t>
  </si>
  <si>
    <t>29-05-2009</t>
  </si>
  <si>
    <t>28-05-2009</t>
  </si>
  <si>
    <t>27-05-2009</t>
  </si>
  <si>
    <t>26-05-2009</t>
  </si>
  <si>
    <t>25-05-2009</t>
  </si>
  <si>
    <t>22-05-2009</t>
  </si>
  <si>
    <t>21-05-2009</t>
  </si>
  <si>
    <t>20-05-2009</t>
  </si>
  <si>
    <t>19-05-2009</t>
  </si>
  <si>
    <t>18-05-2009</t>
  </si>
  <si>
    <t>15-05-2009</t>
  </si>
  <si>
    <t>14-05-2009</t>
  </si>
  <si>
    <t>13-05-2009</t>
  </si>
  <si>
    <t>29-04-2009</t>
  </si>
  <si>
    <t>28-04-2009</t>
  </si>
  <si>
    <t>27-04-2009</t>
  </si>
  <si>
    <t>24-04-2009</t>
  </si>
  <si>
    <t>23-04-2009</t>
  </si>
  <si>
    <t>22-04-2009</t>
  </si>
  <si>
    <t>21-04-2009</t>
  </si>
  <si>
    <t>20-04-2009</t>
  </si>
  <si>
    <t>17-04-2009</t>
  </si>
  <si>
    <t>16-04-2009</t>
  </si>
  <si>
    <t>15-04-2009</t>
  </si>
  <si>
    <t>13-04-2009</t>
  </si>
  <si>
    <t>31-03-2009</t>
  </si>
  <si>
    <t>30-03-2009</t>
  </si>
  <si>
    <t>27-03-2009</t>
  </si>
  <si>
    <t>26-03-2009</t>
  </si>
  <si>
    <t>25-03-2009</t>
  </si>
  <si>
    <t>24-03-2009</t>
  </si>
  <si>
    <t>23-03-2009</t>
  </si>
  <si>
    <t>20-03-2009</t>
  </si>
  <si>
    <t>19-03-2009</t>
  </si>
  <si>
    <t>18-03-2009</t>
  </si>
  <si>
    <t>17-03-2009</t>
  </si>
  <si>
    <t>16-03-2009</t>
  </si>
  <si>
    <t>13-03-2009</t>
  </si>
  <si>
    <t>27-02-2009</t>
  </si>
  <si>
    <t>26-02-2009</t>
  </si>
  <si>
    <t>25-02-2009</t>
  </si>
  <si>
    <t>24-02-2009</t>
  </si>
  <si>
    <t>20-02-2009</t>
  </si>
  <si>
    <t>19-02-2009</t>
  </si>
  <si>
    <t>18-02-2009</t>
  </si>
  <si>
    <t>17-02-2009</t>
  </si>
  <si>
    <t>16-02-2009</t>
  </si>
  <si>
    <t>13-02-2009</t>
  </si>
  <si>
    <t>30-01-2009</t>
  </si>
  <si>
    <t>29-01-2009</t>
  </si>
  <si>
    <t>28-01-2009</t>
  </si>
  <si>
    <t>27-01-2009</t>
  </si>
  <si>
    <t>23-01-2009</t>
  </si>
  <si>
    <t>22-01-2009</t>
  </si>
  <si>
    <t>21-01-2009</t>
  </si>
  <si>
    <t>20-01-2009</t>
  </si>
  <si>
    <t>19-01-2009</t>
  </si>
  <si>
    <t>16-01-2009</t>
  </si>
  <si>
    <t>15-01-2009</t>
  </si>
  <si>
    <t>14-01-2009</t>
  </si>
  <si>
    <t>13-01-2009</t>
  </si>
  <si>
    <t>31-12-2008</t>
  </si>
  <si>
    <t>30-12-2008</t>
  </si>
  <si>
    <t>29-12-2008</t>
  </si>
  <si>
    <t>26-12-2008</t>
  </si>
  <si>
    <t>24-12-2008</t>
  </si>
  <si>
    <t>23-12-2008</t>
  </si>
  <si>
    <t>22-12-2008</t>
  </si>
  <si>
    <t>19-12-2008</t>
  </si>
  <si>
    <t>18-12-2008</t>
  </si>
  <si>
    <t>17-12-2008</t>
  </si>
  <si>
    <t>16-12-2008</t>
  </si>
  <si>
    <t>15-12-2008</t>
  </si>
  <si>
    <t>28-11-2008</t>
  </si>
  <si>
    <t>26-11-2008</t>
  </si>
  <si>
    <t>25-11-2008</t>
  </si>
  <si>
    <t>24-11-2008</t>
  </si>
  <si>
    <t>21-11-2008</t>
  </si>
  <si>
    <t>20-11-2008</t>
  </si>
  <si>
    <t>19-11-2008</t>
  </si>
  <si>
    <t>18-11-2008</t>
  </si>
  <si>
    <t>17-11-2008</t>
  </si>
  <si>
    <t>14-11-2008</t>
  </si>
  <si>
    <t>31-10-2008</t>
  </si>
  <si>
    <t>29-10-2008</t>
  </si>
  <si>
    <t>28-10-2008</t>
  </si>
  <si>
    <t>27-10-2008</t>
  </si>
  <si>
    <t>24-10-2008</t>
  </si>
  <si>
    <t>23-10-2008</t>
  </si>
  <si>
    <t>22-10-2008</t>
  </si>
  <si>
    <t>21-10-2008</t>
  </si>
  <si>
    <t>20-10-2008</t>
  </si>
  <si>
    <t>17-10-2008</t>
  </si>
  <si>
    <t>16-10-2008</t>
  </si>
  <si>
    <t>15-10-2008</t>
  </si>
  <si>
    <t>14-10-2008</t>
  </si>
  <si>
    <t>13-10-2008</t>
  </si>
  <si>
    <t>30-09-2008</t>
  </si>
  <si>
    <t>29-09-2008</t>
  </si>
  <si>
    <t>26-09-2008</t>
  </si>
  <si>
    <t>25-09-2008</t>
  </si>
  <si>
    <t>24-09-2008</t>
  </si>
  <si>
    <t>23-09-2008</t>
  </si>
  <si>
    <t>22-09-2008</t>
  </si>
  <si>
    <t>19-09-2008</t>
  </si>
  <si>
    <t>18-09-2008</t>
  </si>
  <si>
    <t>17-09-2008</t>
  </si>
  <si>
    <t>16-09-2008</t>
  </si>
  <si>
    <t>15-09-2008</t>
  </si>
  <si>
    <t>29-08-2008</t>
  </si>
  <si>
    <t>28-08-2008</t>
  </si>
  <si>
    <t>27-08-2008</t>
  </si>
  <si>
    <t>26-08-2008</t>
  </si>
  <si>
    <t>25-08-2008</t>
  </si>
  <si>
    <t>22-08-2008</t>
  </si>
  <si>
    <t>21-08-2008</t>
  </si>
  <si>
    <t>20-08-2008</t>
  </si>
  <si>
    <t>19-08-2008</t>
  </si>
  <si>
    <t>18-08-2008</t>
  </si>
  <si>
    <t>14-08-2008</t>
  </si>
  <si>
    <t>13-08-2008</t>
  </si>
  <si>
    <t>31-07-2008</t>
  </si>
  <si>
    <t>30-07-2008</t>
  </si>
  <si>
    <t>29-07-2008</t>
  </si>
  <si>
    <t>28-07-2008</t>
  </si>
  <si>
    <t>25-07-2008</t>
  </si>
  <si>
    <t>24-07-2008</t>
  </si>
  <si>
    <t>23-07-2008</t>
  </si>
  <si>
    <t>22-07-2008</t>
  </si>
  <si>
    <t>21-07-2008</t>
  </si>
  <si>
    <t>18-07-2008</t>
  </si>
  <si>
    <t>17-07-2008</t>
  </si>
  <si>
    <t>16-07-2008</t>
  </si>
  <si>
    <t>15-07-2008</t>
  </si>
  <si>
    <t>14-07-2008</t>
  </si>
  <si>
    <t>30-06-2008</t>
  </si>
  <si>
    <t>27-06-2008</t>
  </si>
  <si>
    <t>26-06-2008</t>
  </si>
  <si>
    <t>25-06-2008</t>
  </si>
  <si>
    <t>24-06-2008</t>
  </si>
  <si>
    <t>23-06-2008</t>
  </si>
  <si>
    <t>20-06-2008</t>
  </si>
  <si>
    <t>19-06-2008</t>
  </si>
  <si>
    <t>18-06-2008</t>
  </si>
  <si>
    <t>17-06-2008</t>
  </si>
  <si>
    <t>16-06-2008</t>
  </si>
  <si>
    <t>13-06-2008</t>
  </si>
  <si>
    <t>30-05-2008</t>
  </si>
  <si>
    <t>29-05-2008</t>
  </si>
  <si>
    <t>28-05-2008</t>
  </si>
  <si>
    <t>27-05-2008</t>
  </si>
  <si>
    <t>26-05-2008</t>
  </si>
  <si>
    <t>23-05-2008</t>
  </si>
  <si>
    <t>22-05-2008</t>
  </si>
  <si>
    <t>21-05-2008</t>
  </si>
  <si>
    <t>20-05-2008</t>
  </si>
  <si>
    <t>16-05-2008</t>
  </si>
  <si>
    <t>15-05-2008</t>
  </si>
  <si>
    <t>14-05-2008</t>
  </si>
  <si>
    <t>13-05-2008</t>
  </si>
  <si>
    <t>30-04-2008</t>
  </si>
  <si>
    <t>29-04-2008</t>
  </si>
  <si>
    <t>28-04-2008</t>
  </si>
  <si>
    <t>25-04-2008</t>
  </si>
  <si>
    <t>24-04-2008</t>
  </si>
  <si>
    <t>23-04-2008</t>
  </si>
  <si>
    <t>22-04-2008</t>
  </si>
  <si>
    <t>21-04-2008</t>
  </si>
  <si>
    <t>17-04-2008</t>
  </si>
  <si>
    <t>16-04-2008</t>
  </si>
  <si>
    <t>15-04-2008</t>
  </si>
  <si>
    <t>31-03-2008</t>
  </si>
  <si>
    <t>x</t>
  </si>
  <si>
    <t xml:space="preserve">Sorted </t>
  </si>
  <si>
    <t>Mean</t>
  </si>
  <si>
    <t>Std Deviation</t>
  </si>
  <si>
    <t>Min</t>
  </si>
  <si>
    <t>Max</t>
  </si>
  <si>
    <t>Percentile</t>
  </si>
  <si>
    <t>CMP</t>
  </si>
  <si>
    <t>VAR (Inr)</t>
  </si>
  <si>
    <t>Confidence</t>
  </si>
  <si>
    <t>VAR</t>
  </si>
  <si>
    <t>Replication</t>
  </si>
  <si>
    <t>Sim. Returns</t>
  </si>
  <si>
    <t>Calculation of Value at Risk - Wipro (Simulation)</t>
  </si>
  <si>
    <t>Historical Approach</t>
  </si>
  <si>
    <t>Monte - Carlo - Simulation</t>
  </si>
  <si>
    <t>DAILY RETURNS DISTRIBUTION</t>
  </si>
  <si>
    <t>VALUE AT RISK (MONTE CARLO SIMULATION)</t>
  </si>
  <si>
    <t xml:space="preserve">ALTMAN'S Z SCORE </t>
  </si>
  <si>
    <t>Working Capital</t>
  </si>
  <si>
    <t>Working Capital / Total Assets</t>
  </si>
  <si>
    <t>Retained Earnings / Total Assets</t>
  </si>
  <si>
    <t>EBIT / Total Assets</t>
  </si>
  <si>
    <t>Market Cap.</t>
  </si>
  <si>
    <t>Long Term Liabilities</t>
  </si>
  <si>
    <t>Market Cap. / Long Term Liabilities</t>
  </si>
  <si>
    <t>In Ratio for Better Understanding</t>
  </si>
  <si>
    <t xml:space="preserve">ALTMAN Z SCORE </t>
  </si>
  <si>
    <t>Final Score</t>
  </si>
  <si>
    <t>FINANCIAL STABILITY</t>
  </si>
  <si>
    <t>Item</t>
  </si>
  <si>
    <t>FY21</t>
  </si>
  <si>
    <t>FY22</t>
  </si>
  <si>
    <t>FY23</t>
  </si>
  <si>
    <t>FY24</t>
  </si>
  <si>
    <t>FY25</t>
  </si>
  <si>
    <t>Property, Plant &amp; Equipment</t>
  </si>
  <si>
    <t>Right-of-use Assets</t>
  </si>
  <si>
    <t>Capital Work-in-progress</t>
  </si>
  <si>
    <t>Goodwill</t>
  </si>
  <si>
    <t>Other Intangible Assets</t>
  </si>
  <si>
    <t>Investments (Non-current)</t>
  </si>
  <si>
    <t>Trade Receivables (Non-current)</t>
  </si>
  <si>
    <t>Other Financial Assets (Non-current)</t>
  </si>
  <si>
    <t>Deferred Tax Assets</t>
  </si>
  <si>
    <t>Non-current Tax Assets</t>
  </si>
  <si>
    <t>Other Non-current Assets</t>
  </si>
  <si>
    <t>Total Non-current Assets</t>
  </si>
  <si>
    <t>Investments (Current)</t>
  </si>
  <si>
    <t>Derivative Assets</t>
  </si>
  <si>
    <t>Unbilled Receivables</t>
  </si>
  <si>
    <t>Cash &amp; Cash Equivalents</t>
  </si>
  <si>
    <t>Other Financial Assets</t>
  </si>
  <si>
    <t>Current Tax Assets</t>
  </si>
  <si>
    <t>Contract Assets</t>
  </si>
  <si>
    <t>TOTAL ASSETS</t>
  </si>
  <si>
    <t>1,07,505</t>
  </si>
  <si>
    <t>1,17,133</t>
  </si>
  <si>
    <t>1,14,791</t>
  </si>
  <si>
    <t>1,28,185</t>
  </si>
  <si>
    <t>EQUITY &amp; LIABILITIES</t>
  </si>
  <si>
    <t>Share Capital</t>
  </si>
  <si>
    <t>Other Equity</t>
  </si>
  <si>
    <t>Equity Attributable</t>
  </si>
  <si>
    <t>Non-controlling Interest</t>
  </si>
  <si>
    <t>TOTAL EQUITY</t>
  </si>
  <si>
    <t>Borrowings (Non-current)</t>
  </si>
  <si>
    <t>Lease Liabilities (Non-current)</t>
  </si>
  <si>
    <t>Other Financial Liabilities</t>
  </si>
  <si>
    <t>Provisions (Non-current)</t>
  </si>
  <si>
    <t>Deferred Tax Liabilities</t>
  </si>
  <si>
    <t>Tax Liabilities (Non-current)</t>
  </si>
  <si>
    <t>Other Non-current Liabilities</t>
  </si>
  <si>
    <t>Total Non-current Liabilities</t>
  </si>
  <si>
    <t>Borrowings (Current)</t>
  </si>
  <si>
    <t>Lease Liabilities (Current)</t>
  </si>
  <si>
    <t>Derivative Liabilities</t>
  </si>
  <si>
    <t>Contract Liabilities</t>
  </si>
  <si>
    <t>Provisions (Current)</t>
  </si>
  <si>
    <t>Tax Liabilities (Current)</t>
  </si>
  <si>
    <t>TOTAL LIABILITIES</t>
  </si>
  <si>
    <t>TOTAL EQUITY + LIABILITIES</t>
  </si>
  <si>
    <t>INCOME</t>
  </si>
  <si>
    <t>Revenue from operations</t>
  </si>
  <si>
    <t>Other income</t>
  </si>
  <si>
    <t>Total income</t>
  </si>
  <si>
    <t>EXPENSES</t>
  </si>
  <si>
    <t>Purchases of stock-in-trade</t>
  </si>
  <si>
    <t>Change in inventories</t>
  </si>
  <si>
    <t>Employee benefits</t>
  </si>
  <si>
    <t>Finance costs</t>
  </si>
  <si>
    <t>Depreciation &amp; amortization</t>
  </si>
  <si>
    <t>Sub-contracting fees</t>
  </si>
  <si>
    <t>Facility expenses</t>
  </si>
  <si>
    <t>Software license expense</t>
  </si>
  <si>
    <t>—</t>
  </si>
  <si>
    <t>Travel</t>
  </si>
  <si>
    <t>Communication</t>
  </si>
  <si>
    <t>Legal &amp; professional</t>
  </si>
  <si>
    <t>Marketing &amp; brand</t>
  </si>
  <si>
    <t>Lifetime expected credit loss</t>
  </si>
  <si>
    <t>Other expenses</t>
  </si>
  <si>
    <t>Total expenses</t>
  </si>
  <si>
    <t>OPERATING PROFIT (approx)</t>
  </si>
  <si>
    <t>Share of profit/(loss) of associates</t>
  </si>
  <si>
    <t>Profit before tax (PBT)</t>
  </si>
  <si>
    <t>Tax expense</t>
  </si>
  <si>
    <t>Net profit</t>
  </si>
  <si>
    <t>Total OCI</t>
  </si>
  <si>
    <t>Total Comprehensive Income</t>
  </si>
  <si>
    <t>EPS (Basic ₹)</t>
  </si>
  <si>
    <t>EPS (Diluted ₹)</t>
  </si>
  <si>
    <t>Profit for the year</t>
  </si>
  <si>
    <t>Share-based compensation</t>
  </si>
  <si>
    <t>Finance &amp; other income (net)</t>
  </si>
  <si>
    <t>Income tax expense</t>
  </si>
  <si>
    <t>Change in working capital (net)</t>
  </si>
  <si>
    <t>Cash from operations (before tax)</t>
  </si>
  <si>
    <t>Taxes paid</t>
  </si>
  <si>
    <t>Net Operating Cash Flow</t>
  </si>
  <si>
    <t>Capex (PPE purchase)</t>
  </si>
  <si>
    <t>Investments purchase</t>
  </si>
  <si>
    <t>Investments sale</t>
  </si>
  <si>
    <t>Acquisitions</t>
  </si>
  <si>
    <t>Dividend received</t>
  </si>
  <si>
    <t>Net Investing Cash Flow</t>
  </si>
  <si>
    <t>Lease payments</t>
  </si>
  <si>
    <t>Interest paid</t>
  </si>
  <si>
    <t>Dividend paid</t>
  </si>
  <si>
    <t>Buyback of shares</t>
  </si>
  <si>
    <t>Net Financing Cash Flow</t>
  </si>
  <si>
    <t>Net Change in Cash</t>
  </si>
  <si>
    <t>Cash at beginning</t>
  </si>
  <si>
    <t>FX impact</t>
  </si>
  <si>
    <t>Cash at end</t>
  </si>
  <si>
    <t>PROFIT AND LOSS</t>
  </si>
  <si>
    <t>Revenue from Operations</t>
  </si>
  <si>
    <t>Total Income</t>
  </si>
  <si>
    <t xml:space="preserve">Revenue from Operations CAGR </t>
  </si>
  <si>
    <t>IT Services % of Rev from Operations</t>
  </si>
  <si>
    <t>Other Income YoY Change %</t>
  </si>
  <si>
    <t>% of Total Income</t>
  </si>
  <si>
    <t>Right of Use Assets</t>
  </si>
  <si>
    <t>Other Intangiable Assets</t>
  </si>
  <si>
    <t>Non Current Tax Assets</t>
  </si>
  <si>
    <t>Provisions</t>
  </si>
  <si>
    <t>Tax Liabilities</t>
  </si>
  <si>
    <t>Other Non Current Liabilities</t>
  </si>
  <si>
    <t>Current Investments</t>
  </si>
  <si>
    <t>% of Gross PPE</t>
  </si>
  <si>
    <t>ROU Assets</t>
  </si>
  <si>
    <t>CWIP % of Cex</t>
  </si>
  <si>
    <t>% of CapEx</t>
  </si>
  <si>
    <t>Goodwill YoY</t>
  </si>
  <si>
    <t>Depreciation &amp; Amortization</t>
  </si>
  <si>
    <t>Borrowings (Net)</t>
  </si>
  <si>
    <t>Investments (Net)</t>
  </si>
  <si>
    <t>Dep. % of PPE</t>
  </si>
  <si>
    <t>Non Current Investments</t>
  </si>
  <si>
    <t>Accounts Receivable (Current)</t>
  </si>
  <si>
    <t>Receivable Turnover (Current)</t>
  </si>
  <si>
    <t>AR Days (Non)</t>
  </si>
  <si>
    <t>Accounts Receivable Days (Current)</t>
  </si>
  <si>
    <t>Accounts Receivable (Non Current)</t>
  </si>
  <si>
    <t>Tax Ass. % Ex.</t>
  </si>
  <si>
    <t>% of Tax Expense</t>
  </si>
  <si>
    <t>Total Lease Liabilities</t>
  </si>
  <si>
    <t>Current Lease</t>
  </si>
  <si>
    <t>Non Current Lease</t>
  </si>
  <si>
    <t>% of Total Lease</t>
  </si>
  <si>
    <t>Current Financial Assets</t>
  </si>
  <si>
    <t>% of Total Financial Assets</t>
  </si>
  <si>
    <t>Non Current Financial Assets</t>
  </si>
  <si>
    <t>Total Provisions</t>
  </si>
  <si>
    <t>Current Provisions</t>
  </si>
  <si>
    <t>% of Total Provisions</t>
  </si>
  <si>
    <t>Non Current Provisions</t>
  </si>
  <si>
    <t>OTHER ASSETS</t>
  </si>
  <si>
    <t>Disposal Assumption , ROU, Lease L., Goodwill</t>
  </si>
  <si>
    <t>Capex Assumption &amp; Other Fixed ; Intangiable Assets, Ac. Receivables</t>
  </si>
  <si>
    <t>CWIP Assumption, AR Days (Non Current), Other Current Assets, Inventory</t>
  </si>
  <si>
    <t>Other Financial Assets, Provisions, Tax, AP Days</t>
  </si>
  <si>
    <t>Current Financial Liabilities</t>
  </si>
  <si>
    <t>% of Total F.L</t>
  </si>
  <si>
    <t>Non Current Financial Liabilities</t>
  </si>
  <si>
    <t>Current Tax Liabilities</t>
  </si>
  <si>
    <t>Non Current Tax Liabilities</t>
  </si>
  <si>
    <t>% of Depreciation Expense</t>
  </si>
  <si>
    <t>PROVISIONS &amp; LIABILITIES</t>
  </si>
  <si>
    <t>Change in Networking Capital</t>
  </si>
  <si>
    <t>Networking Capital Change</t>
  </si>
  <si>
    <t xml:space="preserve">Purchase of PPE </t>
  </si>
  <si>
    <t>Change in Equity</t>
  </si>
  <si>
    <t>Intangiable Assets / Goodwill</t>
  </si>
  <si>
    <t>Opex % of TI</t>
  </si>
  <si>
    <t>Ac. D % of TI</t>
  </si>
  <si>
    <t>% of Net PPE</t>
  </si>
  <si>
    <t>Other Fixed Assets % of Net PPE</t>
  </si>
  <si>
    <t>Dividends</t>
  </si>
  <si>
    <t>Non Current Assets</t>
  </si>
  <si>
    <t>Total Non Current Assets</t>
  </si>
  <si>
    <t>Sale of PPE</t>
  </si>
  <si>
    <t>% of Rev from OP</t>
  </si>
  <si>
    <t>% of TI</t>
  </si>
  <si>
    <t>Intangiable Assets % of TI</t>
  </si>
  <si>
    <t>Lea. % of TI</t>
  </si>
  <si>
    <t>ROU % of TI</t>
  </si>
  <si>
    <t>OCA % of TI</t>
  </si>
  <si>
    <t>OFA % of TI</t>
  </si>
  <si>
    <t>Pro. % of TI</t>
  </si>
  <si>
    <t>D / %</t>
  </si>
  <si>
    <t>PPE - FORECAST (BEST CASE)</t>
  </si>
  <si>
    <t>PPE - FORECAST (WORST CASE)</t>
  </si>
  <si>
    <t>PPE - FORECAST (BASE CASE)</t>
  </si>
  <si>
    <t>OTHER ASSETS - FORECAST (BEST CASE)</t>
  </si>
  <si>
    <t>OTHER ASSETS - FORECAST (BASE CASE)</t>
  </si>
  <si>
    <t>OTHER ASSETS - FORECAST (WORST CASE)</t>
  </si>
  <si>
    <t>TRADE WORKING CAPITAL - FORECAST (BEST CASE)</t>
  </si>
  <si>
    <t>TRADE WORKING CAPITAL - FORECAST (BASE CASE)</t>
  </si>
  <si>
    <t>TRADE WORKING CAPITAL - FORECAST (WORST CASE)</t>
  </si>
  <si>
    <t>EQUITY &amp; RESERVES - FORECAST (BEST CASE)</t>
  </si>
  <si>
    <t>EQUITY &amp; RESERVES - FORECAST (BASE CASE)</t>
  </si>
  <si>
    <t>EQUITY &amp; RESERVES - FORECAST (WORST CASE)</t>
  </si>
  <si>
    <t>ASSETS ; LIABILITIES - FORECAST (BASE CASE)</t>
  </si>
  <si>
    <t>ASSETS ; LIABILITIES - FORECAST (BEST CASE)</t>
  </si>
  <si>
    <t>ASSETS ; LIABILITIES - FORECAST (WORST CASE)</t>
  </si>
  <si>
    <t>PROVISION - FORECAST (BEST CASE)</t>
  </si>
  <si>
    <t>PROVISION - FORECAST (BASE CASE)</t>
  </si>
  <si>
    <t>PROVISION - FORECAST (WORST CASE)</t>
  </si>
  <si>
    <t xml:space="preserve">WIPRO </t>
  </si>
  <si>
    <t>BALANCE SHEET SCHEDULE</t>
  </si>
  <si>
    <t>D</t>
  </si>
  <si>
    <t>Nos</t>
  </si>
  <si>
    <t>DUPONT ANALYSIS</t>
  </si>
  <si>
    <t>RETURN ON EQUITY</t>
  </si>
  <si>
    <t>Average Shareholder Equity</t>
  </si>
  <si>
    <t>ROE DUPONT EQUATION</t>
  </si>
  <si>
    <t>Sales</t>
  </si>
  <si>
    <t>Average Total Assets</t>
  </si>
  <si>
    <t>Equity Multiplier</t>
  </si>
  <si>
    <t>RETURN ON ASSETS</t>
  </si>
  <si>
    <t>Total Average Assets</t>
  </si>
  <si>
    <t>ROA DUPONT EQUATION</t>
  </si>
  <si>
    <t>DATA</t>
  </si>
  <si>
    <t>Comps P/E</t>
  </si>
  <si>
    <t>Analyst Price</t>
  </si>
  <si>
    <t>52W H/L</t>
  </si>
  <si>
    <t>Current Price</t>
  </si>
  <si>
    <t xml:space="preserve">Middle </t>
  </si>
  <si>
    <t>FOOTBALL - FIELD ANALYSIS</t>
  </si>
  <si>
    <t>CHOOSE SCENARIO</t>
  </si>
  <si>
    <t>DCF</t>
  </si>
  <si>
    <t>EV/EBITDA</t>
  </si>
  <si>
    <t>Best</t>
  </si>
  <si>
    <t>Base</t>
  </si>
  <si>
    <t>Worst</t>
  </si>
  <si>
    <t>Shares Out.</t>
  </si>
  <si>
    <t>Middle line is at 246.30 at current price level</t>
  </si>
  <si>
    <t>Revenue increased steadily from ₹62,243 Cr to ₹89,088 Cr, showing strong historical growth momentum and consistent demand expansion.</t>
  </si>
  <si>
    <t>Revenue grows further from ₹94,096 Cr to ₹102,584 Cr, indicating sustained deal wins, strong digital demand, and pricing power.</t>
  </si>
  <si>
    <t>Revenue remains largely stable around ₹92,275 Cr to ₹95,809 Cr, reflecting business maturity and moderate competitive pressure.</t>
  </si>
  <si>
    <t>Gross profit improved from ₹20,274 Cr to ₹27,685 Cr, reflecting healthy cost control and stable margin structure.</t>
  </si>
  <si>
    <t>Gross profit rises strongly from ₹30,211 Cr to ₹33,440 Cr, implying margin expansion and operational efficiency gains.</t>
  </si>
  <si>
    <t>Gross profit fluctuates around ₹28773 - ₹30396 Cr, indicating stable expansion</t>
  </si>
  <si>
    <t xml:space="preserve">EBITDA increased from ₹17,462 Cr to ₹21,904 Cr, showing moderate operating leverage </t>
  </si>
  <si>
    <t>EBITDA expands significantly from ₹24,565 Cr to ₹27,285 Cr, reflecting strong operating efficiency and scale benefits.</t>
  </si>
  <si>
    <t xml:space="preserve">EBITDA remains stable in the ₹22,960–24,360 Cr range, suggesting controlled costs but limited margin </t>
  </si>
  <si>
    <t>Net profit grew from ₹11,155 Cr to ₹13,191 Cr, showing consistent earnings performance despite some fluctuation.</t>
  </si>
  <si>
    <t xml:space="preserve">Net profit increases moderately from ₹13,652 Cr to ₹14,004 Cr, reflecting stable profitability </t>
  </si>
  <si>
    <t xml:space="preserve">Net profit rises sharply from ₹14,981 Cr to ₹16,570 Cr, demonstrating strong earnings conversion </t>
  </si>
  <si>
    <t>Net cash flow has been inconsistent for last 5 years, by going upto 12,813 to -7,232</t>
  </si>
  <si>
    <t>Best case shows clear trend of net cash flow ranging from 7000 - 9000 which is good positive net cash flow</t>
  </si>
  <si>
    <t>Positive net cash flow but declining</t>
  </si>
  <si>
    <t>Base case also shows positive net cash flow but still decreases after 2027</t>
  </si>
  <si>
    <t>ABOUT WIPRO</t>
  </si>
  <si>
    <t>Wipro is a leading global information technology, consulting, and business process services company headquartered in Bengaluru, India. Founded in 1945, the company has transformed from a consumer products business into one of the world’s major IT service providers. Wipro delivers innovative solutions in cloud computing, cybersecurity, artificial intelligence, digital transformation, analytics, engineering services, and consulting. The company serves clients across industries including banking, healthcare, retail, manufacturing, telecommunications, and energy. With operations in more than 60 countries and a strong global workforce, Wipro focuses on helping businesses improve efficiency, accelerate digital growth, and enhance customer experiences through technology-driven solutions. The company is recognized for its commitment to sustainability, ethical business practices, innovation, and long-term value creation for stakeholders.</t>
  </si>
  <si>
    <t>KEY FINANCIAL METRICS</t>
  </si>
  <si>
    <t>Total Revenue</t>
  </si>
  <si>
    <t>Rev Growth %</t>
  </si>
  <si>
    <t>EBIT Margins %</t>
  </si>
  <si>
    <t>Gross Profit Margins %</t>
  </si>
  <si>
    <t>Net Profit Margins %</t>
  </si>
  <si>
    <t>EPS Growth %</t>
  </si>
  <si>
    <t>DPS</t>
  </si>
  <si>
    <t>DPS Growth %</t>
  </si>
  <si>
    <t>KEY FINANCIAL RATIOS</t>
  </si>
  <si>
    <t>Debt to Equity</t>
  </si>
  <si>
    <t>REPRESENTATION</t>
  </si>
  <si>
    <t>HOLD</t>
  </si>
  <si>
    <t>SHAREHOLDING PATTERN</t>
  </si>
  <si>
    <t>DESIGN.</t>
  </si>
  <si>
    <t>REMUN.</t>
  </si>
  <si>
    <t>X of MEDIAN SALARY</t>
  </si>
  <si>
    <t>CAPITAL STRUCTURE</t>
  </si>
  <si>
    <t>SHARE PRICE 2 YEARS</t>
  </si>
  <si>
    <t>INDEXED NIFTY &amp; WIPRO</t>
  </si>
  <si>
    <t>AMBITIONS REALIZED</t>
  </si>
  <si>
    <t>N. of Shares (Cr.)</t>
  </si>
  <si>
    <t>Market Cap (Cr.)</t>
  </si>
  <si>
    <t>Less: Cash</t>
  </si>
  <si>
    <t>Less: Min. Int</t>
  </si>
  <si>
    <t>Enterprise Value</t>
  </si>
  <si>
    <t>Add: Debt</t>
  </si>
  <si>
    <t>NO. of S.</t>
  </si>
  <si>
    <t>MANAGERIAL REMUNERATION</t>
  </si>
  <si>
    <t>Mr. Azim Hasham Premji (Zash Traders)</t>
  </si>
  <si>
    <t>Mr. Azim Hasham Premji (Prazim Traders)</t>
  </si>
  <si>
    <t>Mr. Azim Hasham Premji (Hasham Traders)</t>
  </si>
  <si>
    <t>Azim Premji Trust</t>
  </si>
  <si>
    <t>Azim H. Premji</t>
  </si>
  <si>
    <t>LIC ULIP Growth Fund</t>
  </si>
  <si>
    <t>JP Morgan Chase Bank</t>
  </si>
  <si>
    <t>Prazim Trading &amp; Investment Co. Pvt Ltd</t>
  </si>
  <si>
    <t>ICICI Prudential Children’s Fund</t>
  </si>
  <si>
    <t>220.21 Cr</t>
  </si>
  <si>
    <t>216.03 Cr</t>
  </si>
  <si>
    <t>188.68 Cr</t>
  </si>
  <si>
    <t>68.04 Cr</t>
  </si>
  <si>
    <t>43.12 Cr</t>
  </si>
  <si>
    <t>28.02 Cr</t>
  </si>
  <si>
    <t>25.97 Cr</t>
  </si>
  <si>
    <t>19.37 Cr</t>
  </si>
  <si>
    <t>16.15 Cr</t>
  </si>
  <si>
    <t>54,237.72 Cr</t>
  </si>
  <si>
    <t>53,208.19 Cr</t>
  </si>
  <si>
    <t>46,471.88 Cr</t>
  </si>
  <si>
    <t>16,758.25 Cr</t>
  </si>
  <si>
    <t>10,620.46 Cr</t>
  </si>
  <si>
    <t>6,901.33 Cr</t>
  </si>
  <si>
    <t>6,396.41 Cr</t>
  </si>
  <si>
    <t>4,770.83 Cr</t>
  </si>
  <si>
    <t>3,977.74 Cr</t>
  </si>
  <si>
    <t>TOP SHAREHOLDERS</t>
  </si>
  <si>
    <t>Promotors</t>
  </si>
  <si>
    <t>FIIS</t>
  </si>
  <si>
    <t>DIIS</t>
  </si>
  <si>
    <t>Public / Retail</t>
  </si>
  <si>
    <t>Srinivas Pallia</t>
  </si>
  <si>
    <t>Rishad Premji</t>
  </si>
  <si>
    <t>Aparna C. Iyer</t>
  </si>
  <si>
    <t>CFO</t>
  </si>
  <si>
    <t>CEO</t>
  </si>
  <si>
    <t>Ex. Chairman</t>
  </si>
  <si>
    <t>53.64 Cr.</t>
  </si>
  <si>
    <t>13.7 Cr.</t>
  </si>
  <si>
    <t>6.4 Cr.</t>
  </si>
  <si>
    <t>65x</t>
  </si>
  <si>
    <t>140x</t>
  </si>
  <si>
    <t>548x</t>
  </si>
  <si>
    <t>EXP.</t>
  </si>
  <si>
    <t>30 + Years</t>
  </si>
  <si>
    <t>20 + Years</t>
  </si>
  <si>
    <t>ASSUMPTIONS</t>
  </si>
  <si>
    <t>Sales / Total Assets</t>
  </si>
  <si>
    <t>By Fx &amp; other Adjustments (not included)</t>
  </si>
  <si>
    <t>EQUITY RESEARCH REPORT ON WIPRO</t>
  </si>
  <si>
    <t>Based on market data from FY2021 - FY2025</t>
  </si>
  <si>
    <t xml:space="preserve"> </t>
  </si>
  <si>
    <t>Target Price</t>
  </si>
  <si>
    <t>Potential Target</t>
  </si>
  <si>
    <t>Metrics</t>
  </si>
  <si>
    <t>% Weightage</t>
  </si>
  <si>
    <t>A</t>
  </si>
  <si>
    <t>B</t>
  </si>
  <si>
    <t>A * B</t>
  </si>
  <si>
    <t>Multiply</t>
  </si>
  <si>
    <t>Add</t>
  </si>
  <si>
    <t>Recommended</t>
  </si>
  <si>
    <t>No. of Shares (in cr)</t>
  </si>
  <si>
    <t>Market cap (in cr)</t>
  </si>
  <si>
    <t>52 Week H/L (in rs)</t>
  </si>
  <si>
    <t>Nse Code</t>
  </si>
  <si>
    <t>Stock data (as on 31 Mar 2025)</t>
  </si>
  <si>
    <t>Wipro &amp; Nifty Performance</t>
  </si>
  <si>
    <t>Absolute Return</t>
  </si>
  <si>
    <t>Shareholding Pattern as of Recent Times</t>
  </si>
  <si>
    <t>Promoters</t>
  </si>
  <si>
    <t>Figures in Crores</t>
  </si>
  <si>
    <t>Rev from Operation</t>
  </si>
  <si>
    <t>EPS (in rs)</t>
  </si>
  <si>
    <t>Mcap/Sales</t>
  </si>
  <si>
    <t>275 / 190</t>
  </si>
  <si>
    <t>Peers Comparison</t>
  </si>
  <si>
    <t>EV/Rev</t>
  </si>
  <si>
    <t>Top Shareholders &amp; Their Holdings</t>
  </si>
  <si>
    <t>About Company :</t>
  </si>
  <si>
    <t>Executive Summary :</t>
  </si>
  <si>
    <t>This equity research report is prepared solely for educational and informational purposes. The analysis, forecasts, valuations, and opinions presented are based on publicly available information and personal interpretation.  Investors should conduct their own research.</t>
  </si>
  <si>
    <t>Wipro Limited is one of India’s leading global information technology and consulting companies, operating across cloud computing, cybersecurity, artificial intelligence, digital transformation, analytics, and engineering services. Over the last five years, the company has demonstrated resilience despite challenging global economic conditions, weaker discretionary technology spending, and increasing competition within the IT services industry. The financial model evaluates Wipro’s historical performance from FY21 to FY25 and projects future performance under best-case, base-case, and worst-case scenarios through FY30.
Historically, Wipro experienced strong post-pandemic growth driven by rising enterprise demand for digital transformation services. Total revenue increased significantly from ₹64,625 crore in FY21 to ₹93,201 crore in FY23, supported by strong client spending across multiple industries. However, revenue growth weakened afterward, declining by 1.25% in FY24 and 0.79% in FY25 due to global macroeconomic uncertainty, delayed client decision-making, and reduced discretionary IT spending. Despite this slowdown, Wipro continues to benefit from a diversified business model with exposure to banking, healthcare, retail, manufacturing, telecommunications, and energy sectors, reducing dependency on any single industry.
Profitability trends indicate that the company faced margin pressure during the recent slowdown but has gradually begun recovering through operational efficiency measures and cost optimization initiatives. Gross profit margins declined from 32.57% in FY21 to 28.20% in FY24 before recovering to 31.08% in FY25. Similarly, EBIT margins decreased from 22.75% in FY21 to 17.35% in FY24 but improved to 20.38% in FY25, reflecting better expense management and stabilization in operations. Net profit margins followed a similar pattern, improving to 14.19% in FY25 after weakening in previous years. These trends suggest that management has started improving operational performance despite difficult market conditions.
Earnings performance remained volatile during the observed period. EPS increased by 16.99% in FY22 but later declined sharply by 49.66% in FY24 before recovering by 20.27% in FY25. The decline was primarily driven by slower revenue growth, margin compression, and weaker market sentiment across the technology sector. Nevertheless, Wipro continues to maintain healthy return ratios, with FY25 ROE at 16.78%, ROIC at 22.32%, and ROA at 10.86%, indicating efficient capital utilization and the company’s ability to generate sustainable returns over the long term.
The forecasting assumptions within the model indicate moderate long-term growth expectations. Under the best-case scenario, revenue from operations is projected to grow gradually between 1% and 3% annually from FY26 to FY30, supported by increasing demand for AI-driven solutions, cloud migration, cybersecurity services, and digital consulting. In this scenario, Wipro benefits from stronger client spending recovery, improved operating leverage, and margin expansion through automation and higher-value services. Total income is projected to exceed ₹100,000 crore by FY30 under favorable conditions.
The base-case scenario assumes slower recovery and stable but moderate growth, reflecting continued uncertainty in global technology spending and cautious enterprise investment behavior. Meanwhile, the worst-case scenario projects prolonged pressure on revenues and margins due to slower global economic recovery and aggressive competitive pricing within the IT services sector. However, Wipro’s strong balance sheet, diversified client portfolio, and established global presence provide financial stability even under adverse conditions.
Overall, the financial model suggests that Wipro is currently in a transitional phase where short-term growth challenges are being balanced by improving operational efficiency and long-term digital opportunities.</t>
  </si>
  <si>
    <t>BUSINESS DESCRIPTION</t>
  </si>
  <si>
    <t>Core Business Segments</t>
  </si>
  <si>
    <t>Segment</t>
  </si>
  <si>
    <t>Revenue Importance</t>
  </si>
  <si>
    <t>Description</t>
  </si>
  <si>
    <t>IT Services</t>
  </si>
  <si>
    <t>BPS</t>
  </si>
  <si>
    <t>Engineering / R &amp; D</t>
  </si>
  <si>
    <t>Consulting</t>
  </si>
  <si>
    <t>IT Products</t>
  </si>
  <si>
    <t>Digital Transformation, Cloud, AI, Consulting, Analytics, Cybersecurity</t>
  </si>
  <si>
    <t>Outsourcing &amp; Operational Support</t>
  </si>
  <si>
    <t>Product Engineering, Embedded Systems, Software Development</t>
  </si>
  <si>
    <t>Strategic Digital &amp; Technology Consulting</t>
  </si>
  <si>
    <t>Hardware &amp; Software Related Products</t>
  </si>
  <si>
    <t>Primary Revenue Driver</t>
  </si>
  <si>
    <t>Recurring Revenue Stream</t>
  </si>
  <si>
    <t>High Growth Segment</t>
  </si>
  <si>
    <t>Supports Enterprise Clients</t>
  </si>
  <si>
    <t>Minor Contribution</t>
  </si>
  <si>
    <t>Major Products &amp; Services</t>
  </si>
  <si>
    <t>Purpose</t>
  </si>
  <si>
    <t>Service</t>
  </si>
  <si>
    <t>1) Cloud Computing Services</t>
  </si>
  <si>
    <t>Cloud Migration</t>
  </si>
  <si>
    <t>Hybrid Cloud Solutions</t>
  </si>
  <si>
    <t>Cloud Security</t>
  </si>
  <si>
    <t>Infrastructure Management</t>
  </si>
  <si>
    <t>Moving Enterprise Systems to Cloud Platforms</t>
  </si>
  <si>
    <t>Combining Public and Private Cloud Infrastructure</t>
  </si>
  <si>
    <t>Protecting Cloud Based Applications &amp; Data</t>
  </si>
  <si>
    <t>Managing Enterprise Cloud Operations</t>
  </si>
  <si>
    <t>2) Cyber Security Services</t>
  </si>
  <si>
    <t>3) AI &amp; Analytics</t>
  </si>
  <si>
    <t>Solutions</t>
  </si>
  <si>
    <t>Business Benefits</t>
  </si>
  <si>
    <t>Key Revenue Drivers</t>
  </si>
  <si>
    <t>Key Expense Drivers</t>
  </si>
  <si>
    <t>Revenue Driver</t>
  </si>
  <si>
    <t>Impact on Business</t>
  </si>
  <si>
    <t>Global IT Spending</t>
  </si>
  <si>
    <t>Digital Transformation Demand</t>
  </si>
  <si>
    <t>AI &amp; Automation Adoption</t>
  </si>
  <si>
    <t>Long Term Contracts</t>
  </si>
  <si>
    <t>Geographic Expansion</t>
  </si>
  <si>
    <t>High Tech Spending Increase Demand</t>
  </si>
  <si>
    <t>Drives Consulting &amp; Cloud Revenue</t>
  </si>
  <si>
    <t>Expands High Margin Service Prospect</t>
  </si>
  <si>
    <t>Creates Stable Recurring Revenue</t>
  </si>
  <si>
    <t>Increases Global Market Share</t>
  </si>
  <si>
    <t>Expense Category</t>
  </si>
  <si>
    <t>Employee Cost</t>
  </si>
  <si>
    <t>Infrastructure Cost</t>
  </si>
  <si>
    <t>Technology Investment</t>
  </si>
  <si>
    <t>Sales &amp; Marketing</t>
  </si>
  <si>
    <t>Salaries, Training, Benefits</t>
  </si>
  <si>
    <t>Offices, Data Centers, Cloud Infra.</t>
  </si>
  <si>
    <t xml:space="preserve">AI, Cybersecurity, Automation </t>
  </si>
  <si>
    <t>Client Acquisition &amp; Branding</t>
  </si>
  <si>
    <t>Technology &amp; Infra. Assets</t>
  </si>
  <si>
    <t>The company derives a substantial share of revenue from international markets, especially North America and Europe. Large enterprise clients contribute significantly to revenues through long-duration contracts and recurring service agreements.</t>
  </si>
  <si>
    <t>Employee expenses remain one of the most critical profitability drivers because wage inflation directly impacts operating margins. Additionally, investments in emerging technologies such as AI, cybersecurity, and cloud computing are essential.</t>
  </si>
  <si>
    <t>Wipro operates in one of the most competitive segments of the global technology industry, competing with both Indian IT service providers and multinational consulting firms. The company’s competitive positioning is built around its diversified service portfolio, global delivery capabilities, long-term enterprise relationships, and increasing focus on digital transformation technologies such as cloud computing, cybersecurity, artificial intelligence, and analytics. The global IT services industry is highly dependent on enterprise technology spending, outsourcing demand, and digital transformation initiatives. As businesses across industries continue modernizing operations and adopting advanced technologies, companies like Wipro compete to secure long-term contracts, managed service agreements, and consulting engagements. Wipro’s ability to provide end-to-end technology solutions across consulting, implementation, and operational management strengthens its position within the industry.</t>
  </si>
  <si>
    <t>Industry Overview</t>
  </si>
  <si>
    <t>Global IT Industry Revenue</t>
  </si>
  <si>
    <t>Global IT Industry EBITDA</t>
  </si>
  <si>
    <t>Global IT Industry Spending</t>
  </si>
  <si>
    <t>Global IT Industry Net Profit</t>
  </si>
  <si>
    <t>Particulars (in crores)</t>
  </si>
  <si>
    <t>Wip. EBITDA % Gl. EBITDA</t>
  </si>
  <si>
    <t>Wip. NP. % Gl. NP.</t>
  </si>
  <si>
    <t>Wip. Exp. % Gl. Exp</t>
  </si>
  <si>
    <t>Wip. Rev % Gl. Rev</t>
  </si>
  <si>
    <t>Indian IT Industry Revenue</t>
  </si>
  <si>
    <t>Indian IT Industry Spending</t>
  </si>
  <si>
    <t>Indian IT Industry EBITDA</t>
  </si>
  <si>
    <t>Indian IT Industry Net Profit</t>
  </si>
  <si>
    <t>% of Gl. Rev</t>
  </si>
  <si>
    <t>Wipro Revenue</t>
  </si>
  <si>
    <t>Wipro Spending</t>
  </si>
  <si>
    <t>Wipro EBITDA</t>
  </si>
  <si>
    <t>Wipro Net Profit</t>
  </si>
  <si>
    <t>% of Indian IT. Rev</t>
  </si>
  <si>
    <t>Global IT Rev CAGR</t>
  </si>
  <si>
    <t>Global IT Exp % of Rev</t>
  </si>
  <si>
    <t>Global IT Net Profit Margin</t>
  </si>
  <si>
    <t>Rev Global</t>
  </si>
  <si>
    <t>Exp Global</t>
  </si>
  <si>
    <t>EBITDA Global</t>
  </si>
  <si>
    <t>Net Profit Global</t>
  </si>
  <si>
    <t xml:space="preserve">We can observe 14.71% of average growth in revenue globally, As well as we see that expenditure and net profit margin of 75.60% , 12.11% on average. </t>
  </si>
  <si>
    <t>Indian IT Rev</t>
  </si>
  <si>
    <t>Indian IT Exp</t>
  </si>
  <si>
    <t>Indian IT EBITDA</t>
  </si>
  <si>
    <t>Indian IT Net Profit</t>
  </si>
  <si>
    <t>Exp Margin</t>
  </si>
  <si>
    <t>Industry Postioning</t>
  </si>
  <si>
    <t>We have not involed estimation for wipro based on global and indian it industry by CAGR method because the results we are getting is completely unrealistic for example - revenue reaches upto 140000 Cr. In 3 years which is not possible by looking at current state of wipro.</t>
  </si>
  <si>
    <t>Peer Analysis</t>
  </si>
  <si>
    <t>Peers</t>
  </si>
  <si>
    <t xml:space="preserve">EBITDA </t>
  </si>
  <si>
    <t>EV / EBIT.</t>
  </si>
  <si>
    <t>EV/EBIT.</t>
  </si>
  <si>
    <t>Implied P/E</t>
  </si>
  <si>
    <t>Implied EV/Rev</t>
  </si>
  <si>
    <t>Implied EV/EBIT.</t>
  </si>
  <si>
    <t xml:space="preserve">Weightage </t>
  </si>
  <si>
    <t xml:space="preserve">All the figures of global as well as indian it industry sectors are approximation and are not accurate to the absolute point, But they are certainly in true range. Only Wipro metrics are true since they are directly taken from integrated financial statements. </t>
  </si>
  <si>
    <t>The global IT services industry is one of the fastest-growing sectors in the world, driven by increasing digital transformation, cloud adoption, artificial intelligence, cybersecurity, and data analytics demand. Businesses across industries are investing heavily in technology to improve operational efficiency, reduce costs, enhance customer experience, and automate business processes. The industry includes services such as IT consulting, cloud computing, application development, infrastructure management, cybersecurity, and AI-driven solutions. 
India plays a significant role in the global IT services market due to its large skilled workforce, cost competitiveness, and strong outsourcing ecosystem. Indian IT companies like Wipro, TCS, Infosys, and HCLTech serve clients across banking, healthcare, retail, manufacturing, telecom, and other sectors worldwide. The industry benefits from rising enterprise technology spending, increasing cloud migration, growing cybersecurity threats, and rapid adoption of generative AI solutions.
However, the industry also faces challenges such as intense competition, pricing pressure, employee attrition, wage inflation, currency fluctuations, and slowdown in global IT spending during economic uncertainty. Despite these challenges, long-term industry growth remains strong due to continuous technological innovation and increasing dependence on digital infrastructure globally. Observation suggests that almost 1/4 th of global IT revenue is derived from indian IT companies, which showcases potential of indian IT sector.</t>
  </si>
  <si>
    <t>3 Months</t>
  </si>
  <si>
    <t>6 Months</t>
  </si>
  <si>
    <t>12 Months</t>
  </si>
  <si>
    <t>Competetive  Position</t>
  </si>
  <si>
    <t>Financial Statement Analysis and forecast</t>
  </si>
  <si>
    <t>Revenue (Based on Base Case)</t>
  </si>
  <si>
    <t>Revenue (Actual Case)</t>
  </si>
  <si>
    <t>EBITDA (Actual Case)</t>
  </si>
  <si>
    <t>EBITDA (Based on Base Case)</t>
  </si>
  <si>
    <t>Net Profit (Actual Case)</t>
  </si>
  <si>
    <t>Net Profit (Based on Base Case)</t>
  </si>
  <si>
    <t>Cash (Actual Case)</t>
  </si>
  <si>
    <t>Cash (Based on Base Case)</t>
  </si>
  <si>
    <t>Above forecasting is for base case only, We have not included best and worst case from our financial model</t>
  </si>
  <si>
    <t>Dividend Yeild</t>
  </si>
  <si>
    <t>Presense of Wipro</t>
  </si>
  <si>
    <t>PEER STOCK PERFORMANCE INDEXED (1YEAR)</t>
  </si>
  <si>
    <t>From March 2024 to March 2025, the indexed stock price performance of the six major Indian IT companies — Wipro, Tata Consultancy Services (TCS), Infosys, HCL Technologies, Tech Mahindra, and Persistent Systems — shows significant divergence in investor sentiment and growth expectations. Since all companies were indexed to a base value of 100 in March 2024, the movement in prices clearly highlights relative outperformance and underperformance over the one-year period.
Among all companies, Persistent Systems emerged as the strongest performer. Its indexed value increased from 100 in March 2024 to nearly 140–160 levels during March 2025, indicating exceptional momentum and strong investor confidence. The company consistently traded above peers throughout the year and displayed the steepest upward trend. This performance reflects market optimism regarding Persistent Systems’ high-growth digital engineering and cloud services business model. The stock experienced only minor corrections during the year, suggesting sustained buying interest and strong earnings expectations.
Infosys and HCL Technologies also demonstrated strong price appreciation during the period. Infosys moved from the base level of 100 to around 125–130+ by March 2025, showing stable upward movement with relatively lower volatility. HCL Technologies followed a similar trajectory and maintained consistent gains throughout the year. Both companies benefited from resilient demand in digital transformation, cloud computing, and AI-related services. Their stock movements indicate that investors viewed them as stable growth-oriented IT companies capable of delivering reliable earnings growth despite global economic uncertainties.
Tech Mahindra showed moderate-to-strong recovery during the year. Starting from the base value of 100, the stock gradually improved and crossed 120 levels in multiple periods. However, compared to Infosys or Persistent Systems, its movement was more volatile, reflecting concerns about slower recovery in telecom and enterprise spending. Despite fluctuations, the overall trend remained positive, suggesting improving market sentiment toward the company during the later part of the financial year.
Wipro’s performance was comparatively weaker than most peers, although it still showed appreciation over the period. The stock moved from 100 in March 2024 to around 120–130 levels during March 2025. However, its growth pace remained slower and more inconsistent compared to Infosys, HCL Technologies, and Persistent Systems. Several periods during the year showed pullbacks and sideways movement, indicating cautious investor sentiment. The market appeared concerned about slower revenue growth, weaker deal momentum, and execution challenges relative to larger peers.
TCS displayed the most stable and defensive performance among the companies. While its upside was relatively limited compared to high-growth players like Persistent Systems, the stock maintained steady movement with lower volatility. The indexed values generally remained between 100 and 115 levels for much of the year. This suggests that investors viewed TCS as a mature, stable IT leader with predictable earnings and lower risk rather than a high-growth opportunity.
Overall, the indexed stock price analysis indicates that mid-tier digital-focused IT firms such as Persistent Systems significantly outperformed traditional large-cap IT companies during FY24–FY25. Investors rewarded companies with stronger exposure to digital engineering, cloud services, and AI-driven transformation. Meanwhile, mature IT firms like TCS and Wipro exhibited comparatively moderate gains due to slower growth expectations and cautious global IT spending trends. Overall Wipro demonstrated moderate but comparatively slower stock price growth during FY24–FY25, reflecting cautious investor sentiment, weaker momentum than peers, and concerns regarding revenue growth, operational execution, and overall competitive positioning in the IT sector.</t>
  </si>
  <si>
    <t>GDP Growth &amp; Estimation</t>
  </si>
  <si>
    <t>India's GDP Growth &amp; Estimation</t>
  </si>
  <si>
    <t>Agriculture</t>
  </si>
  <si>
    <t>Hotel, Trading</t>
  </si>
  <si>
    <t>Public Admin</t>
  </si>
  <si>
    <t>Financial Assist.</t>
  </si>
  <si>
    <t>GVA</t>
  </si>
  <si>
    <t>Taxes</t>
  </si>
  <si>
    <t>Subsidies</t>
  </si>
  <si>
    <t>Sector</t>
  </si>
  <si>
    <t>FY2022</t>
  </si>
  <si>
    <t>FY2023</t>
  </si>
  <si>
    <t>FY2024</t>
  </si>
  <si>
    <t>FY2025*</t>
  </si>
  <si>
    <t>Agriculture &amp; Allied Activities</t>
  </si>
  <si>
    <t>Manufacturing</t>
  </si>
  <si>
    <t>Trade, Hotels, Transport &amp; Communication</t>
  </si>
  <si>
    <t>Financial, Real Estate &amp; Professional Services</t>
  </si>
  <si>
    <t>Public Administration, Defence &amp; Other Services</t>
  </si>
  <si>
    <t>Gross Value Added (GVA)</t>
  </si>
  <si>
    <t>Taxes on Products</t>
  </si>
  <si>
    <t>Less: Subsidies</t>
  </si>
  <si>
    <t>GDP at Market Prices</t>
  </si>
  <si>
    <t>Trade, Hotels &amp; Food Services</t>
  </si>
  <si>
    <t>Financial Activities</t>
  </si>
  <si>
    <t>Government / Public Administration</t>
  </si>
  <si>
    <t>Taxes on Production &amp; Imports</t>
  </si>
  <si>
    <t>GDP</t>
  </si>
  <si>
    <t>Mining</t>
  </si>
  <si>
    <t>Electricity, Gas…</t>
  </si>
  <si>
    <t>Construction</t>
  </si>
  <si>
    <t>Electricity, gas …</t>
  </si>
  <si>
    <t>In Lakh Crores</t>
  </si>
  <si>
    <t>% of GDP</t>
  </si>
  <si>
    <t>Estimation of GDP (According to Analysts)</t>
  </si>
  <si>
    <t>USA GDP Growth &amp; Estimation</t>
  </si>
  <si>
    <t>International Monetary Fund</t>
  </si>
  <si>
    <t>World Bank</t>
  </si>
  <si>
    <t>RBI</t>
  </si>
  <si>
    <t>OECD</t>
  </si>
  <si>
    <t>Fitch Ratings</t>
  </si>
  <si>
    <t>Moody's Ratings</t>
  </si>
  <si>
    <t>Goldman Sachs</t>
  </si>
  <si>
    <t>Morgan Stanley</t>
  </si>
  <si>
    <t>Jp Morgan Chase</t>
  </si>
  <si>
    <t>Nomura</t>
  </si>
  <si>
    <t>HSBC</t>
  </si>
  <si>
    <t>Barclays</t>
  </si>
  <si>
    <t>UBS</t>
  </si>
  <si>
    <t>Citi</t>
  </si>
  <si>
    <t>BOA</t>
  </si>
  <si>
    <t>S &amp; P Global</t>
  </si>
  <si>
    <t>ICRA</t>
  </si>
  <si>
    <t>CRISIL</t>
  </si>
  <si>
    <t>Deloitte</t>
  </si>
  <si>
    <t>KPMG</t>
  </si>
  <si>
    <t>EY</t>
  </si>
  <si>
    <t>ADB</t>
  </si>
  <si>
    <t>No.</t>
  </si>
  <si>
    <t>Analyst / Institution</t>
  </si>
  <si>
    <t>GDP Growth Forecast</t>
  </si>
  <si>
    <t>Reserve Bank of India</t>
  </si>
  <si>
    <t>JPMorgan Chase</t>
  </si>
  <si>
    <t>Bank of America</t>
  </si>
  <si>
    <t>S&amp;P Global Ratings</t>
  </si>
  <si>
    <t>Average Range</t>
  </si>
  <si>
    <t>Wells Fargo Economics</t>
  </si>
  <si>
    <t>Conference Board</t>
  </si>
  <si>
    <t>Federal Reserve</t>
  </si>
  <si>
    <t>Brookings Institution</t>
  </si>
  <si>
    <t>USA GDP Growth Forecast</t>
  </si>
  <si>
    <t>International Monetary Fund (IMF)</t>
  </si>
  <si>
    <t>Moody’s Analytics</t>
  </si>
  <si>
    <t>S&amp;P Global</t>
  </si>
  <si>
    <t>Federal Reserve (Median Projection)</t>
  </si>
  <si>
    <t>Asian Development Bank (ADB)</t>
  </si>
  <si>
    <t>India's GDP Growth</t>
  </si>
  <si>
    <t>USA GDP Growth</t>
  </si>
  <si>
    <t>GDP Growth for india has been significant for last 3 years ranging from 9% to 11% but analyst estimation suggest average growth of 6.43% which can limit wipro's growth too.</t>
  </si>
  <si>
    <t>GDP Growth of USA has been ranging between 5% to 6% for last 3 years but next year's estimation suggests only 1.87% growth on average, Which can impact wipro negatively.</t>
  </si>
  <si>
    <t>We are looking at both the GDP's of india &amp; usa is because wipro has strong presense in india as well as usa, So changes in both the GDP's affect profitability of wipro as well, By looking at estimation it suggests that growth rate for both GDP'S will decline significantly.</t>
  </si>
  <si>
    <t>Ratio Analysis &amp; DCF</t>
  </si>
  <si>
    <t xml:space="preserve">Asset Turnover </t>
  </si>
  <si>
    <t xml:space="preserve">Inventory Turnover </t>
  </si>
  <si>
    <t>Receivable Turno.</t>
  </si>
  <si>
    <t>Cash Conversion C.</t>
  </si>
  <si>
    <t xml:space="preserve">Interest Coverage </t>
  </si>
  <si>
    <t>Discounted Cash Flow</t>
  </si>
  <si>
    <t>Ratio Analysis</t>
  </si>
  <si>
    <t>Liquidity Ratios</t>
  </si>
  <si>
    <t>Profitability Ratios</t>
  </si>
  <si>
    <t>Efficiency Ratios</t>
  </si>
  <si>
    <t>Leverage Ratios</t>
  </si>
  <si>
    <t>Valuation Ratios</t>
  </si>
  <si>
    <t>Years</t>
  </si>
  <si>
    <t>Trendline</t>
  </si>
  <si>
    <t>From 2021 to 2025</t>
  </si>
  <si>
    <t>Particulars (in cr.)</t>
  </si>
  <si>
    <t>fcff</t>
  </si>
  <si>
    <t>PV of TV</t>
  </si>
  <si>
    <t>Value per S.</t>
  </si>
  <si>
    <t>Terminal Growth R.</t>
  </si>
  <si>
    <t>Value of OA</t>
  </si>
  <si>
    <t>Value of Eq.</t>
  </si>
  <si>
    <t>No. of S.</t>
  </si>
  <si>
    <t>Calc. of Equity</t>
  </si>
  <si>
    <t>Calc. of Terminal Value</t>
  </si>
  <si>
    <t>All the figures are taken directly from the financial model of wipro itself</t>
  </si>
  <si>
    <t>Sensitivity Analysis (Terminal Value)</t>
  </si>
  <si>
    <t>Sensitivity Analysis (Value of O.A)</t>
  </si>
  <si>
    <t>Sensitivity Analysis (Equity Value per S.)</t>
  </si>
  <si>
    <t>Key Takeaways from Concall 2025 (April)</t>
  </si>
  <si>
    <r>
      <rPr>
        <b/>
        <sz val="12"/>
        <color theme="1"/>
        <rFont val="Copperplate Gothic Light"/>
        <family val="2"/>
      </rPr>
      <t>Overall Conclusion</t>
    </r>
    <r>
      <rPr>
        <sz val="12"/>
        <color theme="1"/>
        <rFont val="Copperplate Gothic Light"/>
        <family val="2"/>
      </rPr>
      <t xml:space="preserve">
Overall, Wipro’s Q4 FY25 earnings concall indicates that the company is currently operating in a challenging macroeconomic environment characterized by cautious client spending, delayed discretionary projects, and uncertainty arising from global tariff-related developments. While near-term revenue growth remains under pressure, management emphasized that the weakness is primarily due to delays in decision-making rather than a structural decline in technology demand. The company continues to witness strong momentum in large deal wins, particularly in AI-led transformation programs, consulting, and infrastructure modernization services.
BFSI and Capco remained relatively resilient during the quarter, while Europe, Consumer, and Manufacturing sectors continued to face pressure. Management identified Europe as the primary area requiring stabilization and expects gradual recovery beginning in the second half of FY26 through leadership changes and ramp-up of recently secured large contracts.
Wipro also highlighted Artificial Intelligence as a major long-term growth driver, with AI becoming central to almost every client engagement. Despite weak near-term guidance, the company remains focused on maintaining profitability through cost optimization, productivity improvements, and operational efficiency measures.
In conclusion, FY26 is expected to remain a transition year for Wipro, with gradual recovery anticipated in the later part of the year supported by strong deal pipelines, AI-led demand, and improving business momentum.</t>
    </r>
  </si>
  <si>
    <r>
      <rPr>
        <b/>
        <sz val="12"/>
        <color theme="1"/>
        <rFont val="Copperplate Gothic Light"/>
        <family val="2"/>
      </rPr>
      <t>Macroeconomic Environment and Client Spending</t>
    </r>
    <r>
      <rPr>
        <sz val="12"/>
        <color theme="1"/>
        <rFont val="Copperplate Gothic Light"/>
        <family val="2"/>
      </rPr>
      <t xml:space="preserve">
Management highlighted that the global macroeconomic environment remained uncertain throughout FY25, with recent tariff-related developments further impacting client sentiment. Clients across industries are becoming increasingly cautious and are delaying discretionary technology spending and large transformation projects. According to management, businesses are currently adopting a “wait-and-watch” approach until there is greater clarity regarding global trade and economic conditions. This cautious environment is expected to continue impacting revenue growth in the near term.
</t>
    </r>
    <r>
      <rPr>
        <b/>
        <sz val="12"/>
        <color theme="1"/>
        <rFont val="Copperplate Gothic Light"/>
        <family val="2"/>
      </rPr>
      <t>Weakness in Consumer and Manufacturing Sectors</t>
    </r>
    <r>
      <rPr>
        <sz val="12"/>
        <color theme="1"/>
        <rFont val="Copperplate Gothic Light"/>
        <family val="2"/>
      </rPr>
      <t xml:space="preserve">
Wipro indicated that the Consumer, Manufacturing, Automotive, and Industrial sectors are witnessing the highest level of pressure due to macroeconomic uncertainty and tariff-related concerns. Management stated that several clients in these industries are pausing or delaying transformation programs and reducing spending visibility. An example shared during the call involved a large SAP transformation program in the consumer sector that was temporarily paused because of uncertainty surrounding tariffs.
</t>
    </r>
    <r>
      <rPr>
        <b/>
        <sz val="12"/>
        <color theme="1"/>
        <rFont val="Copperplate Gothic Light"/>
        <family val="2"/>
      </rPr>
      <t>Strength in BFSI and Capco Business</t>
    </r>
    <r>
      <rPr>
        <b/>
        <u/>
        <sz val="12"/>
        <color theme="1"/>
        <rFont val="Copperplate Gothic Light"/>
        <family val="2"/>
      </rPr>
      <t xml:space="preserve">
</t>
    </r>
    <r>
      <rPr>
        <sz val="12"/>
        <color theme="1"/>
        <rFont val="Copperplate Gothic Light"/>
        <family val="2"/>
      </rPr>
      <t xml:space="preserve">
Despite the weak macro environment, the BFSI vertical remained relatively resilient during the quarter. Management highlighted strong traction in the U.S. and APMEA regions along with continued momentum in Capco’s consulting business. The company also mentioned healthy opportunities in areas such as applications modernization, cybersecurity, business process services, insurance platform digitization, and AI-powered financial solutions. Capco continued to perform strongly both in terms of revenue growth and order bookings, providing stability to the BFSI segment.
</t>
    </r>
    <r>
      <rPr>
        <u/>
        <sz val="12"/>
        <color theme="1"/>
        <rFont val="Copperplate Gothic Light"/>
        <family val="2"/>
      </rPr>
      <t xml:space="preserve">
</t>
    </r>
    <r>
      <rPr>
        <b/>
        <sz val="12"/>
        <color theme="1"/>
        <rFont val="Copperplate Gothic Light"/>
        <family val="2"/>
      </rPr>
      <t>Europe Remains the Key Challenge</t>
    </r>
    <r>
      <rPr>
        <u/>
        <sz val="12"/>
        <color theme="1"/>
        <rFont val="Copperplate Gothic Light"/>
        <family val="2"/>
      </rPr>
      <t xml:space="preserve">
</t>
    </r>
    <r>
      <rPr>
        <sz val="12"/>
        <color theme="1"/>
        <rFont val="Copperplate Gothic Light"/>
        <family val="2"/>
      </rPr>
      <t xml:space="preserve">
Management acknowledged that Europe continues to be the weakest geography for Wipro. The region experienced slower transformation spending, project delays, and margin pressure during FY25. However, the company stated that it has implemented leadership changes in Europe and is seeing improvement in the deal pipeline. Wipro also expects recently won large contracts, including the Phenix deal, to begin contributing meaningfully from the second half of FY26. Management emphasized that recovery in Europe remains a critical factor for overall company performance.
</t>
    </r>
    <r>
      <rPr>
        <b/>
        <sz val="12"/>
        <color theme="1"/>
        <rFont val="Copperplate Gothic Light"/>
        <family val="2"/>
      </rPr>
      <t>Strong Large Deal Momentum</t>
    </r>
    <r>
      <rPr>
        <sz val="12"/>
        <color theme="1"/>
        <rFont val="Copperplate Gothic Light"/>
        <family val="2"/>
      </rPr>
      <t xml:space="preserve">
Wipro reported strong momentum in large deal wins during FY25. The company closed 63 large deals with a total contract value (TCV) of approximately $5.4 billion, representing 17.5% YoY growth. Management highlighted that the large deal engine is functioning effectively and continues to generate strong opportunities across sectors and geographies. However, the company clarified that large transformation deals require time to ramp up, resulting in slower revenue conversion in the short term.
</t>
    </r>
    <r>
      <rPr>
        <b/>
        <sz val="12"/>
        <color theme="1"/>
        <rFont val="Copperplate Gothic Light"/>
        <family val="2"/>
      </rPr>
      <t>Artificial Intelligence as a Strategic Growth Driver</t>
    </r>
    <r>
      <rPr>
        <sz val="12"/>
        <color theme="1"/>
        <rFont val="Copperplate Gothic Light"/>
        <family val="2"/>
      </rPr>
      <t xml:space="preserve">
Artificial Intelligence was one of the most important themes discussed during the concall. Management stated that AI has now become central to almost every client discussion and deal opportunity. Wipro is positioning itself as a consulting-led, AI-powered transformation company focused on automation, productivity enhancement, cybersecurity, predictive maintenance, and AI-led infrastructure modernization. Management also explained that AI is helping clients improve efficiency while simultaneously creating new revenue opportunities for the company.
</t>
    </r>
    <r>
      <rPr>
        <b/>
        <sz val="12"/>
        <color theme="1"/>
        <rFont val="Copperplate Gothic Light"/>
        <family val="2"/>
      </rPr>
      <t xml:space="preserve">Margin Outlook and Cost Optimization
</t>
    </r>
    <r>
      <rPr>
        <sz val="12"/>
        <color theme="1"/>
        <rFont val="Copperplate Gothic Light"/>
        <family val="2"/>
      </rPr>
      <t xml:space="preserve">
Despite revenue pressure, Wipro remains focused on protecting profitability and maintaining margins within a narrow range. Management highlighted several operational levers including utilization improvement, reduction in bench costs, productivity enhancement in fixed-price projects, and optimization of fixed expenses and overheads. The company also clarified that it continues to invest in strategic growth areas such as sales, consulting, AI, and industry solutions while simultaneously improving operational efficiency.
</t>
    </r>
    <r>
      <rPr>
        <b/>
        <sz val="12"/>
        <color theme="1"/>
        <rFont val="Copperplate Gothic Light"/>
        <family val="2"/>
      </rPr>
      <t>FY26 Revenue Guidance and Outlook</t>
    </r>
    <r>
      <rPr>
        <sz val="12"/>
        <color theme="1"/>
        <rFont val="Copperplate Gothic Light"/>
        <family val="2"/>
      </rPr>
      <t xml:space="preserve">
For Q1 FY26, Wipro guided for IT Services revenue growth in the range of -3.5% to -1.5% QoQ in constant currency terms, reflecting continued weakness in client spending and macroeconomic uncertainty. Management expects the first half of FY26 to remain challenging; however, gradual improvement is anticipated in the second half of the year due to large deal ramp-ups, improving demand visibility, AI-led opportunities, and expected stabilization in Europe. Overall, management commentary suggests that FY26 may remain a transition year before stronger growth recovery materializes in subsequent years. Additionally, management emphasized that the company’s strong deal pipeline, continued investments in AI capabilities, consulting-led solutions, and focus on operational efficiency are expected to support long-term growth recovery. Wipro also aims to strengthen client relationships, improve execution quality, and capitalize on increasing demand for AI-driven digital transformation services across key industries and geographies.</t>
    </r>
  </si>
  <si>
    <t>Concall Analysis</t>
  </si>
  <si>
    <t>Analyst Coverage</t>
  </si>
  <si>
    <t>Analyst's</t>
  </si>
  <si>
    <t>Recommendation</t>
  </si>
  <si>
    <t xml:space="preserve">Notes </t>
  </si>
  <si>
    <t>Broker / Institution</t>
  </si>
  <si>
    <t>Rating</t>
  </si>
  <si>
    <t>Target Price (₹)</t>
  </si>
  <si>
    <t>Upside / Downside</t>
  </si>
  <si>
    <t>Key View</t>
  </si>
  <si>
    <t>Hold</t>
  </si>
  <si>
    <t>Europe weakness offsets strong deal pipeline</t>
  </si>
  <si>
    <t>JP Morgan</t>
  </si>
  <si>
    <t>Overweight</t>
  </si>
  <si>
    <t>AI-led transformation expected to improve growth</t>
  </si>
  <si>
    <t>Neutral</t>
  </si>
  <si>
    <t>Revenue recovery likely gradual in FY26</t>
  </si>
  <si>
    <t>Jefferies</t>
  </si>
  <si>
    <t>Underperform</t>
  </si>
  <si>
    <t>Weak discretionary spending may continue</t>
  </si>
  <si>
    <t>Buy</t>
  </si>
  <si>
    <t>Strong large deal wins support medium-term recovery</t>
  </si>
  <si>
    <t>CLSA</t>
  </si>
  <si>
    <t>Outperform</t>
  </si>
  <si>
    <t>Margin stability and AI demand remain positive</t>
  </si>
  <si>
    <t>Citi Research</t>
  </si>
  <si>
    <t>Europe remains key concern for FY26</t>
  </si>
  <si>
    <t>BFSI and Capco momentum remain strong</t>
  </si>
  <si>
    <t>Near-term growth visibility still weak</t>
  </si>
  <si>
    <t>BNP Paribas</t>
  </si>
  <si>
    <t>Revenue conversion from deals remains slow</t>
  </si>
  <si>
    <t>Motilal Oswal</t>
  </si>
  <si>
    <t>Improving pipeline may support H2 FY26 recovery</t>
  </si>
  <si>
    <t>ICICI Securities</t>
  </si>
  <si>
    <t>AI opportunities expected to improve execution</t>
  </si>
  <si>
    <t>Kotak Institutional</t>
  </si>
  <si>
    <t>Reduce</t>
  </si>
  <si>
    <t>Continued softness in Europe impacts outlook</t>
  </si>
  <si>
    <t>Axis Capital</t>
  </si>
  <si>
    <t>Strong deal TCV provides future revenue visibility</t>
  </si>
  <si>
    <t>Nuvama</t>
  </si>
  <si>
    <t>FY26 expected to remain transitional year</t>
  </si>
  <si>
    <t>HDFC Securities</t>
  </si>
  <si>
    <t>Stable margins and cost controls encouraging</t>
  </si>
  <si>
    <t>Emkay Global</t>
  </si>
  <si>
    <t>Large deal momentum remains healthy</t>
  </si>
  <si>
    <t>Phillip Capital</t>
  </si>
  <si>
    <t>Recovery may take longer than expected</t>
  </si>
  <si>
    <t>Mirae Asset</t>
  </si>
  <si>
    <t>AI-led digital transformation likely accelerates</t>
  </si>
  <si>
    <t>Antique Stock Broking</t>
  </si>
  <si>
    <t>Growth recovery dependent on Europe stabilization</t>
  </si>
  <si>
    <t>Sharekhan</t>
  </si>
  <si>
    <t>Operational efficiency supports margins</t>
  </si>
  <si>
    <t>Anand Rathi</t>
  </si>
  <si>
    <t>Accumulate</t>
  </si>
  <si>
    <t>Strong consulting and AI positioning positive</t>
  </si>
  <si>
    <t>Prabhudas Lilladher</t>
  </si>
  <si>
    <t>Weak Q1 guidance limits near-term optimism</t>
  </si>
  <si>
    <t>Yes Securities</t>
  </si>
  <si>
    <t>H2 FY26 recovery expected from large deal ramp-up</t>
  </si>
  <si>
    <t>Centrum Broking</t>
  </si>
  <si>
    <t>Clients remain cautious on discretionary spending</t>
  </si>
  <si>
    <t>Notes</t>
  </si>
  <si>
    <t>Europe Weakness</t>
  </si>
  <si>
    <t>AI Growth</t>
  </si>
  <si>
    <t>Slow Recovery</t>
  </si>
  <si>
    <t>Spending Weakness</t>
  </si>
  <si>
    <t>Deal Momentum</t>
  </si>
  <si>
    <t>Margin Stability</t>
  </si>
  <si>
    <t>Europe Pressure</t>
  </si>
  <si>
    <t>BFSI Strength</t>
  </si>
  <si>
    <t>Weak Visibility</t>
  </si>
  <si>
    <t>Slow Conversion</t>
  </si>
  <si>
    <t>Pipeline Strength</t>
  </si>
  <si>
    <t>AI Execution</t>
  </si>
  <si>
    <t>Europe Drag</t>
  </si>
  <si>
    <t>Strong TCV</t>
  </si>
  <si>
    <t>Transition Year</t>
  </si>
  <si>
    <t>Cost Control</t>
  </si>
  <si>
    <t>Deal Wins</t>
  </si>
  <si>
    <t>Digital Growth</t>
  </si>
  <si>
    <t>Europe Recovery</t>
  </si>
  <si>
    <t>Margin Support</t>
  </si>
  <si>
    <t>Consulting Growth</t>
  </si>
  <si>
    <t>Weak Guidance</t>
  </si>
  <si>
    <t>H2 Recovery</t>
  </si>
  <si>
    <t>Client Caution</t>
  </si>
  <si>
    <t>Sell</t>
  </si>
  <si>
    <t>Prabhudas Lilla.</t>
  </si>
  <si>
    <t>Antique Stock B.</t>
  </si>
  <si>
    <t>At first glance, there appears to be a noticeable difference between Wipro’s management commentary during the Q4 FY25 earnings concall and the recommendations provided by analysts and brokerages. During the concall, management adopted a cautious tone regarding the near-term business environment. The company highlighted macroeconomic uncertainty, tariff-related concerns, delayed discretionary spending, and slower decision-making by clients across industries. Wipro also guided for weak Q1 FY26 revenue growth in the range of -3.5% to -1.5% QoQ in constant currency terms, indicating that demand conditions remain challenging in the short term. Management further stated that sectors such as Consumer, Manufacturing, Automotive, and Europe continue to face pressure due to ongoing economic uncertainty and cautious enterprise spending.
Despite this cautious outlook, a majority of analysts maintained “Buy,” “Add,” or “Hold” recommendations rather than issuing outright “Sell” calls. This apparent contradiction can be explained by the difference between short-term operational performance and long-term investment expectations. While management commentary primarily focuses on current business visibility and near-term revenue trends, analysts generally evaluate companies based on medium- to long-term earnings potential, valuation attractiveness, competitive positioning, and future growth drivers.
One of the primary reasons behind positive analyst sentiment is Wipro’s strong large-deal momentum. The company reported 63 large deals during FY25 with a Total Contract Value (TCV) of approximately $5.4 billion, reflecting strong year-on-year growth. Although management clarified that revenue conversion from these large transformation deals may take time, analysts believe that these contracts provide strong visibility for future growth. Large deals typically ramp up gradually over several quarters, meaning their financial contribution is expected to become more visible during H2 FY26 and FY27. Therefore, analysts are focusing more on future revenue recovery rather than temporary weakness in the first half of FY26.
Another important factor supporting analyst confidence is Wipro’s increasing focus on Artificial Intelligence (AI) and consulting-led transformation services. Management repeatedly emphasized that AI has now become central to client discussions and deal opportunities. Analysts view this as a positive long-term structural trend because enterprises globally are expected to increase investments in AI-driven automation, cloud modernization, cybersecurity, and digital transformation over the next several years. Wipro’s strategy of positioning itself as a consulting-led, AI-powered technology company is therefore seen as a potential growth catalyst that could improve the company’s competitive positioning over time.
In addition, analysts remain encouraged by the relatively resilient performance of the BFSI segment and Capco business. BFSI continues to be one of Wipro’s most important verticals and remains relatively stable despite macroeconomic challenges. Capco also delivered strong growth and healthy order momentum during FY25, indicating that demand for consulting and financial transformation services remains intact. These segments are expected to partially offset weakness in more challenged verticals such as Consumer and Manufacturing.
Another major reason for the favorable analyst recommendations is valuation comfort. By March 2025, Wipro had already underperformed several peers over the previous few years due to weak revenue growth and execution challenges. As a result, the stock was trading at relatively lower valuation multiples compared to some competitors in the Indian IT sector. Many analysts therefore believe that a significant portion of the near-term weakness is already reflected in the stock price. This creates a situation where even moderate improvement in execution, Europe recovery, AI-led deal conversion, or margin stability could potentially lead to meaningful upside in earnings and stock valuation.
Furthermore, analysts may also be taking into account management’s confidence regarding gradual recovery in H2 FY26. Although the company acknowledged weakness in the near term, management repeatedly highlighted a strong deal pipeline, improving client engagement, leadership changes in Europe, and continued investments in strategic growth areas such as AI, consulting, and digital transformation. Analysts likely interpret these developments as early signs of stabilization rather than structural deterioration in the business model.
Overall, the difference between management commentary and analyst recommendations mainly reflects the difference between short-term operational caution and long-term investment expectations. While management is focused on navigating near-term macroeconomic challenges and weak discretionary spending, analysts are evaluating Wipro’s future growth potential, deal pipeline strength, AI opportunities, valuation attractiveness, and expected recovery in the second half of FY26 and beyond. Additionally, analysts may also be considering Wipro’s strong balance sheet, healthy cash reserves, and consistent margin management capabilities during uncertain market conditions. The company’s focus on operational efficiency, cost optimization, and productivity improvements provides additional confidence that profitability can remain stable even during periods of slower revenue growth, supporting long-term shareholder value creation.</t>
  </si>
  <si>
    <t>• Current price (246.30) is near the lower end of most valuation ranges, indicating a potential upside.
• DCF Base, Best, Worst value is (181.08) (203.72) (163.99) suggests the stock is trading above intrinsic value per share based on fundamental analysis.
• Analyst target (250.00) is slightly above the current price, indicating moderate positive sentiment.
• EV/EBITDA range is wide, showing sensitivity to earnings and market multiples.
• Overall, the stock appears fairly valued to slightly undervalued.</t>
  </si>
  <si>
    <t>Apart from WIPRO, TCS, Persistent Systems &amp; Tech Mahindra all the other peer companies are undervalued according to weightage method (Note : also one thing to consider is if we look at average p/e, ev/ebitda, ev/revenue we can observe that wipro remains undervalued in all the respective valuations, Where Persistent Systems seems to be overvalued in all the scenarios ) Also we notice that out of whole revenue of IT industry within india wipro consist 3.8% of that on average but it seems to be declining, Companies like TCS, Infosys, HCL Tech are the one's who shares most of the revenue from indian IT sector, Almost 20 to 23 percent of global IT revenue is coming from indian IT companies which means with new adaption of AI indian companies will certainly grow on global scale.</t>
  </si>
  <si>
    <t>SELL</t>
  </si>
  <si>
    <t>Final Conclusion</t>
  </si>
  <si>
    <t>Wipro’s overall business performance and long-term outlook indicate that the company is currently positioned in a transitional phase within the global IT services industry. Over the past five years, Wipro has experienced both periods of strong expansion and phases of slower growth due to changing global economic conditions, evolving enterprise technology spending patterns, and increasing competition within the IT sector. Despite short-term operational challenges, the company continues to maintain a strong market presence supported by its diversified service portfolio, global delivery capabilities, healthy balance sheet, and strategic investments in digital transformation technologies.
Historically, Wipro benefited significantly from the post-pandemic acceleration in global digital transformation spending. Businesses across industries increased investments in cloud computing, cybersecurity, analytics, automation, and remote infrastructure solutions, which supported strong revenue growth between FY21 and FY23. Revenue increased from approximately ₹64,625 crore in FY21 to above ₹93,000 crore in FY23 before stabilizing during FY24 and FY25 due to weaker discretionary spending and global macroeconomic uncertainty. Although revenue momentum slowed, the company demonstrated resilience by maintaining profitability and improving operational efficiency through cost optimization initiatives and better resource utilization.
The report highlights that Wipro derives strength from its diversified business structure and broad industry exposure. The company serves multiple sectors including banking and financial services, healthcare, manufacturing, retail, telecommunications, travel, public sector, and energy. This diversification reduces dependency on any single sector and provides stability during economic slowdowns affecting specific industries. Wipro’s operations across more than 60 countries and strong presence in major regions such as North America, Europe, Asia-Pacific, and the Middle East further strengthen its ability to generate long-term recurring business. The visual presence analysis in the report also demonstrates Wipro’s extensive operational footprint across India and globally, with major hubs in Bengaluru, Hyderabad, Chennai, Mumbai, Europe, and North America.
From a financial perspective, Wipro’s profitability ratios and operational metrics suggest that the company remains fundamentally stable despite revenue headwinds. EBITDA margins recovered to nearly 24.6% in FY25 after facing pressure in previous years, indicating that management’s focus on efficiency improvements, automation, and cost discipline has started delivering results. Net profit also improved during FY25, while return ratios such as ROE, ROIC, and ROA remained relatively healthy compared to industry standards. Liquidity ratios such as current ratio and quick ratio remained strong throughout the observed period, highlighting the company’s ability to comfortably manage short-term obligations and maintain financial flexibility.
One of the most important long-term growth drivers identified in the report is Artificial Intelligence and digital transformation demand. Wipro is increasingly positioning itself as a consulting-led, AI-powered technology company focused on cloud migration, automation, cybersecurity, data analytics, and infrastructure modernization. Management commentary from the Q4 FY25 concall suggests that AI has become central to almost every major client discussion and transformation engagement. This is highly significant because enterprises globally are expected to continue increasing investments in AI-driven productivity enhancement, predictive analytics, cybersecurity solutions, and automation over the coming decade. Wipro’s ability to participate in this structural technology shift could become one of the company’s key long-term competitive advantages.
However, the report also clearly identifies several short-term challenges and risks that continue to impact Wipro’s near-term growth outlook. Global macroeconomic uncertainty, tariff-related concerns, delayed client decision-making, and weaker discretionary spending remain major issues affecting enterprise technology budgets. Management specifically highlighted weakness in Europe, consumer-facing industries, manufacturing, automotive, and industrial sectors. Europe continues to remain one of the company’s weakest geographies due to slower transformation spending and project delays. Additionally, intense competition from larger IT companies such as TCS, Infosys, and HCL Technologies, along with fast-growing digital-focused firms like Persistent Systems, creates pricing pressure and execution challenges for Wipro.
The valuation analysis within the report presents mixed conclusions. On one side, Wipro appears undervalued compared to several peers when analyzed using valuation multiples such as P/E, EV/Revenue, and EV/EBITDA. The stock trades at relatively lower multiples than many competitors, reflecting weaker market sentiment and slower growth expectations. The Discounted Cash Flow (DCF) valuation within the report estimates an intrinsic value per share lower than the current market price, leading to a SELL recommendation with a target price of approximately ₹213.22 against the CMP of ₹246.30.
Despite this, analyst sentiment remains relatively balanced rather than extremely negative. Many brokerages continue maintaining Buy, Hold, or Neutral recommendations because they expect gradual recovery in the second half of FY26 and beyond. Analysts appear to focus more on Wipro’s long-term deal pipeline, strong large-deal wins, AI opportunities, consulting capabilities, and improving operational stability rather than only short-term revenue weakness. The company reported strong large-deal momentum with total contract value growth during FY25, which provides future revenue visibility even though conversion into actual revenue may take multiple quarters.
The report also emphasizes the broader macroeconomic environment affecting Wipro’s future growth trajectory. Since Wipro generates substantial revenue from both Indian and international markets, especially the United States and Europe, changes in GDP growth and enterprise spending trends significantly influence business performance. Forecasts for both India and the United States indicate slowing GDP growth rates compared to previous years, which may limit aggressive near-term expansion for the IT services industry. Nevertheless, long-term demand for cloud computing, cybersecurity, AI solutions, consulting services, and digital transformation remains structurally positive worldwide.
Overall, this equity research report concludes that Wipro remains a fundamentally strong and globally diversified IT services company with stable profitability, strong operational capabilities, and meaningful long-term growth opportunities in AI, cloud computing, consulting, and digital transformation. However, the company is currently facing a difficult transition period characterized by slower revenue growth, cautious client spending, weak discretionary demand, and competitive pressures within the global IT industry. While short-term growth visibility remains limited and FY26 may continue to be challenging, Wipro’s strong balance sheet, operational discipline, large-deal pipeline, and strategic focus on emerging technologies provide the foundation for gradual long-term recovery.
In conclusion, Wipro should currently be viewed as a stable but slower-growth IT company that is attempting to reposition itself toward higher-value digital and AI-driven services. The company’s long-term success will largely depend on its ability to improve execution quality, accelerate deal conversion, stabilize European operations, strengthen competitive positioning, and successfully capitalize on the global AI transformation cycle. If management successfully executes these strategic priorities, Wipro could gradually improve both financial performance and investor confidence over the coming years. However, until stronger and more consistent revenue growth becomes visible, investor sentiment may remain cautious despite the company’s strong long-term potential.</t>
  </si>
  <si>
    <t>Target : 213.22</t>
  </si>
  <si>
    <t>Prepared By : Sharwin Wagh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</si>
</sst>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_);\(#,##0\);&quot;--&quot;"/>
    <numFmt numFmtId="165" formatCode="0.0%"/>
    <numFmt numFmtId="166" formatCode="#,##0_);\(#,##0\);&quot;-&quot;"/>
    <numFmt numFmtId="167" formatCode="mm\-dd\-yyyy"/>
    <numFmt numFmtId="168" formatCode="#,##0.00_);\(#,##0.00\);&quot;--&quot;"/>
    <numFmt numFmtId="169" formatCode="0.000"/>
    <numFmt numFmtId="170" formatCode="0.00\x"/>
    <numFmt numFmtId="171" formatCode="dd\-mm\-yyyy"/>
    <numFmt numFmtId="172" formatCode="#,##0;\(#,##0\);&quot;--&quot;"/>
    <numFmt numFmtId="173" formatCode="#,##0_);\(#,##0\);&quot;--\&quot;"/>
  </numFmts>
  <fonts count="78" x14ac:knownFonts="1">
    <font>
      <sz val="11"/>
      <color theme="1"/>
      <name val="Calibri"/>
      <family val="2"/>
      <scheme val="minor"/>
    </font>
    <font>
      <sz val="12"/>
      <color theme="1"/>
      <name val="Arial"/>
      <family val="2"/>
    </font>
    <font>
      <sz val="11"/>
      <color rgb="FF22222F"/>
      <name val="Arial"/>
      <family val="2"/>
    </font>
    <font>
      <sz val="11"/>
      <color rgb="FF665EFD"/>
      <name val="Arial"/>
      <family val="2"/>
    </font>
    <font>
      <sz val="11"/>
      <color rgb="FF22222F"/>
      <name val="Arial"/>
      <family val="2"/>
    </font>
    <font>
      <i/>
      <sz val="11"/>
      <color rgb="FF7F7F7F"/>
      <name val="Calibri"/>
      <family val="2"/>
      <scheme val="minor"/>
    </font>
    <font>
      <b/>
      <sz val="12"/>
      <color theme="1"/>
      <name val="Arial"/>
      <family val="2"/>
    </font>
    <font>
      <sz val="20"/>
      <color theme="0"/>
      <name val="Arial"/>
      <family val="2"/>
    </font>
    <font>
      <b/>
      <u/>
      <sz val="16"/>
      <color theme="0"/>
      <name val="Arial"/>
      <family val="2"/>
    </font>
    <font>
      <b/>
      <sz val="22"/>
      <color theme="1"/>
      <name val="Arial"/>
      <family val="2"/>
    </font>
    <font>
      <b/>
      <sz val="16"/>
      <color theme="1"/>
      <name val="Arial"/>
      <family val="2"/>
    </font>
    <font>
      <i/>
      <sz val="12"/>
      <color theme="0" tint="-0.249977111117893"/>
      <name val="Arial"/>
      <family val="2"/>
    </font>
    <font>
      <b/>
      <i/>
      <sz val="12"/>
      <color theme="0" tint="-0.249977111117893"/>
      <name val="Arial"/>
      <family val="2"/>
    </font>
    <font>
      <b/>
      <i/>
      <sz val="12"/>
      <color theme="0" tint="-0.34998626667073579"/>
      <name val="Arial"/>
      <family val="2"/>
    </font>
    <font>
      <b/>
      <sz val="16"/>
      <color theme="0"/>
      <name val="Arial"/>
      <family val="2"/>
    </font>
    <font>
      <sz val="12"/>
      <color rgb="FF1F1F1F"/>
      <name val="Arial"/>
      <family val="2"/>
    </font>
    <font>
      <b/>
      <sz val="12"/>
      <color rgb="FF1F1F1F"/>
      <name val="Arial"/>
      <family val="2"/>
    </font>
    <font>
      <sz val="15"/>
      <color theme="1"/>
      <name val="Arial"/>
      <family val="2"/>
    </font>
    <font>
      <u/>
      <sz val="12"/>
      <color theme="1"/>
      <name val="Arial"/>
      <family val="2"/>
    </font>
    <font>
      <sz val="12"/>
      <color rgb="FF0070C0"/>
      <name val="Arial"/>
      <family val="2"/>
    </font>
    <font>
      <i/>
      <sz val="12"/>
      <color rgb="FF7F7F7F"/>
      <name val="Arial"/>
      <family val="2"/>
    </font>
    <font>
      <i/>
      <sz val="15"/>
      <color theme="1"/>
      <name val="Arial"/>
      <family val="2"/>
    </font>
    <font>
      <i/>
      <u/>
      <sz val="12"/>
      <color rgb="FF7F7F7F"/>
      <name val="Arial"/>
      <family val="2"/>
    </font>
    <font>
      <sz val="12"/>
      <color theme="0" tint="-0.249977111117893"/>
      <name val="Arial"/>
      <family val="2"/>
    </font>
    <font>
      <b/>
      <i/>
      <sz val="12"/>
      <color theme="1"/>
      <name val="Arial"/>
      <family val="2"/>
    </font>
    <font>
      <sz val="11"/>
      <color theme="1"/>
      <name val="Arial"/>
      <family val="2"/>
    </font>
    <font>
      <b/>
      <i/>
      <sz val="22"/>
      <color theme="0" tint="-0.249977111117893"/>
      <name val="Arial"/>
      <family val="2"/>
    </font>
    <font>
      <sz val="12"/>
      <color rgb="FF22222F"/>
      <name val="Arial"/>
      <family val="2"/>
    </font>
    <font>
      <b/>
      <sz val="20"/>
      <color theme="0"/>
      <name val="Arial"/>
      <family val="2"/>
    </font>
    <font>
      <vertAlign val="superscript"/>
      <sz val="12"/>
      <color theme="1"/>
      <name val="Arial"/>
      <family val="2"/>
    </font>
    <font>
      <b/>
      <vertAlign val="superscript"/>
      <sz val="12"/>
      <color theme="1"/>
      <name val="Arial"/>
      <family val="2"/>
    </font>
    <font>
      <i/>
      <sz val="12"/>
      <color theme="1"/>
      <name val="Arial"/>
      <family val="2"/>
    </font>
    <font>
      <i/>
      <sz val="11"/>
      <color theme="1"/>
      <name val="Calibri"/>
      <family val="2"/>
      <scheme val="minor"/>
    </font>
    <font>
      <sz val="12"/>
      <color theme="0"/>
      <name val="Arial"/>
      <family val="2"/>
    </font>
    <font>
      <b/>
      <sz val="12"/>
      <color theme="0"/>
      <name val="Arial"/>
      <family val="2"/>
    </font>
    <font>
      <sz val="11"/>
      <color rgb="FF006100"/>
      <name val="Calibri"/>
      <family val="2"/>
      <scheme val="minor"/>
    </font>
    <font>
      <sz val="18"/>
      <color theme="1"/>
      <name val="Arial"/>
      <family val="2"/>
    </font>
    <font>
      <b/>
      <i/>
      <sz val="12"/>
      <color rgb="FF006100"/>
      <name val="Arial"/>
      <family val="2"/>
    </font>
    <font>
      <sz val="11"/>
      <color rgb="FF9C5700"/>
      <name val="Calibri"/>
      <family val="2"/>
      <scheme val="minor"/>
    </font>
    <font>
      <sz val="8"/>
      <name val="Calibri"/>
      <family val="2"/>
      <scheme val="minor"/>
    </font>
    <font>
      <sz val="12"/>
      <color theme="5"/>
      <name val="Arial"/>
      <family val="2"/>
    </font>
    <font>
      <i/>
      <sz val="12"/>
      <color rgb="FF0070C0"/>
      <name val="Arial"/>
      <family val="2"/>
    </font>
    <font>
      <i/>
      <u/>
      <sz val="12"/>
      <color rgb="FF22222F"/>
      <name val="Arial"/>
      <family val="2"/>
    </font>
    <font>
      <b/>
      <sz val="12"/>
      <color rgb="FF22222F"/>
      <name val="Arial"/>
      <family val="2"/>
    </font>
    <font>
      <sz val="15"/>
      <name val="Arial"/>
      <family val="2"/>
    </font>
    <font>
      <sz val="50"/>
      <color theme="0"/>
      <name val="Bauhaus 93"/>
      <family val="5"/>
    </font>
    <font>
      <b/>
      <i/>
      <sz val="22"/>
      <color rgb="FF0070C0"/>
      <name val="Arial"/>
      <family val="2"/>
    </font>
    <font>
      <i/>
      <sz val="16"/>
      <color theme="1"/>
      <name val="Arial"/>
      <family val="2"/>
    </font>
    <font>
      <sz val="18"/>
      <color theme="3"/>
      <name val="Calibri Light"/>
      <family val="2"/>
      <scheme val="major"/>
    </font>
    <font>
      <b/>
      <sz val="11"/>
      <color theme="1"/>
      <name val="Calibri"/>
      <family val="2"/>
      <scheme val="minor"/>
    </font>
    <font>
      <i/>
      <sz val="30"/>
      <color theme="3"/>
      <name val="Calibri Light"/>
      <family val="2"/>
      <scheme val="major"/>
    </font>
    <font>
      <i/>
      <sz val="12"/>
      <color rgb="FF006100"/>
      <name val="Arial"/>
      <family val="2"/>
    </font>
    <font>
      <sz val="11"/>
      <color theme="1"/>
      <name val="Calibri"/>
      <family val="2"/>
      <scheme val="minor"/>
    </font>
    <font>
      <sz val="9"/>
      <color theme="1"/>
      <name val="Arial"/>
      <family val="2"/>
    </font>
    <font>
      <sz val="10"/>
      <color theme="1"/>
      <name val="Arial"/>
      <family val="2"/>
    </font>
    <font>
      <sz val="8"/>
      <color theme="1"/>
      <name val="Arial"/>
      <family val="2"/>
    </font>
    <font>
      <sz val="12"/>
      <color theme="0"/>
      <name val="Copperplate Gothic Light"/>
      <family val="2"/>
    </font>
    <font>
      <sz val="12"/>
      <color theme="1"/>
      <name val="Copperplate Gothic Light"/>
      <family val="2"/>
    </font>
    <font>
      <sz val="20"/>
      <color theme="1"/>
      <name val="Copperplate Gothic Light"/>
      <family val="2"/>
    </font>
    <font>
      <u/>
      <sz val="20"/>
      <color theme="1"/>
      <name val="Copperplate Gothic Light"/>
      <family val="2"/>
    </font>
    <font>
      <i/>
      <u/>
      <sz val="12"/>
      <color theme="1"/>
      <name val="Bodoni MT"/>
      <family val="1"/>
    </font>
    <font>
      <u/>
      <sz val="50"/>
      <color theme="1"/>
      <name val="Copperplate Gothic Bold"/>
      <family val="2"/>
    </font>
    <font>
      <b/>
      <u/>
      <sz val="12"/>
      <color theme="1"/>
      <name val="Copperplate Gothic Light"/>
      <family val="2"/>
    </font>
    <font>
      <sz val="15"/>
      <color theme="1"/>
      <name val="Copperplate Gothic Light"/>
      <family val="2"/>
    </font>
    <font>
      <sz val="11"/>
      <color rgb="FF9C0006"/>
      <name val="Calibri"/>
      <family val="2"/>
      <scheme val="minor"/>
    </font>
    <font>
      <sz val="12"/>
      <color rgb="FF9C0006"/>
      <name val="Copperplate Gothic Light"/>
      <family val="2"/>
    </font>
    <font>
      <sz val="12"/>
      <color rgb="FF006100"/>
      <name val="Copperplate Gothic Light"/>
      <family val="2"/>
    </font>
    <font>
      <sz val="12"/>
      <color theme="0" tint="-0.249977111117893"/>
      <name val="Copperplate Gothic Light"/>
      <family val="2"/>
    </font>
    <font>
      <sz val="12"/>
      <color theme="0" tint="-0.34998626667073579"/>
      <name val="Copperplate Gothic Light"/>
      <family val="2"/>
    </font>
    <font>
      <sz val="12"/>
      <color rgb="FF0070C0"/>
      <name val="Copperplate Gothic Light"/>
      <family val="2"/>
    </font>
    <font>
      <b/>
      <sz val="12"/>
      <color theme="1"/>
      <name val="Copperplate Gothic Light"/>
      <family val="2"/>
    </font>
    <font>
      <u/>
      <sz val="12"/>
      <color theme="1"/>
      <name val="Copperplate Gothic Light"/>
      <family val="2"/>
    </font>
    <font>
      <sz val="12"/>
      <color rgb="FF9C5700"/>
      <name val="Copperplate Gothic Light"/>
      <family val="2"/>
    </font>
    <font>
      <sz val="11"/>
      <color rgb="FF9C0006"/>
      <name val="Copperplate Gothic Light"/>
      <family val="2"/>
    </font>
    <font>
      <sz val="11"/>
      <color theme="1"/>
      <name val="Copperplate Gothic Light"/>
      <family val="2"/>
    </font>
    <font>
      <sz val="40"/>
      <color theme="1"/>
      <name val="Copperplate Gothic Light"/>
      <family val="2"/>
    </font>
    <font>
      <sz val="40"/>
      <color rgb="FF9C0006"/>
      <name val="Copperplate Gothic Light"/>
      <family val="2"/>
    </font>
    <font>
      <sz val="12"/>
      <color theme="0" tint="-4.9989318521683403E-2"/>
      <name val="Copperplate Gothic Light"/>
      <family val="2"/>
    </font>
  </fonts>
  <fills count="2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8F8FC"/>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theme="4" tint="0.79998168889431442"/>
        <bgColor theme="4" tint="0.79998168889431442"/>
      </patternFill>
    </fill>
    <fill>
      <patternFill patternType="solid">
        <fgColor theme="4"/>
        <bgColor theme="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FFFFCC"/>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C7CE"/>
      </patternFill>
    </fill>
    <fill>
      <patternFill patternType="solid">
        <fgColor theme="1" tint="0.499984740745262"/>
        <bgColor indexed="64"/>
      </patternFill>
    </fill>
    <fill>
      <patternFill patternType="solid">
        <fgColor theme="8" tint="0.79998168889431442"/>
        <bgColor indexed="64"/>
      </patternFill>
    </fill>
  </fills>
  <borders count="57">
    <border>
      <left/>
      <right/>
      <top/>
      <bottom/>
      <diagonal/>
    </border>
    <border>
      <left/>
      <right/>
      <top style="medium">
        <color rgb="FFDBE4F0"/>
      </top>
      <bottom/>
      <diagonal/>
    </border>
    <border>
      <left/>
      <right/>
      <top style="thin">
        <color theme="0" tint="-0.249977111117893"/>
      </top>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diagonal/>
    </border>
    <border>
      <left style="thin">
        <color theme="0" tint="-0.249977111117893"/>
      </left>
      <right style="thin">
        <color theme="0" tint="-0.249977111117893"/>
      </right>
      <top/>
      <bottom/>
      <diagonal/>
    </border>
    <border>
      <left style="thin">
        <color theme="0" tint="-0.249977111117893"/>
      </left>
      <right/>
      <top/>
      <bottom/>
      <diagonal/>
    </border>
    <border>
      <left/>
      <right/>
      <top/>
      <bottom style="thin">
        <color theme="0" tint="-0.249977111117893"/>
      </bottom>
      <diagonal/>
    </border>
    <border>
      <left/>
      <right/>
      <top/>
      <bottom style="medium">
        <color indexed="64"/>
      </bottom>
      <diagonal/>
    </border>
    <border>
      <left/>
      <right/>
      <top style="medium">
        <color indexed="64"/>
      </top>
      <bottom style="thin">
        <color indexed="64"/>
      </bottom>
      <diagonal/>
    </border>
    <border>
      <left/>
      <right/>
      <top style="thin">
        <color theme="0" tint="-0.249977111117893"/>
      </top>
      <bottom style="thin">
        <color theme="0" tint="-0.249977111117893"/>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
      <left style="thin">
        <color rgb="FFB2B2B2"/>
      </left>
      <right style="thin">
        <color rgb="FFB2B2B2"/>
      </right>
      <top style="thin">
        <color rgb="FFB2B2B2"/>
      </top>
      <bottom style="thin">
        <color rgb="FFB2B2B2"/>
      </bottom>
      <diagonal/>
    </border>
    <border>
      <left/>
      <right/>
      <top/>
      <bottom style="thin">
        <color theme="1"/>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style="thin">
        <color theme="1"/>
      </bottom>
      <diagonal/>
    </border>
    <border>
      <left/>
      <right style="thin">
        <color theme="1"/>
      </right>
      <top style="thin">
        <color theme="1"/>
      </top>
      <bottom/>
      <diagonal/>
    </border>
    <border>
      <left/>
      <right style="thin">
        <color theme="1"/>
      </right>
      <top/>
      <bottom/>
      <diagonal/>
    </border>
    <border>
      <left/>
      <right style="thin">
        <color theme="1"/>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style="thin">
        <color theme="1"/>
      </left>
      <right/>
      <top style="thin">
        <color theme="1"/>
      </top>
      <bottom/>
      <diagonal/>
    </border>
    <border>
      <left style="thin">
        <color theme="1"/>
      </left>
      <right/>
      <top/>
      <bottom/>
      <diagonal/>
    </border>
    <border>
      <left style="thin">
        <color theme="1"/>
      </left>
      <right/>
      <top/>
      <bottom style="thin">
        <color theme="1"/>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0" fontId="5" fillId="0" borderId="0" applyNumberFormat="0" applyFill="0" applyBorder="0" applyAlignment="0" applyProtection="0"/>
    <xf numFmtId="0" fontId="35" fillId="13" borderId="0" applyNumberFormat="0" applyBorder="0" applyAlignment="0" applyProtection="0"/>
    <xf numFmtId="0" fontId="38" fillId="14" borderId="0" applyNumberFormat="0" applyBorder="0" applyAlignment="0" applyProtection="0"/>
    <xf numFmtId="0" fontId="48" fillId="0" borderId="0" applyNumberFormat="0" applyFill="0" applyBorder="0" applyAlignment="0" applyProtection="0"/>
    <xf numFmtId="0" fontId="52" fillId="19" borderId="27" applyNumberFormat="0" applyFont="0" applyAlignment="0" applyProtection="0"/>
    <xf numFmtId="0" fontId="64" fillId="23" borderId="0" applyNumberFormat="0" applyBorder="0" applyAlignment="0" applyProtection="0"/>
  </cellStyleXfs>
  <cellXfs count="1164">
    <xf numFmtId="0" fontId="0" fillId="0" borderId="0" xfId="0"/>
    <xf numFmtId="0" fontId="1" fillId="2" borderId="0" xfId="0" applyFont="1" applyFill="1"/>
    <xf numFmtId="0" fontId="2" fillId="4" borderId="1" xfId="0" applyFont="1" applyFill="1" applyBorder="1" applyAlignment="1">
      <alignment horizontal="left" vertical="center" indent="2"/>
    </xf>
    <xf numFmtId="3" fontId="2" fillId="4" borderId="1" xfId="0" applyNumberFormat="1" applyFont="1" applyFill="1" applyBorder="1" applyAlignment="1">
      <alignment horizontal="right" vertical="center" wrapText="1"/>
    </xf>
    <xf numFmtId="0" fontId="4" fillId="4" borderId="0" xfId="0" applyFont="1" applyFill="1" applyAlignment="1">
      <alignment horizontal="left" vertical="center"/>
    </xf>
    <xf numFmtId="10" fontId="4" fillId="4" borderId="0" xfId="0" applyNumberFormat="1" applyFont="1" applyFill="1" applyAlignment="1">
      <alignment horizontal="right" vertical="center" wrapText="1"/>
    </xf>
    <xf numFmtId="0" fontId="4" fillId="4" borderId="0" xfId="0" applyFont="1" applyFill="1" applyAlignment="1">
      <alignment horizontal="right" vertical="center" wrapText="1"/>
    </xf>
    <xf numFmtId="0" fontId="2" fillId="3" borderId="1" xfId="0" applyFont="1" applyFill="1" applyBorder="1" applyAlignment="1">
      <alignment horizontal="left" vertical="center" indent="2"/>
    </xf>
    <xf numFmtId="3" fontId="2" fillId="3" borderId="1" xfId="0" applyNumberFormat="1" applyFont="1" applyFill="1" applyBorder="1" applyAlignment="1">
      <alignment horizontal="right" vertical="center" wrapText="1"/>
    </xf>
    <xf numFmtId="0" fontId="2" fillId="3" borderId="1" xfId="0" applyFont="1" applyFill="1" applyBorder="1" applyAlignment="1">
      <alignment horizontal="left" vertical="center"/>
    </xf>
    <xf numFmtId="9" fontId="2" fillId="3" borderId="1" xfId="0" applyNumberFormat="1" applyFont="1" applyFill="1" applyBorder="1" applyAlignment="1">
      <alignment horizontal="right" vertical="center" wrapText="1"/>
    </xf>
    <xf numFmtId="0" fontId="2" fillId="3" borderId="1" xfId="0" applyFont="1" applyFill="1" applyBorder="1" applyAlignment="1">
      <alignment horizontal="right" vertical="center" wrapText="1"/>
    </xf>
    <xf numFmtId="0" fontId="4" fillId="3" borderId="0" xfId="0" applyFont="1" applyFill="1" applyAlignment="1">
      <alignment horizontal="left" vertical="center"/>
    </xf>
    <xf numFmtId="0" fontId="4" fillId="3" borderId="0" xfId="0" applyFont="1" applyFill="1" applyAlignment="1">
      <alignment horizontal="right" vertical="center" wrapText="1"/>
    </xf>
    <xf numFmtId="9" fontId="4" fillId="3" borderId="0" xfId="0" applyNumberFormat="1" applyFont="1" applyFill="1" applyAlignment="1">
      <alignment horizontal="right" vertical="center" wrapText="1"/>
    </xf>
    <xf numFmtId="0" fontId="4" fillId="3" borderId="0" xfId="0" applyFont="1" applyFill="1" applyAlignment="1">
      <alignment horizontal="left" vertical="center" indent="2"/>
    </xf>
    <xf numFmtId="3" fontId="4" fillId="4" borderId="0" xfId="0" applyNumberFormat="1" applyFont="1" applyFill="1" applyAlignment="1">
      <alignment horizontal="right" vertical="center" wrapText="1"/>
    </xf>
    <xf numFmtId="3" fontId="4" fillId="3" borderId="0" xfId="0" applyNumberFormat="1" applyFont="1" applyFill="1" applyAlignment="1">
      <alignment horizontal="right" vertical="center" wrapText="1"/>
    </xf>
    <xf numFmtId="0" fontId="4" fillId="4" borderId="0" xfId="0" applyFont="1" applyFill="1" applyAlignment="1">
      <alignment horizontal="left" vertical="center" indent="2"/>
    </xf>
    <xf numFmtId="9" fontId="4" fillId="4" borderId="0" xfId="0" applyNumberFormat="1" applyFont="1" applyFill="1" applyAlignment="1">
      <alignment horizontal="right" vertical="center" wrapText="1"/>
    </xf>
    <xf numFmtId="3" fontId="2" fillId="3" borderId="0" xfId="0" applyNumberFormat="1" applyFont="1" applyFill="1" applyAlignment="1">
      <alignment horizontal="right" vertical="center" wrapText="1"/>
    </xf>
    <xf numFmtId="3" fontId="2" fillId="2" borderId="0" xfId="0" applyNumberFormat="1" applyFont="1" applyFill="1" applyAlignment="1">
      <alignment horizontal="right" vertical="center" wrapText="1"/>
    </xf>
    <xf numFmtId="0" fontId="4" fillId="2" borderId="0" xfId="0" applyFont="1" applyFill="1" applyAlignment="1">
      <alignment horizontal="right" vertical="center" wrapText="1"/>
    </xf>
    <xf numFmtId="0" fontId="2" fillId="2" borderId="0" xfId="0" applyFont="1" applyFill="1" applyAlignment="1">
      <alignment horizontal="right" vertical="center" wrapText="1"/>
    </xf>
    <xf numFmtId="9" fontId="4" fillId="2" borderId="0" xfId="0" applyNumberFormat="1" applyFont="1" applyFill="1" applyAlignment="1">
      <alignment horizontal="right" vertical="center" wrapText="1"/>
    </xf>
    <xf numFmtId="3" fontId="4" fillId="2" borderId="0" xfId="0" applyNumberFormat="1" applyFont="1" applyFill="1" applyAlignment="1">
      <alignment horizontal="right" vertical="center" wrapText="1"/>
    </xf>
    <xf numFmtId="0" fontId="2" fillId="4" borderId="1" xfId="0" applyFont="1" applyFill="1" applyBorder="1" applyAlignment="1">
      <alignment horizontal="right" vertical="center" wrapText="1"/>
    </xf>
    <xf numFmtId="0" fontId="2" fillId="3" borderId="0" xfId="0" applyFont="1" applyFill="1" applyAlignment="1">
      <alignment horizontal="left" vertical="center" indent="2"/>
    </xf>
    <xf numFmtId="0" fontId="1" fillId="5" borderId="0" xfId="0" applyFont="1" applyFill="1"/>
    <xf numFmtId="164" fontId="1" fillId="2" borderId="0" xfId="0" applyNumberFormat="1" applyFont="1" applyFill="1"/>
    <xf numFmtId="164" fontId="1" fillId="6" borderId="0" xfId="0" applyNumberFormat="1" applyFont="1" applyFill="1"/>
    <xf numFmtId="164" fontId="1" fillId="6" borderId="0" xfId="0" applyNumberFormat="1" applyFont="1" applyFill="1" applyAlignment="1">
      <alignment horizontal="right"/>
    </xf>
    <xf numFmtId="164" fontId="1" fillId="2" borderId="0" xfId="0" applyNumberFormat="1" applyFont="1" applyFill="1" applyAlignment="1">
      <alignment horizontal="right"/>
    </xf>
    <xf numFmtId="164" fontId="1" fillId="7" borderId="0" xfId="0" applyNumberFormat="1" applyFont="1" applyFill="1"/>
    <xf numFmtId="164" fontId="7" fillId="6" borderId="0" xfId="0" applyNumberFormat="1" applyFont="1" applyFill="1" applyAlignment="1">
      <alignment horizontal="center"/>
    </xf>
    <xf numFmtId="164" fontId="7" fillId="6" borderId="0" xfId="0" applyNumberFormat="1" applyFont="1" applyFill="1" applyAlignment="1">
      <alignment horizontal="right"/>
    </xf>
    <xf numFmtId="17" fontId="9" fillId="7" borderId="0" xfId="0" applyNumberFormat="1" applyFont="1" applyFill="1"/>
    <xf numFmtId="164" fontId="9" fillId="2" borderId="0" xfId="0" applyNumberFormat="1" applyFont="1" applyFill="1"/>
    <xf numFmtId="164" fontId="10" fillId="7" borderId="0" xfId="0" applyNumberFormat="1" applyFont="1" applyFill="1" applyAlignment="1">
      <alignment vertical="center"/>
    </xf>
    <xf numFmtId="164" fontId="1" fillId="2" borderId="4" xfId="0" applyNumberFormat="1" applyFont="1" applyFill="1" applyBorder="1"/>
    <xf numFmtId="164" fontId="1" fillId="2" borderId="7" xfId="0" applyNumberFormat="1" applyFont="1" applyFill="1" applyBorder="1"/>
    <xf numFmtId="164" fontId="11" fillId="2" borderId="0" xfId="0" applyNumberFormat="1" applyFont="1" applyFill="1"/>
    <xf numFmtId="164" fontId="11" fillId="2" borderId="8" xfId="0" applyNumberFormat="1" applyFont="1" applyFill="1" applyBorder="1"/>
    <xf numFmtId="164" fontId="1" fillId="2" borderId="8" xfId="0" applyNumberFormat="1" applyFont="1" applyFill="1" applyBorder="1"/>
    <xf numFmtId="164" fontId="1" fillId="2" borderId="3" xfId="0" applyNumberFormat="1" applyFont="1" applyFill="1" applyBorder="1"/>
    <xf numFmtId="164" fontId="1" fillId="2" borderId="9" xfId="0" applyNumberFormat="1" applyFont="1" applyFill="1" applyBorder="1"/>
    <xf numFmtId="164" fontId="1" fillId="2" borderId="10" xfId="0" applyNumberFormat="1" applyFont="1" applyFill="1" applyBorder="1"/>
    <xf numFmtId="164" fontId="1" fillId="2" borderId="6" xfId="0" applyNumberFormat="1" applyFont="1" applyFill="1" applyBorder="1"/>
    <xf numFmtId="164" fontId="4" fillId="3" borderId="0" xfId="0" applyNumberFormat="1" applyFont="1" applyFill="1" applyAlignment="1">
      <alignment horizontal="right" vertical="center" wrapText="1"/>
    </xf>
    <xf numFmtId="10" fontId="1" fillId="2" borderId="0" xfId="0" applyNumberFormat="1" applyFont="1" applyFill="1"/>
    <xf numFmtId="165" fontId="11" fillId="2" borderId="11" xfId="0" applyNumberFormat="1" applyFont="1" applyFill="1" applyBorder="1"/>
    <xf numFmtId="164" fontId="6" fillId="8" borderId="7" xfId="0" applyNumberFormat="1" applyFont="1" applyFill="1" applyBorder="1"/>
    <xf numFmtId="164" fontId="6" fillId="8" borderId="10" xfId="0" applyNumberFormat="1" applyFont="1" applyFill="1" applyBorder="1"/>
    <xf numFmtId="164" fontId="1" fillId="2" borderId="0" xfId="0" applyNumberFormat="1" applyFont="1" applyFill="1" applyAlignment="1">
      <alignment horizontal="center"/>
    </xf>
    <xf numFmtId="164" fontId="2" fillId="3" borderId="1" xfId="0" applyNumberFormat="1" applyFont="1" applyFill="1" applyBorder="1" applyAlignment="1">
      <alignment horizontal="right" vertical="center" wrapText="1"/>
    </xf>
    <xf numFmtId="164" fontId="6" fillId="8" borderId="4" xfId="0" applyNumberFormat="1" applyFont="1" applyFill="1" applyBorder="1"/>
    <xf numFmtId="0" fontId="15" fillId="2" borderId="10" xfId="0" applyFont="1" applyFill="1" applyBorder="1" applyAlignment="1">
      <alignment horizontal="center"/>
    </xf>
    <xf numFmtId="0" fontId="15" fillId="2" borderId="11" xfId="0" applyFont="1" applyFill="1" applyBorder="1" applyAlignment="1">
      <alignment horizontal="center"/>
    </xf>
    <xf numFmtId="164" fontId="1" fillId="2" borderId="11" xfId="0" applyNumberFormat="1" applyFont="1" applyFill="1" applyBorder="1" applyAlignment="1">
      <alignment horizontal="center"/>
    </xf>
    <xf numFmtId="0" fontId="15" fillId="2" borderId="6" xfId="0" applyFont="1" applyFill="1" applyBorder="1" applyAlignment="1">
      <alignment horizontal="center"/>
    </xf>
    <xf numFmtId="164" fontId="1" fillId="2" borderId="10" xfId="0" applyNumberFormat="1" applyFont="1" applyFill="1" applyBorder="1" applyAlignment="1">
      <alignment horizontal="center"/>
    </xf>
    <xf numFmtId="164" fontId="1" fillId="2" borderId="4" xfId="0" applyNumberFormat="1" applyFont="1" applyFill="1" applyBorder="1" applyAlignment="1">
      <alignment horizontal="right"/>
    </xf>
    <xf numFmtId="164" fontId="1" fillId="2" borderId="10" xfId="0" applyNumberFormat="1" applyFont="1" applyFill="1" applyBorder="1" applyAlignment="1">
      <alignment horizontal="right"/>
    </xf>
    <xf numFmtId="2" fontId="1" fillId="2" borderId="5" xfId="0" applyNumberFormat="1" applyFont="1" applyFill="1" applyBorder="1"/>
    <xf numFmtId="0" fontId="16" fillId="8" borderId="10" xfId="0" applyFont="1" applyFill="1" applyBorder="1" applyAlignment="1">
      <alignment horizontal="center"/>
    </xf>
    <xf numFmtId="164" fontId="6" fillId="8" borderId="11" xfId="0" applyNumberFormat="1" applyFont="1" applyFill="1" applyBorder="1" applyAlignment="1">
      <alignment horizontal="center"/>
    </xf>
    <xf numFmtId="164" fontId="14" fillId="6" borderId="0" xfId="0" applyNumberFormat="1" applyFont="1" applyFill="1" applyAlignment="1">
      <alignment vertical="center" wrapText="1"/>
    </xf>
    <xf numFmtId="17" fontId="9" fillId="2" borderId="0" xfId="0" applyNumberFormat="1" applyFont="1" applyFill="1"/>
    <xf numFmtId="17" fontId="9" fillId="7" borderId="0" xfId="0" applyNumberFormat="1" applyFont="1" applyFill="1" applyAlignment="1">
      <alignment horizontal="right"/>
    </xf>
    <xf numFmtId="165" fontId="1" fillId="2" borderId="0" xfId="0" applyNumberFormat="1" applyFont="1" applyFill="1"/>
    <xf numFmtId="164" fontId="11" fillId="2" borderId="14" xfId="0" applyNumberFormat="1" applyFont="1" applyFill="1" applyBorder="1"/>
    <xf numFmtId="165" fontId="11" fillId="2" borderId="12" xfId="0" applyNumberFormat="1" applyFont="1" applyFill="1" applyBorder="1"/>
    <xf numFmtId="164" fontId="6" fillId="2" borderId="0" xfId="0" applyNumberFormat="1" applyFont="1" applyFill="1" applyAlignment="1">
      <alignment vertical="center"/>
    </xf>
    <xf numFmtId="17" fontId="6" fillId="2" borderId="0" xfId="0" applyNumberFormat="1" applyFont="1" applyFill="1"/>
    <xf numFmtId="164" fontId="1" fillId="2" borderId="0" xfId="0" applyNumberFormat="1" applyFont="1" applyFill="1" applyAlignment="1">
      <alignment horizontal="right" vertical="center"/>
    </xf>
    <xf numFmtId="164" fontId="6" fillId="2" borderId="0" xfId="0" applyNumberFormat="1" applyFont="1" applyFill="1" applyAlignment="1">
      <alignment horizontal="right" vertical="center"/>
    </xf>
    <xf numFmtId="165" fontId="11" fillId="2" borderId="0" xfId="0" applyNumberFormat="1" applyFont="1" applyFill="1"/>
    <xf numFmtId="164" fontId="1" fillId="9" borderId="13" xfId="0" applyNumberFormat="1" applyFont="1" applyFill="1" applyBorder="1"/>
    <xf numFmtId="164" fontId="11" fillId="2" borderId="13" xfId="0" applyNumberFormat="1" applyFont="1" applyFill="1" applyBorder="1" applyAlignment="1">
      <alignment horizontal="right"/>
    </xf>
    <xf numFmtId="165" fontId="11" fillId="2" borderId="13" xfId="0" applyNumberFormat="1" applyFont="1" applyFill="1" applyBorder="1"/>
    <xf numFmtId="165" fontId="11" fillId="2" borderId="13" xfId="0" applyNumberFormat="1" applyFont="1" applyFill="1" applyBorder="1" applyAlignment="1">
      <alignment horizontal="right"/>
    </xf>
    <xf numFmtId="164" fontId="1" fillId="9" borderId="14" xfId="0" applyNumberFormat="1" applyFont="1" applyFill="1" applyBorder="1"/>
    <xf numFmtId="164" fontId="18" fillId="9" borderId="7" xfId="0" applyNumberFormat="1" applyFont="1" applyFill="1" applyBorder="1"/>
    <xf numFmtId="164" fontId="1" fillId="9" borderId="10" xfId="0" applyNumberFormat="1" applyFont="1" applyFill="1" applyBorder="1"/>
    <xf numFmtId="164" fontId="1" fillId="9" borderId="8" xfId="0" applyNumberFormat="1" applyFont="1" applyFill="1" applyBorder="1"/>
    <xf numFmtId="164" fontId="1" fillId="9" borderId="10"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165" fontId="1" fillId="9" borderId="11" xfId="0" applyNumberFormat="1" applyFont="1" applyFill="1" applyBorder="1" applyAlignment="1">
      <alignment horizontal="center" vertical="center"/>
    </xf>
    <xf numFmtId="164" fontId="1" fillId="2" borderId="0" xfId="0" applyNumberFormat="1" applyFont="1" applyFill="1" applyAlignment="1">
      <alignment horizontal="center" vertical="center"/>
    </xf>
    <xf numFmtId="164" fontId="11" fillId="2" borderId="13" xfId="0" applyNumberFormat="1" applyFont="1" applyFill="1" applyBorder="1" applyAlignment="1">
      <alignment horizontal="center"/>
    </xf>
    <xf numFmtId="164" fontId="11" fillId="2" borderId="11" xfId="0" applyNumberFormat="1" applyFont="1" applyFill="1" applyBorder="1" applyAlignment="1">
      <alignment horizontal="center"/>
    </xf>
    <xf numFmtId="165" fontId="19" fillId="9" borderId="13" xfId="0" applyNumberFormat="1" applyFont="1" applyFill="1" applyBorder="1"/>
    <xf numFmtId="165" fontId="19" fillId="9" borderId="11" xfId="0" applyNumberFormat="1" applyFont="1" applyFill="1" applyBorder="1"/>
    <xf numFmtId="164" fontId="19" fillId="2" borderId="0" xfId="0" applyNumberFormat="1" applyFont="1" applyFill="1"/>
    <xf numFmtId="164" fontId="19" fillId="9" borderId="10" xfId="0" applyNumberFormat="1" applyFont="1" applyFill="1" applyBorder="1"/>
    <xf numFmtId="164" fontId="19" fillId="9" borderId="13" xfId="0" applyNumberFormat="1" applyFont="1" applyFill="1" applyBorder="1"/>
    <xf numFmtId="164" fontId="20" fillId="2" borderId="0" xfId="1" applyNumberFormat="1" applyFont="1" applyFill="1" applyAlignment="1">
      <alignment horizontal="right"/>
    </xf>
    <xf numFmtId="164" fontId="18" fillId="9" borderId="10" xfId="0" applyNumberFormat="1" applyFont="1" applyFill="1" applyBorder="1"/>
    <xf numFmtId="164" fontId="18" fillId="9" borderId="13" xfId="0" applyNumberFormat="1" applyFont="1" applyFill="1" applyBorder="1"/>
    <xf numFmtId="164" fontId="1" fillId="2" borderId="13" xfId="0" applyNumberFormat="1" applyFont="1" applyFill="1" applyBorder="1" applyAlignment="1">
      <alignment horizontal="center"/>
    </xf>
    <xf numFmtId="165" fontId="19" fillId="9" borderId="13" xfId="0" applyNumberFormat="1" applyFont="1" applyFill="1" applyBorder="1" applyAlignment="1">
      <alignment horizontal="right"/>
    </xf>
    <xf numFmtId="164" fontId="1" fillId="2" borderId="14" xfId="0" applyNumberFormat="1" applyFont="1" applyFill="1" applyBorder="1"/>
    <xf numFmtId="164" fontId="11" fillId="2" borderId="13" xfId="0" applyNumberFormat="1" applyFont="1" applyFill="1" applyBorder="1"/>
    <xf numFmtId="164" fontId="1" fillId="2" borderId="13" xfId="0" applyNumberFormat="1" applyFont="1" applyFill="1" applyBorder="1"/>
    <xf numFmtId="164" fontId="1" fillId="2" borderId="11" xfId="0" applyNumberFormat="1" applyFont="1" applyFill="1" applyBorder="1"/>
    <xf numFmtId="164" fontId="23" fillId="2" borderId="13" xfId="0" applyNumberFormat="1" applyFont="1" applyFill="1" applyBorder="1" applyAlignment="1">
      <alignment horizontal="center"/>
    </xf>
    <xf numFmtId="164" fontId="23" fillId="2" borderId="11" xfId="0" applyNumberFormat="1" applyFont="1" applyFill="1" applyBorder="1" applyAlignment="1">
      <alignment horizontal="center"/>
    </xf>
    <xf numFmtId="165" fontId="19" fillId="2" borderId="13" xfId="0" applyNumberFormat="1" applyFont="1" applyFill="1" applyBorder="1"/>
    <xf numFmtId="165" fontId="19" fillId="9" borderId="11" xfId="0" applyNumberFormat="1" applyFont="1" applyFill="1" applyBorder="1" applyAlignment="1">
      <alignment horizontal="right"/>
    </xf>
    <xf numFmtId="164" fontId="19" fillId="2" borderId="13" xfId="0" applyNumberFormat="1" applyFont="1" applyFill="1" applyBorder="1"/>
    <xf numFmtId="164" fontId="19" fillId="2" borderId="11" xfId="0" applyNumberFormat="1" applyFont="1" applyFill="1" applyBorder="1"/>
    <xf numFmtId="164" fontId="1" fillId="2" borderId="6" xfId="0" applyNumberFormat="1" applyFont="1" applyFill="1" applyBorder="1" applyAlignment="1">
      <alignment horizontal="center"/>
    </xf>
    <xf numFmtId="2" fontId="1" fillId="2" borderId="11" xfId="0" applyNumberFormat="1" applyFont="1" applyFill="1" applyBorder="1"/>
    <xf numFmtId="166" fontId="1" fillId="2" borderId="0" xfId="0" applyNumberFormat="1" applyFont="1" applyFill="1"/>
    <xf numFmtId="166" fontId="6" fillId="2" borderId="0" xfId="0" applyNumberFormat="1" applyFont="1" applyFill="1"/>
    <xf numFmtId="166" fontId="1" fillId="2" borderId="10" xfId="0" applyNumberFormat="1" applyFont="1" applyFill="1" applyBorder="1"/>
    <xf numFmtId="166" fontId="20" fillId="2" borderId="0" xfId="1" applyNumberFormat="1" applyFont="1" applyFill="1"/>
    <xf numFmtId="0" fontId="2" fillId="4" borderId="0" xfId="0" applyFont="1" applyFill="1" applyAlignment="1">
      <alignment horizontal="left" vertical="center"/>
    </xf>
    <xf numFmtId="166" fontId="25" fillId="2" borderId="14" xfId="0" applyNumberFormat="1" applyFont="1" applyFill="1" applyBorder="1"/>
    <xf numFmtId="166" fontId="25" fillId="2" borderId="0" xfId="0" applyNumberFormat="1" applyFont="1" applyFill="1"/>
    <xf numFmtId="166" fontId="24" fillId="2" borderId="7" xfId="0" applyNumberFormat="1" applyFont="1" applyFill="1" applyBorder="1" applyAlignment="1">
      <alignment horizontal="left" vertical="center"/>
    </xf>
    <xf numFmtId="166" fontId="1" fillId="2" borderId="14" xfId="0" applyNumberFormat="1" applyFont="1" applyFill="1" applyBorder="1" applyAlignment="1">
      <alignment horizontal="left" vertical="center"/>
    </xf>
    <xf numFmtId="166" fontId="1" fillId="2" borderId="8" xfId="0" applyNumberFormat="1" applyFont="1" applyFill="1" applyBorder="1" applyAlignment="1">
      <alignment horizontal="left" vertical="center"/>
    </xf>
    <xf numFmtId="166" fontId="1" fillId="2" borderId="0" xfId="0" applyNumberFormat="1" applyFont="1" applyFill="1" applyAlignment="1">
      <alignment horizontal="left" vertical="center"/>
    </xf>
    <xf numFmtId="166" fontId="6" fillId="2" borderId="0" xfId="0" applyNumberFormat="1" applyFont="1" applyFill="1" applyAlignment="1">
      <alignment horizontal="left" vertical="center"/>
    </xf>
    <xf numFmtId="166" fontId="6" fillId="2" borderId="7" xfId="0" applyNumberFormat="1" applyFont="1" applyFill="1" applyBorder="1" applyAlignment="1">
      <alignment horizontal="left" vertical="center"/>
    </xf>
    <xf numFmtId="166" fontId="20" fillId="2" borderId="0" xfId="1" applyNumberFormat="1" applyFont="1" applyFill="1" applyAlignment="1">
      <alignment horizontal="left" vertical="center"/>
    </xf>
    <xf numFmtId="166" fontId="1" fillId="2" borderId="13" xfId="0" applyNumberFormat="1" applyFont="1" applyFill="1" applyBorder="1" applyAlignment="1">
      <alignment horizontal="right" vertical="center"/>
    </xf>
    <xf numFmtId="166" fontId="1" fillId="2" borderId="11" xfId="0" applyNumberFormat="1" applyFont="1" applyFill="1" applyBorder="1" applyAlignment="1">
      <alignment horizontal="right" vertical="center"/>
    </xf>
    <xf numFmtId="166" fontId="1" fillId="2" borderId="0" xfId="0" applyNumberFormat="1" applyFont="1" applyFill="1" applyAlignment="1">
      <alignment horizontal="right" vertical="center"/>
    </xf>
    <xf numFmtId="166" fontId="1" fillId="2" borderId="10" xfId="0" applyNumberFormat="1" applyFont="1" applyFill="1" applyBorder="1" applyAlignment="1">
      <alignment horizontal="right" vertical="center"/>
    </xf>
    <xf numFmtId="166" fontId="1" fillId="2" borderId="4" xfId="0" applyNumberFormat="1" applyFont="1" applyFill="1" applyBorder="1" applyAlignment="1">
      <alignment horizontal="right" vertical="center"/>
    </xf>
    <xf numFmtId="166" fontId="1" fillId="2" borderId="12" xfId="0" applyNumberFormat="1" applyFont="1" applyFill="1" applyBorder="1" applyAlignment="1">
      <alignment horizontal="right" vertical="center"/>
    </xf>
    <xf numFmtId="166" fontId="1" fillId="2" borderId="5" xfId="0" applyNumberFormat="1" applyFont="1" applyFill="1" applyBorder="1" applyAlignment="1">
      <alignment horizontal="right" vertical="center"/>
    </xf>
    <xf numFmtId="166" fontId="20" fillId="2" borderId="0" xfId="1" applyNumberFormat="1" applyFont="1" applyFill="1" applyAlignment="1">
      <alignment horizontal="right" vertical="center"/>
    </xf>
    <xf numFmtId="164" fontId="1" fillId="2" borderId="7" xfId="0" applyNumberFormat="1" applyFont="1" applyFill="1" applyBorder="1" applyAlignment="1">
      <alignment vertical="center"/>
    </xf>
    <xf numFmtId="164" fontId="1" fillId="2" borderId="10" xfId="0" applyNumberFormat="1" applyFont="1" applyFill="1" applyBorder="1" applyAlignment="1">
      <alignment horizontal="center" vertical="center"/>
    </xf>
    <xf numFmtId="164" fontId="1" fillId="2" borderId="10" xfId="0" applyNumberFormat="1" applyFont="1" applyFill="1" applyBorder="1" applyAlignment="1">
      <alignment horizontal="right" vertical="center"/>
    </xf>
    <xf numFmtId="164" fontId="1" fillId="2" borderId="14" xfId="0" applyNumberFormat="1" applyFont="1" applyFill="1" applyBorder="1" applyAlignment="1">
      <alignment vertical="center"/>
    </xf>
    <xf numFmtId="164" fontId="1" fillId="2" borderId="13" xfId="0" applyNumberFormat="1" applyFont="1" applyFill="1" applyBorder="1" applyAlignment="1">
      <alignment horizontal="center" vertical="center"/>
    </xf>
    <xf numFmtId="164" fontId="1" fillId="2" borderId="13" xfId="0" applyNumberFormat="1" applyFont="1" applyFill="1" applyBorder="1" applyAlignment="1">
      <alignment vertical="center"/>
    </xf>
    <xf numFmtId="164" fontId="1" fillId="2" borderId="8" xfId="0" applyNumberFormat="1" applyFont="1" applyFill="1" applyBorder="1" applyAlignment="1">
      <alignment vertical="center"/>
    </xf>
    <xf numFmtId="164" fontId="1" fillId="2" borderId="11" xfId="0" applyNumberFormat="1" applyFont="1" applyFill="1" applyBorder="1" applyAlignment="1">
      <alignment horizontal="center" vertical="center"/>
    </xf>
    <xf numFmtId="164" fontId="1" fillId="2" borderId="11" xfId="0" applyNumberFormat="1" applyFont="1" applyFill="1" applyBorder="1" applyAlignment="1">
      <alignment vertical="center"/>
    </xf>
    <xf numFmtId="164" fontId="1" fillId="2" borderId="0" xfId="0" applyNumberFormat="1" applyFont="1" applyFill="1" applyAlignment="1">
      <alignment vertical="center"/>
    </xf>
    <xf numFmtId="164" fontId="1" fillId="2" borderId="10" xfId="0" applyNumberFormat="1" applyFont="1" applyFill="1" applyBorder="1" applyAlignment="1">
      <alignment vertical="center"/>
    </xf>
    <xf numFmtId="165" fontId="1" fillId="2" borderId="13" xfId="0" applyNumberFormat="1" applyFont="1" applyFill="1" applyBorder="1" applyAlignment="1">
      <alignment vertical="center"/>
    </xf>
    <xf numFmtId="164" fontId="1" fillId="9" borderId="11" xfId="0" applyNumberFormat="1" applyFont="1" applyFill="1" applyBorder="1"/>
    <xf numFmtId="164" fontId="11" fillId="2" borderId="14" xfId="0" applyNumberFormat="1" applyFont="1" applyFill="1" applyBorder="1" applyAlignment="1">
      <alignment vertical="center"/>
    </xf>
    <xf numFmtId="165" fontId="11" fillId="2" borderId="13" xfId="0" applyNumberFormat="1" applyFont="1" applyFill="1" applyBorder="1" applyAlignment="1">
      <alignment vertical="center"/>
    </xf>
    <xf numFmtId="10" fontId="1" fillId="9" borderId="10" xfId="0" applyNumberFormat="1" applyFont="1" applyFill="1" applyBorder="1"/>
    <xf numFmtId="10" fontId="1" fillId="9" borderId="13" xfId="0" applyNumberFormat="1" applyFont="1" applyFill="1" applyBorder="1"/>
    <xf numFmtId="164" fontId="1" fillId="6" borderId="0" xfId="0" applyNumberFormat="1" applyFont="1" applyFill="1" applyAlignment="1">
      <alignment horizontal="center"/>
    </xf>
    <xf numFmtId="10" fontId="18" fillId="9" borderId="10" xfId="0" applyNumberFormat="1" applyFont="1" applyFill="1" applyBorder="1"/>
    <xf numFmtId="165" fontId="1" fillId="9" borderId="13" xfId="0" applyNumberFormat="1" applyFont="1" applyFill="1" applyBorder="1"/>
    <xf numFmtId="164" fontId="11" fillId="2" borderId="11" xfId="0" applyNumberFormat="1" applyFont="1" applyFill="1" applyBorder="1" applyAlignment="1">
      <alignment vertical="center"/>
    </xf>
    <xf numFmtId="165" fontId="11" fillId="2" borderId="11" xfId="0" applyNumberFormat="1" applyFont="1" applyFill="1" applyBorder="1" applyAlignment="1">
      <alignment vertical="center"/>
    </xf>
    <xf numFmtId="165" fontId="11" fillId="2" borderId="13" xfId="0" applyNumberFormat="1" applyFont="1" applyFill="1" applyBorder="1" applyAlignment="1">
      <alignment horizontal="right" vertical="center"/>
    </xf>
    <xf numFmtId="164" fontId="11" fillId="2" borderId="8" xfId="0" applyNumberFormat="1" applyFont="1" applyFill="1" applyBorder="1" applyAlignment="1">
      <alignment vertical="center"/>
    </xf>
    <xf numFmtId="164" fontId="1" fillId="9" borderId="0" xfId="0" applyNumberFormat="1" applyFont="1" applyFill="1"/>
    <xf numFmtId="164" fontId="1" fillId="2" borderId="2" xfId="0" applyNumberFormat="1" applyFont="1" applyFill="1" applyBorder="1"/>
    <xf numFmtId="164" fontId="1" fillId="2" borderId="15" xfId="0" applyNumberFormat="1" applyFont="1" applyFill="1" applyBorder="1"/>
    <xf numFmtId="164" fontId="1" fillId="2" borderId="5" xfId="0" applyNumberFormat="1" applyFont="1" applyFill="1" applyBorder="1"/>
    <xf numFmtId="10" fontId="1" fillId="9" borderId="0" xfId="0" applyNumberFormat="1" applyFont="1" applyFill="1"/>
    <xf numFmtId="164" fontId="6" fillId="2" borderId="7" xfId="0" applyNumberFormat="1" applyFont="1" applyFill="1" applyBorder="1"/>
    <xf numFmtId="164" fontId="6" fillId="2" borderId="14" xfId="0" applyNumberFormat="1" applyFont="1" applyFill="1" applyBorder="1"/>
    <xf numFmtId="0" fontId="27" fillId="2" borderId="14" xfId="0" applyFont="1" applyFill="1" applyBorder="1" applyAlignment="1">
      <alignment horizontal="left" vertical="center"/>
    </xf>
    <xf numFmtId="0" fontId="27" fillId="2" borderId="8" xfId="0" applyFont="1" applyFill="1" applyBorder="1" applyAlignment="1">
      <alignment horizontal="left" vertical="center"/>
    </xf>
    <xf numFmtId="0" fontId="27" fillId="3" borderId="14" xfId="0" applyFont="1" applyFill="1" applyBorder="1" applyAlignment="1">
      <alignment horizontal="left" vertical="center"/>
    </xf>
    <xf numFmtId="0" fontId="2" fillId="2" borderId="14" xfId="0" applyFont="1" applyFill="1" applyBorder="1" applyAlignment="1">
      <alignment horizontal="left" vertical="center"/>
    </xf>
    <xf numFmtId="0" fontId="2" fillId="2" borderId="8" xfId="0" applyFont="1" applyFill="1" applyBorder="1" applyAlignment="1">
      <alignment horizontal="left" vertical="center"/>
    </xf>
    <xf numFmtId="3" fontId="1" fillId="2" borderId="0" xfId="0" applyNumberFormat="1" applyFont="1" applyFill="1"/>
    <xf numFmtId="166" fontId="1" fillId="6" borderId="0" xfId="0" applyNumberFormat="1" applyFont="1" applyFill="1"/>
    <xf numFmtId="166" fontId="1" fillId="6" borderId="0" xfId="0" applyNumberFormat="1" applyFont="1" applyFill="1" applyAlignment="1">
      <alignment horizontal="right" vertical="center"/>
    </xf>
    <xf numFmtId="165" fontId="1" fillId="2" borderId="13" xfId="0" applyNumberFormat="1" applyFont="1" applyFill="1" applyBorder="1" applyAlignment="1">
      <alignment horizontal="right" vertical="center"/>
    </xf>
    <xf numFmtId="166" fontId="1" fillId="2" borderId="10" xfId="0" applyNumberFormat="1" applyFont="1" applyFill="1" applyBorder="1" applyAlignment="1">
      <alignment horizontal="center"/>
    </xf>
    <xf numFmtId="166" fontId="1" fillId="2" borderId="13" xfId="0" applyNumberFormat="1" applyFont="1" applyFill="1" applyBorder="1" applyAlignment="1">
      <alignment horizontal="center"/>
    </xf>
    <xf numFmtId="166" fontId="1" fillId="2" borderId="11" xfId="0" applyNumberFormat="1" applyFont="1" applyFill="1" applyBorder="1" applyAlignment="1">
      <alignment horizontal="center"/>
    </xf>
    <xf numFmtId="164" fontId="1" fillId="2" borderId="13" xfId="0" applyNumberFormat="1" applyFont="1" applyFill="1" applyBorder="1" applyAlignment="1">
      <alignment horizontal="right"/>
    </xf>
    <xf numFmtId="164" fontId="1" fillId="2" borderId="11" xfId="0" applyNumberFormat="1" applyFont="1" applyFill="1" applyBorder="1" applyAlignment="1">
      <alignment horizontal="right"/>
    </xf>
    <xf numFmtId="164" fontId="1" fillId="2" borderId="12" xfId="0" applyNumberFormat="1" applyFont="1" applyFill="1" applyBorder="1"/>
    <xf numFmtId="164" fontId="1" fillId="9" borderId="12" xfId="0" applyNumberFormat="1" applyFont="1" applyFill="1" applyBorder="1"/>
    <xf numFmtId="164" fontId="1" fillId="9" borderId="0" xfId="0" applyNumberFormat="1" applyFont="1" applyFill="1" applyAlignment="1">
      <alignment wrapText="1"/>
    </xf>
    <xf numFmtId="164" fontId="1" fillId="9" borderId="12" xfId="0" applyNumberFormat="1" applyFont="1" applyFill="1" applyBorder="1" applyAlignment="1">
      <alignment wrapText="1"/>
    </xf>
    <xf numFmtId="164" fontId="6" fillId="7" borderId="0" xfId="0" applyNumberFormat="1" applyFont="1" applyFill="1"/>
    <xf numFmtId="164" fontId="28" fillId="2" borderId="0" xfId="0" applyNumberFormat="1" applyFont="1" applyFill="1" applyAlignment="1">
      <alignment horizontal="right"/>
    </xf>
    <xf numFmtId="164" fontId="8" fillId="2" borderId="0" xfId="0" applyNumberFormat="1" applyFont="1" applyFill="1" applyAlignment="1">
      <alignment vertical="center"/>
    </xf>
    <xf numFmtId="164" fontId="1" fillId="2" borderId="5" xfId="0" applyNumberFormat="1" applyFont="1" applyFill="1" applyBorder="1" applyAlignment="1">
      <alignment horizontal="right"/>
    </xf>
    <xf numFmtId="164" fontId="1" fillId="2" borderId="12" xfId="0" applyNumberFormat="1" applyFont="1" applyFill="1" applyBorder="1" applyAlignment="1">
      <alignment horizontal="right"/>
    </xf>
    <xf numFmtId="164" fontId="6" fillId="2" borderId="10" xfId="0" applyNumberFormat="1" applyFont="1" applyFill="1" applyBorder="1"/>
    <xf numFmtId="164" fontId="6" fillId="2" borderId="15" xfId="0" applyNumberFormat="1" applyFont="1" applyFill="1" applyBorder="1"/>
    <xf numFmtId="164" fontId="6" fillId="2" borderId="11" xfId="0" applyNumberFormat="1" applyFont="1" applyFill="1" applyBorder="1"/>
    <xf numFmtId="164" fontId="6" fillId="2" borderId="5" xfId="0" applyNumberFormat="1" applyFont="1" applyFill="1" applyBorder="1" applyAlignment="1">
      <alignment horizontal="right"/>
    </xf>
    <xf numFmtId="164" fontId="6" fillId="2" borderId="11" xfId="0" applyNumberFormat="1" applyFont="1" applyFill="1" applyBorder="1" applyAlignment="1">
      <alignment horizontal="right"/>
    </xf>
    <xf numFmtId="164" fontId="6" fillId="2" borderId="11" xfId="0" applyNumberFormat="1" applyFont="1" applyFill="1" applyBorder="1" applyAlignment="1">
      <alignment horizontal="right" wrapText="1"/>
    </xf>
    <xf numFmtId="164" fontId="6" fillId="2" borderId="10" xfId="0" applyNumberFormat="1" applyFont="1" applyFill="1" applyBorder="1" applyAlignment="1">
      <alignment horizontal="right" wrapText="1"/>
    </xf>
    <xf numFmtId="164" fontId="6" fillId="2" borderId="10" xfId="0" applyNumberFormat="1" applyFont="1" applyFill="1" applyBorder="1" applyAlignment="1">
      <alignment horizontal="right"/>
    </xf>
    <xf numFmtId="164" fontId="6" fillId="2" borderId="4" xfId="0" applyNumberFormat="1" applyFont="1" applyFill="1" applyBorder="1" applyAlignment="1">
      <alignment horizontal="right"/>
    </xf>
    <xf numFmtId="164" fontId="6" fillId="2" borderId="12" xfId="0" applyNumberFormat="1" applyFont="1" applyFill="1" applyBorder="1" applyAlignment="1">
      <alignment horizontal="right"/>
    </xf>
    <xf numFmtId="164" fontId="6" fillId="2" borderId="13" xfId="0" applyNumberFormat="1" applyFont="1" applyFill="1" applyBorder="1" applyAlignment="1">
      <alignment horizontal="right"/>
    </xf>
    <xf numFmtId="2" fontId="1" fillId="9" borderId="10" xfId="0" applyNumberFormat="1" applyFont="1" applyFill="1" applyBorder="1"/>
    <xf numFmtId="2" fontId="1" fillId="9" borderId="13" xfId="0" applyNumberFormat="1" applyFont="1" applyFill="1" applyBorder="1"/>
    <xf numFmtId="2" fontId="1" fillId="9" borderId="11" xfId="0" applyNumberFormat="1" applyFont="1" applyFill="1" applyBorder="1"/>
    <xf numFmtId="2" fontId="1" fillId="2" borderId="10" xfId="0" applyNumberFormat="1" applyFont="1" applyFill="1" applyBorder="1"/>
    <xf numFmtId="0" fontId="6" fillId="2" borderId="0" xfId="0" applyFont="1" applyFill="1"/>
    <xf numFmtId="167" fontId="1" fillId="2" borderId="0" xfId="0" applyNumberFormat="1" applyFont="1" applyFill="1" applyAlignment="1">
      <alignment horizontal="left"/>
    </xf>
    <xf numFmtId="0" fontId="24" fillId="2" borderId="0" xfId="0" applyFont="1" applyFill="1"/>
    <xf numFmtId="0" fontId="24" fillId="2" borderId="0" xfId="0" applyFont="1" applyFill="1" applyAlignment="1">
      <alignment horizontal="right"/>
    </xf>
    <xf numFmtId="0" fontId="31" fillId="2" borderId="17" xfId="0" applyFont="1" applyFill="1" applyBorder="1" applyAlignment="1">
      <alignment horizontal="centerContinuous"/>
    </xf>
    <xf numFmtId="0" fontId="31" fillId="2" borderId="17" xfId="0" applyFont="1" applyFill="1" applyBorder="1" applyAlignment="1">
      <alignment horizontal="center"/>
    </xf>
    <xf numFmtId="164" fontId="19" fillId="2" borderId="10" xfId="0" applyNumberFormat="1" applyFont="1" applyFill="1" applyBorder="1"/>
    <xf numFmtId="164" fontId="19" fillId="2" borderId="4" xfId="0" applyNumberFormat="1" applyFont="1" applyFill="1" applyBorder="1"/>
    <xf numFmtId="164" fontId="19" fillId="2" borderId="12" xfId="0" applyNumberFormat="1" applyFont="1" applyFill="1" applyBorder="1"/>
    <xf numFmtId="164" fontId="19" fillId="2" borderId="5" xfId="0" applyNumberFormat="1" applyFont="1" applyFill="1" applyBorder="1"/>
    <xf numFmtId="168" fontId="1" fillId="9" borderId="10" xfId="0" applyNumberFormat="1" applyFont="1" applyFill="1" applyBorder="1"/>
    <xf numFmtId="168" fontId="1" fillId="9" borderId="13" xfId="0" applyNumberFormat="1" applyFont="1" applyFill="1" applyBorder="1"/>
    <xf numFmtId="168" fontId="1" fillId="9" borderId="11" xfId="0" applyNumberFormat="1" applyFont="1" applyFill="1" applyBorder="1"/>
    <xf numFmtId="168" fontId="1" fillId="9" borderId="14" xfId="0" applyNumberFormat="1" applyFont="1" applyFill="1" applyBorder="1"/>
    <xf numFmtId="168" fontId="1" fillId="9" borderId="8" xfId="0" applyNumberFormat="1" applyFont="1" applyFill="1" applyBorder="1"/>
    <xf numFmtId="168" fontId="1" fillId="9" borderId="7" xfId="0" applyNumberFormat="1" applyFont="1" applyFill="1" applyBorder="1"/>
    <xf numFmtId="165" fontId="1" fillId="2" borderId="5" xfId="0" applyNumberFormat="1" applyFont="1" applyFill="1" applyBorder="1"/>
    <xf numFmtId="167" fontId="1" fillId="2" borderId="10" xfId="0" applyNumberFormat="1" applyFont="1" applyFill="1" applyBorder="1" applyAlignment="1">
      <alignment horizontal="left"/>
    </xf>
    <xf numFmtId="167" fontId="1" fillId="2" borderId="13" xfId="0" applyNumberFormat="1" applyFont="1" applyFill="1" applyBorder="1" applyAlignment="1">
      <alignment horizontal="left"/>
    </xf>
    <xf numFmtId="167" fontId="1" fillId="2" borderId="11" xfId="0" applyNumberFormat="1" applyFont="1" applyFill="1" applyBorder="1" applyAlignment="1">
      <alignment horizontal="left"/>
    </xf>
    <xf numFmtId="4" fontId="1" fillId="2" borderId="10" xfId="0" applyNumberFormat="1" applyFont="1" applyFill="1" applyBorder="1"/>
    <xf numFmtId="4" fontId="1" fillId="2" borderId="13" xfId="0" applyNumberFormat="1" applyFont="1" applyFill="1" applyBorder="1"/>
    <xf numFmtId="4" fontId="1" fillId="2" borderId="11" xfId="0" applyNumberFormat="1" applyFont="1" applyFill="1" applyBorder="1"/>
    <xf numFmtId="0" fontId="1" fillId="2" borderId="5" xfId="0" applyFont="1" applyFill="1" applyBorder="1"/>
    <xf numFmtId="0" fontId="1" fillId="2" borderId="10" xfId="0" applyFont="1" applyFill="1" applyBorder="1"/>
    <xf numFmtId="0" fontId="1" fillId="2" borderId="13" xfId="0" applyFont="1" applyFill="1" applyBorder="1"/>
    <xf numFmtId="0" fontId="1" fillId="2" borderId="11" xfId="0" applyFont="1" applyFill="1" applyBorder="1"/>
    <xf numFmtId="2" fontId="1" fillId="2" borderId="4" xfId="0" applyNumberFormat="1" applyFont="1" applyFill="1" applyBorder="1"/>
    <xf numFmtId="0" fontId="1" fillId="2" borderId="7" xfId="0" applyFont="1" applyFill="1" applyBorder="1"/>
    <xf numFmtId="0" fontId="1" fillId="2" borderId="4" xfId="0" applyFont="1" applyFill="1" applyBorder="1"/>
    <xf numFmtId="167" fontId="1" fillId="6" borderId="0" xfId="0" applyNumberFormat="1" applyFont="1" applyFill="1" applyAlignment="1">
      <alignment horizontal="left"/>
    </xf>
    <xf numFmtId="0" fontId="1" fillId="6" borderId="0" xfId="0" applyFont="1" applyFill="1"/>
    <xf numFmtId="10" fontId="19" fillId="2" borderId="4" xfId="0" applyNumberFormat="1" applyFont="1" applyFill="1" applyBorder="1"/>
    <xf numFmtId="10" fontId="19" fillId="2" borderId="12" xfId="0" applyNumberFormat="1" applyFont="1" applyFill="1" applyBorder="1"/>
    <xf numFmtId="10" fontId="19" fillId="2" borderId="5" xfId="0" applyNumberFormat="1" applyFont="1" applyFill="1" applyBorder="1"/>
    <xf numFmtId="0" fontId="0" fillId="2" borderId="0" xfId="0" applyFill="1"/>
    <xf numFmtId="0" fontId="25" fillId="2" borderId="0" xfId="0" applyFont="1" applyFill="1"/>
    <xf numFmtId="2" fontId="1" fillId="2" borderId="0" xfId="0" applyNumberFormat="1" applyFont="1" applyFill="1"/>
    <xf numFmtId="9" fontId="1" fillId="2" borderId="0" xfId="0" applyNumberFormat="1" applyFont="1" applyFill="1"/>
    <xf numFmtId="0" fontId="24" fillId="5" borderId="0" xfId="0" applyFont="1" applyFill="1"/>
    <xf numFmtId="10" fontId="1" fillId="2" borderId="4" xfId="0" applyNumberFormat="1" applyFont="1" applyFill="1" applyBorder="1"/>
    <xf numFmtId="10" fontId="1" fillId="2" borderId="12" xfId="0" applyNumberFormat="1" applyFont="1" applyFill="1" applyBorder="1"/>
    <xf numFmtId="10" fontId="1" fillId="2" borderId="5" xfId="0" applyNumberFormat="1" applyFont="1" applyFill="1" applyBorder="1"/>
    <xf numFmtId="4" fontId="25" fillId="0" borderId="0" xfId="0" applyNumberFormat="1" applyFont="1"/>
    <xf numFmtId="0" fontId="25" fillId="0" borderId="0" xfId="0" applyFont="1"/>
    <xf numFmtId="0" fontId="25" fillId="5" borderId="0" xfId="0" applyFont="1" applyFill="1"/>
    <xf numFmtId="0" fontId="25" fillId="0" borderId="0" xfId="0" applyFont="1" applyAlignment="1">
      <alignment horizontal="left"/>
    </xf>
    <xf numFmtId="0" fontId="25" fillId="0" borderId="0" xfId="0" applyFont="1" applyAlignment="1">
      <alignment horizontal="right"/>
    </xf>
    <xf numFmtId="0" fontId="25" fillId="2" borderId="0" xfId="0" applyFont="1" applyFill="1" applyAlignment="1">
      <alignment horizontal="right"/>
    </xf>
    <xf numFmtId="167" fontId="25" fillId="0" borderId="0" xfId="0" applyNumberFormat="1" applyFont="1" applyAlignment="1">
      <alignment horizontal="left"/>
    </xf>
    <xf numFmtId="165" fontId="25" fillId="2" borderId="0" xfId="0" applyNumberFormat="1" applyFont="1" applyFill="1"/>
    <xf numFmtId="0" fontId="32" fillId="2" borderId="0" xfId="0" applyFont="1" applyFill="1" applyAlignment="1">
      <alignment horizontal="centerContinuous"/>
    </xf>
    <xf numFmtId="0" fontId="32" fillId="2" borderId="0" xfId="0" applyFont="1" applyFill="1" applyAlignment="1">
      <alignment horizontal="center"/>
    </xf>
    <xf numFmtId="0" fontId="1" fillId="2" borderId="16" xfId="0" applyFont="1" applyFill="1" applyBorder="1"/>
    <xf numFmtId="0" fontId="1" fillId="10" borderId="0" xfId="0" applyFont="1" applyFill="1"/>
    <xf numFmtId="0" fontId="1" fillId="8" borderId="16" xfId="0" applyFont="1" applyFill="1" applyBorder="1"/>
    <xf numFmtId="10" fontId="1" fillId="2" borderId="13" xfId="0" applyNumberFormat="1" applyFont="1" applyFill="1" applyBorder="1"/>
    <xf numFmtId="10" fontId="1" fillId="2" borderId="11" xfId="0" applyNumberFormat="1" applyFont="1" applyFill="1" applyBorder="1"/>
    <xf numFmtId="2" fontId="1" fillId="2" borderId="12" xfId="0" applyNumberFormat="1" applyFont="1" applyFill="1" applyBorder="1"/>
    <xf numFmtId="0" fontId="1" fillId="9" borderId="0" xfId="0" applyFont="1" applyFill="1"/>
    <xf numFmtId="0" fontId="1" fillId="2" borderId="8" xfId="0" applyFont="1" applyFill="1" applyBorder="1"/>
    <xf numFmtId="0" fontId="1" fillId="2" borderId="14" xfId="0" applyFont="1" applyFill="1" applyBorder="1"/>
    <xf numFmtId="10" fontId="19" fillId="2" borderId="11" xfId="0" applyNumberFormat="1" applyFont="1" applyFill="1" applyBorder="1"/>
    <xf numFmtId="10" fontId="1" fillId="2" borderId="10" xfId="0" applyNumberFormat="1" applyFont="1" applyFill="1" applyBorder="1"/>
    <xf numFmtId="0" fontId="24" fillId="8" borderId="0" xfId="0" applyFont="1" applyFill="1"/>
    <xf numFmtId="0" fontId="6" fillId="5" borderId="0" xfId="0" applyFont="1" applyFill="1"/>
    <xf numFmtId="10" fontId="6" fillId="5" borderId="0" xfId="0" applyNumberFormat="1" applyFont="1" applyFill="1"/>
    <xf numFmtId="164" fontId="6" fillId="2" borderId="0" xfId="0" applyNumberFormat="1" applyFont="1" applyFill="1"/>
    <xf numFmtId="0" fontId="1" fillId="2" borderId="0" xfId="0" applyFont="1" applyFill="1" applyAlignment="1">
      <alignment horizontal="center" vertical="center"/>
    </xf>
    <xf numFmtId="10" fontId="19" fillId="2" borderId="13" xfId="0" applyNumberFormat="1" applyFont="1" applyFill="1" applyBorder="1"/>
    <xf numFmtId="0" fontId="19" fillId="2" borderId="13" xfId="0" applyFont="1" applyFill="1" applyBorder="1"/>
    <xf numFmtId="169" fontId="1" fillId="2" borderId="11" xfId="0" applyNumberFormat="1" applyFont="1" applyFill="1" applyBorder="1"/>
    <xf numFmtId="10" fontId="6" fillId="2" borderId="4" xfId="0" applyNumberFormat="1" applyFont="1" applyFill="1" applyBorder="1"/>
    <xf numFmtId="10" fontId="6" fillId="2" borderId="13" xfId="0" applyNumberFormat="1" applyFont="1" applyFill="1" applyBorder="1" applyAlignment="1">
      <alignment horizontal="left"/>
    </xf>
    <xf numFmtId="10" fontId="6" fillId="2" borderId="11" xfId="0" applyNumberFormat="1" applyFont="1" applyFill="1" applyBorder="1" applyAlignment="1">
      <alignment horizontal="left"/>
    </xf>
    <xf numFmtId="10" fontId="6" fillId="2" borderId="10" xfId="0" applyNumberFormat="1" applyFont="1" applyFill="1" applyBorder="1"/>
    <xf numFmtId="164" fontId="24" fillId="8" borderId="13" xfId="0" applyNumberFormat="1" applyFont="1" applyFill="1" applyBorder="1"/>
    <xf numFmtId="164" fontId="33" fillId="2" borderId="0" xfId="0" applyNumberFormat="1" applyFont="1" applyFill="1"/>
    <xf numFmtId="10" fontId="6" fillId="2" borderId="0" xfId="0" applyNumberFormat="1" applyFont="1" applyFill="1"/>
    <xf numFmtId="0" fontId="17" fillId="2" borderId="0" xfId="0" applyFont="1" applyFill="1" applyAlignment="1">
      <alignment vertical="center"/>
    </xf>
    <xf numFmtId="164" fontId="34" fillId="2" borderId="10" xfId="0" applyNumberFormat="1" applyFont="1" applyFill="1" applyBorder="1" applyAlignment="1">
      <alignment horizontal="left"/>
    </xf>
    <xf numFmtId="164" fontId="31" fillId="2" borderId="13" xfId="0" applyNumberFormat="1" applyFont="1" applyFill="1" applyBorder="1"/>
    <xf numFmtId="2" fontId="34" fillId="2" borderId="10" xfId="0" applyNumberFormat="1" applyFont="1" applyFill="1" applyBorder="1" applyAlignment="1">
      <alignment horizontal="left"/>
    </xf>
    <xf numFmtId="2" fontId="1" fillId="2" borderId="13" xfId="0" applyNumberFormat="1" applyFont="1" applyFill="1" applyBorder="1"/>
    <xf numFmtId="10" fontId="19" fillId="9" borderId="13" xfId="0" applyNumberFormat="1" applyFont="1" applyFill="1" applyBorder="1"/>
    <xf numFmtId="2" fontId="24" fillId="8" borderId="13" xfId="0" applyNumberFormat="1" applyFont="1" applyFill="1" applyBorder="1"/>
    <xf numFmtId="0" fontId="24" fillId="10" borderId="0" xfId="0" applyFont="1" applyFill="1" applyAlignment="1">
      <alignment horizontal="center"/>
    </xf>
    <xf numFmtId="0" fontId="1" fillId="2" borderId="0" xfId="0" applyFont="1" applyFill="1" applyAlignment="1">
      <alignment horizontal="right"/>
    </xf>
    <xf numFmtId="0" fontId="1" fillId="2" borderId="12" xfId="0" applyFont="1" applyFill="1" applyBorder="1"/>
    <xf numFmtId="0" fontId="1" fillId="2" borderId="13" xfId="0" applyFont="1" applyFill="1" applyBorder="1" applyAlignment="1">
      <alignment horizontal="right"/>
    </xf>
    <xf numFmtId="0" fontId="1" fillId="2" borderId="11" xfId="0" applyFont="1" applyFill="1" applyBorder="1" applyAlignment="1">
      <alignment horizontal="right"/>
    </xf>
    <xf numFmtId="0" fontId="1" fillId="2" borderId="2" xfId="0" applyFont="1" applyFill="1" applyBorder="1"/>
    <xf numFmtId="0" fontId="1" fillId="2" borderId="15" xfId="0" applyFont="1" applyFill="1" applyBorder="1"/>
    <xf numFmtId="0" fontId="6" fillId="8" borderId="12" xfId="0" applyFont="1" applyFill="1" applyBorder="1"/>
    <xf numFmtId="0" fontId="6" fillId="8" borderId="13" xfId="0" applyFont="1" applyFill="1" applyBorder="1"/>
    <xf numFmtId="2" fontId="6" fillId="8" borderId="13" xfId="0" applyNumberFormat="1" applyFont="1" applyFill="1" applyBorder="1"/>
    <xf numFmtId="164" fontId="6" fillId="8" borderId="13" xfId="0" applyNumberFormat="1" applyFont="1" applyFill="1" applyBorder="1"/>
    <xf numFmtId="164" fontId="6" fillId="8" borderId="12" xfId="0" applyNumberFormat="1" applyFont="1" applyFill="1" applyBorder="1"/>
    <xf numFmtId="170" fontId="6" fillId="8" borderId="13" xfId="0" applyNumberFormat="1" applyFont="1" applyFill="1" applyBorder="1"/>
    <xf numFmtId="4" fontId="1" fillId="2" borderId="0" xfId="0" applyNumberFormat="1" applyFont="1" applyFill="1"/>
    <xf numFmtId="170" fontId="1" fillId="2" borderId="0" xfId="0" applyNumberFormat="1" applyFont="1" applyFill="1"/>
    <xf numFmtId="170" fontId="1" fillId="2" borderId="13" xfId="0" applyNumberFormat="1" applyFont="1" applyFill="1" applyBorder="1"/>
    <xf numFmtId="170" fontId="1" fillId="2" borderId="12" xfId="0" applyNumberFormat="1" applyFont="1" applyFill="1" applyBorder="1"/>
    <xf numFmtId="170" fontId="1" fillId="2" borderId="11" xfId="0" applyNumberFormat="1" applyFont="1" applyFill="1" applyBorder="1"/>
    <xf numFmtId="170" fontId="1" fillId="2" borderId="5" xfId="0" applyNumberFormat="1" applyFont="1" applyFill="1" applyBorder="1"/>
    <xf numFmtId="0" fontId="37" fillId="13" borderId="0" xfId="2" applyFont="1" applyAlignment="1">
      <alignment horizontal="right"/>
    </xf>
    <xf numFmtId="164" fontId="24" fillId="5" borderId="0" xfId="0" applyNumberFormat="1" applyFont="1" applyFill="1"/>
    <xf numFmtId="164" fontId="24" fillId="5" borderId="0" xfId="0" applyNumberFormat="1" applyFont="1" applyFill="1" applyAlignment="1">
      <alignment horizontal="center"/>
    </xf>
    <xf numFmtId="164" fontId="6" fillId="2" borderId="10" xfId="0" applyNumberFormat="1" applyFont="1" applyFill="1" applyBorder="1" applyAlignment="1">
      <alignment horizontal="left"/>
    </xf>
    <xf numFmtId="164" fontId="6" fillId="2" borderId="11" xfId="0" applyNumberFormat="1" applyFont="1" applyFill="1" applyBorder="1" applyAlignment="1">
      <alignment horizontal="left"/>
    </xf>
    <xf numFmtId="0" fontId="1" fillId="2" borderId="0" xfId="0" applyFont="1" applyFill="1" applyAlignment="1">
      <alignment horizontal="center"/>
    </xf>
    <xf numFmtId="164" fontId="8" fillId="6" borderId="0" xfId="0" applyNumberFormat="1" applyFont="1" applyFill="1" applyAlignment="1">
      <alignment vertical="center"/>
    </xf>
    <xf numFmtId="170" fontId="1" fillId="2" borderId="4" xfId="0" applyNumberFormat="1" applyFont="1" applyFill="1" applyBorder="1"/>
    <xf numFmtId="0" fontId="17" fillId="2" borderId="12" xfId="0" applyFont="1" applyFill="1" applyBorder="1" applyAlignment="1">
      <alignment vertical="center"/>
    </xf>
    <xf numFmtId="0" fontId="1" fillId="7" borderId="0" xfId="0" applyFont="1" applyFill="1"/>
    <xf numFmtId="0" fontId="1" fillId="6" borderId="0" xfId="0" applyFont="1" applyFill="1" applyAlignment="1">
      <alignment horizontal="center"/>
    </xf>
    <xf numFmtId="170" fontId="1" fillId="2" borderId="10" xfId="0" applyNumberFormat="1" applyFont="1" applyFill="1" applyBorder="1"/>
    <xf numFmtId="170" fontId="1" fillId="2" borderId="10" xfId="0" applyNumberFormat="1" applyFont="1" applyFill="1" applyBorder="1" applyAlignment="1">
      <alignment horizontal="center"/>
    </xf>
    <xf numFmtId="170" fontId="1" fillId="2" borderId="4" xfId="0" applyNumberFormat="1" applyFont="1" applyFill="1" applyBorder="1" applyAlignment="1">
      <alignment horizontal="center"/>
    </xf>
    <xf numFmtId="170" fontId="1" fillId="2" borderId="13" xfId="0" applyNumberFormat="1" applyFont="1" applyFill="1" applyBorder="1" applyAlignment="1">
      <alignment horizontal="center"/>
    </xf>
    <xf numFmtId="170" fontId="1" fillId="2" borderId="12" xfId="0" applyNumberFormat="1" applyFont="1" applyFill="1" applyBorder="1" applyAlignment="1">
      <alignment horizontal="center"/>
    </xf>
    <xf numFmtId="170" fontId="1" fillId="2" borderId="11" xfId="0" applyNumberFormat="1" applyFont="1" applyFill="1" applyBorder="1" applyAlignment="1">
      <alignment horizontal="center"/>
    </xf>
    <xf numFmtId="170" fontId="1" fillId="2" borderId="5" xfId="0" applyNumberFormat="1" applyFont="1" applyFill="1" applyBorder="1" applyAlignment="1">
      <alignment horizontal="center"/>
    </xf>
    <xf numFmtId="10" fontId="1" fillId="2" borderId="10" xfId="0" applyNumberFormat="1" applyFont="1" applyFill="1" applyBorder="1" applyAlignment="1">
      <alignment horizontal="center"/>
    </xf>
    <xf numFmtId="10" fontId="1" fillId="2" borderId="13" xfId="0" applyNumberFormat="1" applyFont="1" applyFill="1" applyBorder="1" applyAlignment="1">
      <alignment horizontal="center"/>
    </xf>
    <xf numFmtId="10" fontId="1" fillId="2" borderId="11" xfId="0" applyNumberFormat="1" applyFont="1" applyFill="1" applyBorder="1" applyAlignment="1">
      <alignment horizontal="center"/>
    </xf>
    <xf numFmtId="10" fontId="1" fillId="2" borderId="7" xfId="0" applyNumberFormat="1" applyFont="1" applyFill="1" applyBorder="1" applyAlignment="1">
      <alignment horizontal="center"/>
    </xf>
    <xf numFmtId="10" fontId="1" fillId="2" borderId="14" xfId="0" applyNumberFormat="1" applyFont="1" applyFill="1" applyBorder="1" applyAlignment="1">
      <alignment horizontal="center"/>
    </xf>
    <xf numFmtId="10" fontId="1" fillId="2" borderId="8" xfId="0" applyNumberFormat="1" applyFont="1" applyFill="1" applyBorder="1" applyAlignment="1">
      <alignment horizontal="center"/>
    </xf>
    <xf numFmtId="164" fontId="1" fillId="2" borderId="12" xfId="0" applyNumberFormat="1" applyFont="1" applyFill="1" applyBorder="1" applyAlignment="1">
      <alignment horizontal="center"/>
    </xf>
    <xf numFmtId="164" fontId="1" fillId="2" borderId="5" xfId="0" applyNumberFormat="1" applyFont="1" applyFill="1" applyBorder="1" applyAlignment="1">
      <alignment horizontal="center"/>
    </xf>
    <xf numFmtId="10" fontId="1" fillId="2" borderId="11" xfId="0" applyNumberFormat="1" applyFont="1" applyFill="1" applyBorder="1" applyAlignment="1">
      <alignment horizontal="right"/>
    </xf>
    <xf numFmtId="0" fontId="1" fillId="2" borderId="10" xfId="0" applyFont="1" applyFill="1" applyBorder="1" applyAlignment="1">
      <alignment horizontal="right"/>
    </xf>
    <xf numFmtId="0" fontId="1" fillId="2" borderId="0" xfId="0" applyFont="1" applyFill="1" applyAlignment="1">
      <alignment horizontal="left"/>
    </xf>
    <xf numFmtId="2" fontId="1" fillId="2" borderId="0" xfId="0" applyNumberFormat="1" applyFont="1" applyFill="1" applyAlignment="1">
      <alignment horizontal="right"/>
    </xf>
    <xf numFmtId="170" fontId="1" fillId="2" borderId="0" xfId="0" applyNumberFormat="1" applyFont="1" applyFill="1" applyAlignment="1">
      <alignment horizontal="right"/>
    </xf>
    <xf numFmtId="170" fontId="1" fillId="2" borderId="15" xfId="0" applyNumberFormat="1" applyFont="1" applyFill="1" applyBorder="1"/>
    <xf numFmtId="170" fontId="1" fillId="2" borderId="7" xfId="0" applyNumberFormat="1" applyFont="1" applyFill="1" applyBorder="1" applyAlignment="1">
      <alignment horizontal="center"/>
    </xf>
    <xf numFmtId="170" fontId="1" fillId="2" borderId="14" xfId="0" applyNumberFormat="1" applyFont="1" applyFill="1" applyBorder="1" applyAlignment="1">
      <alignment horizontal="center"/>
    </xf>
    <xf numFmtId="170" fontId="1" fillId="2" borderId="8" xfId="0" applyNumberFormat="1" applyFont="1" applyFill="1" applyBorder="1" applyAlignment="1">
      <alignment horizontal="center"/>
    </xf>
    <xf numFmtId="0" fontId="19" fillId="9" borderId="13" xfId="0" applyFont="1" applyFill="1" applyBorder="1"/>
    <xf numFmtId="0" fontId="19" fillId="9" borderId="11" xfId="0" applyFont="1" applyFill="1" applyBorder="1"/>
    <xf numFmtId="171" fontId="1" fillId="2" borderId="10" xfId="0" applyNumberFormat="1" applyFont="1" applyFill="1" applyBorder="1" applyAlignment="1">
      <alignment horizontal="left"/>
    </xf>
    <xf numFmtId="171" fontId="1" fillId="2" borderId="13" xfId="0" applyNumberFormat="1" applyFont="1" applyFill="1" applyBorder="1" applyAlignment="1">
      <alignment horizontal="left"/>
    </xf>
    <xf numFmtId="171" fontId="1" fillId="2" borderId="11" xfId="0" applyNumberFormat="1" applyFont="1" applyFill="1" applyBorder="1" applyAlignment="1">
      <alignment horizontal="left"/>
    </xf>
    <xf numFmtId="0" fontId="6" fillId="10" borderId="0" xfId="0" applyFont="1" applyFill="1"/>
    <xf numFmtId="0" fontId="6" fillId="10" borderId="0" xfId="0" applyFont="1" applyFill="1" applyAlignment="1">
      <alignment horizontal="right"/>
    </xf>
    <xf numFmtId="10" fontId="1" fillId="2" borderId="10" xfId="0" applyNumberFormat="1" applyFont="1" applyFill="1" applyBorder="1" applyAlignment="1">
      <alignment horizontal="left"/>
    </xf>
    <xf numFmtId="10" fontId="1" fillId="2" borderId="13" xfId="0" applyNumberFormat="1" applyFont="1" applyFill="1" applyBorder="1" applyAlignment="1">
      <alignment horizontal="left"/>
    </xf>
    <xf numFmtId="10" fontId="1" fillId="2" borderId="11" xfId="0" applyNumberFormat="1" applyFont="1" applyFill="1" applyBorder="1" applyAlignment="1">
      <alignment horizontal="left"/>
    </xf>
    <xf numFmtId="0" fontId="24" fillId="8" borderId="8" xfId="0" applyFont="1" applyFill="1" applyBorder="1"/>
    <xf numFmtId="0" fontId="24" fillId="8" borderId="15" xfId="0" applyFont="1" applyFill="1" applyBorder="1"/>
    <xf numFmtId="0" fontId="24" fillId="8" borderId="5" xfId="0" applyFont="1" applyFill="1" applyBorder="1"/>
    <xf numFmtId="2" fontId="24" fillId="8" borderId="5" xfId="0" applyNumberFormat="1" applyFont="1" applyFill="1" applyBorder="1"/>
    <xf numFmtId="0" fontId="6" fillId="2" borderId="0" xfId="0" applyFont="1" applyFill="1" applyAlignment="1">
      <alignment horizontal="center"/>
    </xf>
    <xf numFmtId="2" fontId="24" fillId="2" borderId="0" xfId="0" applyNumberFormat="1" applyFont="1" applyFill="1"/>
    <xf numFmtId="10" fontId="1" fillId="2" borderId="7" xfId="0" applyNumberFormat="1" applyFont="1" applyFill="1" applyBorder="1" applyAlignment="1">
      <alignment horizontal="right"/>
    </xf>
    <xf numFmtId="10" fontId="1" fillId="2" borderId="14" xfId="0" applyNumberFormat="1" applyFont="1" applyFill="1" applyBorder="1" applyAlignment="1">
      <alignment horizontal="right"/>
    </xf>
    <xf numFmtId="10" fontId="1" fillId="2" borderId="8" xfId="0" applyNumberFormat="1" applyFont="1" applyFill="1" applyBorder="1" applyAlignment="1">
      <alignment horizontal="right"/>
    </xf>
    <xf numFmtId="172" fontId="1" fillId="2" borderId="0" xfId="0" applyNumberFormat="1" applyFont="1" applyFill="1"/>
    <xf numFmtId="172" fontId="1" fillId="2" borderId="7" xfId="0" applyNumberFormat="1" applyFont="1" applyFill="1" applyBorder="1"/>
    <xf numFmtId="172" fontId="1" fillId="2" borderId="8" xfId="0" applyNumberFormat="1" applyFont="1" applyFill="1" applyBorder="1"/>
    <xf numFmtId="172" fontId="6" fillId="5" borderId="0" xfId="0" applyNumberFormat="1" applyFont="1" applyFill="1"/>
    <xf numFmtId="172" fontId="1" fillId="5" borderId="0" xfId="0" applyNumberFormat="1" applyFont="1" applyFill="1"/>
    <xf numFmtId="0" fontId="1" fillId="0" borderId="0" xfId="0" applyFont="1" applyAlignment="1">
      <alignment vertical="center" wrapText="1"/>
    </xf>
    <xf numFmtId="0" fontId="6" fillId="0" borderId="0" xfId="0" applyFont="1" applyAlignment="1">
      <alignment horizontal="right" vertical="center" wrapText="1"/>
    </xf>
    <xf numFmtId="0" fontId="1" fillId="0" borderId="0" xfId="0" applyFont="1" applyAlignment="1">
      <alignment horizontal="right" vertical="center" wrapText="1"/>
    </xf>
    <xf numFmtId="3" fontId="1" fillId="0" borderId="0" xfId="0" applyNumberFormat="1" applyFont="1" applyAlignment="1">
      <alignment horizontal="right" vertical="center" wrapText="1"/>
    </xf>
    <xf numFmtId="3" fontId="6" fillId="0" borderId="0" xfId="0" applyNumberFormat="1" applyFont="1" applyAlignment="1">
      <alignment horizontal="righ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6" fillId="0" borderId="0" xfId="0" applyFont="1" applyAlignment="1">
      <alignment horizontal="left" vertical="center" wrapText="1"/>
    </xf>
    <xf numFmtId="0" fontId="6" fillId="15" borderId="22" xfId="0" applyFont="1" applyFill="1" applyBorder="1" applyAlignment="1">
      <alignment horizontal="left" vertical="center" wrapText="1"/>
    </xf>
    <xf numFmtId="0" fontId="1" fillId="15" borderId="23" xfId="0" applyFont="1" applyFill="1" applyBorder="1" applyAlignment="1">
      <alignment horizontal="right" vertical="center" wrapText="1"/>
    </xf>
    <xf numFmtId="0" fontId="1" fillId="15" borderId="24" xfId="0" applyFont="1" applyFill="1" applyBorder="1" applyAlignment="1">
      <alignment horizontal="right" vertical="center" wrapText="1"/>
    </xf>
    <xf numFmtId="0" fontId="1" fillId="0" borderId="22" xfId="0" applyFont="1" applyBorder="1" applyAlignment="1">
      <alignment horizontal="left" vertical="center" wrapText="1"/>
    </xf>
    <xf numFmtId="3" fontId="1" fillId="0" borderId="23" xfId="0" applyNumberFormat="1" applyFont="1" applyBorder="1" applyAlignment="1">
      <alignment horizontal="right" vertical="center" wrapText="1"/>
    </xf>
    <xf numFmtId="3" fontId="1" fillId="0" borderId="24" xfId="0" applyNumberFormat="1" applyFont="1" applyBorder="1" applyAlignment="1">
      <alignment horizontal="right" vertical="center" wrapText="1"/>
    </xf>
    <xf numFmtId="0" fontId="1" fillId="15" borderId="22" xfId="0" applyFont="1" applyFill="1" applyBorder="1" applyAlignment="1">
      <alignment horizontal="left" vertical="center" wrapText="1"/>
    </xf>
    <xf numFmtId="3" fontId="1" fillId="15" borderId="23" xfId="0" applyNumberFormat="1" applyFont="1" applyFill="1" applyBorder="1" applyAlignment="1">
      <alignment horizontal="right" vertical="center" wrapText="1"/>
    </xf>
    <xf numFmtId="3" fontId="1" fillId="15" borderId="24" xfId="0" applyNumberFormat="1" applyFont="1" applyFill="1" applyBorder="1" applyAlignment="1">
      <alignment horizontal="right" vertical="center" wrapText="1"/>
    </xf>
    <xf numFmtId="0" fontId="1" fillId="0" borderId="23" xfId="0" applyFont="1" applyBorder="1" applyAlignment="1">
      <alignment horizontal="right" vertical="center" wrapText="1"/>
    </xf>
    <xf numFmtId="0" fontId="1" fillId="0" borderId="24" xfId="0" applyFont="1" applyBorder="1" applyAlignment="1">
      <alignment horizontal="right" vertical="center" wrapText="1"/>
    </xf>
    <xf numFmtId="0" fontId="6" fillId="0" borderId="22" xfId="0" applyFont="1" applyBorder="1" applyAlignment="1">
      <alignment horizontal="left" vertical="center" wrapText="1"/>
    </xf>
    <xf numFmtId="3" fontId="6" fillId="0" borderId="23" xfId="0" applyNumberFormat="1" applyFont="1" applyBorder="1" applyAlignment="1">
      <alignment horizontal="right" vertical="center" wrapText="1"/>
    </xf>
    <xf numFmtId="3" fontId="6" fillId="0" borderId="24" xfId="0" applyNumberFormat="1" applyFont="1" applyBorder="1" applyAlignment="1">
      <alignment horizontal="right" vertical="center" wrapText="1"/>
    </xf>
    <xf numFmtId="0" fontId="6" fillId="0" borderId="19" xfId="0" applyFont="1" applyBorder="1" applyAlignment="1">
      <alignment horizontal="left" vertical="center" wrapText="1"/>
    </xf>
    <xf numFmtId="3" fontId="6" fillId="0" borderId="20" xfId="0" applyNumberFormat="1" applyFont="1" applyBorder="1" applyAlignment="1">
      <alignment horizontal="right" vertical="center" wrapText="1"/>
    </xf>
    <xf numFmtId="3" fontId="6" fillId="0" borderId="21" xfId="0" applyNumberFormat="1" applyFont="1" applyBorder="1" applyAlignment="1">
      <alignment horizontal="right" vertical="center" wrapText="1"/>
    </xf>
    <xf numFmtId="0" fontId="34" fillId="16" borderId="25" xfId="0" applyFont="1" applyFill="1" applyBorder="1" applyAlignment="1">
      <alignment horizontal="left" vertical="center" wrapText="1"/>
    </xf>
    <xf numFmtId="0" fontId="34" fillId="16" borderId="0" xfId="0" applyFont="1" applyFill="1" applyAlignment="1">
      <alignment horizontal="center" vertical="center" wrapText="1"/>
    </xf>
    <xf numFmtId="0" fontId="34" fillId="16" borderId="26" xfId="0" applyFont="1" applyFill="1" applyBorder="1" applyAlignment="1">
      <alignment horizontal="center" vertical="center" wrapText="1"/>
    </xf>
    <xf numFmtId="164" fontId="13" fillId="2" borderId="0" xfId="0" applyNumberFormat="1" applyFont="1" applyFill="1"/>
    <xf numFmtId="0" fontId="16" fillId="2" borderId="0" xfId="0" applyFont="1" applyFill="1" applyAlignment="1">
      <alignment horizontal="center"/>
    </xf>
    <xf numFmtId="165" fontId="12" fillId="2" borderId="0" xfId="0" applyNumberFormat="1" applyFont="1" applyFill="1"/>
    <xf numFmtId="164" fontId="1" fillId="5" borderId="7" xfId="0" applyNumberFormat="1" applyFont="1" applyFill="1" applyBorder="1"/>
    <xf numFmtId="0" fontId="15" fillId="5" borderId="10" xfId="0" applyFont="1" applyFill="1" applyBorder="1" applyAlignment="1">
      <alignment horizontal="center"/>
    </xf>
    <xf numFmtId="164" fontId="1" fillId="5" borderId="4" xfId="0" applyNumberFormat="1" applyFont="1" applyFill="1" applyBorder="1"/>
    <xf numFmtId="164" fontId="1" fillId="5" borderId="10" xfId="0" applyNumberFormat="1" applyFont="1" applyFill="1" applyBorder="1"/>
    <xf numFmtId="164" fontId="1" fillId="5" borderId="14" xfId="0" applyNumberFormat="1" applyFont="1" applyFill="1" applyBorder="1"/>
    <xf numFmtId="0" fontId="15" fillId="5" borderId="13" xfId="0" applyFont="1" applyFill="1" applyBorder="1" applyAlignment="1">
      <alignment horizontal="center"/>
    </xf>
    <xf numFmtId="164" fontId="1" fillId="5" borderId="12" xfId="0" applyNumberFormat="1" applyFont="1" applyFill="1" applyBorder="1"/>
    <xf numFmtId="164" fontId="1" fillId="5" borderId="13" xfId="0" applyNumberFormat="1" applyFont="1" applyFill="1" applyBorder="1"/>
    <xf numFmtId="0" fontId="1" fillId="5" borderId="11" xfId="0" applyFont="1" applyFill="1" applyBorder="1" applyAlignment="1">
      <alignment horizontal="center"/>
    </xf>
    <xf numFmtId="164" fontId="24" fillId="5" borderId="6" xfId="0" applyNumberFormat="1" applyFont="1" applyFill="1" applyBorder="1"/>
    <xf numFmtId="164" fontId="24" fillId="5" borderId="9" xfId="0" applyNumberFormat="1" applyFont="1" applyFill="1" applyBorder="1"/>
    <xf numFmtId="0" fontId="6" fillId="5" borderId="6" xfId="0" applyFont="1" applyFill="1" applyBorder="1" applyAlignment="1">
      <alignment horizontal="center"/>
    </xf>
    <xf numFmtId="2" fontId="1" fillId="2" borderId="4" xfId="0" applyNumberFormat="1" applyFont="1" applyFill="1" applyBorder="1" applyAlignment="1">
      <alignment horizontal="right"/>
    </xf>
    <xf numFmtId="2" fontId="1" fillId="2" borderId="10" xfId="0" applyNumberFormat="1" applyFont="1" applyFill="1" applyBorder="1" applyAlignment="1">
      <alignment horizontal="right"/>
    </xf>
    <xf numFmtId="164" fontId="1" fillId="5" borderId="8" xfId="0" applyNumberFormat="1" applyFont="1" applyFill="1" applyBorder="1"/>
    <xf numFmtId="164" fontId="1" fillId="5" borderId="11" xfId="0" applyNumberFormat="1" applyFont="1" applyFill="1" applyBorder="1"/>
    <xf numFmtId="10" fontId="11" fillId="2" borderId="5" xfId="0" applyNumberFormat="1" applyFont="1" applyFill="1" applyBorder="1"/>
    <xf numFmtId="10" fontId="12" fillId="8" borderId="5" xfId="0" applyNumberFormat="1" applyFont="1" applyFill="1" applyBorder="1"/>
    <xf numFmtId="166" fontId="1" fillId="5" borderId="11" xfId="0" applyNumberFormat="1" applyFont="1" applyFill="1" applyBorder="1"/>
    <xf numFmtId="164" fontId="1" fillId="2" borderId="14" xfId="0" applyNumberFormat="1" applyFont="1" applyFill="1" applyBorder="1" applyAlignment="1">
      <alignment horizontal="center"/>
    </xf>
    <xf numFmtId="165" fontId="1" fillId="2" borderId="12" xfId="0" applyNumberFormat="1" applyFont="1" applyFill="1" applyBorder="1"/>
    <xf numFmtId="10" fontId="11" fillId="2" borderId="11" xfId="0" applyNumberFormat="1" applyFont="1" applyFill="1" applyBorder="1"/>
    <xf numFmtId="10" fontId="12" fillId="8" borderId="11" xfId="0" applyNumberFormat="1" applyFont="1" applyFill="1" applyBorder="1"/>
    <xf numFmtId="164" fontId="17" fillId="2" borderId="0" xfId="0" applyNumberFormat="1" applyFont="1" applyFill="1" applyAlignment="1">
      <alignment horizontal="left" vertical="center"/>
    </xf>
    <xf numFmtId="164" fontId="1" fillId="2" borderId="4" xfId="0" applyNumberFormat="1" applyFont="1" applyFill="1" applyBorder="1" applyAlignment="1">
      <alignment horizontal="right" vertical="center"/>
    </xf>
    <xf numFmtId="10" fontId="1" fillId="2" borderId="12" xfId="0" applyNumberFormat="1" applyFont="1" applyFill="1" applyBorder="1" applyAlignment="1">
      <alignment horizontal="right" vertical="center"/>
    </xf>
    <xf numFmtId="164" fontId="1" fillId="2" borderId="12" xfId="0" applyNumberFormat="1" applyFont="1" applyFill="1" applyBorder="1" applyAlignment="1">
      <alignment vertical="center"/>
    </xf>
    <xf numFmtId="164" fontId="1" fillId="2" borderId="7" xfId="0" applyNumberFormat="1" applyFont="1" applyFill="1" applyBorder="1" applyAlignment="1">
      <alignment horizontal="left" vertical="center"/>
    </xf>
    <xf numFmtId="164" fontId="1" fillId="2" borderId="14" xfId="0" applyNumberFormat="1" applyFont="1" applyFill="1" applyBorder="1" applyAlignment="1">
      <alignment horizontal="left" vertical="center"/>
    </xf>
    <xf numFmtId="10" fontId="1" fillId="2" borderId="13" xfId="0" applyNumberFormat="1" applyFont="1" applyFill="1" applyBorder="1" applyAlignment="1">
      <alignment horizontal="right" vertical="center"/>
    </xf>
    <xf numFmtId="164" fontId="1" fillId="2" borderId="4" xfId="0" applyNumberFormat="1" applyFont="1" applyFill="1" applyBorder="1" applyAlignment="1">
      <alignment vertical="center"/>
    </xf>
    <xf numFmtId="10" fontId="1" fillId="2" borderId="12" xfId="0" applyNumberFormat="1" applyFont="1" applyFill="1" applyBorder="1" applyAlignment="1">
      <alignment vertical="center"/>
    </xf>
    <xf numFmtId="10" fontId="1" fillId="2" borderId="13" xfId="0" applyNumberFormat="1" applyFont="1" applyFill="1" applyBorder="1" applyAlignment="1">
      <alignment vertical="center"/>
    </xf>
    <xf numFmtId="10" fontId="11" fillId="2" borderId="11" xfId="0" applyNumberFormat="1" applyFont="1" applyFill="1" applyBorder="1" applyAlignment="1">
      <alignment vertical="center"/>
    </xf>
    <xf numFmtId="10" fontId="19" fillId="9" borderId="11" xfId="0" applyNumberFormat="1" applyFont="1" applyFill="1" applyBorder="1"/>
    <xf numFmtId="164" fontId="19" fillId="2" borderId="13" xfId="0" applyNumberFormat="1" applyFont="1" applyFill="1" applyBorder="1" applyAlignment="1">
      <alignment vertical="center"/>
    </xf>
    <xf numFmtId="10" fontId="11" fillId="2" borderId="13" xfId="0" applyNumberFormat="1" applyFont="1" applyFill="1" applyBorder="1" applyAlignment="1">
      <alignment horizontal="right"/>
    </xf>
    <xf numFmtId="166" fontId="40" fillId="2" borderId="13" xfId="0" applyNumberFormat="1" applyFont="1" applyFill="1" applyBorder="1" applyAlignment="1">
      <alignment horizontal="right" vertical="center"/>
    </xf>
    <xf numFmtId="10" fontId="11" fillId="2" borderId="13" xfId="0" applyNumberFormat="1" applyFont="1" applyFill="1" applyBorder="1"/>
    <xf numFmtId="164" fontId="1" fillId="17" borderId="14" xfId="0" applyNumberFormat="1" applyFont="1" applyFill="1" applyBorder="1"/>
    <xf numFmtId="164" fontId="1" fillId="17" borderId="13" xfId="0" applyNumberFormat="1" applyFont="1" applyFill="1" applyBorder="1"/>
    <xf numFmtId="164" fontId="11" fillId="17" borderId="14" xfId="0" applyNumberFormat="1" applyFont="1" applyFill="1" applyBorder="1"/>
    <xf numFmtId="10" fontId="11" fillId="17" borderId="13" xfId="0" applyNumberFormat="1" applyFont="1" applyFill="1" applyBorder="1"/>
    <xf numFmtId="10" fontId="11" fillId="2" borderId="0" xfId="0" applyNumberFormat="1" applyFont="1" applyFill="1"/>
    <xf numFmtId="10" fontId="11" fillId="2" borderId="12" xfId="0" applyNumberFormat="1" applyFont="1" applyFill="1" applyBorder="1"/>
    <xf numFmtId="166" fontId="40" fillId="2" borderId="11" xfId="0" applyNumberFormat="1" applyFont="1" applyFill="1" applyBorder="1" applyAlignment="1">
      <alignment horizontal="right" vertical="center"/>
    </xf>
    <xf numFmtId="164" fontId="1" fillId="17" borderId="14" xfId="0" applyNumberFormat="1" applyFont="1" applyFill="1" applyBorder="1" applyAlignment="1">
      <alignment horizontal="left" vertical="center"/>
    </xf>
    <xf numFmtId="164" fontId="1" fillId="17" borderId="13" xfId="0" applyNumberFormat="1" applyFont="1" applyFill="1" applyBorder="1" applyAlignment="1">
      <alignment horizontal="center" vertical="center"/>
    </xf>
    <xf numFmtId="164" fontId="1" fillId="17" borderId="13" xfId="0" applyNumberFormat="1" applyFont="1" applyFill="1" applyBorder="1" applyAlignment="1">
      <alignment vertical="center"/>
    </xf>
    <xf numFmtId="164" fontId="11" fillId="17" borderId="14" xfId="0" applyNumberFormat="1" applyFont="1" applyFill="1" applyBorder="1" applyAlignment="1">
      <alignment horizontal="left" vertical="center"/>
    </xf>
    <xf numFmtId="164" fontId="11" fillId="17" borderId="13" xfId="0" applyNumberFormat="1" applyFont="1" applyFill="1" applyBorder="1" applyAlignment="1">
      <alignment horizontal="center" vertical="center"/>
    </xf>
    <xf numFmtId="10" fontId="11" fillId="17" borderId="13" xfId="0" applyNumberFormat="1" applyFont="1" applyFill="1" applyBorder="1" applyAlignment="1">
      <alignment vertical="center"/>
    </xf>
    <xf numFmtId="10" fontId="11" fillId="2" borderId="0" xfId="0" applyNumberFormat="1" applyFont="1" applyFill="1" applyAlignment="1">
      <alignment vertical="center"/>
    </xf>
    <xf numFmtId="164" fontId="11" fillId="2" borderId="14" xfId="0" applyNumberFormat="1" applyFont="1" applyFill="1" applyBorder="1" applyAlignment="1">
      <alignment horizontal="left" vertical="center"/>
    </xf>
    <xf numFmtId="164" fontId="11" fillId="2" borderId="13" xfId="0" applyNumberFormat="1" applyFont="1" applyFill="1" applyBorder="1" applyAlignment="1">
      <alignment horizontal="center" vertical="center"/>
    </xf>
    <xf numFmtId="10" fontId="11" fillId="2" borderId="13" xfId="0" applyNumberFormat="1" applyFont="1" applyFill="1" applyBorder="1" applyAlignment="1">
      <alignment vertical="center"/>
    </xf>
    <xf numFmtId="164" fontId="11" fillId="17" borderId="13" xfId="0" applyNumberFormat="1" applyFont="1" applyFill="1" applyBorder="1"/>
    <xf numFmtId="10" fontId="11" fillId="2" borderId="14" xfId="0" applyNumberFormat="1" applyFont="1" applyFill="1" applyBorder="1"/>
    <xf numFmtId="10" fontId="11" fillId="17" borderId="14" xfId="0" applyNumberFormat="1" applyFont="1" applyFill="1" applyBorder="1"/>
    <xf numFmtId="10" fontId="41" fillId="2" borderId="13" xfId="0" applyNumberFormat="1" applyFont="1" applyFill="1" applyBorder="1"/>
    <xf numFmtId="10" fontId="41" fillId="2" borderId="0" xfId="0" applyNumberFormat="1" applyFont="1" applyFill="1"/>
    <xf numFmtId="10" fontId="11" fillId="17" borderId="13" xfId="0" applyNumberFormat="1" applyFont="1" applyFill="1" applyBorder="1" applyAlignment="1">
      <alignment horizontal="right"/>
    </xf>
    <xf numFmtId="0" fontId="27" fillId="2" borderId="0" xfId="0" applyFont="1" applyFill="1" applyAlignment="1">
      <alignment horizontal="left" vertical="center"/>
    </xf>
    <xf numFmtId="164" fontId="1" fillId="9" borderId="0" xfId="0" applyNumberFormat="1" applyFont="1" applyFill="1" applyAlignment="1">
      <alignment horizontal="right"/>
    </xf>
    <xf numFmtId="164" fontId="1" fillId="2" borderId="2" xfId="0" applyNumberFormat="1" applyFont="1" applyFill="1" applyBorder="1" applyAlignment="1">
      <alignment horizontal="right"/>
    </xf>
    <xf numFmtId="164" fontId="9" fillId="2" borderId="12" xfId="0" applyNumberFormat="1" applyFont="1" applyFill="1" applyBorder="1"/>
    <xf numFmtId="166" fontId="1" fillId="8" borderId="0" xfId="0" applyNumberFormat="1" applyFont="1" applyFill="1" applyAlignment="1">
      <alignment horizontal="right" vertical="center"/>
    </xf>
    <xf numFmtId="164" fontId="1" fillId="11" borderId="8" xfId="0" applyNumberFormat="1" applyFont="1" applyFill="1" applyBorder="1"/>
    <xf numFmtId="164" fontId="11" fillId="8" borderId="8" xfId="0" applyNumberFormat="1" applyFont="1" applyFill="1" applyBorder="1"/>
    <xf numFmtId="0" fontId="1" fillId="2" borderId="0" xfId="0" applyFont="1" applyFill="1" applyAlignment="1">
      <alignment vertical="center"/>
    </xf>
    <xf numFmtId="2" fontId="1" fillId="2" borderId="0" xfId="0" applyNumberFormat="1" applyFont="1" applyFill="1" applyAlignment="1">
      <alignment vertical="center"/>
    </xf>
    <xf numFmtId="0" fontId="43" fillId="2" borderId="14" xfId="0" applyFont="1" applyFill="1" applyBorder="1" applyAlignment="1">
      <alignment horizontal="left" vertical="center"/>
    </xf>
    <xf numFmtId="0" fontId="27" fillId="2" borderId="13" xfId="0" applyFont="1" applyFill="1" applyBorder="1" applyAlignment="1">
      <alignment horizontal="left" vertical="center"/>
    </xf>
    <xf numFmtId="0" fontId="27" fillId="2" borderId="11" xfId="0" applyFont="1" applyFill="1" applyBorder="1" applyAlignment="1">
      <alignment horizontal="left" vertical="center"/>
    </xf>
    <xf numFmtId="0" fontId="43" fillId="2" borderId="7" xfId="0" applyFont="1" applyFill="1" applyBorder="1" applyAlignment="1">
      <alignment horizontal="left" vertical="center"/>
    </xf>
    <xf numFmtId="164" fontId="1" fillId="2" borderId="15" xfId="0" applyNumberFormat="1" applyFont="1" applyFill="1" applyBorder="1" applyAlignment="1">
      <alignment horizontal="right"/>
    </xf>
    <xf numFmtId="0" fontId="43" fillId="9" borderId="11" xfId="0" applyFont="1" applyFill="1" applyBorder="1" applyAlignment="1">
      <alignment horizontal="left" vertical="center"/>
    </xf>
    <xf numFmtId="0" fontId="42" fillId="18" borderId="7" xfId="0" applyFont="1" applyFill="1" applyBorder="1" applyAlignment="1">
      <alignment horizontal="left" vertical="center"/>
    </xf>
    <xf numFmtId="165" fontId="1" fillId="2" borderId="0" xfId="0" applyNumberFormat="1" applyFont="1" applyFill="1" applyAlignment="1">
      <alignment horizontal="right" vertical="center"/>
    </xf>
    <xf numFmtId="166" fontId="1" fillId="2" borderId="0" xfId="0" applyNumberFormat="1" applyFont="1" applyFill="1" applyAlignment="1">
      <alignment horizontal="center"/>
    </xf>
    <xf numFmtId="166" fontId="6" fillId="2" borderId="13" xfId="0" applyNumberFormat="1" applyFont="1" applyFill="1" applyBorder="1" applyAlignment="1">
      <alignment horizontal="center"/>
    </xf>
    <xf numFmtId="166" fontId="6" fillId="10" borderId="9" xfId="0" applyNumberFormat="1" applyFont="1" applyFill="1" applyBorder="1" applyAlignment="1">
      <alignment horizontal="left" vertical="center"/>
    </xf>
    <xf numFmtId="166" fontId="6" fillId="10" borderId="6" xfId="0" applyNumberFormat="1" applyFont="1" applyFill="1" applyBorder="1" applyAlignment="1">
      <alignment horizontal="center"/>
    </xf>
    <xf numFmtId="164" fontId="6" fillId="10" borderId="9" xfId="0" applyNumberFormat="1" applyFont="1" applyFill="1" applyBorder="1"/>
    <xf numFmtId="10" fontId="1" fillId="2" borderId="0" xfId="0" applyNumberFormat="1" applyFont="1" applyFill="1" applyAlignment="1">
      <alignment horizontal="right" vertical="center"/>
    </xf>
    <xf numFmtId="10" fontId="1" fillId="2" borderId="13" xfId="0" applyNumberFormat="1" applyFont="1" applyFill="1" applyBorder="1" applyAlignment="1">
      <alignment horizontal="right"/>
    </xf>
    <xf numFmtId="10" fontId="1" fillId="2" borderId="10" xfId="0" applyNumberFormat="1" applyFont="1" applyFill="1" applyBorder="1" applyAlignment="1">
      <alignment horizontal="right"/>
    </xf>
    <xf numFmtId="10" fontId="1" fillId="2" borderId="0" xfId="0" applyNumberFormat="1" applyFont="1" applyFill="1" applyAlignment="1">
      <alignment horizontal="right"/>
    </xf>
    <xf numFmtId="10" fontId="6" fillId="10" borderId="6" xfId="0" applyNumberFormat="1" applyFont="1" applyFill="1" applyBorder="1" applyAlignment="1">
      <alignment horizontal="right"/>
    </xf>
    <xf numFmtId="10" fontId="6" fillId="2" borderId="0" xfId="0" applyNumberFormat="1" applyFont="1" applyFill="1" applyAlignment="1">
      <alignment horizontal="right"/>
    </xf>
    <xf numFmtId="10" fontId="11" fillId="2" borderId="13" xfId="0" applyNumberFormat="1" applyFont="1" applyFill="1" applyBorder="1" applyAlignment="1">
      <alignment horizontal="right" vertical="center"/>
    </xf>
    <xf numFmtId="10" fontId="11" fillId="2" borderId="12" xfId="0" applyNumberFormat="1" applyFont="1" applyFill="1" applyBorder="1" applyAlignment="1">
      <alignment horizontal="right" vertical="center"/>
    </xf>
    <xf numFmtId="164" fontId="11" fillId="2" borderId="8" xfId="0" applyNumberFormat="1" applyFont="1" applyFill="1" applyBorder="1" applyAlignment="1">
      <alignment horizontal="left" vertical="center"/>
    </xf>
    <xf numFmtId="164" fontId="11" fillId="2" borderId="11" xfId="0" applyNumberFormat="1" applyFont="1" applyFill="1" applyBorder="1" applyAlignment="1">
      <alignment horizontal="center" vertical="center"/>
    </xf>
    <xf numFmtId="10" fontId="11" fillId="2" borderId="5" xfId="0" applyNumberFormat="1" applyFont="1" applyFill="1" applyBorder="1" applyAlignment="1">
      <alignment vertical="center"/>
    </xf>
    <xf numFmtId="164" fontId="11" fillId="2" borderId="11" xfId="0" applyNumberFormat="1" applyFont="1" applyFill="1" applyBorder="1"/>
    <xf numFmtId="164" fontId="11" fillId="2" borderId="11" xfId="0" applyNumberFormat="1" applyFont="1" applyFill="1" applyBorder="1" applyAlignment="1">
      <alignment horizontal="right"/>
    </xf>
    <xf numFmtId="10" fontId="11" fillId="2" borderId="11" xfId="0" applyNumberFormat="1" applyFont="1" applyFill="1" applyBorder="1" applyAlignment="1">
      <alignment horizontal="right"/>
    </xf>
    <xf numFmtId="164" fontId="6" fillId="12" borderId="9" xfId="0" applyNumberFormat="1" applyFont="1" applyFill="1" applyBorder="1" applyAlignment="1">
      <alignment vertical="center"/>
    </xf>
    <xf numFmtId="164" fontId="6" fillId="12" borderId="6" xfId="0" applyNumberFormat="1" applyFont="1" applyFill="1" applyBorder="1" applyAlignment="1">
      <alignment vertical="center"/>
    </xf>
    <xf numFmtId="164" fontId="6" fillId="10" borderId="6" xfId="0" applyNumberFormat="1" applyFont="1" applyFill="1" applyBorder="1"/>
    <xf numFmtId="17" fontId="9" fillId="2" borderId="12" xfId="0" applyNumberFormat="1" applyFont="1" applyFill="1" applyBorder="1"/>
    <xf numFmtId="17" fontId="26" fillId="2" borderId="12" xfId="0" applyNumberFormat="1" applyFont="1" applyFill="1" applyBorder="1"/>
    <xf numFmtId="164" fontId="11" fillId="2" borderId="12" xfId="0" applyNumberFormat="1" applyFont="1" applyFill="1" applyBorder="1"/>
    <xf numFmtId="17" fontId="9" fillId="2" borderId="0" xfId="0" applyNumberFormat="1" applyFont="1" applyFill="1" applyAlignment="1">
      <alignment horizontal="right"/>
    </xf>
    <xf numFmtId="164" fontId="6" fillId="2" borderId="12" xfId="0" applyNumberFormat="1" applyFont="1" applyFill="1" applyBorder="1" applyAlignment="1">
      <alignment horizontal="right" vertical="center"/>
    </xf>
    <xf numFmtId="10" fontId="26" fillId="2" borderId="12" xfId="0" applyNumberFormat="1" applyFont="1" applyFill="1" applyBorder="1"/>
    <xf numFmtId="10" fontId="41" fillId="2" borderId="12" xfId="0" applyNumberFormat="1" applyFont="1" applyFill="1" applyBorder="1"/>
    <xf numFmtId="164" fontId="6" fillId="2" borderId="12" xfId="0" applyNumberFormat="1" applyFont="1" applyFill="1" applyBorder="1"/>
    <xf numFmtId="164" fontId="6" fillId="10" borderId="9" xfId="0" applyNumberFormat="1" applyFont="1" applyFill="1" applyBorder="1" applyAlignment="1">
      <alignment vertical="center"/>
    </xf>
    <xf numFmtId="164" fontId="6" fillId="10" borderId="6" xfId="0" applyNumberFormat="1" applyFont="1" applyFill="1" applyBorder="1" applyAlignment="1">
      <alignment horizontal="center" vertical="center"/>
    </xf>
    <xf numFmtId="164" fontId="6" fillId="10" borderId="6" xfId="0" applyNumberFormat="1" applyFont="1" applyFill="1" applyBorder="1" applyAlignment="1">
      <alignment vertical="center"/>
    </xf>
    <xf numFmtId="164" fontId="6" fillId="12" borderId="6" xfId="0" applyNumberFormat="1" applyFont="1" applyFill="1" applyBorder="1" applyAlignment="1">
      <alignment horizontal="center" vertical="center"/>
    </xf>
    <xf numFmtId="164" fontId="1" fillId="2" borderId="14" xfId="0" applyNumberFormat="1" applyFont="1" applyFill="1" applyBorder="1" applyAlignment="1">
      <alignment horizontal="center" vertical="center"/>
    </xf>
    <xf numFmtId="164" fontId="1" fillId="9" borderId="13" xfId="0" applyNumberFormat="1" applyFont="1" applyFill="1" applyBorder="1" applyAlignment="1">
      <alignment horizontal="center"/>
    </xf>
    <xf numFmtId="164" fontId="1" fillId="9" borderId="11" xfId="0" applyNumberFormat="1" applyFont="1" applyFill="1" applyBorder="1" applyAlignment="1">
      <alignment horizontal="center"/>
    </xf>
    <xf numFmtId="164" fontId="1" fillId="9" borderId="10" xfId="0" applyNumberFormat="1" applyFont="1" applyFill="1" applyBorder="1" applyAlignment="1">
      <alignment horizontal="center"/>
    </xf>
    <xf numFmtId="10" fontId="41" fillId="2" borderId="11" xfId="0" applyNumberFormat="1" applyFont="1" applyFill="1" applyBorder="1"/>
    <xf numFmtId="10" fontId="41" fillId="17" borderId="13" xfId="0" applyNumberFormat="1" applyFont="1" applyFill="1" applyBorder="1"/>
    <xf numFmtId="10" fontId="41" fillId="17" borderId="13" xfId="0" applyNumberFormat="1" applyFont="1" applyFill="1" applyBorder="1" applyAlignment="1">
      <alignment horizontal="right"/>
    </xf>
    <xf numFmtId="10" fontId="41" fillId="17" borderId="12" xfId="0" applyNumberFormat="1" applyFont="1" applyFill="1" applyBorder="1"/>
    <xf numFmtId="10" fontId="41" fillId="2" borderId="11" xfId="0" applyNumberFormat="1" applyFont="1" applyFill="1" applyBorder="1" applyAlignment="1">
      <alignment horizontal="right"/>
    </xf>
    <xf numFmtId="164" fontId="19" fillId="2" borderId="12" xfId="0" applyNumberFormat="1" applyFont="1" applyFill="1" applyBorder="1" applyAlignment="1">
      <alignment vertical="center"/>
    </xf>
    <xf numFmtId="10" fontId="41" fillId="17" borderId="13" xfId="0" applyNumberFormat="1" applyFont="1" applyFill="1" applyBorder="1" applyAlignment="1">
      <alignment vertical="center"/>
    </xf>
    <xf numFmtId="10" fontId="46" fillId="2" borderId="12" xfId="0" applyNumberFormat="1" applyFont="1" applyFill="1" applyBorder="1"/>
    <xf numFmtId="10" fontId="41" fillId="2" borderId="0" xfId="0" applyNumberFormat="1" applyFont="1" applyFill="1" applyAlignment="1">
      <alignment vertical="center"/>
    </xf>
    <xf numFmtId="10" fontId="41" fillId="2" borderId="13" xfId="0" applyNumberFormat="1" applyFont="1" applyFill="1" applyBorder="1" applyAlignment="1">
      <alignment vertical="center"/>
    </xf>
    <xf numFmtId="10" fontId="41" fillId="2" borderId="12" xfId="0" applyNumberFormat="1" applyFont="1" applyFill="1" applyBorder="1" applyAlignment="1">
      <alignment vertical="center"/>
    </xf>
    <xf numFmtId="164" fontId="1" fillId="9" borderId="0" xfId="0" applyNumberFormat="1" applyFont="1" applyFill="1" applyAlignment="1">
      <alignment horizontal="center"/>
    </xf>
    <xf numFmtId="164" fontId="6" fillId="5" borderId="9" xfId="0" applyNumberFormat="1" applyFont="1" applyFill="1" applyBorder="1" applyAlignment="1">
      <alignment vertical="center"/>
    </xf>
    <xf numFmtId="164" fontId="6" fillId="5" borderId="6" xfId="0" applyNumberFormat="1" applyFont="1" applyFill="1" applyBorder="1" applyAlignment="1">
      <alignment horizontal="center" vertical="center"/>
    </xf>
    <xf numFmtId="164" fontId="6" fillId="5" borderId="6" xfId="0" applyNumberFormat="1" applyFont="1" applyFill="1" applyBorder="1" applyAlignment="1">
      <alignment vertical="center"/>
    </xf>
    <xf numFmtId="164" fontId="1" fillId="8" borderId="9" xfId="0" applyNumberFormat="1" applyFont="1" applyFill="1" applyBorder="1"/>
    <xf numFmtId="164" fontId="1" fillId="2" borderId="2" xfId="0" applyNumberFormat="1" applyFont="1" applyFill="1" applyBorder="1" applyAlignment="1">
      <alignment horizontal="center"/>
    </xf>
    <xf numFmtId="164" fontId="1" fillId="2" borderId="15" xfId="0" applyNumberFormat="1" applyFont="1" applyFill="1" applyBorder="1" applyAlignment="1">
      <alignment horizontal="center"/>
    </xf>
    <xf numFmtId="164" fontId="6" fillId="10" borderId="6" xfId="0" applyNumberFormat="1" applyFont="1" applyFill="1" applyBorder="1" applyAlignment="1">
      <alignment horizontal="center"/>
    </xf>
    <xf numFmtId="164" fontId="6" fillId="8" borderId="9" xfId="0" applyNumberFormat="1" applyFont="1" applyFill="1" applyBorder="1"/>
    <xf numFmtId="164" fontId="6" fillId="8" borderId="6" xfId="0" applyNumberFormat="1" applyFont="1" applyFill="1" applyBorder="1" applyAlignment="1">
      <alignment horizontal="center"/>
    </xf>
    <xf numFmtId="164" fontId="6" fillId="8" borderId="6" xfId="0" applyNumberFormat="1" applyFont="1" applyFill="1" applyBorder="1"/>
    <xf numFmtId="164" fontId="1" fillId="2" borderId="12" xfId="0" applyNumberFormat="1" applyFont="1" applyFill="1" applyBorder="1" applyAlignment="1">
      <alignment horizontal="right" vertical="center"/>
    </xf>
    <xf numFmtId="164" fontId="11" fillId="2" borderId="5" xfId="0" applyNumberFormat="1" applyFont="1" applyFill="1" applyBorder="1"/>
    <xf numFmtId="164" fontId="1" fillId="17" borderId="13" xfId="0" applyNumberFormat="1" applyFont="1" applyFill="1" applyBorder="1" applyAlignment="1">
      <alignment horizontal="center"/>
    </xf>
    <xf numFmtId="10" fontId="11" fillId="2" borderId="13" xfId="0" applyNumberFormat="1" applyFont="1" applyFill="1" applyBorder="1" applyAlignment="1">
      <alignment horizontal="center"/>
    </xf>
    <xf numFmtId="10" fontId="11" fillId="17" borderId="13" xfId="0" applyNumberFormat="1" applyFont="1" applyFill="1" applyBorder="1" applyAlignment="1">
      <alignment horizontal="center"/>
    </xf>
    <xf numFmtId="164" fontId="11" fillId="17" borderId="13" xfId="0" applyNumberFormat="1" applyFont="1" applyFill="1" applyBorder="1" applyAlignment="1">
      <alignment horizontal="center"/>
    </xf>
    <xf numFmtId="164" fontId="9" fillId="2" borderId="12" xfId="0" applyNumberFormat="1" applyFont="1" applyFill="1" applyBorder="1" applyAlignment="1">
      <alignment horizontal="right" vertical="center"/>
    </xf>
    <xf numFmtId="166" fontId="6" fillId="10" borderId="6" xfId="0" applyNumberFormat="1" applyFont="1" applyFill="1" applyBorder="1" applyAlignment="1">
      <alignment horizontal="right" vertical="center"/>
    </xf>
    <xf numFmtId="166" fontId="6" fillId="8" borderId="9" xfId="0" applyNumberFormat="1" applyFont="1" applyFill="1" applyBorder="1" applyAlignment="1">
      <alignment horizontal="left" vertical="center"/>
    </xf>
    <xf numFmtId="166" fontId="6" fillId="8" borderId="6" xfId="0" applyNumberFormat="1" applyFont="1" applyFill="1" applyBorder="1" applyAlignment="1">
      <alignment horizontal="right" vertical="center"/>
    </xf>
    <xf numFmtId="166" fontId="1" fillId="2" borderId="14" xfId="0" applyNumberFormat="1" applyFont="1" applyFill="1" applyBorder="1" applyAlignment="1">
      <alignment horizontal="center"/>
    </xf>
    <xf numFmtId="166" fontId="1" fillId="2" borderId="8" xfId="0" applyNumberFormat="1" applyFont="1" applyFill="1" applyBorder="1" applyAlignment="1">
      <alignment horizontal="center"/>
    </xf>
    <xf numFmtId="166" fontId="6" fillId="8" borderId="6" xfId="0" applyNumberFormat="1" applyFont="1" applyFill="1" applyBorder="1" applyAlignment="1">
      <alignment horizontal="center"/>
    </xf>
    <xf numFmtId="0" fontId="43" fillId="9" borderId="9" xfId="0" applyFont="1" applyFill="1" applyBorder="1" applyAlignment="1">
      <alignment horizontal="left" vertical="center"/>
    </xf>
    <xf numFmtId="0" fontId="43" fillId="2" borderId="0" xfId="0" applyFont="1" applyFill="1" applyAlignment="1">
      <alignment horizontal="left" vertical="center"/>
    </xf>
    <xf numFmtId="0" fontId="43" fillId="2" borderId="15" xfId="0" applyFont="1" applyFill="1" applyBorder="1" applyAlignment="1">
      <alignment horizontal="left" vertical="center"/>
    </xf>
    <xf numFmtId="0" fontId="27" fillId="2" borderId="18" xfId="0" applyFont="1" applyFill="1" applyBorder="1" applyAlignment="1">
      <alignment horizontal="left" vertical="center"/>
    </xf>
    <xf numFmtId="164" fontId="1" fillId="2" borderId="18" xfId="0" applyNumberFormat="1" applyFont="1" applyFill="1" applyBorder="1"/>
    <xf numFmtId="164" fontId="1" fillId="2" borderId="18" xfId="0" applyNumberFormat="1" applyFont="1" applyFill="1" applyBorder="1" applyAlignment="1">
      <alignment horizontal="right"/>
    </xf>
    <xf numFmtId="164" fontId="6" fillId="10" borderId="6" xfId="0" applyNumberFormat="1" applyFont="1" applyFill="1" applyBorder="1" applyAlignment="1">
      <alignment horizontal="right"/>
    </xf>
    <xf numFmtId="164" fontId="1" fillId="2" borderId="18" xfId="0" applyNumberFormat="1" applyFont="1" applyFill="1" applyBorder="1" applyAlignment="1">
      <alignment horizontal="center"/>
    </xf>
    <xf numFmtId="164" fontId="6" fillId="9" borderId="6" xfId="0" applyNumberFormat="1" applyFont="1" applyFill="1" applyBorder="1" applyAlignment="1">
      <alignment horizontal="center"/>
    </xf>
    <xf numFmtId="164" fontId="6" fillId="9" borderId="6" xfId="0" applyNumberFormat="1" applyFont="1" applyFill="1" applyBorder="1" applyAlignment="1">
      <alignment horizontal="right"/>
    </xf>
    <xf numFmtId="164" fontId="6" fillId="9" borderId="3" xfId="0" applyNumberFormat="1" applyFont="1" applyFill="1" applyBorder="1" applyAlignment="1">
      <alignment horizontal="right"/>
    </xf>
    <xf numFmtId="0" fontId="6" fillId="2" borderId="12" xfId="0" applyFont="1" applyFill="1" applyBorder="1"/>
    <xf numFmtId="164" fontId="6" fillId="9" borderId="11" xfId="0" applyNumberFormat="1" applyFont="1" applyFill="1" applyBorder="1" applyAlignment="1">
      <alignment horizontal="center"/>
    </xf>
    <xf numFmtId="164" fontId="6" fillId="9" borderId="11" xfId="0" applyNumberFormat="1" applyFont="1" applyFill="1" applyBorder="1" applyAlignment="1">
      <alignment horizontal="right"/>
    </xf>
    <xf numFmtId="0" fontId="43" fillId="5" borderId="9" xfId="0" applyFont="1" applyFill="1" applyBorder="1" applyAlignment="1">
      <alignment horizontal="left" vertical="center"/>
    </xf>
    <xf numFmtId="164" fontId="6" fillId="5" borderId="6" xfId="0" applyNumberFormat="1" applyFont="1" applyFill="1" applyBorder="1" applyAlignment="1">
      <alignment horizontal="center"/>
    </xf>
    <xf numFmtId="164" fontId="6" fillId="5" borderId="6" xfId="0" applyNumberFormat="1" applyFont="1" applyFill="1" applyBorder="1" applyAlignment="1">
      <alignment horizontal="right"/>
    </xf>
    <xf numFmtId="0" fontId="43" fillId="2" borderId="2" xfId="0" applyFont="1" applyFill="1" applyBorder="1" applyAlignment="1">
      <alignment horizontal="left" vertical="center"/>
    </xf>
    <xf numFmtId="0" fontId="27" fillId="2" borderId="2" xfId="0" applyFont="1" applyFill="1" applyBorder="1" applyAlignment="1">
      <alignment horizontal="left" vertical="center"/>
    </xf>
    <xf numFmtId="0" fontId="43" fillId="9" borderId="6" xfId="0" applyFont="1" applyFill="1" applyBorder="1" applyAlignment="1">
      <alignment horizontal="left" vertical="center"/>
    </xf>
    <xf numFmtId="10" fontId="6" fillId="10" borderId="6" xfId="0" applyNumberFormat="1" applyFont="1" applyFill="1" applyBorder="1"/>
    <xf numFmtId="10" fontId="6" fillId="10" borderId="3" xfId="0" applyNumberFormat="1" applyFont="1" applyFill="1" applyBorder="1"/>
    <xf numFmtId="164" fontId="6" fillId="2" borderId="0" xfId="0" applyNumberFormat="1" applyFont="1" applyFill="1" applyAlignment="1">
      <alignment horizontal="center"/>
    </xf>
    <xf numFmtId="164" fontId="1" fillId="11" borderId="15" xfId="0" applyNumberFormat="1" applyFont="1" applyFill="1" applyBorder="1"/>
    <xf numFmtId="164" fontId="1" fillId="11" borderId="5" xfId="0" applyNumberFormat="1" applyFont="1" applyFill="1" applyBorder="1"/>
    <xf numFmtId="2" fontId="6" fillId="8" borderId="3" xfId="0" applyNumberFormat="1" applyFont="1" applyFill="1" applyBorder="1"/>
    <xf numFmtId="0" fontId="6" fillId="8" borderId="9" xfId="0" applyFont="1" applyFill="1" applyBorder="1"/>
    <xf numFmtId="0" fontId="6" fillId="8" borderId="3" xfId="0" applyFont="1" applyFill="1" applyBorder="1"/>
    <xf numFmtId="164" fontId="1" fillId="9" borderId="18" xfId="0" applyNumberFormat="1" applyFont="1" applyFill="1" applyBorder="1"/>
    <xf numFmtId="10" fontId="6" fillId="9" borderId="3" xfId="0" applyNumberFormat="1" applyFont="1" applyFill="1" applyBorder="1"/>
    <xf numFmtId="164" fontId="6" fillId="9" borderId="6" xfId="0" applyNumberFormat="1" applyFont="1" applyFill="1" applyBorder="1"/>
    <xf numFmtId="164" fontId="6" fillId="9" borderId="9" xfId="0" applyNumberFormat="1" applyFont="1" applyFill="1" applyBorder="1"/>
    <xf numFmtId="164" fontId="1" fillId="9" borderId="3" xfId="0" applyNumberFormat="1" applyFont="1" applyFill="1" applyBorder="1"/>
    <xf numFmtId="2" fontId="6" fillId="9" borderId="3" xfId="0" applyNumberFormat="1" applyFont="1" applyFill="1" applyBorder="1"/>
    <xf numFmtId="10" fontId="6" fillId="9" borderId="6" xfId="0" applyNumberFormat="1" applyFont="1" applyFill="1" applyBorder="1"/>
    <xf numFmtId="0" fontId="1" fillId="2" borderId="10" xfId="0" applyFont="1" applyFill="1" applyBorder="1" applyAlignment="1">
      <alignment horizontal="center"/>
    </xf>
    <xf numFmtId="0" fontId="1" fillId="2" borderId="13" xfId="0" applyFont="1" applyFill="1" applyBorder="1" applyAlignment="1">
      <alignment horizontal="center"/>
    </xf>
    <xf numFmtId="0" fontId="1" fillId="2" borderId="11" xfId="0" applyFont="1" applyFill="1" applyBorder="1" applyAlignment="1">
      <alignment horizontal="center"/>
    </xf>
    <xf numFmtId="0" fontId="6" fillId="10" borderId="9" xfId="0" applyFont="1" applyFill="1" applyBorder="1"/>
    <xf numFmtId="0" fontId="6" fillId="10" borderId="6" xfId="0" applyFont="1" applyFill="1" applyBorder="1" applyAlignment="1">
      <alignment horizontal="center"/>
    </xf>
    <xf numFmtId="0" fontId="6" fillId="10" borderId="6" xfId="0" applyFont="1" applyFill="1" applyBorder="1"/>
    <xf numFmtId="1" fontId="1" fillId="2" borderId="11" xfId="0" applyNumberFormat="1" applyFont="1" applyFill="1" applyBorder="1"/>
    <xf numFmtId="0" fontId="6" fillId="5" borderId="0" xfId="0" applyFont="1" applyFill="1" applyAlignment="1">
      <alignment horizontal="center"/>
    </xf>
    <xf numFmtId="0" fontId="1" fillId="10" borderId="2" xfId="0" applyFont="1" applyFill="1" applyBorder="1"/>
    <xf numFmtId="0" fontId="1" fillId="10" borderId="15" xfId="0" applyFont="1" applyFill="1" applyBorder="1"/>
    <xf numFmtId="0" fontId="1" fillId="10" borderId="7" xfId="0" applyFont="1" applyFill="1" applyBorder="1"/>
    <xf numFmtId="0" fontId="1" fillId="10" borderId="14" xfId="0" applyFont="1" applyFill="1" applyBorder="1"/>
    <xf numFmtId="0" fontId="6" fillId="10" borderId="14" xfId="0" applyFont="1" applyFill="1" applyBorder="1"/>
    <xf numFmtId="0" fontId="1" fillId="10" borderId="8" xfId="0" applyFont="1" applyFill="1" applyBorder="1"/>
    <xf numFmtId="170" fontId="1" fillId="10" borderId="10" xfId="0" applyNumberFormat="1" applyFont="1" applyFill="1" applyBorder="1"/>
    <xf numFmtId="170" fontId="1" fillId="10" borderId="13" xfId="0" applyNumberFormat="1" applyFont="1" applyFill="1" applyBorder="1"/>
    <xf numFmtId="170" fontId="6" fillId="10" borderId="13" xfId="0" applyNumberFormat="1" applyFont="1" applyFill="1" applyBorder="1"/>
    <xf numFmtId="170" fontId="1" fillId="10" borderId="11" xfId="0" applyNumberFormat="1" applyFont="1" applyFill="1" applyBorder="1"/>
    <xf numFmtId="170" fontId="1" fillId="10" borderId="4" xfId="0" applyNumberFormat="1" applyFont="1" applyFill="1" applyBorder="1"/>
    <xf numFmtId="170" fontId="1" fillId="10" borderId="12" xfId="0" applyNumberFormat="1" applyFont="1" applyFill="1" applyBorder="1"/>
    <xf numFmtId="170" fontId="6" fillId="10" borderId="12" xfId="0" applyNumberFormat="1" applyFont="1" applyFill="1" applyBorder="1"/>
    <xf numFmtId="170" fontId="1" fillId="10" borderId="5" xfId="0" applyNumberFormat="1" applyFont="1" applyFill="1" applyBorder="1"/>
    <xf numFmtId="0" fontId="6" fillId="10" borderId="18" xfId="0" applyFont="1" applyFill="1" applyBorder="1"/>
    <xf numFmtId="2" fontId="6" fillId="10" borderId="6" xfId="0" applyNumberFormat="1" applyFont="1" applyFill="1" applyBorder="1"/>
    <xf numFmtId="2" fontId="6" fillId="10" borderId="3" xfId="0" applyNumberFormat="1" applyFont="1" applyFill="1" applyBorder="1"/>
    <xf numFmtId="10" fontId="1" fillId="9" borderId="4" xfId="0" applyNumberFormat="1" applyFont="1" applyFill="1" applyBorder="1"/>
    <xf numFmtId="10" fontId="1" fillId="9" borderId="5" xfId="0" applyNumberFormat="1" applyFont="1" applyFill="1" applyBorder="1"/>
    <xf numFmtId="0" fontId="1" fillId="9" borderId="10" xfId="0" applyFont="1" applyFill="1" applyBorder="1"/>
    <xf numFmtId="0" fontId="1" fillId="9" borderId="13" xfId="0" applyFont="1" applyFill="1" applyBorder="1"/>
    <xf numFmtId="0" fontId="1" fillId="9" borderId="11" xfId="0" applyFont="1" applyFill="1" applyBorder="1"/>
    <xf numFmtId="164" fontId="1" fillId="10" borderId="3" xfId="0" applyNumberFormat="1" applyFont="1" applyFill="1" applyBorder="1"/>
    <xf numFmtId="0" fontId="1" fillId="10" borderId="6" xfId="0" applyFont="1" applyFill="1" applyBorder="1"/>
    <xf numFmtId="2" fontId="6" fillId="8" borderId="4" xfId="0" applyNumberFormat="1" applyFont="1" applyFill="1" applyBorder="1"/>
    <xf numFmtId="170" fontId="5" fillId="8" borderId="5" xfId="1" applyNumberFormat="1" applyFill="1" applyBorder="1"/>
    <xf numFmtId="0" fontId="6" fillId="8" borderId="10" xfId="0" applyFont="1" applyFill="1" applyBorder="1"/>
    <xf numFmtId="0" fontId="5" fillId="8" borderId="11" xfId="1" applyFill="1" applyBorder="1"/>
    <xf numFmtId="172" fontId="6" fillId="10" borderId="9" xfId="0" applyNumberFormat="1" applyFont="1" applyFill="1" applyBorder="1"/>
    <xf numFmtId="172" fontId="6" fillId="10" borderId="7" xfId="0" applyNumberFormat="1" applyFont="1" applyFill="1" applyBorder="1"/>
    <xf numFmtId="172" fontId="5" fillId="9" borderId="8" xfId="1" applyNumberFormat="1" applyFill="1" applyBorder="1" applyAlignment="1"/>
    <xf numFmtId="10" fontId="6" fillId="10" borderId="10" xfId="0" applyNumberFormat="1" applyFont="1" applyFill="1" applyBorder="1"/>
    <xf numFmtId="10" fontId="6" fillId="10" borderId="4" xfId="0" applyNumberFormat="1" applyFont="1" applyFill="1" applyBorder="1"/>
    <xf numFmtId="172" fontId="31" fillId="8" borderId="7" xfId="0" applyNumberFormat="1" applyFont="1" applyFill="1" applyBorder="1"/>
    <xf numFmtId="172" fontId="24" fillId="8" borderId="8" xfId="0" applyNumberFormat="1" applyFont="1" applyFill="1" applyBorder="1"/>
    <xf numFmtId="2" fontId="1" fillId="8" borderId="10" xfId="0" applyNumberFormat="1" applyFont="1" applyFill="1" applyBorder="1"/>
    <xf numFmtId="2" fontId="1" fillId="8" borderId="4" xfId="0" applyNumberFormat="1" applyFont="1" applyFill="1" applyBorder="1"/>
    <xf numFmtId="170" fontId="5" fillId="9" borderId="11" xfId="1" applyNumberFormat="1" applyFill="1" applyBorder="1"/>
    <xf numFmtId="170" fontId="5" fillId="9" borderId="5" xfId="1" applyNumberFormat="1" applyFill="1" applyBorder="1"/>
    <xf numFmtId="0" fontId="5" fillId="9" borderId="11" xfId="1" applyFill="1" applyBorder="1" applyAlignment="1">
      <alignment horizontal="center"/>
    </xf>
    <xf numFmtId="0" fontId="1" fillId="5" borderId="0" xfId="0" applyFont="1" applyFill="1" applyAlignment="1">
      <alignment horizontal="center"/>
    </xf>
    <xf numFmtId="0" fontId="1" fillId="8" borderId="10" xfId="0" applyFont="1" applyFill="1" applyBorder="1" applyAlignment="1">
      <alignment horizontal="center"/>
    </xf>
    <xf numFmtId="0" fontId="6" fillId="10" borderId="6" xfId="0" applyFont="1" applyFill="1" applyBorder="1" applyAlignment="1">
      <alignment horizontal="right"/>
    </xf>
    <xf numFmtId="170" fontId="6" fillId="10" borderId="6" xfId="0" applyNumberFormat="1" applyFont="1" applyFill="1" applyBorder="1"/>
    <xf numFmtId="0" fontId="6" fillId="8" borderId="6" xfId="0" applyFont="1" applyFill="1" applyBorder="1" applyAlignment="1">
      <alignment horizontal="right"/>
    </xf>
    <xf numFmtId="10" fontId="6" fillId="8" borderId="6" xfId="0" applyNumberFormat="1" applyFont="1" applyFill="1" applyBorder="1"/>
    <xf numFmtId="173" fontId="1" fillId="2" borderId="10" xfId="0" applyNumberFormat="1" applyFont="1" applyFill="1" applyBorder="1" applyAlignment="1">
      <alignment horizontal="right"/>
    </xf>
    <xf numFmtId="0" fontId="6" fillId="10" borderId="10" xfId="0" applyFont="1" applyFill="1" applyBorder="1" applyAlignment="1">
      <alignment horizontal="center"/>
    </xf>
    <xf numFmtId="0" fontId="6" fillId="8" borderId="11" xfId="0" applyFont="1" applyFill="1" applyBorder="1" applyAlignment="1">
      <alignment horizontal="center"/>
    </xf>
    <xf numFmtId="0" fontId="6" fillId="8" borderId="6" xfId="0" applyFont="1" applyFill="1" applyBorder="1" applyAlignment="1">
      <alignment horizontal="center"/>
    </xf>
    <xf numFmtId="0" fontId="1" fillId="2" borderId="4" xfId="0" applyFont="1" applyFill="1" applyBorder="1" applyAlignment="1">
      <alignment horizontal="right"/>
    </xf>
    <xf numFmtId="1" fontId="47" fillId="7" borderId="0" xfId="0" applyNumberFormat="1" applyFont="1" applyFill="1" applyAlignment="1">
      <alignment horizontal="center" vertical="center"/>
    </xf>
    <xf numFmtId="2" fontId="19" fillId="2" borderId="13" xfId="0" applyNumberFormat="1" applyFont="1" applyFill="1" applyBorder="1"/>
    <xf numFmtId="2" fontId="19" fillId="2" borderId="12" xfId="0" applyNumberFormat="1" applyFont="1" applyFill="1" applyBorder="1"/>
    <xf numFmtId="0" fontId="1" fillId="2" borderId="4" xfId="0" applyFont="1" applyFill="1" applyBorder="1" applyAlignment="1">
      <alignment horizontal="right" vertical="center"/>
    </xf>
    <xf numFmtId="0" fontId="1" fillId="2" borderId="12" xfId="0" applyFont="1" applyFill="1" applyBorder="1" applyAlignment="1">
      <alignment vertical="center"/>
    </xf>
    <xf numFmtId="2" fontId="19" fillId="2" borderId="12" xfId="0" applyNumberFormat="1" applyFont="1" applyFill="1" applyBorder="1" applyAlignment="1">
      <alignment vertical="center"/>
    </xf>
    <xf numFmtId="2" fontId="19" fillId="2" borderId="12" xfId="0" applyNumberFormat="1" applyFont="1" applyFill="1" applyBorder="1" applyAlignment="1">
      <alignment horizontal="right"/>
    </xf>
    <xf numFmtId="2" fontId="19" fillId="2" borderId="5" xfId="0" applyNumberFormat="1" applyFont="1" applyFill="1" applyBorder="1"/>
    <xf numFmtId="0" fontId="1" fillId="2" borderId="13" xfId="0" applyFont="1" applyFill="1" applyBorder="1" applyAlignment="1">
      <alignment vertical="center"/>
    </xf>
    <xf numFmtId="0" fontId="1" fillId="2" borderId="10" xfId="0" applyFont="1" applyFill="1" applyBorder="1" applyAlignment="1">
      <alignment horizontal="right" vertical="center"/>
    </xf>
    <xf numFmtId="2" fontId="19" fillId="2" borderId="13" xfId="0" applyNumberFormat="1" applyFont="1" applyFill="1" applyBorder="1" applyAlignment="1">
      <alignment vertical="center"/>
    </xf>
    <xf numFmtId="2" fontId="19" fillId="2" borderId="13" xfId="0" applyNumberFormat="1" applyFont="1" applyFill="1" applyBorder="1" applyAlignment="1">
      <alignment horizontal="right"/>
    </xf>
    <xf numFmtId="2" fontId="19" fillId="2" borderId="11" xfId="0" applyNumberFormat="1" applyFont="1" applyFill="1" applyBorder="1"/>
    <xf numFmtId="0" fontId="1" fillId="2" borderId="12" xfId="0" applyFont="1" applyFill="1" applyBorder="1" applyAlignment="1">
      <alignment horizontal="right"/>
    </xf>
    <xf numFmtId="0" fontId="1" fillId="2" borderId="13" xfId="0" applyFont="1" applyFill="1" applyBorder="1" applyAlignment="1">
      <alignment horizontal="left"/>
    </xf>
    <xf numFmtId="0" fontId="1" fillId="2" borderId="11" xfId="0" applyFont="1" applyFill="1" applyBorder="1" applyAlignment="1">
      <alignment horizontal="left"/>
    </xf>
    <xf numFmtId="0" fontId="1" fillId="8" borderId="10" xfId="0" applyFont="1" applyFill="1" applyBorder="1"/>
    <xf numFmtId="0" fontId="1" fillId="8" borderId="10" xfId="0" applyFont="1" applyFill="1" applyBorder="1" applyAlignment="1">
      <alignment vertical="center"/>
    </xf>
    <xf numFmtId="0" fontId="25" fillId="6" borderId="0" xfId="0" applyFont="1" applyFill="1"/>
    <xf numFmtId="0" fontId="25" fillId="2" borderId="15" xfId="0" applyFont="1" applyFill="1" applyBorder="1"/>
    <xf numFmtId="0" fontId="25" fillId="2" borderId="12" xfId="0" applyFont="1" applyFill="1" applyBorder="1"/>
    <xf numFmtId="0" fontId="25" fillId="2" borderId="15" xfId="0" applyFont="1" applyFill="1" applyBorder="1" applyAlignment="1">
      <alignment horizontal="right"/>
    </xf>
    <xf numFmtId="0" fontId="25" fillId="6" borderId="0" xfId="0" applyFont="1" applyFill="1" applyAlignment="1">
      <alignment horizontal="right"/>
    </xf>
    <xf numFmtId="0" fontId="0" fillId="0" borderId="0" xfId="0" applyAlignment="1">
      <alignment vertical="center" wrapText="1"/>
    </xf>
    <xf numFmtId="0" fontId="49" fillId="0" borderId="0" xfId="0" applyFont="1" applyAlignment="1">
      <alignment horizontal="center" vertical="center" wrapText="1"/>
    </xf>
    <xf numFmtId="0" fontId="0" fillId="0" borderId="0" xfId="0" applyAlignment="1">
      <alignment horizontal="right" vertical="center" wrapText="1"/>
    </xf>
    <xf numFmtId="0" fontId="49" fillId="0" borderId="0" xfId="0" applyFont="1" applyAlignment="1">
      <alignment horizontal="right" vertical="center" wrapText="1"/>
    </xf>
    <xf numFmtId="10" fontId="0" fillId="0" borderId="0" xfId="0" applyNumberFormat="1" applyAlignment="1">
      <alignment horizontal="right" vertical="center" wrapText="1"/>
    </xf>
    <xf numFmtId="0" fontId="25" fillId="2" borderId="5" xfId="0" applyFont="1" applyFill="1" applyBorder="1"/>
    <xf numFmtId="0" fontId="25" fillId="2" borderId="14" xfId="0" applyFont="1" applyFill="1" applyBorder="1"/>
    <xf numFmtId="0" fontId="1" fillId="5" borderId="11" xfId="0" applyFont="1" applyFill="1" applyBorder="1"/>
    <xf numFmtId="2" fontId="1" fillId="5" borderId="5" xfId="0" applyNumberFormat="1" applyFont="1" applyFill="1" applyBorder="1"/>
    <xf numFmtId="164" fontId="21" fillId="2" borderId="0" xfId="0" applyNumberFormat="1" applyFont="1" applyFill="1" applyAlignment="1">
      <alignment vertical="center"/>
    </xf>
    <xf numFmtId="0" fontId="51" fillId="13" borderId="11" xfId="2" applyFont="1" applyBorder="1" applyAlignment="1">
      <alignment horizontal="right"/>
    </xf>
    <xf numFmtId="0" fontId="1" fillId="2" borderId="15" xfId="0" applyFont="1" applyFill="1" applyBorder="1" applyAlignment="1">
      <alignment horizontal="right"/>
    </xf>
    <xf numFmtId="10" fontId="1" fillId="2" borderId="12" xfId="0" applyNumberFormat="1" applyFont="1" applyFill="1" applyBorder="1" applyAlignment="1">
      <alignment horizontal="right"/>
    </xf>
    <xf numFmtId="0" fontId="25" fillId="2" borderId="2" xfId="0" applyFont="1" applyFill="1" applyBorder="1"/>
    <xf numFmtId="0" fontId="25" fillId="2" borderId="4" xfId="0" applyFont="1" applyFill="1" applyBorder="1"/>
    <xf numFmtId="0" fontId="25" fillId="2" borderId="7" xfId="0" applyFont="1" applyFill="1" applyBorder="1"/>
    <xf numFmtId="0" fontId="25" fillId="2" borderId="8" xfId="0" applyFont="1" applyFill="1" applyBorder="1"/>
    <xf numFmtId="10" fontId="1" fillId="2" borderId="15" xfId="0" applyNumberFormat="1" applyFont="1" applyFill="1" applyBorder="1" applyAlignment="1">
      <alignment horizontal="right"/>
    </xf>
    <xf numFmtId="0" fontId="1" fillId="2" borderId="2" xfId="0" applyFont="1" applyFill="1" applyBorder="1" applyAlignment="1">
      <alignment horizontal="right"/>
    </xf>
    <xf numFmtId="10" fontId="1" fillId="2" borderId="2" xfId="0" applyNumberFormat="1" applyFont="1" applyFill="1" applyBorder="1" applyAlignment="1">
      <alignment horizontal="right"/>
    </xf>
    <xf numFmtId="0" fontId="1" fillId="2" borderId="5" xfId="0" applyFont="1" applyFill="1" applyBorder="1" applyAlignment="1">
      <alignment horizontal="right"/>
    </xf>
    <xf numFmtId="164" fontId="6" fillId="8" borderId="5" xfId="0" applyNumberFormat="1" applyFont="1" applyFill="1" applyBorder="1" applyAlignment="1">
      <alignment horizontal="right"/>
    </xf>
    <xf numFmtId="170" fontId="1" fillId="2" borderId="10" xfId="0" applyNumberFormat="1" applyFont="1" applyFill="1" applyBorder="1" applyAlignment="1">
      <alignment horizontal="right"/>
    </xf>
    <xf numFmtId="170" fontId="1" fillId="2" borderId="13" xfId="0" applyNumberFormat="1" applyFont="1" applyFill="1" applyBorder="1" applyAlignment="1">
      <alignment horizontal="right"/>
    </xf>
    <xf numFmtId="2" fontId="1" fillId="2" borderId="13" xfId="0" applyNumberFormat="1" applyFont="1" applyFill="1" applyBorder="1" applyAlignment="1">
      <alignment horizontal="right"/>
    </xf>
    <xf numFmtId="0" fontId="1" fillId="10" borderId="10" xfId="0" applyFont="1" applyFill="1" applyBorder="1"/>
    <xf numFmtId="0" fontId="1" fillId="10" borderId="13" xfId="0" applyFont="1" applyFill="1" applyBorder="1"/>
    <xf numFmtId="10" fontId="19" fillId="9" borderId="12" xfId="0" applyNumberFormat="1" applyFont="1" applyFill="1" applyBorder="1"/>
    <xf numFmtId="164" fontId="1" fillId="9" borderId="4" xfId="0" applyNumberFormat="1" applyFont="1" applyFill="1" applyBorder="1"/>
    <xf numFmtId="164" fontId="1" fillId="9" borderId="5" xfId="0" applyNumberFormat="1" applyFont="1" applyFill="1" applyBorder="1"/>
    <xf numFmtId="0" fontId="1" fillId="2" borderId="0" xfId="0" applyFont="1" applyFill="1" applyAlignment="1">
      <alignment vertical="center" wrapText="1"/>
    </xf>
    <xf numFmtId="0" fontId="55" fillId="2" borderId="0" xfId="0" applyFont="1" applyFill="1" applyAlignment="1">
      <alignment horizontal="center" vertical="center"/>
    </xf>
    <xf numFmtId="2" fontId="1" fillId="2" borderId="0" xfId="0" applyNumberFormat="1" applyFont="1" applyFill="1" applyAlignment="1">
      <alignment horizontal="center"/>
    </xf>
    <xf numFmtId="10" fontId="1" fillId="2" borderId="0" xfId="0" applyNumberFormat="1" applyFont="1" applyFill="1" applyAlignment="1">
      <alignment horizontal="center"/>
    </xf>
    <xf numFmtId="0" fontId="1" fillId="19" borderId="27" xfId="5" applyFont="1" applyAlignment="1">
      <alignment horizontal="center"/>
    </xf>
    <xf numFmtId="2" fontId="1" fillId="19" borderId="27" xfId="5" applyNumberFormat="1" applyFont="1" applyAlignment="1">
      <alignment horizontal="center"/>
    </xf>
    <xf numFmtId="0" fontId="54" fillId="2" borderId="0" xfId="0" applyFont="1" applyFill="1" applyAlignment="1">
      <alignment horizontal="center" vertical="center"/>
    </xf>
    <xf numFmtId="0" fontId="53" fillId="2" borderId="0" xfId="0" applyFont="1" applyFill="1" applyAlignment="1">
      <alignment horizontal="center" vertical="center"/>
    </xf>
    <xf numFmtId="0" fontId="35" fillId="2" borderId="0" xfId="2" applyFill="1" applyBorder="1" applyAlignment="1">
      <alignment horizontal="right" vertical="center"/>
    </xf>
    <xf numFmtId="2" fontId="35" fillId="2" borderId="0" xfId="2" applyNumberFormat="1" applyFill="1" applyBorder="1" applyAlignment="1">
      <alignment vertical="center"/>
    </xf>
    <xf numFmtId="10" fontId="35" fillId="2" borderId="0" xfId="2" applyNumberFormat="1" applyFill="1" applyBorder="1" applyAlignment="1">
      <alignment vertical="center"/>
    </xf>
    <xf numFmtId="17" fontId="1" fillId="2" borderId="0" xfId="0" applyNumberFormat="1" applyFont="1" applyFill="1"/>
    <xf numFmtId="0" fontId="57" fillId="20" borderId="0" xfId="0" applyFont="1" applyFill="1"/>
    <xf numFmtId="0" fontId="56" fillId="20" borderId="0" xfId="0" applyFont="1" applyFill="1"/>
    <xf numFmtId="0" fontId="1" fillId="20" borderId="0" xfId="0" applyFont="1" applyFill="1"/>
    <xf numFmtId="0" fontId="57" fillId="20" borderId="0" xfId="2" applyFont="1" applyFill="1" applyBorder="1" applyAlignment="1">
      <alignment vertical="center"/>
    </xf>
    <xf numFmtId="2" fontId="57" fillId="20" borderId="0" xfId="2" applyNumberFormat="1" applyFont="1" applyFill="1" applyBorder="1" applyAlignment="1">
      <alignment vertical="center"/>
    </xf>
    <xf numFmtId="0" fontId="57" fillId="20" borderId="0" xfId="0" applyFont="1" applyFill="1" applyAlignment="1">
      <alignment vertical="center" wrapText="1"/>
    </xf>
    <xf numFmtId="0" fontId="57" fillId="20" borderId="0" xfId="0" applyFont="1" applyFill="1" applyAlignment="1">
      <alignment horizontal="right" vertical="center" wrapText="1"/>
    </xf>
    <xf numFmtId="2" fontId="57" fillId="20" borderId="0" xfId="0" applyNumberFormat="1" applyFont="1" applyFill="1"/>
    <xf numFmtId="170" fontId="57" fillId="20" borderId="0" xfId="0" applyNumberFormat="1" applyFont="1" applyFill="1"/>
    <xf numFmtId="0" fontId="57" fillId="2" borderId="0" xfId="0" applyFont="1" applyFill="1"/>
    <xf numFmtId="0" fontId="57" fillId="2" borderId="0" xfId="0" applyFont="1" applyFill="1" applyAlignment="1">
      <alignment vertical="center"/>
    </xf>
    <xf numFmtId="0" fontId="57" fillId="2" borderId="0" xfId="0" applyFont="1" applyFill="1" applyAlignment="1">
      <alignment horizontal="center"/>
    </xf>
    <xf numFmtId="0" fontId="57" fillId="2" borderId="0" xfId="0" applyFont="1" applyFill="1" applyAlignment="1">
      <alignment vertical="top" wrapText="1"/>
    </xf>
    <xf numFmtId="0" fontId="57" fillId="20" borderId="30" xfId="2" applyFont="1" applyFill="1" applyBorder="1" applyAlignment="1">
      <alignment vertical="center"/>
    </xf>
    <xf numFmtId="0" fontId="57" fillId="20" borderId="28" xfId="2" applyFont="1" applyFill="1" applyBorder="1" applyAlignment="1">
      <alignment vertical="center"/>
    </xf>
    <xf numFmtId="10" fontId="57" fillId="20" borderId="28" xfId="2" applyNumberFormat="1" applyFont="1" applyFill="1" applyBorder="1" applyAlignment="1">
      <alignment vertical="center"/>
    </xf>
    <xf numFmtId="0" fontId="57" fillId="20" borderId="32" xfId="2" applyFont="1" applyFill="1" applyBorder="1" applyAlignment="1">
      <alignment vertical="center"/>
    </xf>
    <xf numFmtId="0" fontId="57" fillId="20" borderId="33" xfId="2" applyFont="1" applyFill="1" applyBorder="1" applyAlignment="1">
      <alignment vertical="center"/>
    </xf>
    <xf numFmtId="0" fontId="57" fillId="20" borderId="34" xfId="2" applyFont="1" applyFill="1" applyBorder="1" applyAlignment="1">
      <alignment vertical="center"/>
    </xf>
    <xf numFmtId="0" fontId="57" fillId="20" borderId="28" xfId="0" applyFont="1" applyFill="1" applyBorder="1"/>
    <xf numFmtId="0" fontId="57" fillId="20" borderId="30" xfId="0" applyFont="1" applyFill="1" applyBorder="1" applyAlignment="1">
      <alignment vertical="center" wrapText="1"/>
    </xf>
    <xf numFmtId="4" fontId="57" fillId="20" borderId="30" xfId="0" applyNumberFormat="1" applyFont="1" applyFill="1" applyBorder="1" applyAlignment="1">
      <alignment vertical="center" wrapText="1"/>
    </xf>
    <xf numFmtId="0" fontId="57" fillId="20" borderId="28" xfId="0" applyFont="1" applyFill="1" applyBorder="1" applyAlignment="1">
      <alignment horizontal="right"/>
    </xf>
    <xf numFmtId="0" fontId="57" fillId="20" borderId="32" xfId="0" applyFont="1" applyFill="1" applyBorder="1" applyAlignment="1">
      <alignment vertical="center" wrapText="1"/>
    </xf>
    <xf numFmtId="0" fontId="57" fillId="20" borderId="33" xfId="0" applyFont="1" applyFill="1" applyBorder="1" applyAlignment="1">
      <alignment vertical="center" wrapText="1"/>
    </xf>
    <xf numFmtId="0" fontId="57" fillId="20" borderId="33" xfId="0" applyFont="1" applyFill="1" applyBorder="1"/>
    <xf numFmtId="0" fontId="57" fillId="20" borderId="34" xfId="0" applyFont="1" applyFill="1" applyBorder="1"/>
    <xf numFmtId="0" fontId="56" fillId="20" borderId="30" xfId="0" applyFont="1" applyFill="1" applyBorder="1"/>
    <xf numFmtId="0" fontId="57" fillId="20" borderId="29" xfId="0" applyFont="1" applyFill="1" applyBorder="1"/>
    <xf numFmtId="0" fontId="57" fillId="20" borderId="30" xfId="0" applyFont="1" applyFill="1" applyBorder="1"/>
    <xf numFmtId="0" fontId="57" fillId="20" borderId="32" xfId="0" applyFont="1" applyFill="1" applyBorder="1"/>
    <xf numFmtId="0" fontId="57" fillId="20" borderId="35" xfId="0" applyFont="1" applyFill="1" applyBorder="1"/>
    <xf numFmtId="0" fontId="57" fillId="20" borderId="36" xfId="0" applyFont="1" applyFill="1" applyBorder="1"/>
    <xf numFmtId="10" fontId="57" fillId="20" borderId="36" xfId="0" applyNumberFormat="1" applyFont="1" applyFill="1" applyBorder="1"/>
    <xf numFmtId="2" fontId="57" fillId="20" borderId="36" xfId="0" applyNumberFormat="1" applyFont="1" applyFill="1" applyBorder="1"/>
    <xf numFmtId="170" fontId="57" fillId="20" borderId="36" xfId="0" applyNumberFormat="1" applyFont="1" applyFill="1" applyBorder="1"/>
    <xf numFmtId="10" fontId="57" fillId="20" borderId="37" xfId="0" applyNumberFormat="1" applyFont="1" applyFill="1" applyBorder="1"/>
    <xf numFmtId="0" fontId="1" fillId="20" borderId="30" xfId="0" applyFont="1" applyFill="1" applyBorder="1"/>
    <xf numFmtId="170" fontId="57" fillId="20" borderId="30" xfId="0" applyNumberFormat="1" applyFont="1" applyFill="1" applyBorder="1"/>
    <xf numFmtId="170" fontId="57" fillId="20" borderId="35" xfId="0" applyNumberFormat="1" applyFont="1" applyFill="1" applyBorder="1"/>
    <xf numFmtId="0" fontId="57" fillId="2" borderId="0" xfId="0" applyFont="1" applyFill="1" applyAlignment="1">
      <alignment wrapText="1"/>
    </xf>
    <xf numFmtId="0" fontId="57" fillId="2" borderId="39" xfId="0" applyFont="1" applyFill="1" applyBorder="1"/>
    <xf numFmtId="0" fontId="57" fillId="2" borderId="40" xfId="0" applyFont="1" applyFill="1" applyBorder="1"/>
    <xf numFmtId="0" fontId="57" fillId="2" borderId="41" xfId="0" applyFont="1" applyFill="1" applyBorder="1"/>
    <xf numFmtId="0" fontId="57" fillId="10" borderId="38" xfId="0" applyFont="1" applyFill="1" applyBorder="1"/>
    <xf numFmtId="0" fontId="57" fillId="10" borderId="31" xfId="0" applyFont="1" applyFill="1" applyBorder="1"/>
    <xf numFmtId="0" fontId="57" fillId="21" borderId="40" xfId="0" applyFont="1" applyFill="1" applyBorder="1"/>
    <xf numFmtId="0" fontId="57" fillId="21" borderId="33" xfId="0" applyFont="1" applyFill="1" applyBorder="1"/>
    <xf numFmtId="0" fontId="57" fillId="21" borderId="0" xfId="0" applyFont="1" applyFill="1"/>
    <xf numFmtId="0" fontId="57" fillId="21" borderId="0" xfId="0" applyFont="1" applyFill="1" applyAlignment="1">
      <alignment horizontal="center" wrapText="1"/>
    </xf>
    <xf numFmtId="0" fontId="57" fillId="21" borderId="41" xfId="0" applyFont="1" applyFill="1" applyBorder="1"/>
    <xf numFmtId="0" fontId="57" fillId="21" borderId="34" xfId="0" applyFont="1" applyFill="1" applyBorder="1"/>
    <xf numFmtId="0" fontId="57" fillId="21" borderId="28" xfId="0" applyFont="1" applyFill="1" applyBorder="1"/>
    <xf numFmtId="0" fontId="57" fillId="22" borderId="39" xfId="0" applyFont="1" applyFill="1" applyBorder="1"/>
    <xf numFmtId="0" fontId="57" fillId="22" borderId="32" xfId="0" applyFont="1" applyFill="1" applyBorder="1"/>
    <xf numFmtId="0" fontId="57" fillId="22" borderId="33" xfId="0" applyFont="1" applyFill="1" applyBorder="1"/>
    <xf numFmtId="0" fontId="57" fillId="22" borderId="40" xfId="0" applyFont="1" applyFill="1" applyBorder="1"/>
    <xf numFmtId="0" fontId="57" fillId="22" borderId="33" xfId="0" applyFont="1" applyFill="1" applyBorder="1" applyAlignment="1">
      <alignment wrapText="1"/>
    </xf>
    <xf numFmtId="0" fontId="57" fillId="22" borderId="0" xfId="0" applyFont="1" applyFill="1" applyAlignment="1">
      <alignment horizontal="center" wrapText="1"/>
    </xf>
    <xf numFmtId="0" fontId="57" fillId="22" borderId="0" xfId="0" applyFont="1" applyFill="1"/>
    <xf numFmtId="0" fontId="57" fillId="22" borderId="0" xfId="0" applyFont="1" applyFill="1" applyAlignment="1">
      <alignment horizontal="center"/>
    </xf>
    <xf numFmtId="0" fontId="57" fillId="22" borderId="40" xfId="0" applyFont="1" applyFill="1" applyBorder="1" applyAlignment="1">
      <alignment horizontal="center"/>
    </xf>
    <xf numFmtId="0" fontId="57" fillId="22" borderId="33" xfId="0" applyFont="1" applyFill="1" applyBorder="1" applyAlignment="1">
      <alignment horizontal="center"/>
    </xf>
    <xf numFmtId="0" fontId="57" fillId="22" borderId="30" xfId="0" applyFont="1" applyFill="1" applyBorder="1"/>
    <xf numFmtId="0" fontId="57" fillId="22" borderId="40" xfId="0" applyFont="1" applyFill="1" applyBorder="1" applyAlignment="1">
      <alignment horizontal="center" wrapText="1"/>
    </xf>
    <xf numFmtId="0" fontId="57" fillId="22" borderId="33" xfId="0" applyFont="1" applyFill="1" applyBorder="1" applyAlignment="1">
      <alignment horizontal="center" wrapText="1"/>
    </xf>
    <xf numFmtId="0" fontId="57" fillId="21" borderId="40" xfId="0" applyFont="1" applyFill="1" applyBorder="1" applyAlignment="1">
      <alignment horizontal="center" wrapText="1"/>
    </xf>
    <xf numFmtId="0" fontId="57" fillId="21" borderId="33" xfId="0" applyFont="1" applyFill="1" applyBorder="1" applyAlignment="1">
      <alignment horizontal="center" wrapText="1"/>
    </xf>
    <xf numFmtId="0" fontId="57" fillId="10" borderId="29" xfId="0" applyFont="1" applyFill="1" applyBorder="1"/>
    <xf numFmtId="0" fontId="57" fillId="10" borderId="38" xfId="0" applyFont="1" applyFill="1" applyBorder="1" applyAlignment="1">
      <alignment horizontal="center"/>
    </xf>
    <xf numFmtId="0" fontId="57" fillId="2" borderId="30" xfId="0" applyFont="1" applyFill="1" applyBorder="1"/>
    <xf numFmtId="0" fontId="57" fillId="2" borderId="28" xfId="0" applyFont="1" applyFill="1" applyBorder="1" applyAlignment="1">
      <alignment wrapText="1"/>
    </xf>
    <xf numFmtId="0" fontId="57" fillId="2" borderId="42" xfId="0" applyFont="1" applyFill="1" applyBorder="1" applyAlignment="1">
      <alignment wrapText="1"/>
    </xf>
    <xf numFmtId="0" fontId="57" fillId="2" borderId="44" xfId="0" applyFont="1" applyFill="1" applyBorder="1"/>
    <xf numFmtId="0" fontId="57" fillId="2" borderId="45" xfId="0" applyFont="1" applyFill="1" applyBorder="1"/>
    <xf numFmtId="0" fontId="57" fillId="2" borderId="47" xfId="0" applyFont="1" applyFill="1" applyBorder="1"/>
    <xf numFmtId="0" fontId="57" fillId="2" borderId="48" xfId="0" applyFont="1" applyFill="1" applyBorder="1"/>
    <xf numFmtId="0" fontId="57" fillId="2" borderId="49" xfId="0" applyFont="1" applyFill="1" applyBorder="1"/>
    <xf numFmtId="0" fontId="57" fillId="2" borderId="42" xfId="0" applyFont="1" applyFill="1" applyBorder="1"/>
    <xf numFmtId="0" fontId="57" fillId="2" borderId="50" xfId="0" applyFont="1" applyFill="1" applyBorder="1"/>
    <xf numFmtId="0" fontId="57" fillId="2" borderId="54" xfId="0" applyFont="1" applyFill="1" applyBorder="1"/>
    <xf numFmtId="0" fontId="57" fillId="2" borderId="55" xfId="0" applyFont="1" applyFill="1" applyBorder="1"/>
    <xf numFmtId="0" fontId="57" fillId="2" borderId="56" xfId="0" applyFont="1" applyFill="1" applyBorder="1"/>
    <xf numFmtId="0" fontId="57" fillId="2" borderId="46" xfId="0" applyFont="1" applyFill="1" applyBorder="1"/>
    <xf numFmtId="0" fontId="57" fillId="2" borderId="51" xfId="0" applyFont="1" applyFill="1" applyBorder="1"/>
    <xf numFmtId="0" fontId="57" fillId="2" borderId="52" xfId="0" applyFont="1" applyFill="1" applyBorder="1"/>
    <xf numFmtId="0" fontId="57" fillId="2" borderId="53" xfId="0" applyFont="1" applyFill="1" applyBorder="1"/>
    <xf numFmtId="164" fontId="57" fillId="2" borderId="54" xfId="0" applyNumberFormat="1" applyFont="1" applyFill="1" applyBorder="1"/>
    <xf numFmtId="164" fontId="57" fillId="2" borderId="55" xfId="0" applyNumberFormat="1" applyFont="1" applyFill="1" applyBorder="1"/>
    <xf numFmtId="164" fontId="57" fillId="2" borderId="56" xfId="0" applyNumberFormat="1" applyFont="1" applyFill="1" applyBorder="1"/>
    <xf numFmtId="10" fontId="57" fillId="2" borderId="54" xfId="0" applyNumberFormat="1" applyFont="1" applyFill="1" applyBorder="1"/>
    <xf numFmtId="10" fontId="57" fillId="2" borderId="55" xfId="0" applyNumberFormat="1" applyFont="1" applyFill="1" applyBorder="1"/>
    <xf numFmtId="10" fontId="57" fillId="2" borderId="56" xfId="0" applyNumberFormat="1" applyFont="1" applyFill="1" applyBorder="1"/>
    <xf numFmtId="10" fontId="57" fillId="5" borderId="0" xfId="0" applyNumberFormat="1" applyFont="1" applyFill="1"/>
    <xf numFmtId="10" fontId="57" fillId="5" borderId="42" xfId="0" applyNumberFormat="1" applyFont="1" applyFill="1" applyBorder="1"/>
    <xf numFmtId="10" fontId="57" fillId="5" borderId="48" xfId="0" applyNumberFormat="1" applyFont="1" applyFill="1" applyBorder="1"/>
    <xf numFmtId="10" fontId="57" fillId="5" borderId="50" xfId="0" applyNumberFormat="1" applyFont="1" applyFill="1" applyBorder="1"/>
    <xf numFmtId="164" fontId="57" fillId="2" borderId="0" xfId="0" applyNumberFormat="1" applyFont="1" applyFill="1"/>
    <xf numFmtId="164" fontId="57" fillId="2" borderId="49" xfId="0" applyNumberFormat="1" applyFont="1" applyFill="1" applyBorder="1"/>
    <xf numFmtId="164" fontId="57" fillId="2" borderId="42" xfId="0" applyNumberFormat="1" applyFont="1" applyFill="1" applyBorder="1"/>
    <xf numFmtId="164" fontId="57" fillId="2" borderId="50" xfId="0" applyNumberFormat="1" applyFont="1" applyFill="1" applyBorder="1"/>
    <xf numFmtId="0" fontId="5" fillId="2" borderId="0" xfId="1" applyFill="1"/>
    <xf numFmtId="2" fontId="57" fillId="2" borderId="0" xfId="0" applyNumberFormat="1" applyFont="1" applyFill="1"/>
    <xf numFmtId="164" fontId="57" fillId="2" borderId="49" xfId="0" applyNumberFormat="1" applyFont="1" applyFill="1" applyBorder="1" applyAlignment="1">
      <alignment horizontal="right"/>
    </xf>
    <xf numFmtId="164" fontId="57" fillId="2" borderId="42" xfId="0" applyNumberFormat="1" applyFont="1" applyFill="1" applyBorder="1" applyAlignment="1">
      <alignment horizontal="right"/>
    </xf>
    <xf numFmtId="164" fontId="57" fillId="2" borderId="50" xfId="0" applyNumberFormat="1" applyFont="1" applyFill="1" applyBorder="1" applyAlignment="1">
      <alignment horizontal="right"/>
    </xf>
    <xf numFmtId="0" fontId="57" fillId="2" borderId="43" xfId="0" applyFont="1" applyFill="1" applyBorder="1" applyAlignment="1">
      <alignment horizontal="right"/>
    </xf>
    <xf numFmtId="0" fontId="57" fillId="2" borderId="44" xfId="0" applyFont="1" applyFill="1" applyBorder="1" applyAlignment="1">
      <alignment horizontal="right"/>
    </xf>
    <xf numFmtId="0" fontId="57" fillId="2" borderId="45" xfId="0" applyFont="1" applyFill="1" applyBorder="1" applyAlignment="1">
      <alignment horizontal="right"/>
    </xf>
    <xf numFmtId="2" fontId="57" fillId="2" borderId="54" xfId="0" applyNumberFormat="1" applyFont="1" applyFill="1" applyBorder="1"/>
    <xf numFmtId="2" fontId="57" fillId="2" borderId="55" xfId="0" applyNumberFormat="1" applyFont="1" applyFill="1" applyBorder="1"/>
    <xf numFmtId="2" fontId="57" fillId="2" borderId="56" xfId="0" applyNumberFormat="1" applyFont="1" applyFill="1" applyBorder="1"/>
    <xf numFmtId="0" fontId="57" fillId="2" borderId="51" xfId="0" applyFont="1" applyFill="1" applyBorder="1" applyAlignment="1">
      <alignment horizontal="right"/>
    </xf>
    <xf numFmtId="170" fontId="57" fillId="2" borderId="54" xfId="0" applyNumberFormat="1" applyFont="1" applyFill="1" applyBorder="1"/>
    <xf numFmtId="170" fontId="57" fillId="2" borderId="49" xfId="0" applyNumberFormat="1" applyFont="1" applyFill="1" applyBorder="1"/>
    <xf numFmtId="170" fontId="57" fillId="2" borderId="55" xfId="0" applyNumberFormat="1" applyFont="1" applyFill="1" applyBorder="1"/>
    <xf numFmtId="170" fontId="57" fillId="2" borderId="42" xfId="0" applyNumberFormat="1" applyFont="1" applyFill="1" applyBorder="1"/>
    <xf numFmtId="170" fontId="57" fillId="2" borderId="56" xfId="0" applyNumberFormat="1" applyFont="1" applyFill="1" applyBorder="1"/>
    <xf numFmtId="170" fontId="57" fillId="2" borderId="50" xfId="0" applyNumberFormat="1" applyFont="1" applyFill="1" applyBorder="1"/>
    <xf numFmtId="0" fontId="57" fillId="8" borderId="46" xfId="0" applyFont="1" applyFill="1" applyBorder="1"/>
    <xf numFmtId="0" fontId="57" fillId="8" borderId="44" xfId="0" applyFont="1" applyFill="1" applyBorder="1"/>
    <xf numFmtId="0" fontId="57" fillId="8" borderId="45" xfId="0" applyFont="1" applyFill="1" applyBorder="1"/>
    <xf numFmtId="164" fontId="57" fillId="8" borderId="45" xfId="0" applyNumberFormat="1" applyFont="1" applyFill="1" applyBorder="1"/>
    <xf numFmtId="170" fontId="57" fillId="8" borderId="45" xfId="0" applyNumberFormat="1" applyFont="1" applyFill="1" applyBorder="1"/>
    <xf numFmtId="170" fontId="57" fillId="8" borderId="44" xfId="0" applyNumberFormat="1" applyFont="1" applyFill="1" applyBorder="1"/>
    <xf numFmtId="0" fontId="5" fillId="2" borderId="0" xfId="1" applyFill="1" applyAlignment="1">
      <alignment horizontal="right"/>
    </xf>
    <xf numFmtId="0" fontId="5" fillId="2" borderId="47" xfId="1" applyFill="1" applyBorder="1" applyAlignment="1">
      <alignment horizontal="right"/>
    </xf>
    <xf numFmtId="2" fontId="57" fillId="2" borderId="47" xfId="0" applyNumberFormat="1" applyFont="1" applyFill="1" applyBorder="1"/>
    <xf numFmtId="2" fontId="57" fillId="2" borderId="48" xfId="0" applyNumberFormat="1" applyFont="1" applyFill="1" applyBorder="1"/>
    <xf numFmtId="2" fontId="57" fillId="8" borderId="45" xfId="0" applyNumberFormat="1" applyFont="1" applyFill="1" applyBorder="1"/>
    <xf numFmtId="2" fontId="57" fillId="2" borderId="51" xfId="0" applyNumberFormat="1" applyFont="1" applyFill="1" applyBorder="1"/>
    <xf numFmtId="2" fontId="57" fillId="2" borderId="52" xfId="0" applyNumberFormat="1" applyFont="1" applyFill="1" applyBorder="1"/>
    <xf numFmtId="2" fontId="57" fillId="2" borderId="53" xfId="0" applyNumberFormat="1" applyFont="1" applyFill="1" applyBorder="1"/>
    <xf numFmtId="2" fontId="65" fillId="23" borderId="54" xfId="6" applyNumberFormat="1" applyFont="1" applyBorder="1"/>
    <xf numFmtId="2" fontId="66" fillId="13" borderId="55" xfId="2" applyNumberFormat="1" applyFont="1" applyBorder="1"/>
    <xf numFmtId="2" fontId="65" fillId="23" borderId="56" xfId="6" applyNumberFormat="1" applyFont="1" applyBorder="1"/>
    <xf numFmtId="0" fontId="56" fillId="24" borderId="34" xfId="0" applyFont="1" applyFill="1" applyBorder="1"/>
    <xf numFmtId="170" fontId="56" fillId="24" borderId="37" xfId="0" applyNumberFormat="1" applyFont="1" applyFill="1" applyBorder="1"/>
    <xf numFmtId="170" fontId="56" fillId="24" borderId="0" xfId="0" applyNumberFormat="1" applyFont="1" applyFill="1"/>
    <xf numFmtId="0" fontId="57" fillId="2" borderId="0" xfId="0" applyFont="1" applyFill="1" applyAlignment="1">
      <alignment vertical="justify" wrapText="1"/>
    </xf>
    <xf numFmtId="0" fontId="67" fillId="2" borderId="52" xfId="0" applyFont="1" applyFill="1" applyBorder="1" applyAlignment="1">
      <alignment horizontal="left"/>
    </xf>
    <xf numFmtId="0" fontId="67" fillId="2" borderId="42" xfId="0" applyFont="1" applyFill="1" applyBorder="1" applyAlignment="1">
      <alignment horizontal="left"/>
    </xf>
    <xf numFmtId="10" fontId="67" fillId="2" borderId="55" xfId="0" applyNumberFormat="1" applyFont="1" applyFill="1" applyBorder="1"/>
    <xf numFmtId="0" fontId="67" fillId="2" borderId="53" xfId="0" applyFont="1" applyFill="1" applyBorder="1"/>
    <xf numFmtId="0" fontId="67" fillId="2" borderId="48" xfId="0" applyFont="1" applyFill="1" applyBorder="1"/>
    <xf numFmtId="10" fontId="67" fillId="2" borderId="56" xfId="0" applyNumberFormat="1" applyFont="1" applyFill="1" applyBorder="1"/>
    <xf numFmtId="0" fontId="67" fillId="2" borderId="0" xfId="0" applyFont="1" applyFill="1"/>
    <xf numFmtId="2" fontId="65" fillId="23" borderId="55" xfId="6" applyNumberFormat="1" applyFont="1" applyBorder="1"/>
    <xf numFmtId="0" fontId="61" fillId="20" borderId="0" xfId="0" applyFont="1" applyFill="1" applyAlignment="1">
      <alignment vertical="center"/>
    </xf>
    <xf numFmtId="10" fontId="57" fillId="20" borderId="51" xfId="0" applyNumberFormat="1" applyFont="1" applyFill="1" applyBorder="1"/>
    <xf numFmtId="10" fontId="57" fillId="20" borderId="52" xfId="0" applyNumberFormat="1" applyFont="1" applyFill="1" applyBorder="1"/>
    <xf numFmtId="10" fontId="57" fillId="20" borderId="53" xfId="0" applyNumberFormat="1" applyFont="1" applyFill="1" applyBorder="1"/>
    <xf numFmtId="0" fontId="57" fillId="20" borderId="30" xfId="0" applyFont="1" applyFill="1" applyBorder="1" applyAlignment="1">
      <alignment horizontal="right"/>
    </xf>
    <xf numFmtId="10" fontId="57" fillId="20" borderId="28" xfId="0" applyNumberFormat="1" applyFont="1" applyFill="1" applyBorder="1"/>
    <xf numFmtId="164" fontId="57" fillId="2" borderId="46" xfId="0" applyNumberFormat="1" applyFont="1" applyFill="1" applyBorder="1" applyAlignment="1">
      <alignment horizontal="right"/>
    </xf>
    <xf numFmtId="164" fontId="57" fillId="2" borderId="45" xfId="0" applyNumberFormat="1" applyFont="1" applyFill="1" applyBorder="1" applyAlignment="1">
      <alignment horizontal="right"/>
    </xf>
    <xf numFmtId="0" fontId="57" fillId="10" borderId="45" xfId="0" applyFont="1" applyFill="1" applyBorder="1"/>
    <xf numFmtId="0" fontId="57" fillId="10" borderId="44" xfId="0" applyFont="1" applyFill="1" applyBorder="1"/>
    <xf numFmtId="164" fontId="57" fillId="20" borderId="0" xfId="0" applyNumberFormat="1" applyFont="1" applyFill="1" applyAlignment="1">
      <alignment vertical="center" wrapText="1"/>
    </xf>
    <xf numFmtId="164" fontId="57" fillId="20" borderId="0" xfId="0" applyNumberFormat="1" applyFont="1" applyFill="1" applyAlignment="1">
      <alignment horizontal="right"/>
    </xf>
    <xf numFmtId="3" fontId="0" fillId="0" borderId="0" xfId="0" applyNumberFormat="1" applyAlignment="1">
      <alignment vertical="center" wrapText="1"/>
    </xf>
    <xf numFmtId="0" fontId="57" fillId="8" borderId="52" xfId="0" applyFont="1" applyFill="1" applyBorder="1"/>
    <xf numFmtId="0" fontId="57" fillId="8" borderId="55" xfId="0" applyFont="1" applyFill="1" applyBorder="1"/>
    <xf numFmtId="0" fontId="57" fillId="10" borderId="46" xfId="0" applyFont="1" applyFill="1" applyBorder="1"/>
    <xf numFmtId="0" fontId="57" fillId="9" borderId="45" xfId="0" applyFont="1" applyFill="1" applyBorder="1"/>
    <xf numFmtId="0" fontId="68" fillId="2" borderId="52" xfId="0" applyFont="1" applyFill="1" applyBorder="1"/>
    <xf numFmtId="0" fontId="56" fillId="2" borderId="0" xfId="0" applyFont="1" applyFill="1"/>
    <xf numFmtId="10" fontId="68" fillId="2" borderId="55" xfId="0" applyNumberFormat="1" applyFont="1" applyFill="1" applyBorder="1"/>
    <xf numFmtId="10" fontId="68" fillId="9" borderId="55" xfId="0" applyNumberFormat="1" applyFont="1" applyFill="1" applyBorder="1"/>
    <xf numFmtId="10" fontId="57" fillId="2" borderId="0" xfId="0" applyNumberFormat="1" applyFont="1" applyFill="1"/>
    <xf numFmtId="10" fontId="68" fillId="2" borderId="52" xfId="0" applyNumberFormat="1" applyFont="1" applyFill="1" applyBorder="1"/>
    <xf numFmtId="164" fontId="57" fillId="9" borderId="55" xfId="0" applyNumberFormat="1" applyFont="1" applyFill="1" applyBorder="1"/>
    <xf numFmtId="164" fontId="57" fillId="9" borderId="54" xfId="0" applyNumberFormat="1" applyFont="1" applyFill="1" applyBorder="1"/>
    <xf numFmtId="164" fontId="57" fillId="8" borderId="55" xfId="0" applyNumberFormat="1" applyFont="1" applyFill="1" applyBorder="1"/>
    <xf numFmtId="0" fontId="69" fillId="9" borderId="56" xfId="0" applyFont="1" applyFill="1" applyBorder="1"/>
    <xf numFmtId="164" fontId="57" fillId="9" borderId="45" xfId="0" applyNumberFormat="1" applyFont="1" applyFill="1" applyBorder="1"/>
    <xf numFmtId="0" fontId="57" fillId="2" borderId="0" xfId="0" applyFont="1" applyFill="1" applyAlignment="1">
      <alignment horizontal="right"/>
    </xf>
    <xf numFmtId="170" fontId="57" fillId="2" borderId="51" xfId="0" applyNumberFormat="1" applyFont="1" applyFill="1" applyBorder="1"/>
    <xf numFmtId="170" fontId="57" fillId="2" borderId="52" xfId="0" applyNumberFormat="1" applyFont="1" applyFill="1" applyBorder="1"/>
    <xf numFmtId="170" fontId="57" fillId="2" borderId="53" xfId="0" applyNumberFormat="1" applyFont="1" applyFill="1" applyBorder="1"/>
    <xf numFmtId="170" fontId="57" fillId="2" borderId="51" xfId="0" applyNumberFormat="1" applyFont="1" applyFill="1" applyBorder="1" applyAlignment="1">
      <alignment horizontal="right"/>
    </xf>
    <xf numFmtId="170" fontId="57" fillId="2" borderId="52" xfId="0" applyNumberFormat="1" applyFont="1" applyFill="1" applyBorder="1" applyAlignment="1">
      <alignment horizontal="right"/>
    </xf>
    <xf numFmtId="170" fontId="57" fillId="2" borderId="42" xfId="0" applyNumberFormat="1" applyFont="1" applyFill="1" applyBorder="1" applyAlignment="1">
      <alignment horizontal="right"/>
    </xf>
    <xf numFmtId="170" fontId="57" fillId="2" borderId="53" xfId="0" applyNumberFormat="1" applyFont="1" applyFill="1" applyBorder="1" applyAlignment="1">
      <alignment horizontal="right"/>
    </xf>
    <xf numFmtId="170" fontId="57" fillId="2" borderId="54" xfId="0" applyNumberFormat="1" applyFont="1" applyFill="1" applyBorder="1" applyAlignment="1">
      <alignment horizontal="right"/>
    </xf>
    <xf numFmtId="170" fontId="57" fillId="2" borderId="55" xfId="0" applyNumberFormat="1" applyFont="1" applyFill="1" applyBorder="1" applyAlignment="1">
      <alignment horizontal="right"/>
    </xf>
    <xf numFmtId="170" fontId="57" fillId="2" borderId="56" xfId="0" applyNumberFormat="1" applyFont="1" applyFill="1" applyBorder="1" applyAlignment="1">
      <alignment horizontal="right"/>
    </xf>
    <xf numFmtId="0" fontId="57" fillId="9" borderId="0" xfId="0" applyFont="1" applyFill="1" applyAlignment="1">
      <alignment horizontal="right"/>
    </xf>
    <xf numFmtId="0" fontId="57" fillId="9" borderId="0" xfId="0" applyFont="1" applyFill="1"/>
    <xf numFmtId="10" fontId="69" fillId="2" borderId="55" xfId="0" applyNumberFormat="1" applyFont="1" applyFill="1" applyBorder="1"/>
    <xf numFmtId="10" fontId="69" fillId="2" borderId="42" xfId="0" applyNumberFormat="1" applyFont="1" applyFill="1" applyBorder="1"/>
    <xf numFmtId="10" fontId="57" fillId="2" borderId="42" xfId="0" applyNumberFormat="1" applyFont="1" applyFill="1" applyBorder="1"/>
    <xf numFmtId="2" fontId="57" fillId="2" borderId="42" xfId="0" applyNumberFormat="1" applyFont="1" applyFill="1" applyBorder="1"/>
    <xf numFmtId="2" fontId="57" fillId="2" borderId="50" xfId="0" applyNumberFormat="1" applyFont="1" applyFill="1" applyBorder="1"/>
    <xf numFmtId="164" fontId="70" fillId="10" borderId="45" xfId="0" applyNumberFormat="1" applyFont="1" applyFill="1" applyBorder="1"/>
    <xf numFmtId="2" fontId="57" fillId="2" borderId="49" xfId="0" applyNumberFormat="1" applyFont="1" applyFill="1" applyBorder="1"/>
    <xf numFmtId="2" fontId="57" fillId="5" borderId="50" xfId="0" applyNumberFormat="1" applyFont="1" applyFill="1" applyBorder="1"/>
    <xf numFmtId="0" fontId="57" fillId="5" borderId="56" xfId="0" applyFont="1" applyFill="1" applyBorder="1"/>
    <xf numFmtId="164" fontId="57" fillId="10" borderId="44" xfId="0" applyNumberFormat="1" applyFont="1" applyFill="1" applyBorder="1"/>
    <xf numFmtId="164" fontId="57" fillId="9" borderId="49" xfId="0" applyNumberFormat="1" applyFont="1" applyFill="1" applyBorder="1"/>
    <xf numFmtId="164" fontId="57" fillId="9" borderId="50" xfId="0" applyNumberFormat="1" applyFont="1" applyFill="1" applyBorder="1"/>
    <xf numFmtId="0" fontId="57" fillId="9" borderId="54" xfId="0" applyFont="1" applyFill="1" applyBorder="1"/>
    <xf numFmtId="0" fontId="57" fillId="9" borderId="56" xfId="0" applyFont="1" applyFill="1" applyBorder="1"/>
    <xf numFmtId="10" fontId="57" fillId="9" borderId="49" xfId="0" applyNumberFormat="1" applyFont="1" applyFill="1" applyBorder="1"/>
    <xf numFmtId="10" fontId="69" fillId="9" borderId="42" xfId="0" applyNumberFormat="1" applyFont="1" applyFill="1" applyBorder="1"/>
    <xf numFmtId="10" fontId="57" fillId="9" borderId="50" xfId="0" applyNumberFormat="1" applyFont="1" applyFill="1" applyBorder="1"/>
    <xf numFmtId="0" fontId="57" fillId="9" borderId="55" xfId="0" applyFont="1" applyFill="1" applyBorder="1"/>
    <xf numFmtId="10" fontId="57" fillId="2" borderId="50" xfId="0" applyNumberFormat="1" applyFont="1" applyFill="1" applyBorder="1"/>
    <xf numFmtId="2" fontId="57" fillId="8" borderId="49" xfId="0" applyNumberFormat="1" applyFont="1" applyFill="1" applyBorder="1"/>
    <xf numFmtId="170" fontId="5" fillId="8" borderId="50" xfId="1" applyNumberFormat="1" applyFill="1" applyBorder="1"/>
    <xf numFmtId="0" fontId="57" fillId="8" borderId="54" xfId="0" applyFont="1" applyFill="1" applyBorder="1"/>
    <xf numFmtId="0" fontId="5" fillId="8" borderId="56" xfId="1" applyFill="1" applyBorder="1"/>
    <xf numFmtId="10" fontId="57" fillId="2" borderId="47" xfId="0" applyNumberFormat="1" applyFont="1" applyFill="1" applyBorder="1"/>
    <xf numFmtId="10" fontId="57" fillId="2" borderId="48" xfId="0" applyNumberFormat="1" applyFont="1" applyFill="1" applyBorder="1"/>
    <xf numFmtId="164" fontId="56" fillId="2" borderId="54" xfId="0" applyNumberFormat="1" applyFont="1" applyFill="1" applyBorder="1"/>
    <xf numFmtId="10" fontId="57" fillId="8" borderId="54" xfId="0" applyNumberFormat="1" applyFont="1" applyFill="1" applyBorder="1"/>
    <xf numFmtId="10" fontId="57" fillId="8" borderId="49" xfId="0" applyNumberFormat="1" applyFont="1" applyFill="1" applyBorder="1"/>
    <xf numFmtId="164" fontId="57" fillId="10" borderId="55" xfId="0" applyNumberFormat="1" applyFont="1" applyFill="1" applyBorder="1"/>
    <xf numFmtId="2" fontId="56" fillId="2" borderId="54" xfId="0" applyNumberFormat="1" applyFont="1" applyFill="1" applyBorder="1"/>
    <xf numFmtId="2" fontId="57" fillId="10" borderId="55" xfId="0" applyNumberFormat="1" applyFont="1" applyFill="1" applyBorder="1"/>
    <xf numFmtId="0" fontId="57" fillId="2" borderId="0" xfId="0" applyFont="1" applyFill="1" applyAlignment="1">
      <alignment vertical="top"/>
    </xf>
    <xf numFmtId="9" fontId="0" fillId="0" borderId="0" xfId="0" applyNumberFormat="1" applyAlignment="1">
      <alignment vertical="center" wrapText="1"/>
    </xf>
    <xf numFmtId="0" fontId="73" fillId="23" borderId="30" xfId="6" applyFont="1" applyBorder="1" applyAlignment="1">
      <alignment horizontal="right" vertical="center"/>
    </xf>
    <xf numFmtId="2" fontId="65" fillId="23" borderId="45" xfId="6" applyNumberFormat="1" applyFont="1" applyBorder="1"/>
    <xf numFmtId="0" fontId="74" fillId="2" borderId="0" xfId="0" applyFont="1" applyFill="1"/>
    <xf numFmtId="0" fontId="77" fillId="2" borderId="0" xfId="0" applyFont="1" applyFill="1" applyAlignment="1">
      <alignment vertical="center"/>
    </xf>
    <xf numFmtId="0" fontId="77" fillId="20" borderId="0" xfId="0" applyFont="1" applyFill="1" applyAlignment="1">
      <alignment horizontal="center" vertical="center"/>
    </xf>
    <xf numFmtId="0" fontId="61" fillId="20" borderId="0" xfId="0" applyFont="1" applyFill="1" applyAlignment="1">
      <alignment horizontal="left" vertical="center"/>
    </xf>
    <xf numFmtId="0" fontId="58" fillId="20" borderId="0" xfId="0" applyFont="1" applyFill="1" applyAlignment="1">
      <alignment horizontal="center" vertical="center"/>
    </xf>
    <xf numFmtId="0" fontId="75" fillId="17" borderId="0" xfId="0" applyFont="1" applyFill="1" applyAlignment="1">
      <alignment horizontal="center" vertical="center"/>
    </xf>
    <xf numFmtId="0" fontId="76" fillId="23" borderId="0" xfId="6" applyFont="1" applyAlignment="1">
      <alignment horizontal="center" vertical="center"/>
    </xf>
    <xf numFmtId="0" fontId="74" fillId="2" borderId="0" xfId="0" applyFont="1" applyFill="1" applyAlignment="1">
      <alignment horizontal="justify" vertical="top" wrapText="1"/>
    </xf>
    <xf numFmtId="0" fontId="74" fillId="2" borderId="0" xfId="0" applyFont="1" applyFill="1" applyAlignment="1">
      <alignment horizontal="justify" vertical="top"/>
    </xf>
    <xf numFmtId="0" fontId="25" fillId="5" borderId="0" xfId="0" applyFont="1" applyFill="1" applyAlignment="1">
      <alignment horizontal="center"/>
    </xf>
    <xf numFmtId="0" fontId="38" fillId="14" borderId="0" xfId="3" applyAlignment="1">
      <alignment horizontal="left"/>
    </xf>
    <xf numFmtId="17" fontId="17" fillId="9" borderId="0" xfId="0" applyNumberFormat="1" applyFont="1" applyFill="1" applyAlignment="1">
      <alignment horizontal="right" vertical="center"/>
    </xf>
    <xf numFmtId="0" fontId="17" fillId="9" borderId="0" xfId="0" applyFont="1" applyFill="1" applyAlignment="1">
      <alignment horizontal="center" vertical="center"/>
    </xf>
    <xf numFmtId="0" fontId="50" fillId="5" borderId="7" xfId="4" applyFont="1" applyFill="1" applyBorder="1" applyAlignment="1">
      <alignment horizontal="center" vertical="center"/>
    </xf>
    <xf numFmtId="0" fontId="50" fillId="5" borderId="2" xfId="4" applyFont="1" applyFill="1" applyBorder="1" applyAlignment="1">
      <alignment horizontal="center" vertical="center"/>
    </xf>
    <xf numFmtId="0" fontId="50" fillId="5" borderId="4" xfId="4" applyFont="1" applyFill="1" applyBorder="1" applyAlignment="1">
      <alignment horizontal="center" vertical="center"/>
    </xf>
    <xf numFmtId="0" fontId="50" fillId="5" borderId="14" xfId="4" applyFont="1" applyFill="1" applyBorder="1" applyAlignment="1">
      <alignment horizontal="center" vertical="center"/>
    </xf>
    <xf numFmtId="0" fontId="50" fillId="5" borderId="0" xfId="4" applyFont="1" applyFill="1" applyBorder="1" applyAlignment="1">
      <alignment horizontal="center" vertical="center"/>
    </xf>
    <xf numFmtId="0" fontId="50" fillId="5" borderId="12" xfId="4" applyFont="1" applyFill="1" applyBorder="1" applyAlignment="1">
      <alignment horizontal="center" vertical="center"/>
    </xf>
    <xf numFmtId="0" fontId="50" fillId="5" borderId="8" xfId="4" applyFont="1" applyFill="1" applyBorder="1" applyAlignment="1">
      <alignment horizontal="center" vertical="center"/>
    </xf>
    <xf numFmtId="0" fontId="50" fillId="5" borderId="15" xfId="4" applyFont="1" applyFill="1" applyBorder="1" applyAlignment="1">
      <alignment horizontal="center" vertical="center"/>
    </xf>
    <xf numFmtId="0" fontId="50" fillId="5" borderId="5" xfId="4" applyFont="1" applyFill="1" applyBorder="1" applyAlignment="1">
      <alignment horizontal="center" vertical="center"/>
    </xf>
    <xf numFmtId="0" fontId="1" fillId="2" borderId="7" xfId="0" applyFont="1" applyFill="1" applyBorder="1" applyAlignment="1">
      <alignment horizontal="left"/>
    </xf>
    <xf numFmtId="0" fontId="1" fillId="2" borderId="4" xfId="0" applyFont="1" applyFill="1" applyBorder="1" applyAlignment="1">
      <alignment horizontal="left"/>
    </xf>
    <xf numFmtId="0" fontId="1" fillId="2" borderId="14" xfId="0" applyFont="1" applyFill="1" applyBorder="1" applyAlignment="1">
      <alignment horizontal="left"/>
    </xf>
    <xf numFmtId="0" fontId="1" fillId="2" borderId="12" xfId="0" applyFont="1" applyFill="1" applyBorder="1" applyAlignment="1">
      <alignment horizontal="left"/>
    </xf>
    <xf numFmtId="0" fontId="6" fillId="8" borderId="8" xfId="0" applyFont="1" applyFill="1" applyBorder="1" applyAlignment="1">
      <alignment horizontal="left"/>
    </xf>
    <xf numFmtId="0" fontId="6" fillId="8" borderId="5" xfId="0" applyFont="1" applyFill="1" applyBorder="1" applyAlignment="1">
      <alignment horizontal="left"/>
    </xf>
    <xf numFmtId="0" fontId="6" fillId="8" borderId="8" xfId="0" applyFont="1" applyFill="1" applyBorder="1" applyAlignment="1">
      <alignment horizontal="left" vertical="center"/>
    </xf>
    <xf numFmtId="0" fontId="6" fillId="8" borderId="5" xfId="0" applyFont="1" applyFill="1" applyBorder="1" applyAlignment="1">
      <alignment horizontal="left" vertical="center"/>
    </xf>
    <xf numFmtId="0" fontId="1" fillId="2" borderId="2" xfId="0" applyFont="1" applyFill="1" applyBorder="1" applyAlignment="1">
      <alignment horizontal="center"/>
    </xf>
    <xf numFmtId="0" fontId="1" fillId="2" borderId="4" xfId="0" applyFont="1" applyFill="1" applyBorder="1" applyAlignment="1">
      <alignment horizontal="center"/>
    </xf>
    <xf numFmtId="0" fontId="1" fillId="2" borderId="0" xfId="0" applyFont="1" applyFill="1" applyAlignment="1">
      <alignment horizontal="center"/>
    </xf>
    <xf numFmtId="0" fontId="1" fillId="2" borderId="12" xfId="0" applyFont="1" applyFill="1" applyBorder="1" applyAlignment="1">
      <alignment horizontal="center"/>
    </xf>
    <xf numFmtId="0" fontId="1" fillId="2" borderId="15" xfId="0" applyFont="1" applyFill="1" applyBorder="1" applyAlignment="1">
      <alignment horizontal="center"/>
    </xf>
    <xf numFmtId="0" fontId="1" fillId="2" borderId="5" xfId="0" applyFont="1" applyFill="1" applyBorder="1" applyAlignment="1">
      <alignment horizontal="center"/>
    </xf>
    <xf numFmtId="0" fontId="17" fillId="9" borderId="0" xfId="0" applyFont="1" applyFill="1" applyAlignment="1">
      <alignment horizontal="left" vertical="center"/>
    </xf>
    <xf numFmtId="17" fontId="17" fillId="9" borderId="0" xfId="0" applyNumberFormat="1" applyFont="1" applyFill="1" applyAlignment="1">
      <alignment horizontal="center" vertical="center" wrapText="1"/>
    </xf>
    <xf numFmtId="17" fontId="17" fillId="9" borderId="0" xfId="0" applyNumberFormat="1" applyFont="1" applyFill="1" applyAlignment="1">
      <alignment horizontal="center" vertical="center"/>
    </xf>
    <xf numFmtId="164" fontId="45" fillId="6" borderId="0" xfId="0" applyNumberFormat="1" applyFont="1" applyFill="1" applyAlignment="1">
      <alignment horizontal="left" vertical="center"/>
    </xf>
    <xf numFmtId="164" fontId="8" fillId="6" borderId="0" xfId="0" applyNumberFormat="1" applyFont="1" applyFill="1" applyAlignment="1">
      <alignment horizontal="center" vertical="center"/>
    </xf>
    <xf numFmtId="0" fontId="1" fillId="2" borderId="2" xfId="0" applyFont="1" applyFill="1" applyBorder="1" applyAlignment="1">
      <alignment horizontal="justify" wrapText="1"/>
    </xf>
    <xf numFmtId="0" fontId="1" fillId="2" borderId="4" xfId="0" applyFont="1" applyFill="1" applyBorder="1" applyAlignment="1">
      <alignment horizontal="justify" wrapText="1"/>
    </xf>
    <xf numFmtId="0" fontId="1" fillId="2" borderId="0" xfId="0" applyFont="1" applyFill="1" applyAlignment="1">
      <alignment horizontal="justify" wrapText="1"/>
    </xf>
    <xf numFmtId="0" fontId="1" fillId="2" borderId="12" xfId="0" applyFont="1" applyFill="1" applyBorder="1" applyAlignment="1">
      <alignment horizontal="justify" wrapText="1"/>
    </xf>
    <xf numFmtId="0" fontId="1" fillId="2" borderId="15" xfId="0" applyFont="1" applyFill="1" applyBorder="1" applyAlignment="1">
      <alignment horizontal="justify" wrapText="1"/>
    </xf>
    <xf numFmtId="0" fontId="1" fillId="2" borderId="5" xfId="0" applyFont="1" applyFill="1" applyBorder="1" applyAlignment="1">
      <alignment horizontal="justify" wrapText="1"/>
    </xf>
    <xf numFmtId="164" fontId="17" fillId="9" borderId="0" xfId="0" applyNumberFormat="1" applyFont="1" applyFill="1" applyAlignment="1">
      <alignment horizontal="center" vertical="center"/>
    </xf>
    <xf numFmtId="164" fontId="22" fillId="2" borderId="2" xfId="1" applyNumberFormat="1" applyFont="1" applyFill="1" applyBorder="1" applyAlignment="1">
      <alignment horizontal="center" vertical="center"/>
    </xf>
    <xf numFmtId="164" fontId="22" fillId="2" borderId="0" xfId="1" applyNumberFormat="1" applyFont="1" applyFill="1" applyAlignment="1">
      <alignment horizontal="center" vertical="center"/>
    </xf>
    <xf numFmtId="164" fontId="21" fillId="2" borderId="0" xfId="0" applyNumberFormat="1" applyFont="1" applyFill="1" applyAlignment="1">
      <alignment horizontal="left" vertical="center"/>
    </xf>
    <xf numFmtId="164" fontId="17" fillId="9" borderId="0" xfId="0" applyNumberFormat="1" applyFont="1" applyFill="1" applyAlignment="1">
      <alignment horizontal="left" vertical="center"/>
    </xf>
    <xf numFmtId="164" fontId="14" fillId="6" borderId="0" xfId="0" applyNumberFormat="1" applyFont="1" applyFill="1" applyAlignment="1">
      <alignment horizontal="center" vertical="center" wrapText="1"/>
    </xf>
    <xf numFmtId="164" fontId="22" fillId="2" borderId="0" xfId="1" applyNumberFormat="1" applyFont="1" applyFill="1" applyBorder="1" applyAlignment="1">
      <alignment horizontal="center" vertical="center"/>
    </xf>
    <xf numFmtId="164" fontId="44" fillId="9" borderId="0" xfId="0" applyNumberFormat="1" applyFont="1" applyFill="1" applyAlignment="1">
      <alignment horizontal="center" vertical="center"/>
    </xf>
    <xf numFmtId="10" fontId="17" fillId="9" borderId="0" xfId="0" applyNumberFormat="1" applyFont="1" applyFill="1" applyAlignment="1">
      <alignment horizontal="center" vertical="center"/>
    </xf>
    <xf numFmtId="164" fontId="6" fillId="9" borderId="0" xfId="0" applyNumberFormat="1" applyFont="1" applyFill="1" applyAlignment="1">
      <alignment horizontal="center"/>
    </xf>
    <xf numFmtId="164" fontId="6" fillId="9" borderId="12" xfId="0" applyNumberFormat="1" applyFont="1" applyFill="1" applyBorder="1" applyAlignment="1">
      <alignment horizontal="center"/>
    </xf>
    <xf numFmtId="164" fontId="1" fillId="9" borderId="0" xfId="0" applyNumberFormat="1" applyFont="1" applyFill="1" applyAlignment="1">
      <alignment horizontal="center" wrapText="1"/>
    </xf>
    <xf numFmtId="164" fontId="1" fillId="9" borderId="12" xfId="0" applyNumberFormat="1" applyFont="1" applyFill="1" applyBorder="1" applyAlignment="1">
      <alignment horizontal="center" wrapText="1"/>
    </xf>
    <xf numFmtId="164" fontId="1" fillId="9" borderId="0" xfId="0" applyNumberFormat="1" applyFont="1" applyFill="1" applyAlignment="1">
      <alignment horizontal="center"/>
    </xf>
    <xf numFmtId="164" fontId="1" fillId="9" borderId="12" xfId="0" applyNumberFormat="1" applyFont="1" applyFill="1" applyBorder="1" applyAlignment="1">
      <alignment horizontal="center"/>
    </xf>
    <xf numFmtId="164" fontId="6" fillId="9" borderId="0" xfId="0" applyNumberFormat="1" applyFont="1" applyFill="1" applyAlignment="1">
      <alignment horizontal="center" wrapText="1"/>
    </xf>
    <xf numFmtId="164" fontId="6" fillId="9" borderId="12" xfId="0" applyNumberFormat="1" applyFont="1" applyFill="1" applyBorder="1" applyAlignment="1">
      <alignment horizontal="center" wrapText="1"/>
    </xf>
    <xf numFmtId="164" fontId="6" fillId="11" borderId="7" xfId="0" applyNumberFormat="1" applyFont="1" applyFill="1" applyBorder="1" applyAlignment="1">
      <alignment horizontal="center"/>
    </xf>
    <xf numFmtId="164" fontId="6" fillId="11" borderId="2" xfId="0" applyNumberFormat="1" applyFont="1" applyFill="1" applyBorder="1" applyAlignment="1">
      <alignment horizontal="center"/>
    </xf>
    <xf numFmtId="164" fontId="6" fillId="11" borderId="4" xfId="0" applyNumberFormat="1" applyFont="1" applyFill="1" applyBorder="1" applyAlignment="1">
      <alignment horizontal="center"/>
    </xf>
    <xf numFmtId="164" fontId="14" fillId="6" borderId="0" xfId="0" applyNumberFormat="1" applyFont="1" applyFill="1" applyAlignment="1">
      <alignment horizontal="right" vertical="center"/>
    </xf>
    <xf numFmtId="0" fontId="1" fillId="2" borderId="8" xfId="0" applyFont="1" applyFill="1" applyBorder="1" applyAlignment="1">
      <alignment horizontal="left"/>
    </xf>
    <xf numFmtId="0" fontId="1" fillId="2" borderId="5" xfId="0" applyFont="1" applyFill="1" applyBorder="1" applyAlignment="1">
      <alignment horizontal="left"/>
    </xf>
    <xf numFmtId="0" fontId="24" fillId="5" borderId="0" xfId="0" applyFont="1" applyFill="1" applyAlignment="1">
      <alignment horizontal="left"/>
    </xf>
    <xf numFmtId="0" fontId="6" fillId="10" borderId="0" xfId="0" applyFont="1" applyFill="1" applyAlignment="1">
      <alignment horizontal="center"/>
    </xf>
    <xf numFmtId="164" fontId="1" fillId="2" borderId="14" xfId="0" applyNumberFormat="1" applyFont="1" applyFill="1" applyBorder="1" applyAlignment="1">
      <alignment horizontal="left"/>
    </xf>
    <xf numFmtId="164" fontId="1" fillId="2" borderId="12" xfId="0" applyNumberFormat="1" applyFont="1" applyFill="1" applyBorder="1" applyAlignment="1">
      <alignment horizontal="left"/>
    </xf>
    <xf numFmtId="0" fontId="24" fillId="10" borderId="0" xfId="0" applyFont="1" applyFill="1" applyAlignment="1">
      <alignment horizontal="left"/>
    </xf>
    <xf numFmtId="0" fontId="17" fillId="5" borderId="0" xfId="0" applyFont="1" applyFill="1" applyAlignment="1">
      <alignment horizontal="center" vertical="center"/>
    </xf>
    <xf numFmtId="0" fontId="6" fillId="2" borderId="9" xfId="0" applyFont="1" applyFill="1" applyBorder="1" applyAlignment="1">
      <alignment horizontal="center"/>
    </xf>
    <xf numFmtId="0" fontId="6" fillId="2" borderId="18" xfId="0" applyFont="1" applyFill="1" applyBorder="1" applyAlignment="1">
      <alignment horizontal="center"/>
    </xf>
    <xf numFmtId="0" fontId="6" fillId="2" borderId="3" xfId="0" applyFont="1" applyFill="1" applyBorder="1" applyAlignment="1">
      <alignment horizontal="center"/>
    </xf>
    <xf numFmtId="0" fontId="36" fillId="2" borderId="10" xfId="0" applyFont="1" applyFill="1" applyBorder="1" applyAlignment="1">
      <alignment horizontal="left"/>
    </xf>
    <xf numFmtId="0" fontId="36" fillId="2" borderId="13" xfId="0" applyFont="1" applyFill="1" applyBorder="1" applyAlignment="1">
      <alignment horizontal="left"/>
    </xf>
    <xf numFmtId="0" fontId="36" fillId="2" borderId="11" xfId="0" applyFont="1" applyFill="1" applyBorder="1" applyAlignment="1">
      <alignment horizontal="left"/>
    </xf>
    <xf numFmtId="0" fontId="8" fillId="6" borderId="0" xfId="0" applyFont="1" applyFill="1" applyAlignment="1">
      <alignment horizontal="center" vertical="center" wrapText="1"/>
    </xf>
    <xf numFmtId="0" fontId="6" fillId="2" borderId="0" xfId="0" applyFont="1" applyFill="1" applyAlignment="1">
      <alignment horizontal="left"/>
    </xf>
    <xf numFmtId="0" fontId="31" fillId="9" borderId="0" xfId="0" applyFont="1" applyFill="1" applyAlignment="1">
      <alignment horizontal="center" vertical="center" wrapText="1"/>
    </xf>
    <xf numFmtId="0" fontId="31" fillId="9" borderId="0" xfId="0" applyFont="1" applyFill="1" applyAlignment="1">
      <alignment horizontal="center" vertical="center"/>
    </xf>
    <xf numFmtId="0" fontId="31" fillId="9" borderId="0" xfId="0" applyFont="1" applyFill="1" applyAlignment="1">
      <alignment horizontal="center"/>
    </xf>
    <xf numFmtId="0" fontId="17" fillId="9" borderId="0" xfId="0" applyFont="1" applyFill="1" applyAlignment="1">
      <alignment vertical="center"/>
    </xf>
    <xf numFmtId="17" fontId="47" fillId="7" borderId="0" xfId="0" applyNumberFormat="1" applyFont="1" applyFill="1" applyAlignment="1">
      <alignment horizontal="center" vertical="center"/>
    </xf>
    <xf numFmtId="0" fontId="57" fillId="20" borderId="28" xfId="0" applyFont="1" applyFill="1" applyBorder="1"/>
    <xf numFmtId="0" fontId="59" fillId="2" borderId="0" xfId="0" applyFont="1" applyFill="1" applyAlignment="1">
      <alignment horizontal="center" vertical="center"/>
    </xf>
    <xf numFmtId="0" fontId="60" fillId="2" borderId="0" xfId="0" applyFont="1" applyFill="1" applyAlignment="1">
      <alignment horizontal="center" vertical="center"/>
    </xf>
    <xf numFmtId="0" fontId="60" fillId="2" borderId="28" xfId="0" applyFont="1" applyFill="1" applyBorder="1" applyAlignment="1">
      <alignment horizontal="center" vertical="center"/>
    </xf>
    <xf numFmtId="0" fontId="57" fillId="9" borderId="0" xfId="0" applyFont="1" applyFill="1" applyAlignment="1">
      <alignment horizontal="justify" vertical="top" wrapText="1"/>
    </xf>
    <xf numFmtId="0" fontId="57" fillId="20" borderId="28" xfId="0" applyFont="1" applyFill="1" applyBorder="1" applyAlignment="1">
      <alignment horizontal="left"/>
    </xf>
    <xf numFmtId="0" fontId="57" fillId="20" borderId="0" xfId="0" applyFont="1" applyFill="1" applyAlignment="1">
      <alignment horizontal="left"/>
    </xf>
    <xf numFmtId="0" fontId="62" fillId="2" borderId="0" xfId="0" applyFont="1" applyFill="1" applyAlignment="1">
      <alignment horizontal="left"/>
    </xf>
    <xf numFmtId="0" fontId="57" fillId="2" borderId="0" xfId="0" applyFont="1" applyFill="1" applyAlignment="1">
      <alignment horizontal="justify" wrapText="1"/>
    </xf>
    <xf numFmtId="0" fontId="57" fillId="2" borderId="0" xfId="0" applyFont="1" applyFill="1" applyAlignment="1">
      <alignment horizontal="justify" vertical="top" wrapText="1"/>
    </xf>
    <xf numFmtId="0" fontId="57" fillId="2" borderId="0" xfId="0" applyFont="1" applyFill="1" applyAlignment="1">
      <alignment horizontal="justify"/>
    </xf>
    <xf numFmtId="0" fontId="57" fillId="2" borderId="40" xfId="0" applyFont="1" applyFill="1" applyBorder="1" applyAlignment="1">
      <alignment horizontal="center"/>
    </xf>
    <xf numFmtId="0" fontId="57" fillId="2" borderId="0" xfId="0" applyFont="1" applyFill="1" applyAlignment="1">
      <alignment horizontal="center"/>
    </xf>
    <xf numFmtId="0" fontId="57" fillId="2" borderId="33" xfId="0" applyFont="1" applyFill="1" applyBorder="1" applyAlignment="1">
      <alignment horizontal="center"/>
    </xf>
    <xf numFmtId="0" fontId="57" fillId="2" borderId="41" xfId="0" applyFont="1" applyFill="1" applyBorder="1" applyAlignment="1">
      <alignment horizontal="center"/>
    </xf>
    <xf numFmtId="0" fontId="57" fillId="2" borderId="28" xfId="0" applyFont="1" applyFill="1" applyBorder="1" applyAlignment="1">
      <alignment horizontal="center"/>
    </xf>
    <xf numFmtId="0" fontId="57" fillId="2" borderId="34" xfId="0" applyFont="1" applyFill="1" applyBorder="1" applyAlignment="1">
      <alignment horizontal="center"/>
    </xf>
    <xf numFmtId="0" fontId="57" fillId="2" borderId="40" xfId="0" applyFont="1" applyFill="1" applyBorder="1" applyAlignment="1">
      <alignment horizontal="left"/>
    </xf>
    <xf numFmtId="0" fontId="57" fillId="2" borderId="33" xfId="0" applyFont="1" applyFill="1" applyBorder="1" applyAlignment="1">
      <alignment horizontal="left"/>
    </xf>
    <xf numFmtId="0" fontId="57" fillId="2" borderId="41" xfId="0" applyFont="1" applyFill="1" applyBorder="1" applyAlignment="1">
      <alignment horizontal="left"/>
    </xf>
    <xf numFmtId="0" fontId="57" fillId="2" borderId="34" xfId="0" applyFont="1" applyFill="1" applyBorder="1" applyAlignment="1">
      <alignment horizontal="left"/>
    </xf>
    <xf numFmtId="0" fontId="57" fillId="12" borderId="39" xfId="0" applyFont="1" applyFill="1" applyBorder="1" applyAlignment="1">
      <alignment horizontal="justify" wrapText="1"/>
    </xf>
    <xf numFmtId="0" fontId="57" fillId="12" borderId="30" xfId="0" applyFont="1" applyFill="1" applyBorder="1" applyAlignment="1">
      <alignment horizontal="justify" wrapText="1"/>
    </xf>
    <xf numFmtId="0" fontId="57" fillId="12" borderId="32" xfId="0" applyFont="1" applyFill="1" applyBorder="1" applyAlignment="1">
      <alignment horizontal="justify" wrapText="1"/>
    </xf>
    <xf numFmtId="0" fontId="57" fillId="12" borderId="40" xfId="0" applyFont="1" applyFill="1" applyBorder="1" applyAlignment="1">
      <alignment horizontal="justify" wrapText="1"/>
    </xf>
    <xf numFmtId="0" fontId="57" fillId="12" borderId="0" xfId="0" applyFont="1" applyFill="1" applyAlignment="1">
      <alignment horizontal="justify" wrapText="1"/>
    </xf>
    <xf numFmtId="0" fontId="57" fillId="12" borderId="33" xfId="0" applyFont="1" applyFill="1" applyBorder="1" applyAlignment="1">
      <alignment horizontal="justify" wrapText="1"/>
    </xf>
    <xf numFmtId="0" fontId="57" fillId="12" borderId="41" xfId="0" applyFont="1" applyFill="1" applyBorder="1" applyAlignment="1">
      <alignment horizontal="justify" wrapText="1"/>
    </xf>
    <xf numFmtId="0" fontId="57" fillId="12" borderId="28" xfId="0" applyFont="1" applyFill="1" applyBorder="1" applyAlignment="1">
      <alignment horizontal="justify" wrapText="1"/>
    </xf>
    <xf numFmtId="0" fontId="57" fillId="12" borderId="34" xfId="0" applyFont="1" applyFill="1" applyBorder="1" applyAlignment="1">
      <alignment horizontal="justify" wrapText="1"/>
    </xf>
    <xf numFmtId="0" fontId="57" fillId="11" borderId="39" xfId="0" applyFont="1" applyFill="1" applyBorder="1" applyAlignment="1">
      <alignment horizontal="justify" wrapText="1"/>
    </xf>
    <xf numFmtId="0" fontId="57" fillId="11" borderId="30" xfId="0" applyFont="1" applyFill="1" applyBorder="1" applyAlignment="1">
      <alignment horizontal="justify" wrapText="1"/>
    </xf>
    <xf numFmtId="0" fontId="57" fillId="11" borderId="32" xfId="0" applyFont="1" applyFill="1" applyBorder="1" applyAlignment="1">
      <alignment horizontal="justify" wrapText="1"/>
    </xf>
    <xf numFmtId="0" fontId="57" fillId="11" borderId="40" xfId="0" applyFont="1" applyFill="1" applyBorder="1" applyAlignment="1">
      <alignment horizontal="justify" wrapText="1"/>
    </xf>
    <xf numFmtId="0" fontId="57" fillId="11" borderId="0" xfId="0" applyFont="1" applyFill="1" applyAlignment="1">
      <alignment horizontal="justify" wrapText="1"/>
    </xf>
    <xf numFmtId="0" fontId="57" fillId="11" borderId="33" xfId="0" applyFont="1" applyFill="1" applyBorder="1" applyAlignment="1">
      <alignment horizontal="justify" wrapText="1"/>
    </xf>
    <xf numFmtId="0" fontId="57" fillId="11" borderId="41" xfId="0" applyFont="1" applyFill="1" applyBorder="1" applyAlignment="1">
      <alignment horizontal="justify" wrapText="1"/>
    </xf>
    <xf numFmtId="0" fontId="57" fillId="11" borderId="28" xfId="0" applyFont="1" applyFill="1" applyBorder="1" applyAlignment="1">
      <alignment horizontal="justify" wrapText="1"/>
    </xf>
    <xf numFmtId="0" fontId="57" fillId="11" borderId="34" xfId="0" applyFont="1" applyFill="1" applyBorder="1" applyAlignment="1">
      <alignment horizontal="justify" wrapText="1"/>
    </xf>
    <xf numFmtId="0" fontId="57" fillId="9" borderId="0" xfId="0" applyFont="1" applyFill="1" applyAlignment="1">
      <alignment horizontal="center" vertical="center"/>
    </xf>
    <xf numFmtId="0" fontId="57" fillId="10" borderId="38" xfId="0" applyFont="1" applyFill="1" applyBorder="1" applyAlignment="1">
      <alignment horizontal="left"/>
    </xf>
    <xf numFmtId="0" fontId="57" fillId="10" borderId="31" xfId="0" applyFont="1" applyFill="1" applyBorder="1" applyAlignment="1">
      <alignment horizontal="left"/>
    </xf>
    <xf numFmtId="0" fontId="57" fillId="10" borderId="29" xfId="0" applyFont="1" applyFill="1" applyBorder="1" applyAlignment="1">
      <alignment horizontal="center"/>
    </xf>
    <xf numFmtId="0" fontId="57" fillId="10" borderId="31" xfId="0" applyFont="1" applyFill="1" applyBorder="1" applyAlignment="1">
      <alignment horizontal="center"/>
    </xf>
    <xf numFmtId="0" fontId="57" fillId="2" borderId="39" xfId="0" applyFont="1" applyFill="1" applyBorder="1" applyAlignment="1">
      <alignment horizontal="left"/>
    </xf>
    <xf numFmtId="0" fontId="57" fillId="2" borderId="32" xfId="0" applyFont="1" applyFill="1" applyBorder="1" applyAlignment="1">
      <alignment horizontal="left"/>
    </xf>
    <xf numFmtId="0" fontId="57" fillId="2" borderId="39" xfId="0" applyFont="1" applyFill="1" applyBorder="1" applyAlignment="1">
      <alignment horizontal="center"/>
    </xf>
    <xf numFmtId="0" fontId="57" fillId="2" borderId="30" xfId="0" applyFont="1" applyFill="1" applyBorder="1" applyAlignment="1">
      <alignment horizontal="center"/>
    </xf>
    <xf numFmtId="0" fontId="57" fillId="2" borderId="32" xfId="0" applyFont="1" applyFill="1" applyBorder="1" applyAlignment="1">
      <alignment horizontal="center"/>
    </xf>
    <xf numFmtId="0" fontId="57" fillId="9" borderId="38" xfId="0" applyFont="1" applyFill="1" applyBorder="1" applyAlignment="1">
      <alignment horizontal="left"/>
    </xf>
    <xf numFmtId="0" fontId="57" fillId="9" borderId="31" xfId="0" applyFont="1" applyFill="1" applyBorder="1" applyAlignment="1">
      <alignment horizontal="left"/>
    </xf>
    <xf numFmtId="0" fontId="57" fillId="10" borderId="38" xfId="0" applyFont="1" applyFill="1" applyBorder="1" applyAlignment="1">
      <alignment horizontal="center"/>
    </xf>
    <xf numFmtId="0" fontId="63" fillId="9" borderId="0" xfId="0" applyFont="1" applyFill="1" applyAlignment="1">
      <alignment horizontal="left" vertical="center"/>
    </xf>
    <xf numFmtId="0" fontId="57" fillId="21" borderId="40" xfId="0" applyFont="1" applyFill="1" applyBorder="1" applyAlignment="1">
      <alignment horizontal="center" wrapText="1"/>
    </xf>
    <xf numFmtId="0" fontId="57" fillId="21" borderId="0" xfId="0" applyFont="1" applyFill="1" applyAlignment="1">
      <alignment horizontal="center" wrapText="1"/>
    </xf>
    <xf numFmtId="0" fontId="57" fillId="21" borderId="33" xfId="0" applyFont="1" applyFill="1" applyBorder="1" applyAlignment="1">
      <alignment horizontal="center" wrapText="1"/>
    </xf>
    <xf numFmtId="0" fontId="57" fillId="21" borderId="41" xfId="0" applyFont="1" applyFill="1" applyBorder="1" applyAlignment="1">
      <alignment horizontal="center" wrapText="1"/>
    </xf>
    <xf numFmtId="0" fontId="57" fillId="21" borderId="28" xfId="0" applyFont="1" applyFill="1" applyBorder="1" applyAlignment="1">
      <alignment horizontal="center" wrapText="1"/>
    </xf>
    <xf numFmtId="0" fontId="57" fillId="21" borderId="34" xfId="0" applyFont="1" applyFill="1" applyBorder="1" applyAlignment="1">
      <alignment horizontal="center" wrapText="1"/>
    </xf>
    <xf numFmtId="0" fontId="57" fillId="22" borderId="30" xfId="0" applyFont="1" applyFill="1" applyBorder="1" applyAlignment="1">
      <alignment horizontal="center"/>
    </xf>
    <xf numFmtId="0" fontId="57" fillId="22" borderId="32" xfId="0" applyFont="1" applyFill="1" applyBorder="1" applyAlignment="1">
      <alignment horizontal="center"/>
    </xf>
    <xf numFmtId="0" fontId="57" fillId="22" borderId="0" xfId="0" applyFont="1" applyFill="1" applyAlignment="1">
      <alignment horizontal="center"/>
    </xf>
    <xf numFmtId="0" fontId="57" fillId="22" borderId="33" xfId="0" applyFont="1" applyFill="1" applyBorder="1" applyAlignment="1">
      <alignment horizontal="center"/>
    </xf>
    <xf numFmtId="0" fontId="57" fillId="21" borderId="0" xfId="0" applyFont="1" applyFill="1" applyAlignment="1">
      <alignment horizontal="center"/>
    </xf>
    <xf numFmtId="0" fontId="57" fillId="21" borderId="33" xfId="0" applyFont="1" applyFill="1" applyBorder="1" applyAlignment="1">
      <alignment horizontal="center"/>
    </xf>
    <xf numFmtId="0" fontId="57" fillId="22" borderId="39" xfId="0" applyFont="1" applyFill="1" applyBorder="1" applyAlignment="1">
      <alignment horizontal="center" wrapText="1"/>
    </xf>
    <xf numFmtId="0" fontId="57" fillId="22" borderId="30" xfId="0" applyFont="1" applyFill="1" applyBorder="1" applyAlignment="1">
      <alignment horizontal="center" wrapText="1"/>
    </xf>
    <xf numFmtId="0" fontId="57" fillId="22" borderId="32" xfId="0" applyFont="1" applyFill="1" applyBorder="1" applyAlignment="1">
      <alignment horizontal="center" wrapText="1"/>
    </xf>
    <xf numFmtId="0" fontId="57" fillId="22" borderId="40" xfId="0" applyFont="1" applyFill="1" applyBorder="1" applyAlignment="1">
      <alignment horizontal="center" wrapText="1"/>
    </xf>
    <xf numFmtId="0" fontId="57" fillId="22" borderId="0" xfId="0" applyFont="1" applyFill="1" applyAlignment="1">
      <alignment horizontal="center" wrapText="1"/>
    </xf>
    <xf numFmtId="0" fontId="57" fillId="22" borderId="33" xfId="0" applyFont="1" applyFill="1" applyBorder="1" applyAlignment="1">
      <alignment horizontal="center" wrapText="1"/>
    </xf>
    <xf numFmtId="0" fontId="57" fillId="22" borderId="40" xfId="0" applyFont="1" applyFill="1" applyBorder="1" applyAlignment="1">
      <alignment horizontal="center"/>
    </xf>
    <xf numFmtId="0" fontId="57" fillId="2" borderId="51" xfId="0" applyFont="1" applyFill="1" applyBorder="1" applyAlignment="1">
      <alignment horizontal="left"/>
    </xf>
    <xf numFmtId="0" fontId="57" fillId="2" borderId="49" xfId="0" applyFont="1" applyFill="1" applyBorder="1" applyAlignment="1">
      <alignment horizontal="left"/>
    </xf>
    <xf numFmtId="0" fontId="57" fillId="2" borderId="52" xfId="0" applyFont="1" applyFill="1" applyBorder="1" applyAlignment="1">
      <alignment horizontal="left"/>
    </xf>
    <xf numFmtId="0" fontId="57" fillId="2" borderId="42" xfId="0" applyFont="1" applyFill="1" applyBorder="1" applyAlignment="1">
      <alignment horizontal="left"/>
    </xf>
    <xf numFmtId="0" fontId="57" fillId="2" borderId="53" xfId="0" applyFont="1" applyFill="1" applyBorder="1" applyAlignment="1">
      <alignment horizontal="left" vertical="center"/>
    </xf>
    <xf numFmtId="0" fontId="57" fillId="2" borderId="50" xfId="0" applyFont="1" applyFill="1" applyBorder="1" applyAlignment="1">
      <alignment horizontal="left" vertical="center"/>
    </xf>
    <xf numFmtId="0" fontId="57" fillId="2" borderId="46" xfId="0" applyFont="1" applyFill="1" applyBorder="1" applyAlignment="1">
      <alignment horizontal="left"/>
    </xf>
    <xf numFmtId="0" fontId="57" fillId="2" borderId="44" xfId="0" applyFont="1" applyFill="1" applyBorder="1" applyAlignment="1">
      <alignment horizontal="left"/>
    </xf>
    <xf numFmtId="0" fontId="57" fillId="2" borderId="53" xfId="0" applyFont="1" applyFill="1" applyBorder="1" applyAlignment="1">
      <alignment horizontal="left"/>
    </xf>
    <xf numFmtId="0" fontId="57" fillId="2" borderId="50" xfId="0" applyFont="1" applyFill="1" applyBorder="1" applyAlignment="1">
      <alignment horizontal="left"/>
    </xf>
    <xf numFmtId="0" fontId="57" fillId="2" borderId="0" xfId="0" applyFont="1" applyFill="1" applyAlignment="1">
      <alignment horizontal="justify" vertical="justify" wrapText="1"/>
    </xf>
    <xf numFmtId="164" fontId="57" fillId="2" borderId="0" xfId="0" applyNumberFormat="1" applyFont="1" applyFill="1" applyAlignment="1">
      <alignment horizontal="justify" vertical="top" wrapText="1"/>
    </xf>
    <xf numFmtId="0" fontId="57" fillId="10" borderId="0" xfId="0" applyFont="1" applyFill="1" applyAlignment="1">
      <alignment horizontal="justify" wrapText="1"/>
    </xf>
    <xf numFmtId="0" fontId="57" fillId="2" borderId="52" xfId="0" applyFont="1" applyFill="1" applyBorder="1" applyAlignment="1">
      <alignment horizontal="left" vertical="center"/>
    </xf>
    <xf numFmtId="0" fontId="57" fillId="2" borderId="0" xfId="0" applyFont="1" applyFill="1" applyAlignment="1">
      <alignment horizontal="left" vertical="center"/>
    </xf>
    <xf numFmtId="10" fontId="57" fillId="8" borderId="47" xfId="0" applyNumberFormat="1" applyFont="1" applyFill="1" applyBorder="1" applyAlignment="1">
      <alignment horizontal="center"/>
    </xf>
    <xf numFmtId="10" fontId="57" fillId="8" borderId="49" xfId="0" applyNumberFormat="1" applyFont="1" applyFill="1" applyBorder="1" applyAlignment="1">
      <alignment horizontal="center"/>
    </xf>
    <xf numFmtId="0" fontId="63" fillId="9" borderId="0" xfId="0" applyFont="1" applyFill="1" applyAlignment="1">
      <alignment horizontal="center" vertical="center"/>
    </xf>
    <xf numFmtId="0" fontId="57" fillId="9" borderId="0" xfId="0" applyFont="1" applyFill="1" applyAlignment="1">
      <alignment horizontal="center"/>
    </xf>
    <xf numFmtId="0" fontId="57" fillId="9" borderId="0" xfId="0" applyFont="1" applyFill="1" applyAlignment="1">
      <alignment horizontal="justify" vertical="top"/>
    </xf>
    <xf numFmtId="0" fontId="63" fillId="5" borderId="0" xfId="0" applyFont="1" applyFill="1" applyAlignment="1">
      <alignment horizontal="center" vertical="center"/>
    </xf>
    <xf numFmtId="0" fontId="57" fillId="2" borderId="52" xfId="0" applyFont="1" applyFill="1" applyBorder="1" applyAlignment="1">
      <alignment horizontal="center"/>
    </xf>
    <xf numFmtId="0" fontId="57" fillId="2" borderId="51" xfId="0" applyFont="1" applyFill="1" applyBorder="1" applyAlignment="1">
      <alignment horizontal="center"/>
    </xf>
    <xf numFmtId="0" fontId="57" fillId="2" borderId="47" xfId="0" applyFont="1" applyFill="1" applyBorder="1" applyAlignment="1">
      <alignment horizontal="center"/>
    </xf>
    <xf numFmtId="0" fontId="57" fillId="10" borderId="46" xfId="0" applyFont="1" applyFill="1" applyBorder="1" applyAlignment="1">
      <alignment horizontal="center"/>
    </xf>
    <xf numFmtId="0" fontId="57" fillId="10" borderId="43" xfId="0" applyFont="1" applyFill="1" applyBorder="1" applyAlignment="1">
      <alignment horizontal="center"/>
    </xf>
    <xf numFmtId="0" fontId="57" fillId="10" borderId="44" xfId="0" applyFont="1" applyFill="1" applyBorder="1" applyAlignment="1">
      <alignment horizontal="center"/>
    </xf>
    <xf numFmtId="0" fontId="57" fillId="2" borderId="53" xfId="0" applyFont="1" applyFill="1" applyBorder="1" applyAlignment="1">
      <alignment horizontal="center"/>
    </xf>
    <xf numFmtId="0" fontId="57" fillId="2" borderId="48" xfId="0" applyFont="1" applyFill="1" applyBorder="1" applyAlignment="1">
      <alignment horizontal="center"/>
    </xf>
    <xf numFmtId="0" fontId="63" fillId="9" borderId="0" xfId="0" applyFont="1" applyFill="1" applyAlignment="1">
      <alignment horizontal="right" vertical="center"/>
    </xf>
    <xf numFmtId="0" fontId="57" fillId="10" borderId="0" xfId="0" applyFont="1" applyFill="1" applyAlignment="1">
      <alignment horizontal="center"/>
    </xf>
    <xf numFmtId="0" fontId="57" fillId="17" borderId="52" xfId="0" applyFont="1" applyFill="1" applyBorder="1" applyAlignment="1">
      <alignment horizontal="center"/>
    </xf>
    <xf numFmtId="0" fontId="57" fillId="17" borderId="0" xfId="0" applyFont="1" applyFill="1" applyAlignment="1">
      <alignment horizontal="center"/>
    </xf>
    <xf numFmtId="0" fontId="57" fillId="11" borderId="46" xfId="0" applyFont="1" applyFill="1" applyBorder="1" applyAlignment="1">
      <alignment horizontal="center"/>
    </xf>
    <xf numFmtId="0" fontId="57" fillId="11" borderId="43" xfId="0" applyFont="1" applyFill="1" applyBorder="1" applyAlignment="1">
      <alignment horizontal="center"/>
    </xf>
    <xf numFmtId="0" fontId="57" fillId="11" borderId="44" xfId="0" applyFont="1" applyFill="1" applyBorder="1" applyAlignment="1">
      <alignment horizontal="center"/>
    </xf>
    <xf numFmtId="0" fontId="57" fillId="17" borderId="51" xfId="0" applyFont="1" applyFill="1" applyBorder="1" applyAlignment="1">
      <alignment horizontal="center"/>
    </xf>
    <xf numFmtId="0" fontId="57" fillId="17" borderId="47" xfId="0" applyFont="1" applyFill="1" applyBorder="1" applyAlignment="1">
      <alignment horizontal="center"/>
    </xf>
    <xf numFmtId="0" fontId="57" fillId="17" borderId="53" xfId="0" applyFont="1" applyFill="1" applyBorder="1" applyAlignment="1">
      <alignment horizontal="center"/>
    </xf>
    <xf numFmtId="0" fontId="57" fillId="17" borderId="48" xfId="0" applyFont="1" applyFill="1" applyBorder="1" applyAlignment="1">
      <alignment horizontal="center"/>
    </xf>
    <xf numFmtId="0" fontId="57" fillId="25" borderId="54" xfId="0" applyFont="1" applyFill="1" applyBorder="1" applyAlignment="1">
      <alignment horizontal="left" vertical="center"/>
    </xf>
    <xf numFmtId="0" fontId="57" fillId="25" borderId="56" xfId="0" applyFont="1" applyFill="1" applyBorder="1" applyAlignment="1">
      <alignment horizontal="left" vertical="center"/>
    </xf>
    <xf numFmtId="10" fontId="57" fillId="25" borderId="49" xfId="0" applyNumberFormat="1" applyFont="1" applyFill="1" applyBorder="1" applyAlignment="1">
      <alignment horizontal="right" vertical="center"/>
    </xf>
    <xf numFmtId="0" fontId="57" fillId="25" borderId="50" xfId="0" applyFont="1" applyFill="1" applyBorder="1" applyAlignment="1">
      <alignment horizontal="right" vertical="center"/>
    </xf>
    <xf numFmtId="0" fontId="57" fillId="9" borderId="0" xfId="0" applyFont="1" applyFill="1" applyAlignment="1">
      <alignment horizontal="justify" wrapText="1"/>
    </xf>
    <xf numFmtId="0" fontId="57" fillId="10" borderId="0" xfId="0" applyFont="1" applyFill="1" applyAlignment="1">
      <alignment horizontal="justify" vertical="top" wrapText="1"/>
    </xf>
    <xf numFmtId="0" fontId="57" fillId="10" borderId="0" xfId="0" applyFont="1" applyFill="1" applyAlignment="1">
      <alignment horizontal="justify" vertical="top"/>
    </xf>
    <xf numFmtId="0" fontId="57" fillId="2" borderId="52" xfId="0" applyFont="1" applyFill="1" applyBorder="1" applyAlignment="1">
      <alignment horizontal="right"/>
    </xf>
    <xf numFmtId="0" fontId="57" fillId="2" borderId="42" xfId="0" applyFont="1" applyFill="1" applyBorder="1" applyAlignment="1">
      <alignment horizontal="right"/>
    </xf>
    <xf numFmtId="0" fontId="57" fillId="2" borderId="53" xfId="0" applyFont="1" applyFill="1" applyBorder="1" applyAlignment="1">
      <alignment horizontal="right"/>
    </xf>
    <xf numFmtId="0" fontId="57" fillId="2" borderId="50" xfId="0" applyFont="1" applyFill="1" applyBorder="1" applyAlignment="1">
      <alignment horizontal="right"/>
    </xf>
    <xf numFmtId="0" fontId="57" fillId="2" borderId="0" xfId="0" applyFont="1" applyFill="1" applyAlignment="1">
      <alignment horizontal="right"/>
    </xf>
    <xf numFmtId="0" fontId="57" fillId="2" borderId="48" xfId="0" applyFont="1" applyFill="1" applyBorder="1" applyAlignment="1">
      <alignment horizontal="right"/>
    </xf>
    <xf numFmtId="0" fontId="57" fillId="20" borderId="52" xfId="0" applyFont="1" applyFill="1" applyBorder="1" applyAlignment="1">
      <alignment horizontal="right"/>
    </xf>
    <xf numFmtId="0" fontId="57" fillId="20" borderId="42" xfId="0" applyFont="1" applyFill="1" applyBorder="1" applyAlignment="1">
      <alignment horizontal="right"/>
    </xf>
    <xf numFmtId="0" fontId="66" fillId="13" borderId="52" xfId="2" applyFont="1" applyBorder="1" applyAlignment="1">
      <alignment horizontal="right"/>
    </xf>
    <xf numFmtId="0" fontId="66" fillId="13" borderId="42" xfId="2" applyFont="1" applyBorder="1" applyAlignment="1">
      <alignment horizontal="right"/>
    </xf>
    <xf numFmtId="0" fontId="57" fillId="20" borderId="53" xfId="0" applyFont="1" applyFill="1" applyBorder="1" applyAlignment="1">
      <alignment horizontal="right"/>
    </xf>
    <xf numFmtId="0" fontId="57" fillId="20" borderId="50" xfId="0" applyFont="1" applyFill="1" applyBorder="1" applyAlignment="1">
      <alignment horizontal="right"/>
    </xf>
    <xf numFmtId="0" fontId="72" fillId="14" borderId="52" xfId="3" applyFont="1" applyBorder="1" applyAlignment="1">
      <alignment horizontal="right"/>
    </xf>
    <xf numFmtId="0" fontId="72" fillId="14" borderId="42" xfId="3" applyFont="1" applyBorder="1" applyAlignment="1">
      <alignment horizontal="right"/>
    </xf>
    <xf numFmtId="0" fontId="65" fillId="23" borderId="52" xfId="6" applyFont="1" applyBorder="1" applyAlignment="1">
      <alignment horizontal="right"/>
    </xf>
    <xf numFmtId="0" fontId="65" fillId="23" borderId="42" xfId="6" applyFont="1" applyBorder="1" applyAlignment="1">
      <alignment horizontal="right"/>
    </xf>
    <xf numFmtId="0" fontId="57" fillId="20" borderId="51" xfId="0" applyFont="1" applyFill="1" applyBorder="1" applyAlignment="1">
      <alignment horizontal="right"/>
    </xf>
    <xf numFmtId="0" fontId="57" fillId="20" borderId="49" xfId="0" applyFont="1" applyFill="1" applyBorder="1" applyAlignment="1">
      <alignment horizontal="right"/>
    </xf>
    <xf numFmtId="0" fontId="57" fillId="2" borderId="47" xfId="0" applyFont="1" applyFill="1" applyBorder="1" applyAlignment="1">
      <alignment horizontal="right"/>
    </xf>
    <xf numFmtId="0" fontId="57" fillId="2" borderId="49" xfId="0" applyFont="1" applyFill="1" applyBorder="1" applyAlignment="1">
      <alignment horizontal="right"/>
    </xf>
    <xf numFmtId="0" fontId="57" fillId="2" borderId="51" xfId="0" applyFont="1" applyFill="1" applyBorder="1" applyAlignment="1">
      <alignment horizontal="right"/>
    </xf>
  </cellXfs>
  <cellStyles count="7">
    <cellStyle name="Bad" xfId="6" builtinId="27"/>
    <cellStyle name="Explanatory Text" xfId="1" builtinId="53"/>
    <cellStyle name="Good" xfId="2" builtinId="26"/>
    <cellStyle name="Neutral" xfId="3" builtinId="28"/>
    <cellStyle name="Normal" xfId="0" builtinId="0"/>
    <cellStyle name="Note" xfId="5" builtinId="10"/>
    <cellStyle name="Title" xfId="4" builtinId="15"/>
  </cellStyles>
  <dxfs count="19">
    <dxf>
      <font>
        <b/>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dxf>
    <dxf>
      <border outline="0">
        <top style="thin">
          <color theme="4" tint="0.39997558519241921"/>
        </top>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s>
  <tableStyles count="0" defaultTableStyle="TableStyleMedium2" defaultPivotStyle="PivotStyleLight16"/>
  <colors>
    <mruColors>
      <color rgb="FFFF3300"/>
      <color rgb="FF0119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lumMod val="75000"/>
                </a:schemeClr>
              </a:solidFill>
              <a:round/>
            </a:ln>
            <a:effectLst/>
          </c:spPr>
          <c:marker>
            <c:symbol val="none"/>
          </c:marker>
          <c:cat>
            <c:numRef>
              <c:f>'DATA SHEET'!$E$248:$E$352</c:f>
              <c:numCache>
                <c:formatCode>General</c:formatCode>
                <c:ptCount val="105"/>
                <c:pt idx="0">
                  <c:v>2025</c:v>
                </c:pt>
                <c:pt idx="52">
                  <c:v>2024</c:v>
                </c:pt>
                <c:pt idx="104">
                  <c:v>2023</c:v>
                </c:pt>
              </c:numCache>
            </c:numRef>
          </c:cat>
          <c:val>
            <c:numRef>
              <c:f>'DATA SHEET'!$C$248:$C$352</c:f>
              <c:numCache>
                <c:formatCode>General</c:formatCode>
                <c:ptCount val="105"/>
                <c:pt idx="0">
                  <c:v>246.3</c:v>
                </c:pt>
                <c:pt idx="1">
                  <c:v>262.25</c:v>
                </c:pt>
                <c:pt idx="2">
                  <c:v>264.3</c:v>
                </c:pt>
                <c:pt idx="3">
                  <c:v>264</c:v>
                </c:pt>
                <c:pt idx="4">
                  <c:v>284.8</c:v>
                </c:pt>
                <c:pt idx="5">
                  <c:v>277.64999999999998</c:v>
                </c:pt>
                <c:pt idx="6">
                  <c:v>306.35000000000002</c:v>
                </c:pt>
                <c:pt idx="7">
                  <c:v>308.10000000000002</c:v>
                </c:pt>
                <c:pt idx="8">
                  <c:v>318</c:v>
                </c:pt>
                <c:pt idx="9">
                  <c:v>311.89999999999998</c:v>
                </c:pt>
                <c:pt idx="10">
                  <c:v>320.10000000000002</c:v>
                </c:pt>
                <c:pt idx="11">
                  <c:v>281.95</c:v>
                </c:pt>
                <c:pt idx="12">
                  <c:v>300.55</c:v>
                </c:pt>
                <c:pt idx="13">
                  <c:v>294.45</c:v>
                </c:pt>
                <c:pt idx="14">
                  <c:v>309.10000000000002</c:v>
                </c:pt>
                <c:pt idx="15">
                  <c:v>305.2</c:v>
                </c:pt>
                <c:pt idx="16">
                  <c:v>309.95</c:v>
                </c:pt>
                <c:pt idx="17">
                  <c:v>297.35000000000002</c:v>
                </c:pt>
                <c:pt idx="18">
                  <c:v>288.92</c:v>
                </c:pt>
                <c:pt idx="19">
                  <c:v>285.83</c:v>
                </c:pt>
                <c:pt idx="20">
                  <c:v>283.35000000000002</c:v>
                </c:pt>
                <c:pt idx="21">
                  <c:v>284.5</c:v>
                </c:pt>
                <c:pt idx="22">
                  <c:v>275.67</c:v>
                </c:pt>
                <c:pt idx="23">
                  <c:v>271.73</c:v>
                </c:pt>
                <c:pt idx="24">
                  <c:v>274.33</c:v>
                </c:pt>
                <c:pt idx="25">
                  <c:v>264.14999999999998</c:v>
                </c:pt>
                <c:pt idx="26">
                  <c:v>266.77</c:v>
                </c:pt>
                <c:pt idx="27">
                  <c:v>270.89999999999998</c:v>
                </c:pt>
                <c:pt idx="28">
                  <c:v>269.55</c:v>
                </c:pt>
                <c:pt idx="29">
                  <c:v>275.3</c:v>
                </c:pt>
                <c:pt idx="30">
                  <c:v>260.3</c:v>
                </c:pt>
                <c:pt idx="31">
                  <c:v>269.2</c:v>
                </c:pt>
                <c:pt idx="32">
                  <c:v>256.2</c:v>
                </c:pt>
                <c:pt idx="33">
                  <c:v>258.13</c:v>
                </c:pt>
                <c:pt idx="34">
                  <c:v>245.65</c:v>
                </c:pt>
                <c:pt idx="35">
                  <c:v>251.07</c:v>
                </c:pt>
                <c:pt idx="36">
                  <c:v>262.39999999999998</c:v>
                </c:pt>
                <c:pt idx="37">
                  <c:v>278.60000000000002</c:v>
                </c:pt>
                <c:pt idx="38">
                  <c:v>280.08</c:v>
                </c:pt>
                <c:pt idx="39">
                  <c:v>267.55</c:v>
                </c:pt>
                <c:pt idx="40">
                  <c:v>257.42</c:v>
                </c:pt>
                <c:pt idx="41">
                  <c:v>245.27</c:v>
                </c:pt>
                <c:pt idx="42">
                  <c:v>238.75</c:v>
                </c:pt>
                <c:pt idx="43">
                  <c:v>242.27</c:v>
                </c:pt>
                <c:pt idx="44">
                  <c:v>219.1</c:v>
                </c:pt>
                <c:pt idx="45">
                  <c:v>231.82</c:v>
                </c:pt>
                <c:pt idx="46">
                  <c:v>230.5</c:v>
                </c:pt>
                <c:pt idx="47">
                  <c:v>225.93</c:v>
                </c:pt>
                <c:pt idx="48">
                  <c:v>228.68</c:v>
                </c:pt>
                <c:pt idx="49">
                  <c:v>232.3</c:v>
                </c:pt>
                <c:pt idx="50">
                  <c:v>226.38</c:v>
                </c:pt>
                <c:pt idx="51">
                  <c:v>235.38</c:v>
                </c:pt>
                <c:pt idx="52">
                  <c:v>242.52</c:v>
                </c:pt>
                <c:pt idx="53">
                  <c:v>240.05</c:v>
                </c:pt>
                <c:pt idx="54">
                  <c:v>243.55</c:v>
                </c:pt>
                <c:pt idx="55">
                  <c:v>258.5</c:v>
                </c:pt>
                <c:pt idx="56">
                  <c:v>257.75</c:v>
                </c:pt>
                <c:pt idx="57">
                  <c:v>259.55</c:v>
                </c:pt>
                <c:pt idx="58">
                  <c:v>268.08</c:v>
                </c:pt>
                <c:pt idx="59">
                  <c:v>271.5</c:v>
                </c:pt>
                <c:pt idx="60">
                  <c:v>245.23</c:v>
                </c:pt>
                <c:pt idx="61">
                  <c:v>241.57</c:v>
                </c:pt>
                <c:pt idx="62">
                  <c:v>235</c:v>
                </c:pt>
                <c:pt idx="63">
                  <c:v>242.52</c:v>
                </c:pt>
                <c:pt idx="64">
                  <c:v>232.73</c:v>
                </c:pt>
                <c:pt idx="65">
                  <c:v>228.3</c:v>
                </c:pt>
                <c:pt idx="66">
                  <c:v>235.65</c:v>
                </c:pt>
                <c:pt idx="67">
                  <c:v>231.32</c:v>
                </c:pt>
                <c:pt idx="68">
                  <c:v>223.27</c:v>
                </c:pt>
                <c:pt idx="69">
                  <c:v>211.3</c:v>
                </c:pt>
                <c:pt idx="70">
                  <c:v>203.82</c:v>
                </c:pt>
                <c:pt idx="71">
                  <c:v>198</c:v>
                </c:pt>
                <c:pt idx="72">
                  <c:v>197.7</c:v>
                </c:pt>
                <c:pt idx="73">
                  <c:v>189.65</c:v>
                </c:pt>
                <c:pt idx="74">
                  <c:v>191.77</c:v>
                </c:pt>
                <c:pt idx="75">
                  <c:v>191.18</c:v>
                </c:pt>
                <c:pt idx="76">
                  <c:v>195.93</c:v>
                </c:pt>
                <c:pt idx="77">
                  <c:v>205.52</c:v>
                </c:pt>
                <c:pt idx="78">
                  <c:v>203.93</c:v>
                </c:pt>
                <c:pt idx="79">
                  <c:v>203.02</c:v>
                </c:pt>
                <c:pt idx="80">
                  <c:v>209.25</c:v>
                </c:pt>
                <c:pt idx="81">
                  <c:v>220.52</c:v>
                </c:pt>
                <c:pt idx="82">
                  <c:v>215</c:v>
                </c:pt>
                <c:pt idx="83">
                  <c:v>208.18</c:v>
                </c:pt>
                <c:pt idx="84">
                  <c:v>204.85</c:v>
                </c:pt>
                <c:pt idx="85">
                  <c:v>205.85</c:v>
                </c:pt>
                <c:pt idx="86">
                  <c:v>206.52</c:v>
                </c:pt>
                <c:pt idx="87">
                  <c:v>204.43</c:v>
                </c:pt>
                <c:pt idx="88">
                  <c:v>199.38</c:v>
                </c:pt>
                <c:pt idx="89">
                  <c:v>202.35</c:v>
                </c:pt>
                <c:pt idx="90">
                  <c:v>202.52</c:v>
                </c:pt>
                <c:pt idx="91">
                  <c:v>197.93</c:v>
                </c:pt>
                <c:pt idx="92">
                  <c:v>194.57</c:v>
                </c:pt>
                <c:pt idx="93">
                  <c:v>189.98</c:v>
                </c:pt>
                <c:pt idx="94">
                  <c:v>190.65</c:v>
                </c:pt>
                <c:pt idx="95">
                  <c:v>198.65</c:v>
                </c:pt>
                <c:pt idx="96">
                  <c:v>202.48</c:v>
                </c:pt>
                <c:pt idx="97">
                  <c:v>200.85</c:v>
                </c:pt>
                <c:pt idx="98">
                  <c:v>193.1</c:v>
                </c:pt>
                <c:pt idx="99">
                  <c:v>191.63</c:v>
                </c:pt>
                <c:pt idx="100">
                  <c:v>189.7</c:v>
                </c:pt>
                <c:pt idx="101">
                  <c:v>192.5</c:v>
                </c:pt>
                <c:pt idx="102">
                  <c:v>184.02</c:v>
                </c:pt>
                <c:pt idx="103">
                  <c:v>184.15</c:v>
                </c:pt>
                <c:pt idx="104">
                  <c:v>183.32</c:v>
                </c:pt>
              </c:numCache>
            </c:numRef>
          </c:val>
          <c:smooth val="0"/>
          <c:extLst>
            <c:ext xmlns:c16="http://schemas.microsoft.com/office/drawing/2014/chart" uri="{C3380CC4-5D6E-409C-BE32-E72D297353CC}">
              <c16:uniqueId val="{00000000-A34C-4AD7-A305-E3E6F1E15C3C}"/>
            </c:ext>
          </c:extLst>
        </c:ser>
        <c:dLbls>
          <c:showLegendKey val="0"/>
          <c:showVal val="0"/>
          <c:showCatName val="0"/>
          <c:showSerName val="0"/>
          <c:showPercent val="0"/>
          <c:showBubbleSize val="0"/>
        </c:dLbls>
        <c:smooth val="0"/>
        <c:axId val="1355175376"/>
        <c:axId val="1355173456"/>
      </c:lineChart>
      <c:catAx>
        <c:axId val="135517537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55173456"/>
        <c:crosses val="autoZero"/>
        <c:auto val="1"/>
        <c:lblAlgn val="ctr"/>
        <c:lblOffset val="100"/>
        <c:noMultiLvlLbl val="0"/>
      </c:catAx>
      <c:valAx>
        <c:axId val="1355173456"/>
        <c:scaling>
          <c:orientation val="minMax"/>
        </c:scaling>
        <c:delete val="0"/>
        <c:axPos val="l"/>
        <c:numFmt formatCode="General"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55175376"/>
        <c:crosses val="max"/>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WIPRO</c:v>
          </c:tx>
          <c:spPr>
            <a:ln w="28575" cap="rnd">
              <a:solidFill>
                <a:schemeClr val="accent1">
                  <a:lumMod val="75000"/>
                </a:schemeClr>
              </a:solidFill>
              <a:round/>
            </a:ln>
            <a:effectLst/>
          </c:spPr>
          <c:marker>
            <c:symbol val="none"/>
          </c:marker>
          <c:cat>
            <c:numRef>
              <c:f>'DATA SHEET'!$G$248:$G$352</c:f>
              <c:numCache>
                <c:formatCode>General</c:formatCode>
                <c:ptCount val="105"/>
                <c:pt idx="0">
                  <c:v>2025</c:v>
                </c:pt>
                <c:pt idx="52">
                  <c:v>2024</c:v>
                </c:pt>
                <c:pt idx="104">
                  <c:v>2023</c:v>
                </c:pt>
              </c:numCache>
            </c:numRef>
          </c:cat>
          <c:val>
            <c:numRef>
              <c:f>'DATA SHEET'!$H$248:$H$352</c:f>
              <c:numCache>
                <c:formatCode>0.00</c:formatCode>
                <c:ptCount val="105"/>
                <c:pt idx="0">
                  <c:v>134.35522583460619</c:v>
                </c:pt>
                <c:pt idx="1">
                  <c:v>143.05585860789876</c:v>
                </c:pt>
                <c:pt idx="2">
                  <c:v>144.17412175430943</c:v>
                </c:pt>
                <c:pt idx="3">
                  <c:v>144.01047348898101</c:v>
                </c:pt>
                <c:pt idx="4">
                  <c:v>155.35675321841589</c:v>
                </c:pt>
                <c:pt idx="5">
                  <c:v>151.45646956142264</c:v>
                </c:pt>
                <c:pt idx="6">
                  <c:v>167.11215361117172</c:v>
                </c:pt>
                <c:pt idx="7">
                  <c:v>168.066768492254</c:v>
                </c:pt>
                <c:pt idx="8">
                  <c:v>173.46716124809078</c:v>
                </c:pt>
                <c:pt idx="9">
                  <c:v>170.13964651974689</c:v>
                </c:pt>
                <c:pt idx="10">
                  <c:v>174.61269910538951</c:v>
                </c:pt>
                <c:pt idx="11">
                  <c:v>153.80209469779621</c:v>
                </c:pt>
                <c:pt idx="12">
                  <c:v>163.94828714815623</c:v>
                </c:pt>
                <c:pt idx="13">
                  <c:v>160.62077241981234</c:v>
                </c:pt>
                <c:pt idx="14">
                  <c:v>168.61226271001527</c:v>
                </c:pt>
                <c:pt idx="15">
                  <c:v>166.48483526074625</c:v>
                </c:pt>
                <c:pt idx="16">
                  <c:v>169.07593279511238</c:v>
                </c:pt>
                <c:pt idx="17">
                  <c:v>162.20270565132012</c:v>
                </c:pt>
                <c:pt idx="18">
                  <c:v>157.60418939559241</c:v>
                </c:pt>
                <c:pt idx="19">
                  <c:v>155.91861226271001</c:v>
                </c:pt>
                <c:pt idx="20">
                  <c:v>154.56578660266203</c:v>
                </c:pt>
                <c:pt idx="21">
                  <c:v>155.19310495308753</c:v>
                </c:pt>
                <c:pt idx="22">
                  <c:v>150.3763910102553</c:v>
                </c:pt>
                <c:pt idx="23">
                  <c:v>148.22714379227583</c:v>
                </c:pt>
                <c:pt idx="24">
                  <c:v>149.64542875845518</c:v>
                </c:pt>
                <c:pt idx="25">
                  <c:v>144.0922976216452</c:v>
                </c:pt>
                <c:pt idx="26">
                  <c:v>145.52149247217977</c:v>
                </c:pt>
                <c:pt idx="27">
                  <c:v>147.77438359153393</c:v>
                </c:pt>
                <c:pt idx="28">
                  <c:v>147.0379663975562</c:v>
                </c:pt>
                <c:pt idx="29">
                  <c:v>150.17455814968363</c:v>
                </c:pt>
                <c:pt idx="30">
                  <c:v>141.99214488326425</c:v>
                </c:pt>
                <c:pt idx="31">
                  <c:v>146.84704342133975</c:v>
                </c:pt>
                <c:pt idx="32">
                  <c:v>139.75561859044294</c:v>
                </c:pt>
                <c:pt idx="33">
                  <c:v>140.80842243072226</c:v>
                </c:pt>
                <c:pt idx="34">
                  <c:v>134.00065459306131</c:v>
                </c:pt>
                <c:pt idx="35">
                  <c:v>136.9572332533275</c:v>
                </c:pt>
                <c:pt idx="36">
                  <c:v>143.13768274056292</c:v>
                </c:pt>
                <c:pt idx="37">
                  <c:v>151.9746890682959</c:v>
                </c:pt>
                <c:pt idx="38">
                  <c:v>152.78202051058258</c:v>
                </c:pt>
                <c:pt idx="39">
                  <c:v>145.94697796203363</c:v>
                </c:pt>
                <c:pt idx="40">
                  <c:v>140.42112153611171</c:v>
                </c:pt>
                <c:pt idx="41">
                  <c:v>133.79336679031204</c:v>
                </c:pt>
                <c:pt idx="42">
                  <c:v>130.23674449050841</c:v>
                </c:pt>
                <c:pt idx="43">
                  <c:v>132.15688413702816</c:v>
                </c:pt>
                <c:pt idx="44">
                  <c:v>119.51778311149901</c:v>
                </c:pt>
                <c:pt idx="45">
                  <c:v>126.45646956142265</c:v>
                </c:pt>
                <c:pt idx="46">
                  <c:v>125.73641719397774</c:v>
                </c:pt>
                <c:pt idx="47">
                  <c:v>123.24350861880863</c:v>
                </c:pt>
                <c:pt idx="48">
                  <c:v>124.74361771765221</c:v>
                </c:pt>
                <c:pt idx="49">
                  <c:v>126.71830678594809</c:v>
                </c:pt>
                <c:pt idx="50">
                  <c:v>123.48898101680122</c:v>
                </c:pt>
                <c:pt idx="51">
                  <c:v>128.39842897665287</c:v>
                </c:pt>
                <c:pt idx="52">
                  <c:v>132.29325769146848</c:v>
                </c:pt>
                <c:pt idx="53">
                  <c:v>130.94588697359808</c:v>
                </c:pt>
                <c:pt idx="54">
                  <c:v>132.85511673576261</c:v>
                </c:pt>
                <c:pt idx="55">
                  <c:v>141.01025529129393</c:v>
                </c:pt>
                <c:pt idx="56">
                  <c:v>140.60113462797295</c:v>
                </c:pt>
                <c:pt idx="57">
                  <c:v>141.5830242199433</c:v>
                </c:pt>
                <c:pt idx="58">
                  <c:v>146.23608989744707</c:v>
                </c:pt>
                <c:pt idx="59">
                  <c:v>148.10168012219071</c:v>
                </c:pt>
                <c:pt idx="60">
                  <c:v>133.77154702160158</c:v>
                </c:pt>
                <c:pt idx="61">
                  <c:v>131.77503818459525</c:v>
                </c:pt>
                <c:pt idx="62">
                  <c:v>128.19114117390356</c:v>
                </c:pt>
                <c:pt idx="63">
                  <c:v>132.29325769146848</c:v>
                </c:pt>
                <c:pt idx="64">
                  <c:v>126.95286929958543</c:v>
                </c:pt>
                <c:pt idx="65">
                  <c:v>124.53632991490291</c:v>
                </c:pt>
                <c:pt idx="66">
                  <c:v>128.54571241544841</c:v>
                </c:pt>
                <c:pt idx="67">
                  <c:v>126.18372245254201</c:v>
                </c:pt>
                <c:pt idx="68">
                  <c:v>121.79249399956362</c:v>
                </c:pt>
                <c:pt idx="69">
                  <c:v>115.26292821296096</c:v>
                </c:pt>
                <c:pt idx="70">
                  <c:v>111.18263146410648</c:v>
                </c:pt>
                <c:pt idx="71">
                  <c:v>108.00785511673577</c:v>
                </c:pt>
                <c:pt idx="72">
                  <c:v>107.84420685140736</c:v>
                </c:pt>
                <c:pt idx="73">
                  <c:v>103.45297839842897</c:v>
                </c:pt>
                <c:pt idx="74">
                  <c:v>104.60942614008293</c:v>
                </c:pt>
                <c:pt idx="75">
                  <c:v>104.28758455160376</c:v>
                </c:pt>
                <c:pt idx="76">
                  <c:v>106.87868208596988</c:v>
                </c:pt>
                <c:pt idx="77">
                  <c:v>112.10997163430068</c:v>
                </c:pt>
                <c:pt idx="78">
                  <c:v>111.24263582806022</c:v>
                </c:pt>
                <c:pt idx="79">
                  <c:v>110.74623608989747</c:v>
                </c:pt>
                <c:pt idx="80">
                  <c:v>114.1446650665503</c:v>
                </c:pt>
                <c:pt idx="81">
                  <c:v>120.29238490072007</c:v>
                </c:pt>
                <c:pt idx="82">
                  <c:v>117.28125681867773</c:v>
                </c:pt>
                <c:pt idx="83">
                  <c:v>113.56098625354572</c:v>
                </c:pt>
                <c:pt idx="84">
                  <c:v>111.7444905084006</c:v>
                </c:pt>
                <c:pt idx="85">
                  <c:v>112.28998472616189</c:v>
                </c:pt>
                <c:pt idx="86">
                  <c:v>112.65546585206198</c:v>
                </c:pt>
                <c:pt idx="87">
                  <c:v>111.51538293694088</c:v>
                </c:pt>
                <c:pt idx="88">
                  <c:v>108.76063713724635</c:v>
                </c:pt>
                <c:pt idx="89">
                  <c:v>110.38075496399738</c:v>
                </c:pt>
                <c:pt idx="90">
                  <c:v>110.47348898101681</c:v>
                </c:pt>
                <c:pt idx="91">
                  <c:v>107.96967052149249</c:v>
                </c:pt>
                <c:pt idx="92">
                  <c:v>106.13680994981453</c:v>
                </c:pt>
                <c:pt idx="93">
                  <c:v>103.63299149029019</c:v>
                </c:pt>
                <c:pt idx="94">
                  <c:v>103.99847261619028</c:v>
                </c:pt>
                <c:pt idx="95">
                  <c:v>108.36242635828062</c:v>
                </c:pt>
                <c:pt idx="96">
                  <c:v>110.45166921230636</c:v>
                </c:pt>
                <c:pt idx="97">
                  <c:v>109.56251363735545</c:v>
                </c:pt>
                <c:pt idx="98">
                  <c:v>105.33493344970543</c:v>
                </c:pt>
                <c:pt idx="99">
                  <c:v>104.53305694959634</c:v>
                </c:pt>
                <c:pt idx="100">
                  <c:v>103.48025310931703</c:v>
                </c:pt>
                <c:pt idx="101">
                  <c:v>105.00763691904866</c:v>
                </c:pt>
                <c:pt idx="102">
                  <c:v>100.38184595243291</c:v>
                </c:pt>
                <c:pt idx="103">
                  <c:v>100.45276020074188</c:v>
                </c:pt>
                <c:pt idx="104" formatCode="General">
                  <c:v>100</c:v>
                </c:pt>
              </c:numCache>
            </c:numRef>
          </c:val>
          <c:smooth val="0"/>
          <c:extLst>
            <c:ext xmlns:c16="http://schemas.microsoft.com/office/drawing/2014/chart" uri="{C3380CC4-5D6E-409C-BE32-E72D297353CC}">
              <c16:uniqueId val="{00000000-9767-45FF-A538-32476DCF3B92}"/>
            </c:ext>
          </c:extLst>
        </c:ser>
        <c:ser>
          <c:idx val="1"/>
          <c:order val="1"/>
          <c:tx>
            <c:v>NIFTY</c:v>
          </c:tx>
          <c:spPr>
            <a:ln w="28575" cap="rnd">
              <a:solidFill>
                <a:srgbClr val="FF0000"/>
              </a:solidFill>
              <a:round/>
            </a:ln>
            <a:effectLst/>
          </c:spPr>
          <c:marker>
            <c:symbol val="none"/>
          </c:marker>
          <c:cat>
            <c:numRef>
              <c:f>'DATA SHEET'!$G$248:$G$352</c:f>
              <c:numCache>
                <c:formatCode>General</c:formatCode>
                <c:ptCount val="105"/>
                <c:pt idx="0">
                  <c:v>2025</c:v>
                </c:pt>
                <c:pt idx="52">
                  <c:v>2024</c:v>
                </c:pt>
                <c:pt idx="104">
                  <c:v>2023</c:v>
                </c:pt>
              </c:numCache>
            </c:numRef>
          </c:cat>
          <c:val>
            <c:numRef>
              <c:f>'DATA SHEET'!$I$248:$I$352</c:f>
              <c:numCache>
                <c:formatCode>0.00</c:formatCode>
                <c:ptCount val="105"/>
                <c:pt idx="0">
                  <c:v>130.14520587642016</c:v>
                </c:pt>
                <c:pt idx="1">
                  <c:v>133.63912461681386</c:v>
                </c:pt>
                <c:pt idx="2">
                  <c:v>132.67913507186427</c:v>
                </c:pt>
                <c:pt idx="3">
                  <c:v>127.26296440453089</c:v>
                </c:pt>
                <c:pt idx="4">
                  <c:v>128.14539338547598</c:v>
                </c:pt>
                <c:pt idx="5">
                  <c:v>125.71459417074121</c:v>
                </c:pt>
                <c:pt idx="6">
                  <c:v>129.52841472457476</c:v>
                </c:pt>
                <c:pt idx="7">
                  <c:v>130.28612177292652</c:v>
                </c:pt>
                <c:pt idx="8">
                  <c:v>133.86981757641703</c:v>
                </c:pt>
                <c:pt idx="9">
                  <c:v>133.57690570283222</c:v>
                </c:pt>
                <c:pt idx="10">
                  <c:v>131.21201876226976</c:v>
                </c:pt>
                <c:pt idx="11">
                  <c:v>131.84273104098776</c:v>
                </c:pt>
                <c:pt idx="12">
                  <c:v>133.13995278181048</c:v>
                </c:pt>
                <c:pt idx="13">
                  <c:v>136.39721236536991</c:v>
                </c:pt>
                <c:pt idx="14">
                  <c:v>135.30994394615649</c:v>
                </c:pt>
                <c:pt idx="15">
                  <c:v>134.02635922757634</c:v>
                </c:pt>
                <c:pt idx="16">
                  <c:v>140.73577417091167</c:v>
                </c:pt>
                <c:pt idx="17">
                  <c:v>140.22154479051542</c:v>
                </c:pt>
                <c:pt idx="18">
                  <c:v>137.11514476551423</c:v>
                </c:pt>
                <c:pt idx="19">
                  <c:v>135.84320833676625</c:v>
                </c:pt>
                <c:pt idx="20">
                  <c:v>133.71498055303809</c:v>
                </c:pt>
                <c:pt idx="21">
                  <c:v>137.21230854899241</c:v>
                </c:pt>
                <c:pt idx="22">
                  <c:v>138.0995673086484</c:v>
                </c:pt>
                <c:pt idx="23">
                  <c:v>137.39754476778708</c:v>
                </c:pt>
                <c:pt idx="24">
                  <c:v>141.22301361145281</c:v>
                </c:pt>
                <c:pt idx="25">
                  <c:v>141.84918021608996</c:v>
                </c:pt>
                <c:pt idx="26">
                  <c:v>142.13527357855349</c:v>
                </c:pt>
                <c:pt idx="27">
                  <c:v>148.75121809860136</c:v>
                </c:pt>
                <c:pt idx="28">
                  <c:v>146.54656616938885</c:v>
                </c:pt>
                <c:pt idx="29">
                  <c:v>144.07798103885699</c:v>
                </c:pt>
                <c:pt idx="30">
                  <c:v>141.2122176355108</c:v>
                </c:pt>
                <c:pt idx="31">
                  <c:v>143.39272067116877</c:v>
                </c:pt>
                <c:pt idx="32">
                  <c:v>141.04743695007997</c:v>
                </c:pt>
                <c:pt idx="33">
                  <c:v>139.44508683658017</c:v>
                </c:pt>
                <c:pt idx="34">
                  <c:v>138.45839145640554</c:v>
                </c:pt>
                <c:pt idx="35">
                  <c:v>140.44826028529786</c:v>
                </c:pt>
                <c:pt idx="36">
                  <c:v>141.1139174335124</c:v>
                </c:pt>
                <c:pt idx="37">
                  <c:v>139.38684538741927</c:v>
                </c:pt>
                <c:pt idx="38">
                  <c:v>139.22348522513872</c:v>
                </c:pt>
                <c:pt idx="39">
                  <c:v>138.21036811436912</c:v>
                </c:pt>
                <c:pt idx="40">
                  <c:v>136.43045260708612</c:v>
                </c:pt>
                <c:pt idx="41">
                  <c:v>133.53542642684445</c:v>
                </c:pt>
                <c:pt idx="42">
                  <c:v>133.3337121395067</c:v>
                </c:pt>
                <c:pt idx="43">
                  <c:v>132.33678899265021</c:v>
                </c:pt>
                <c:pt idx="44">
                  <c:v>128.02152376677282</c:v>
                </c:pt>
                <c:pt idx="45">
                  <c:v>130.44436805186612</c:v>
                </c:pt>
                <c:pt idx="46">
                  <c:v>127.65446058474413</c:v>
                </c:pt>
                <c:pt idx="47">
                  <c:v>125.3196887349673</c:v>
                </c:pt>
                <c:pt idx="48">
                  <c:v>127.7098609876045</c:v>
                </c:pt>
                <c:pt idx="49">
                  <c:v>127.39223201120508</c:v>
                </c:pt>
                <c:pt idx="50">
                  <c:v>125.84130483574489</c:v>
                </c:pt>
                <c:pt idx="51">
                  <c:v>127.95731612038081</c:v>
                </c:pt>
                <c:pt idx="52">
                  <c:v>127.92492819255475</c:v>
                </c:pt>
                <c:pt idx="53">
                  <c:v>126.86351329467615</c:v>
                </c:pt>
                <c:pt idx="54">
                  <c:v>125.55577968254148</c:v>
                </c:pt>
                <c:pt idx="55">
                  <c:v>125.13871408562342</c:v>
                </c:pt>
                <c:pt idx="56">
                  <c:v>127.81043402664332</c:v>
                </c:pt>
                <c:pt idx="57">
                  <c:v>126.93084609199876</c:v>
                </c:pt>
                <c:pt idx="58">
                  <c:v>126.21461831963474</c:v>
                </c:pt>
                <c:pt idx="59">
                  <c:v>125.23729839225189</c:v>
                </c:pt>
                <c:pt idx="60">
                  <c:v>123.7701820826574</c:v>
                </c:pt>
                <c:pt idx="61">
                  <c:v>124.17531528511319</c:v>
                </c:pt>
                <c:pt idx="62">
                  <c:v>121.32745047346035</c:v>
                </c:pt>
                <c:pt idx="63">
                  <c:v>122.8604790572272</c:v>
                </c:pt>
                <c:pt idx="64">
                  <c:v>124.4068605586065</c:v>
                </c:pt>
                <c:pt idx="65">
                  <c:v>123.36277604316118</c:v>
                </c:pt>
                <c:pt idx="66">
                  <c:v>123.47982715074308</c:v>
                </c:pt>
                <c:pt idx="67">
                  <c:v>121.30926777713695</c:v>
                </c:pt>
                <c:pt idx="68">
                  <c:v>121.91867220860098</c:v>
                </c:pt>
                <c:pt idx="69">
                  <c:v>119.15007258873298</c:v>
                </c:pt>
                <c:pt idx="70">
                  <c:v>115.1640846290872</c:v>
                </c:pt>
                <c:pt idx="71">
                  <c:v>112.47531841026412</c:v>
                </c:pt>
                <c:pt idx="72">
                  <c:v>112.11791478565725</c:v>
                </c:pt>
                <c:pt idx="73">
                  <c:v>110.37663750806146</c:v>
                </c:pt>
                <c:pt idx="74">
                  <c:v>109.27004997400441</c:v>
                </c:pt>
                <c:pt idx="75">
                  <c:v>108.22823829559948</c:v>
                </c:pt>
                <c:pt idx="76">
                  <c:v>111.04314697016618</c:v>
                </c:pt>
                <c:pt idx="77">
                  <c:v>112.2272950682277</c:v>
                </c:pt>
                <c:pt idx="78">
                  <c:v>111.67300693499401</c:v>
                </c:pt>
                <c:pt idx="79">
                  <c:v>111.58663912745786</c:v>
                </c:pt>
                <c:pt idx="80">
                  <c:v>111.79091035646607</c:v>
                </c:pt>
                <c:pt idx="81">
                  <c:v>114.73480253307686</c:v>
                </c:pt>
                <c:pt idx="82">
                  <c:v>112.61879124844097</c:v>
                </c:pt>
                <c:pt idx="83">
                  <c:v>110.43317432944204</c:v>
                </c:pt>
                <c:pt idx="84">
                  <c:v>109.47005963356185</c:v>
                </c:pt>
                <c:pt idx="85">
                  <c:v>109.72206044041899</c:v>
                </c:pt>
                <c:pt idx="86">
                  <c:v>110.39339968123458</c:v>
                </c:pt>
                <c:pt idx="87">
                  <c:v>110.89740129494889</c:v>
                </c:pt>
                <c:pt idx="88">
                  <c:v>111.63067534511609</c:v>
                </c:pt>
                <c:pt idx="89">
                  <c:v>112.19291840799129</c:v>
                </c:pt>
                <c:pt idx="90">
                  <c:v>111.16730069349939</c:v>
                </c:pt>
                <c:pt idx="91">
                  <c:v>109.845077745232</c:v>
                </c:pt>
                <c:pt idx="92">
                  <c:v>109.03395902643025</c:v>
                </c:pt>
                <c:pt idx="93">
                  <c:v>106.05909944514364</c:v>
                </c:pt>
                <c:pt idx="94">
                  <c:v>106.97107530761427</c:v>
                </c:pt>
                <c:pt idx="95">
                  <c:v>105.47895779057512</c:v>
                </c:pt>
                <c:pt idx="96">
                  <c:v>105.31247247736395</c:v>
                </c:pt>
                <c:pt idx="97">
                  <c:v>105.11501975947701</c:v>
                </c:pt>
                <c:pt idx="98">
                  <c:v>103.43340445419238</c:v>
                </c:pt>
                <c:pt idx="99">
                  <c:v>104.0663895699508</c:v>
                </c:pt>
                <c:pt idx="100">
                  <c:v>102.66973120860949</c:v>
                </c:pt>
                <c:pt idx="101">
                  <c:v>102.64700283820525</c:v>
                </c:pt>
                <c:pt idx="102">
                  <c:v>100.14148410576647</c:v>
                </c:pt>
                <c:pt idx="103">
                  <c:v>101.30034689175329</c:v>
                </c:pt>
                <c:pt idx="104" formatCode="General">
                  <c:v>100</c:v>
                </c:pt>
              </c:numCache>
            </c:numRef>
          </c:val>
          <c:smooth val="0"/>
          <c:extLst>
            <c:ext xmlns:c16="http://schemas.microsoft.com/office/drawing/2014/chart" uri="{C3380CC4-5D6E-409C-BE32-E72D297353CC}">
              <c16:uniqueId val="{00000001-9767-45FF-A538-32476DCF3B92}"/>
            </c:ext>
          </c:extLst>
        </c:ser>
        <c:dLbls>
          <c:showLegendKey val="0"/>
          <c:showVal val="0"/>
          <c:showCatName val="0"/>
          <c:showSerName val="0"/>
          <c:showPercent val="0"/>
          <c:showBubbleSize val="0"/>
        </c:dLbls>
        <c:smooth val="0"/>
        <c:axId val="1458475264"/>
        <c:axId val="1458475744"/>
      </c:lineChart>
      <c:catAx>
        <c:axId val="145847526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58475744"/>
        <c:crosses val="autoZero"/>
        <c:auto val="1"/>
        <c:lblAlgn val="ctr"/>
        <c:lblOffset val="100"/>
        <c:noMultiLvlLbl val="0"/>
      </c:catAx>
      <c:valAx>
        <c:axId val="1458475744"/>
        <c:scaling>
          <c:orientation val="minMax"/>
        </c:scaling>
        <c:delete val="1"/>
        <c:axPos val="r"/>
        <c:numFmt formatCode="0.00" sourceLinked="1"/>
        <c:majorTickMark val="none"/>
        <c:minorTickMark val="none"/>
        <c:tickLblPos val="nextTo"/>
        <c:crossAx val="1458475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4807-4FA4-BD93-1FF27D0852FE}"/>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8-4807-4FA4-BD93-1FF27D0852FE}"/>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4807-4FA4-BD93-1FF27D0852FE}"/>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6-4807-4FA4-BD93-1FF27D0852FE}"/>
              </c:ext>
            </c:extLst>
          </c:dPt>
          <c:dPt>
            <c:idx val="4"/>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4807-4FA4-BD93-1FF27D0852FE}"/>
              </c:ext>
            </c:extLst>
          </c:dPt>
          <c:dPt>
            <c:idx val="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2-4807-4FA4-BD93-1FF27D0852FE}"/>
              </c:ext>
            </c:extLst>
          </c:dPt>
          <c:dPt>
            <c:idx val="6"/>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4807-4FA4-BD93-1FF27D0852FE}"/>
              </c:ext>
            </c:extLst>
          </c:dPt>
          <c:dPt>
            <c:idx val="7"/>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4-4807-4FA4-BD93-1FF27D0852FE}"/>
              </c:ext>
            </c:extLst>
          </c:dPt>
          <c:dPt>
            <c:idx val="8"/>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807-4FA4-BD93-1FF27D0852FE}"/>
              </c:ext>
            </c:extLst>
          </c:dPt>
          <c:dLbls>
            <c:dLbl>
              <c:idx val="0"/>
              <c:layout>
                <c:manualLayout>
                  <c:x val="5.4166684437888593E-2"/>
                  <c:y val="0.1646216238759402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807-4FA4-BD93-1FF27D0852FE}"/>
                </c:ext>
              </c:extLst>
            </c:dLbl>
            <c:dLbl>
              <c:idx val="3"/>
              <c:layout>
                <c:manualLayout>
                  <c:x val="-0.10972214885897272"/>
                  <c:y val="0.2222792063896409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807-4FA4-BD93-1FF27D0852FE}"/>
                </c:ext>
              </c:extLst>
            </c:dLbl>
            <c:dLbl>
              <c:idx val="4"/>
              <c:layout>
                <c:manualLayout>
                  <c:x val="-0.1180554849263402"/>
                  <c:y val="0.1650195111284443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07-4FA4-BD93-1FF27D0852FE}"/>
                </c:ext>
              </c:extLst>
            </c:dLbl>
            <c:dLbl>
              <c:idx val="5"/>
              <c:layout>
                <c:manualLayout>
                  <c:x val="-0.21250006971787064"/>
                  <c:y val="7.07224866037110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07-4FA4-BD93-1FF27D0852FE}"/>
                </c:ext>
              </c:extLst>
            </c:dLbl>
            <c:dLbl>
              <c:idx val="6"/>
              <c:layout>
                <c:manualLayout>
                  <c:x val="-0.11666670494314464"/>
                  <c:y val="-2.77777151578135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07-4FA4-BD93-1FF27D0852FE}"/>
                </c:ext>
              </c:extLst>
            </c:dLbl>
            <c:dLbl>
              <c:idx val="7"/>
              <c:layout>
                <c:manualLayout>
                  <c:x val="0.20138884560001497"/>
                  <c:y val="-3.407815162105240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07-4FA4-BD93-1FF27D0852FE}"/>
                </c:ext>
              </c:extLst>
            </c:dLbl>
            <c:dLbl>
              <c:idx val="8"/>
              <c:layout>
                <c:manualLayout>
                  <c:x val="0.38888890711578317"/>
                  <c:y val="1.2105329684904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07-4FA4-BD93-1FF27D0852FE}"/>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val>
            <c:numRef>
              <c:f>ABOUT!$D$43:$D$51</c:f>
              <c:numCache>
                <c:formatCode>0.00%</c:formatCode>
                <c:ptCount val="9"/>
                <c:pt idx="0">
                  <c:v>0.21029999999999999</c:v>
                </c:pt>
                <c:pt idx="1">
                  <c:v>0.20599999999999999</c:v>
                </c:pt>
                <c:pt idx="2">
                  <c:v>0.1799</c:v>
                </c:pt>
                <c:pt idx="3">
                  <c:v>6.4899999999999999E-2</c:v>
                </c:pt>
                <c:pt idx="4">
                  <c:v>4.1099999999999998E-2</c:v>
                </c:pt>
                <c:pt idx="5">
                  <c:v>2.6700000000000002E-2</c:v>
                </c:pt>
                <c:pt idx="6">
                  <c:v>2.4799999999999999E-2</c:v>
                </c:pt>
                <c:pt idx="7">
                  <c:v>1.8499999999999999E-2</c:v>
                </c:pt>
                <c:pt idx="8">
                  <c:v>1.54E-2</c:v>
                </c:pt>
              </c:numCache>
            </c:numRef>
          </c:val>
          <c:extLst>
            <c:ext xmlns:c16="http://schemas.microsoft.com/office/drawing/2014/chart" uri="{C3380CC4-5D6E-409C-BE32-E72D297353CC}">
              <c16:uniqueId val="{00000000-4807-4FA4-BD93-1FF27D0852F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lumMod val="7500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 SHEET'!$B$366:$B$369</c:f>
              <c:strCache>
                <c:ptCount val="4"/>
                <c:pt idx="0">
                  <c:v>Promotors</c:v>
                </c:pt>
                <c:pt idx="1">
                  <c:v>FIIS</c:v>
                </c:pt>
                <c:pt idx="2">
                  <c:v>DIIS</c:v>
                </c:pt>
                <c:pt idx="3">
                  <c:v>Public / Retail</c:v>
                </c:pt>
              </c:strCache>
            </c:strRef>
          </c:cat>
          <c:val>
            <c:numRef>
              <c:f>'DATA SHEET'!$C$366:$C$369</c:f>
              <c:numCache>
                <c:formatCode>0.00%</c:formatCode>
                <c:ptCount val="4"/>
                <c:pt idx="0">
                  <c:v>0.72</c:v>
                </c:pt>
                <c:pt idx="1">
                  <c:v>0.08</c:v>
                </c:pt>
                <c:pt idx="2">
                  <c:v>0.1</c:v>
                </c:pt>
                <c:pt idx="3">
                  <c:v>0.1</c:v>
                </c:pt>
              </c:numCache>
            </c:numRef>
          </c:val>
          <c:extLst>
            <c:ext xmlns:c16="http://schemas.microsoft.com/office/drawing/2014/chart" uri="{C3380CC4-5D6E-409C-BE32-E72D297353CC}">
              <c16:uniqueId val="{00000000-6327-4EE8-BF06-2430B64721B1}"/>
            </c:ext>
          </c:extLst>
        </c:ser>
        <c:dLbls>
          <c:showLegendKey val="0"/>
          <c:showVal val="0"/>
          <c:showCatName val="0"/>
          <c:showSerName val="0"/>
          <c:showPercent val="0"/>
          <c:showBubbleSize val="0"/>
        </c:dLbls>
        <c:gapWidth val="182"/>
        <c:axId val="1458464224"/>
        <c:axId val="1458471424"/>
      </c:barChart>
      <c:catAx>
        <c:axId val="145846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58471424"/>
        <c:crosses val="autoZero"/>
        <c:auto val="1"/>
        <c:lblAlgn val="ctr"/>
        <c:lblOffset val="100"/>
        <c:noMultiLvlLbl val="0"/>
      </c:catAx>
      <c:valAx>
        <c:axId val="14584714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58464224"/>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'FORECASTING SIMPLIFY'!$D$3:$H$3</c:f>
              <c:strCache>
                <c:ptCount val="5"/>
                <c:pt idx="0">
                  <c:v>Year 1</c:v>
                </c:pt>
                <c:pt idx="1">
                  <c:v>Year 2</c:v>
                </c:pt>
                <c:pt idx="2">
                  <c:v>Year 3</c:v>
                </c:pt>
                <c:pt idx="3">
                  <c:v>Year 4</c:v>
                </c:pt>
                <c:pt idx="4">
                  <c:v>Year 5</c:v>
                </c:pt>
              </c:strCache>
            </c:strRef>
          </c:cat>
          <c:val>
            <c:numRef>
              <c:f>'FORECASTING SIMPLIFY'!$D$7:$H$7</c:f>
              <c:numCache>
                <c:formatCode>#,##0_);\(#,##0\);"--"</c:formatCode>
                <c:ptCount val="5"/>
                <c:pt idx="0">
                  <c:v>62243</c:v>
                </c:pt>
                <c:pt idx="1">
                  <c:v>79529</c:v>
                </c:pt>
                <c:pt idx="2">
                  <c:v>90935</c:v>
                </c:pt>
                <c:pt idx="3">
                  <c:v>89794</c:v>
                </c:pt>
                <c:pt idx="4">
                  <c:v>89088</c:v>
                </c:pt>
              </c:numCache>
            </c:numRef>
          </c:val>
          <c:extLst>
            <c:ext xmlns:c16="http://schemas.microsoft.com/office/drawing/2014/chart" uri="{C3380CC4-5D6E-409C-BE32-E72D297353CC}">
              <c16:uniqueId val="{00000000-3F64-4402-A441-05F126C35D2A}"/>
            </c:ext>
          </c:extLst>
        </c:ser>
        <c:dLbls>
          <c:showLegendKey val="0"/>
          <c:showVal val="0"/>
          <c:showCatName val="0"/>
          <c:showSerName val="0"/>
          <c:showPercent val="0"/>
          <c:showBubbleSize val="0"/>
        </c:dLbls>
        <c:gapWidth val="70"/>
        <c:overlap val="-27"/>
        <c:axId val="1587170096"/>
        <c:axId val="1587175856"/>
      </c:barChart>
      <c:catAx>
        <c:axId val="158717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87175856"/>
        <c:crosses val="autoZero"/>
        <c:auto val="1"/>
        <c:lblAlgn val="ctr"/>
        <c:lblOffset val="100"/>
        <c:noMultiLvlLbl val="0"/>
      </c:catAx>
      <c:valAx>
        <c:axId val="1587175856"/>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871700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'FORECASTING SIMPLIFY'!$K$3:$O$3</c:f>
              <c:strCache>
                <c:ptCount val="5"/>
                <c:pt idx="0">
                  <c:v>Year 6</c:v>
                </c:pt>
                <c:pt idx="1">
                  <c:v>Year 7</c:v>
                </c:pt>
                <c:pt idx="2">
                  <c:v>Year 8</c:v>
                </c:pt>
                <c:pt idx="3">
                  <c:v>Year 9</c:v>
                </c:pt>
                <c:pt idx="4">
                  <c:v>Year 10</c:v>
                </c:pt>
              </c:strCache>
            </c:strRef>
          </c:cat>
          <c:val>
            <c:numRef>
              <c:f>'FORECASTING SIMPLIFY'!$K$7:$O$7</c:f>
              <c:numCache>
                <c:formatCode>#,##0_);\(#,##0\);"--"</c:formatCode>
                <c:ptCount val="5"/>
                <c:pt idx="0">
                  <c:v>92275.319999999992</c:v>
                </c:pt>
                <c:pt idx="1">
                  <c:v>91597.258799999996</c:v>
                </c:pt>
                <c:pt idx="2">
                  <c:v>92684.515788000004</c:v>
                </c:pt>
                <c:pt idx="3">
                  <c:v>93791.209565879995</c:v>
                </c:pt>
                <c:pt idx="4">
                  <c:v>95808.664545447609</c:v>
                </c:pt>
              </c:numCache>
            </c:numRef>
          </c:val>
          <c:extLst>
            <c:ext xmlns:c16="http://schemas.microsoft.com/office/drawing/2014/chart" uri="{C3380CC4-5D6E-409C-BE32-E72D297353CC}">
              <c16:uniqueId val="{00000000-BFE0-4470-9049-66861CDE079C}"/>
            </c:ext>
          </c:extLst>
        </c:ser>
        <c:dLbls>
          <c:showLegendKey val="0"/>
          <c:showVal val="0"/>
          <c:showCatName val="0"/>
          <c:showSerName val="0"/>
          <c:showPercent val="0"/>
          <c:showBubbleSize val="0"/>
        </c:dLbls>
        <c:gapWidth val="70"/>
        <c:overlap val="-27"/>
        <c:axId val="1630907120"/>
        <c:axId val="1630907600"/>
      </c:barChart>
      <c:catAx>
        <c:axId val="16309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30907600"/>
        <c:crosses val="autoZero"/>
        <c:auto val="1"/>
        <c:lblAlgn val="ctr"/>
        <c:lblOffset val="100"/>
        <c:noMultiLvlLbl val="0"/>
      </c:catAx>
      <c:valAx>
        <c:axId val="1630907600"/>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309071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FF0000"/>
              </a:solidFill>
              <a:round/>
            </a:ln>
            <a:effectLst/>
          </c:spPr>
          <c:marker>
            <c:symbol val="circle"/>
            <c:size val="5"/>
            <c:spPr>
              <a:solidFill>
                <a:schemeClr val="accent1"/>
              </a:solidFill>
              <a:ln w="381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'FORECASTING SIMPLIFY'!$D$3:$H$3</c:f>
              <c:strCache>
                <c:ptCount val="5"/>
                <c:pt idx="0">
                  <c:v>Year 1</c:v>
                </c:pt>
                <c:pt idx="1">
                  <c:v>Year 2</c:v>
                </c:pt>
                <c:pt idx="2">
                  <c:v>Year 3</c:v>
                </c:pt>
                <c:pt idx="3">
                  <c:v>Year 4</c:v>
                </c:pt>
                <c:pt idx="4">
                  <c:v>Year 5</c:v>
                </c:pt>
              </c:strCache>
            </c:strRef>
          </c:cat>
          <c:val>
            <c:numRef>
              <c:f>'FORECASTING SIMPLIFY'!$D$23:$H$23</c:f>
              <c:numCache>
                <c:formatCode>#,##0_);\(#,##0\);"--"</c:formatCode>
                <c:ptCount val="5"/>
                <c:pt idx="0">
                  <c:v>20274</c:v>
                </c:pt>
                <c:pt idx="1">
                  <c:v>22518</c:v>
                </c:pt>
                <c:pt idx="2">
                  <c:v>25899</c:v>
                </c:pt>
                <c:pt idx="3">
                  <c:v>25325</c:v>
                </c:pt>
                <c:pt idx="4">
                  <c:v>27685</c:v>
                </c:pt>
              </c:numCache>
            </c:numRef>
          </c:val>
          <c:smooth val="0"/>
          <c:extLst>
            <c:ext xmlns:c16="http://schemas.microsoft.com/office/drawing/2014/chart" uri="{C3380CC4-5D6E-409C-BE32-E72D297353CC}">
              <c16:uniqueId val="{00000000-DF9F-4D33-978D-67BDADEE1BDE}"/>
            </c:ext>
          </c:extLst>
        </c:ser>
        <c:dLbls>
          <c:showLegendKey val="0"/>
          <c:showVal val="0"/>
          <c:showCatName val="0"/>
          <c:showSerName val="0"/>
          <c:showPercent val="0"/>
          <c:showBubbleSize val="0"/>
        </c:dLbls>
        <c:marker val="1"/>
        <c:smooth val="0"/>
        <c:axId val="1533629232"/>
        <c:axId val="1533620112"/>
      </c:lineChart>
      <c:catAx>
        <c:axId val="153362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33620112"/>
        <c:crosses val="autoZero"/>
        <c:auto val="1"/>
        <c:lblAlgn val="ctr"/>
        <c:lblOffset val="100"/>
        <c:noMultiLvlLbl val="0"/>
      </c:catAx>
      <c:valAx>
        <c:axId val="1533620112"/>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3362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FF0000"/>
              </a:solidFill>
              <a:round/>
            </a:ln>
            <a:effectLst/>
          </c:spPr>
          <c:marker>
            <c:symbol val="circle"/>
            <c:size val="5"/>
            <c:spPr>
              <a:solidFill>
                <a:schemeClr val="accent1"/>
              </a:solidFill>
              <a:ln w="381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'FORECASTING SIMPLIFY'!$K$3:$O$3</c:f>
              <c:strCache>
                <c:ptCount val="5"/>
                <c:pt idx="0">
                  <c:v>Year 6</c:v>
                </c:pt>
                <c:pt idx="1">
                  <c:v>Year 7</c:v>
                </c:pt>
                <c:pt idx="2">
                  <c:v>Year 8</c:v>
                </c:pt>
                <c:pt idx="3">
                  <c:v>Year 9</c:v>
                </c:pt>
                <c:pt idx="4">
                  <c:v>Year 10</c:v>
                </c:pt>
              </c:strCache>
            </c:strRef>
          </c:cat>
          <c:val>
            <c:numRef>
              <c:f>'FORECASTING SIMPLIFY'!$K$23:$O$23</c:f>
              <c:numCache>
                <c:formatCode>#,##0_);\(#,##0\);"--"</c:formatCode>
                <c:ptCount val="5"/>
                <c:pt idx="0">
                  <c:v>28773.393599999996</c:v>
                </c:pt>
                <c:pt idx="1">
                  <c:v>28730.351664000002</c:v>
                </c:pt>
                <c:pt idx="2">
                  <c:v>29188.939580640006</c:v>
                </c:pt>
                <c:pt idx="3">
                  <c:v>29660.677596446396</c:v>
                </c:pt>
                <c:pt idx="4">
                  <c:v>30395.521936625337</c:v>
                </c:pt>
              </c:numCache>
            </c:numRef>
          </c:val>
          <c:smooth val="0"/>
          <c:extLst>
            <c:ext xmlns:c16="http://schemas.microsoft.com/office/drawing/2014/chart" uri="{C3380CC4-5D6E-409C-BE32-E72D297353CC}">
              <c16:uniqueId val="{00000000-8FA4-4C8D-9893-C6B0B1656AD1}"/>
            </c:ext>
          </c:extLst>
        </c:ser>
        <c:dLbls>
          <c:showLegendKey val="0"/>
          <c:showVal val="0"/>
          <c:showCatName val="0"/>
          <c:showSerName val="0"/>
          <c:showPercent val="0"/>
          <c:showBubbleSize val="0"/>
        </c:dLbls>
        <c:marker val="1"/>
        <c:smooth val="0"/>
        <c:axId val="1686216544"/>
        <c:axId val="1686219424"/>
      </c:lineChart>
      <c:catAx>
        <c:axId val="168621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219424"/>
        <c:crosses val="autoZero"/>
        <c:auto val="1"/>
        <c:lblAlgn val="ctr"/>
        <c:lblOffset val="100"/>
        <c:noMultiLvlLbl val="0"/>
      </c:catAx>
      <c:valAx>
        <c:axId val="1686219424"/>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21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'FORECASTING SIMPLIFY'!$D$3:$H$3</c:f>
              <c:strCache>
                <c:ptCount val="5"/>
                <c:pt idx="0">
                  <c:v>Year 1</c:v>
                </c:pt>
                <c:pt idx="1">
                  <c:v>Year 2</c:v>
                </c:pt>
                <c:pt idx="2">
                  <c:v>Year 3</c:v>
                </c:pt>
                <c:pt idx="3">
                  <c:v>Year 4</c:v>
                </c:pt>
                <c:pt idx="4">
                  <c:v>Year 5</c:v>
                </c:pt>
              </c:strCache>
            </c:strRef>
          </c:cat>
          <c:val>
            <c:numRef>
              <c:f>'FORECASTING SIMPLIFY'!$D$39:$H$39</c:f>
              <c:numCache>
                <c:formatCode>#,##0_);\(#,##0\);"--"</c:formatCode>
                <c:ptCount val="5"/>
                <c:pt idx="0">
                  <c:v>17462</c:v>
                </c:pt>
                <c:pt idx="1">
                  <c:v>17594</c:v>
                </c:pt>
                <c:pt idx="2">
                  <c:v>19620</c:v>
                </c:pt>
                <c:pt idx="3">
                  <c:v>19439</c:v>
                </c:pt>
                <c:pt idx="4">
                  <c:v>21904</c:v>
                </c:pt>
              </c:numCache>
            </c:numRef>
          </c:val>
          <c:extLst>
            <c:ext xmlns:c16="http://schemas.microsoft.com/office/drawing/2014/chart" uri="{C3380CC4-5D6E-409C-BE32-E72D297353CC}">
              <c16:uniqueId val="{00000000-8D8E-4889-B321-5853E72AABAA}"/>
            </c:ext>
          </c:extLst>
        </c:ser>
        <c:dLbls>
          <c:showLegendKey val="0"/>
          <c:showVal val="0"/>
          <c:showCatName val="0"/>
          <c:showSerName val="0"/>
          <c:showPercent val="0"/>
          <c:showBubbleSize val="0"/>
        </c:dLbls>
        <c:gapWidth val="70"/>
        <c:axId val="1758715344"/>
        <c:axId val="1758720144"/>
      </c:barChart>
      <c:catAx>
        <c:axId val="175871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58720144"/>
        <c:crosses val="autoZero"/>
        <c:auto val="1"/>
        <c:lblAlgn val="ctr"/>
        <c:lblOffset val="100"/>
        <c:noMultiLvlLbl val="0"/>
      </c:catAx>
      <c:valAx>
        <c:axId val="1758720144"/>
        <c:scaling>
          <c:orientation val="minMax"/>
        </c:scaling>
        <c:delete val="0"/>
        <c:axPos val="b"/>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5871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'FORECASTING SIMPLIFY'!$K$3:$O$3</c:f>
              <c:strCache>
                <c:ptCount val="5"/>
                <c:pt idx="0">
                  <c:v>Year 6</c:v>
                </c:pt>
                <c:pt idx="1">
                  <c:v>Year 7</c:v>
                </c:pt>
                <c:pt idx="2">
                  <c:v>Year 8</c:v>
                </c:pt>
                <c:pt idx="3">
                  <c:v>Year 9</c:v>
                </c:pt>
                <c:pt idx="4">
                  <c:v>Year 10</c:v>
                </c:pt>
              </c:strCache>
            </c:strRef>
          </c:cat>
          <c:val>
            <c:numRef>
              <c:f>'FORECASTING SIMPLIFY'!$K$39:$O$39</c:f>
              <c:numCache>
                <c:formatCode>#,##0_);\(#,##0\);"--"</c:formatCode>
                <c:ptCount val="5"/>
                <c:pt idx="0">
                  <c:v>22960.048439999995</c:v>
                </c:pt>
                <c:pt idx="1">
                  <c:v>22959.724359600001</c:v>
                </c:pt>
                <c:pt idx="2">
                  <c:v>23349.815085996008</c:v>
                </c:pt>
                <c:pt idx="3">
                  <c:v>23751.831393795957</c:v>
                </c:pt>
                <c:pt idx="4">
                  <c:v>24359.576070262137</c:v>
                </c:pt>
              </c:numCache>
            </c:numRef>
          </c:val>
          <c:extLst>
            <c:ext xmlns:c16="http://schemas.microsoft.com/office/drawing/2014/chart" uri="{C3380CC4-5D6E-409C-BE32-E72D297353CC}">
              <c16:uniqueId val="{00000000-F9EF-48B9-99FF-165187E06F27}"/>
            </c:ext>
          </c:extLst>
        </c:ser>
        <c:dLbls>
          <c:showLegendKey val="0"/>
          <c:showVal val="0"/>
          <c:showCatName val="0"/>
          <c:showSerName val="0"/>
          <c:showPercent val="0"/>
          <c:showBubbleSize val="0"/>
        </c:dLbls>
        <c:gapWidth val="70"/>
        <c:axId val="1438820496"/>
        <c:axId val="1438808976"/>
      </c:barChart>
      <c:catAx>
        <c:axId val="143882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8808976"/>
        <c:crosses val="autoZero"/>
        <c:auto val="1"/>
        <c:lblAlgn val="ctr"/>
        <c:lblOffset val="100"/>
        <c:noMultiLvlLbl val="0"/>
      </c:catAx>
      <c:valAx>
        <c:axId val="1438808976"/>
        <c:scaling>
          <c:orientation val="minMax"/>
        </c:scaling>
        <c:delete val="0"/>
        <c:axPos val="b"/>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88204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chemeClr val="accent1">
                <a:lumMod val="60000"/>
                <a:lumOff val="40000"/>
              </a:schemeClr>
            </a:solidFill>
            <a:ln>
              <a:noFill/>
            </a:ln>
            <a:effectLst/>
          </c:spPr>
          <c:dLbls>
            <c:dLbl>
              <c:idx val="0"/>
              <c:layout>
                <c:manualLayout>
                  <c:x val="3.9196306869139164E-2"/>
                  <c:y val="-0.362549838708142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58-43CB-B6DD-E32968D1BF64}"/>
                </c:ext>
              </c:extLst>
            </c:dLbl>
            <c:dLbl>
              <c:idx val="1"/>
              <c:layout>
                <c:manualLayout>
                  <c:x val="4.6113302198987254E-3"/>
                  <c:y val="-0.37649406327384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58-43CB-B6DD-E32968D1BF64}"/>
                </c:ext>
              </c:extLst>
            </c:dLbl>
            <c:dLbl>
              <c:idx val="2"/>
              <c:layout>
                <c:manualLayout>
                  <c:x val="9.2226604397974508E-3"/>
                  <c:y val="-0.330013314721514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58-43CB-B6DD-E32968D1BF64}"/>
                </c:ext>
              </c:extLst>
            </c:dLbl>
            <c:dLbl>
              <c:idx val="3"/>
              <c:layout>
                <c:manualLayout>
                  <c:x val="-8.4540077417288218E-17"/>
                  <c:y val="-0.33466138957674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58-43CB-B6DD-E32968D1BF64}"/>
                </c:ext>
              </c:extLst>
            </c:dLbl>
            <c:dLbl>
              <c:idx val="4"/>
              <c:layout>
                <c:manualLayout>
                  <c:x val="-1.1528325549746813E-2"/>
                  <c:y val="-0.409030587260468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58-43CB-B6DD-E32968D1BF64}"/>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'FORECASTING SIMPLIFY'!$D$3:$H$3</c:f>
              <c:strCache>
                <c:ptCount val="5"/>
                <c:pt idx="0">
                  <c:v>Year 1</c:v>
                </c:pt>
                <c:pt idx="1">
                  <c:v>Year 2</c:v>
                </c:pt>
                <c:pt idx="2">
                  <c:v>Year 3</c:v>
                </c:pt>
                <c:pt idx="3">
                  <c:v>Year 4</c:v>
                </c:pt>
                <c:pt idx="4">
                  <c:v>Year 5</c:v>
                </c:pt>
              </c:strCache>
            </c:strRef>
          </c:cat>
          <c:val>
            <c:numRef>
              <c:f>'FORECASTING SIMPLIFY'!$D$55:$H$55</c:f>
              <c:numCache>
                <c:formatCode>#,##0_);\(#,##0\);"--"</c:formatCode>
                <c:ptCount val="5"/>
                <c:pt idx="0">
                  <c:v>11155</c:v>
                </c:pt>
                <c:pt idx="1">
                  <c:v>11084</c:v>
                </c:pt>
                <c:pt idx="2">
                  <c:v>11804</c:v>
                </c:pt>
                <c:pt idx="3">
                  <c:v>11168</c:v>
                </c:pt>
                <c:pt idx="4">
                  <c:v>13191</c:v>
                </c:pt>
              </c:numCache>
            </c:numRef>
          </c:val>
          <c:extLst>
            <c:ext xmlns:c16="http://schemas.microsoft.com/office/drawing/2014/chart" uri="{C3380CC4-5D6E-409C-BE32-E72D297353CC}">
              <c16:uniqueId val="{00000000-E658-43CB-B6DD-E32968D1BF64}"/>
            </c:ext>
          </c:extLst>
        </c:ser>
        <c:dLbls>
          <c:showLegendKey val="0"/>
          <c:showVal val="0"/>
          <c:showCatName val="0"/>
          <c:showSerName val="0"/>
          <c:showPercent val="0"/>
          <c:showBubbleSize val="0"/>
        </c:dLbls>
        <c:axId val="1649685344"/>
        <c:axId val="1649685824"/>
      </c:areaChart>
      <c:catAx>
        <c:axId val="1649685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9685824"/>
        <c:crosses val="autoZero"/>
        <c:auto val="1"/>
        <c:lblAlgn val="ctr"/>
        <c:lblOffset val="100"/>
        <c:noMultiLvlLbl val="0"/>
      </c:catAx>
      <c:valAx>
        <c:axId val="1649685824"/>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96853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chemeClr val="accent1">
                <a:lumMod val="60000"/>
                <a:lumOff val="40000"/>
              </a:schemeClr>
            </a:solidFill>
            <a:ln>
              <a:noFill/>
            </a:ln>
            <a:effectLst/>
          </c:spPr>
          <c:dLbls>
            <c:dLbl>
              <c:idx val="0"/>
              <c:layout>
                <c:manualLayout>
                  <c:x val="4.6022336388708618E-2"/>
                  <c:y val="-0.302124755015435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32-4252-BC17-DB8DDF794DD1}"/>
                </c:ext>
              </c:extLst>
            </c:dLbl>
            <c:dLbl>
              <c:idx val="1"/>
              <c:layout>
                <c:manualLayout>
                  <c:x val="5.5860457977810593E-5"/>
                  <c:y val="-0.325365120785853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32-4252-BC17-DB8DDF794DD1}"/>
                </c:ext>
              </c:extLst>
            </c:dLbl>
            <c:dLbl>
              <c:idx val="2"/>
              <c:layout>
                <c:manualLayout>
                  <c:x val="0"/>
                  <c:y val="-0.330013193939937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32-4252-BC17-DB8DDF794DD1}"/>
                </c:ext>
              </c:extLst>
            </c:dLbl>
            <c:dLbl>
              <c:idx val="3"/>
              <c:layout>
                <c:manualLayout>
                  <c:x val="-4.6022354905921299E-3"/>
                  <c:y val="-0.376493925480773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32-4252-BC17-DB8DDF794DD1}"/>
                </c:ext>
              </c:extLst>
            </c:dLbl>
            <c:dLbl>
              <c:idx val="4"/>
              <c:layout>
                <c:manualLayout>
                  <c:x val="-3.5297685205719589E-2"/>
                  <c:y val="-0.44621502279202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32-4252-BC17-DB8DDF794DD1}"/>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'FORECASTING SIMPLIFY'!$K$3:$O$3</c:f>
              <c:strCache>
                <c:ptCount val="5"/>
                <c:pt idx="0">
                  <c:v>Year 6</c:v>
                </c:pt>
                <c:pt idx="1">
                  <c:v>Year 7</c:v>
                </c:pt>
                <c:pt idx="2">
                  <c:v>Year 8</c:v>
                </c:pt>
                <c:pt idx="3">
                  <c:v>Year 9</c:v>
                </c:pt>
                <c:pt idx="4">
                  <c:v>Year 10</c:v>
                </c:pt>
              </c:strCache>
            </c:strRef>
          </c:cat>
          <c:val>
            <c:numRef>
              <c:f>'FORECASTING SIMPLIFY'!$K$55:$O$55</c:f>
              <c:numCache>
                <c:formatCode>#,##0_);\(#,##0\);"--"</c:formatCode>
                <c:ptCount val="5"/>
                <c:pt idx="0">
                  <c:v>13528.787694399998</c:v>
                </c:pt>
                <c:pt idx="1">
                  <c:v>13475.565991560319</c:v>
                </c:pt>
                <c:pt idx="2">
                  <c:v>13723.460849747315</c:v>
                </c:pt>
                <c:pt idx="3">
                  <c:v>13977.569173076128</c:v>
                </c:pt>
                <c:pt idx="4">
                  <c:v>14385.227611511244</c:v>
                </c:pt>
              </c:numCache>
            </c:numRef>
          </c:val>
          <c:extLst>
            <c:ext xmlns:c16="http://schemas.microsoft.com/office/drawing/2014/chart" uri="{C3380CC4-5D6E-409C-BE32-E72D297353CC}">
              <c16:uniqueId val="{00000000-1F32-4252-BC17-DB8DDF794DD1}"/>
            </c:ext>
          </c:extLst>
        </c:ser>
        <c:dLbls>
          <c:showLegendKey val="0"/>
          <c:showVal val="0"/>
          <c:showCatName val="0"/>
          <c:showSerName val="0"/>
          <c:showPercent val="0"/>
          <c:showBubbleSize val="0"/>
        </c:dLbls>
        <c:axId val="1670745744"/>
        <c:axId val="1670746224"/>
      </c:areaChart>
      <c:catAx>
        <c:axId val="167074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70746224"/>
        <c:crosses val="autoZero"/>
        <c:auto val="1"/>
        <c:lblAlgn val="ctr"/>
        <c:lblOffset val="100"/>
        <c:noMultiLvlLbl val="0"/>
      </c:catAx>
      <c:valAx>
        <c:axId val="1670746224"/>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707457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rgbClr val="FF0000"/>
              </a:solidFill>
              <a:round/>
            </a:ln>
            <a:effectLst/>
          </c:spPr>
          <c:marker>
            <c:symbol val="circle"/>
            <c:size val="5"/>
            <c:spPr>
              <a:solidFill>
                <a:schemeClr val="accent1"/>
              </a:solidFill>
              <a:ln w="381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xVal>
            <c:strRef>
              <c:f>'FORECASTING SIMPLIFY'!$D$3:$H$3</c:f>
              <c:strCache>
                <c:ptCount val="5"/>
                <c:pt idx="0">
                  <c:v>Year 1</c:v>
                </c:pt>
                <c:pt idx="1">
                  <c:v>Year 2</c:v>
                </c:pt>
                <c:pt idx="2">
                  <c:v>Year 3</c:v>
                </c:pt>
                <c:pt idx="3">
                  <c:v>Year 4</c:v>
                </c:pt>
                <c:pt idx="4">
                  <c:v>Year 5</c:v>
                </c:pt>
              </c:strCache>
            </c:strRef>
          </c:xVal>
          <c:yVal>
            <c:numRef>
              <c:f>'FORECASTING SIMPLIFY'!$D$71:$H$71</c:f>
              <c:numCache>
                <c:formatCode>#,##0_);\(#,##0\);"--"</c:formatCode>
                <c:ptCount val="5"/>
                <c:pt idx="0">
                  <c:v>0</c:v>
                </c:pt>
                <c:pt idx="1">
                  <c:v>12813</c:v>
                </c:pt>
                <c:pt idx="2">
                  <c:v>-7232</c:v>
                </c:pt>
                <c:pt idx="3">
                  <c:v>11083</c:v>
                </c:pt>
                <c:pt idx="4">
                  <c:v>2471</c:v>
                </c:pt>
              </c:numCache>
            </c:numRef>
          </c:yVal>
          <c:smooth val="1"/>
          <c:extLst>
            <c:ext xmlns:c16="http://schemas.microsoft.com/office/drawing/2014/chart" uri="{C3380CC4-5D6E-409C-BE32-E72D297353CC}">
              <c16:uniqueId val="{00000000-A0DA-4DA9-8697-A9D8CBE28FB7}"/>
            </c:ext>
          </c:extLst>
        </c:ser>
        <c:dLbls>
          <c:showLegendKey val="0"/>
          <c:showVal val="0"/>
          <c:showCatName val="0"/>
          <c:showSerName val="0"/>
          <c:showPercent val="0"/>
          <c:showBubbleSize val="0"/>
        </c:dLbls>
        <c:axId val="1672859216"/>
        <c:axId val="1672876016"/>
      </c:scatterChart>
      <c:valAx>
        <c:axId val="1672859216"/>
        <c:scaling>
          <c:orientation val="minMax"/>
        </c:scaling>
        <c:delete val="0"/>
        <c:axPos val="b"/>
        <c:numFmt formatCode="General" sourceLinked="1"/>
        <c:majorTickMark val="out"/>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t" anchorCtr="0"/>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72876016"/>
        <c:crosses val="autoZero"/>
        <c:crossBetween val="midCat"/>
      </c:valAx>
      <c:valAx>
        <c:axId val="1672876016"/>
        <c:scaling>
          <c:orientation val="minMax"/>
        </c:scaling>
        <c:delete val="0"/>
        <c:axPos val="l"/>
        <c:numFmt formatCode="#,##0_);\(#,##0\);&quot;--&quot;" sourceLinked="1"/>
        <c:majorTickMark val="out"/>
        <c:minorTickMark val="none"/>
        <c:tickLblPos val="nextTo"/>
        <c:spPr>
          <a:noFill/>
          <a:ln w="9525" cap="flat" cmpd="sng" algn="ctr">
            <a:solidFill>
              <a:schemeClr val="tx1">
                <a:lumMod val="25000"/>
                <a:lumOff val="75000"/>
              </a:schemeClr>
            </a:solidFill>
            <a:round/>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72859216"/>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rgbClr val="FF0000"/>
              </a:solidFill>
              <a:round/>
            </a:ln>
            <a:effectLst/>
          </c:spPr>
          <c:marker>
            <c:symbol val="circle"/>
            <c:size val="5"/>
            <c:spPr>
              <a:solidFill>
                <a:schemeClr val="accent1"/>
              </a:solidFill>
              <a:ln w="381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yVal>
            <c:numRef>
              <c:f>'FORECASTING SIMPLIFY'!$K$71:$O$71</c:f>
              <c:numCache>
                <c:formatCode>#,##0_);\(#,##0\);"--"</c:formatCode>
                <c:ptCount val="5"/>
                <c:pt idx="0">
                  <c:v>6915.3439678001432</c:v>
                </c:pt>
                <c:pt idx="1">
                  <c:v>9280.0215131797195</c:v>
                </c:pt>
                <c:pt idx="2">
                  <c:v>8527.8034018853159</c:v>
                </c:pt>
                <c:pt idx="3">
                  <c:v>6407.3840069051621</c:v>
                </c:pt>
                <c:pt idx="4">
                  <c:v>7450.0145024197227</c:v>
                </c:pt>
              </c:numCache>
            </c:numRef>
          </c:yVal>
          <c:smooth val="1"/>
          <c:extLst>
            <c:ext xmlns:c16="http://schemas.microsoft.com/office/drawing/2014/chart" uri="{C3380CC4-5D6E-409C-BE32-E72D297353CC}">
              <c16:uniqueId val="{00000000-9AAC-4EBD-B5D8-241B32F2F487}"/>
            </c:ext>
          </c:extLst>
        </c:ser>
        <c:dLbls>
          <c:showLegendKey val="0"/>
          <c:showVal val="0"/>
          <c:showCatName val="0"/>
          <c:showSerName val="0"/>
          <c:showPercent val="0"/>
          <c:showBubbleSize val="0"/>
        </c:dLbls>
        <c:axId val="64460096"/>
        <c:axId val="64452416"/>
      </c:scatterChart>
      <c:valAx>
        <c:axId val="64460096"/>
        <c:scaling>
          <c:orientation val="minMax"/>
        </c:scaling>
        <c:delete val="0"/>
        <c:axPos val="b"/>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452416"/>
        <c:crosses val="autoZero"/>
        <c:crossBetween val="midCat"/>
      </c:valAx>
      <c:valAx>
        <c:axId val="64452416"/>
        <c:scaling>
          <c:orientation val="minMax"/>
        </c:scaling>
        <c:delete val="0"/>
        <c:axPos val="l"/>
        <c:numFmt formatCode="#,##0_);\(#,##0\);&quot;--&quot;" sourceLinked="1"/>
        <c:majorTickMark val="none"/>
        <c:minorTickMark val="none"/>
        <c:tickLblPos val="nextTo"/>
        <c:spPr>
          <a:noFill/>
          <a:ln w="9525" cap="flat" cmpd="sng" algn="ctr">
            <a:solidFill>
              <a:schemeClr val="tx1">
                <a:lumMod val="25000"/>
                <a:lumOff val="75000"/>
              </a:schemeClr>
            </a:solidFill>
            <a:round/>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4600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60000"/>
                <a:lumOff val="40000"/>
              </a:schemeClr>
            </a:solidFill>
            <a:ln>
              <a:solidFill>
                <a:schemeClr val="accent1">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('RELATIVE VALUATION'!$B$11,'RELATIVE VALUATION'!$B$13:$B$18)</c:f>
              <c:strCache>
                <c:ptCount val="7"/>
                <c:pt idx="0">
                  <c:v>Wipro</c:v>
                </c:pt>
                <c:pt idx="1">
                  <c:v>TCS</c:v>
                </c:pt>
                <c:pt idx="2">
                  <c:v>Infosys</c:v>
                </c:pt>
                <c:pt idx="3">
                  <c:v>HCL Technologies</c:v>
                </c:pt>
                <c:pt idx="4">
                  <c:v>LTIMindtree</c:v>
                </c:pt>
                <c:pt idx="5">
                  <c:v>Tech Mahindra</c:v>
                </c:pt>
                <c:pt idx="6">
                  <c:v>Persistent Systems</c:v>
                </c:pt>
              </c:strCache>
            </c:strRef>
          </c:cat>
          <c:val>
            <c:numRef>
              <c:f>('RELATIVE VALUATION'!$O$11,'RELATIVE VALUATION'!$O$13,'RELATIVE VALUATION'!$O$14,'RELATIVE VALUATION'!$O$15,'RELATIVE VALUATION'!$O$16,'RELATIVE VALUATION'!$O$17,'RELATIVE VALUATION'!$O$18)</c:f>
              <c:numCache>
                <c:formatCode>0.00\x</c:formatCode>
                <c:ptCount val="7"/>
                <c:pt idx="0">
                  <c:v>1.608192697108477</c:v>
                </c:pt>
                <c:pt idx="1">
                  <c:v>4.6715459572934783</c:v>
                </c:pt>
                <c:pt idx="2">
                  <c:v>3.5384946929259464</c:v>
                </c:pt>
                <c:pt idx="3">
                  <c:v>3.1474187347827942</c:v>
                </c:pt>
                <c:pt idx="4">
                  <c:v>3.24893443485582</c:v>
                </c:pt>
                <c:pt idx="5">
                  <c:v>2.3741064014493851</c:v>
                </c:pt>
                <c:pt idx="6">
                  <c:v>5.7249560264678783</c:v>
                </c:pt>
              </c:numCache>
            </c:numRef>
          </c:val>
          <c:extLst>
            <c:ext xmlns:c16="http://schemas.microsoft.com/office/drawing/2014/chart" uri="{C3380CC4-5D6E-409C-BE32-E72D297353CC}">
              <c16:uniqueId val="{00000000-8341-4839-B4BA-EF5263D344B1}"/>
            </c:ext>
          </c:extLst>
        </c:ser>
        <c:dLbls>
          <c:showLegendKey val="0"/>
          <c:showVal val="0"/>
          <c:showCatName val="0"/>
          <c:showSerName val="0"/>
          <c:showPercent val="0"/>
          <c:showBubbleSize val="0"/>
        </c:dLbls>
        <c:gapWidth val="50"/>
        <c:overlap val="-27"/>
        <c:axId val="1646754320"/>
        <c:axId val="1646754800"/>
      </c:barChart>
      <c:catAx>
        <c:axId val="164675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6754800"/>
        <c:crosses val="autoZero"/>
        <c:auto val="1"/>
        <c:lblAlgn val="ctr"/>
        <c:lblOffset val="100"/>
        <c:noMultiLvlLbl val="0"/>
      </c:catAx>
      <c:valAx>
        <c:axId val="1646754800"/>
        <c:scaling>
          <c:orientation val="minMax"/>
        </c:scaling>
        <c:delete val="0"/>
        <c:axPos val="l"/>
        <c:numFmt formatCode="0.00\x"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675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FF0000"/>
              </a:solidFill>
              <a:round/>
            </a:ln>
            <a:effectLst/>
          </c:spPr>
          <c:marker>
            <c:symbol val="circle"/>
            <c:size val="5"/>
            <c:spPr>
              <a:solidFill>
                <a:schemeClr val="accent1"/>
              </a:solidFill>
              <a:ln w="381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('RELATIVE VALUATION'!$B$11,'RELATIVE VALUATION'!$B$13:$B$18)</c:f>
              <c:strCache>
                <c:ptCount val="7"/>
                <c:pt idx="0">
                  <c:v>Wipro</c:v>
                </c:pt>
                <c:pt idx="1">
                  <c:v>TCS</c:v>
                </c:pt>
                <c:pt idx="2">
                  <c:v>Infosys</c:v>
                </c:pt>
                <c:pt idx="3">
                  <c:v>HCL Technologies</c:v>
                </c:pt>
                <c:pt idx="4">
                  <c:v>LTIMindtree</c:v>
                </c:pt>
                <c:pt idx="5">
                  <c:v>Tech Mahindra</c:v>
                </c:pt>
                <c:pt idx="6">
                  <c:v>Persistent Systems</c:v>
                </c:pt>
              </c:strCache>
            </c:strRef>
          </c:cat>
          <c:val>
            <c:numRef>
              <c:f>('RELATIVE VALUATION'!$P$11,'RELATIVE VALUATION'!$P$13,'RELATIVE VALUATION'!$P$14,'RELATIVE VALUATION'!$P$15,'RELATIVE VALUATION'!$P$16,'RELATIVE VALUATION'!$P$17,'RELATIVE VALUATION'!$P$18)</c:f>
              <c:numCache>
                <c:formatCode>0.00\x</c:formatCode>
                <c:ptCount val="7"/>
                <c:pt idx="0">
                  <c:v>6.5408450967859757</c:v>
                </c:pt>
                <c:pt idx="1">
                  <c:v>16.712547464585466</c:v>
                </c:pt>
                <c:pt idx="2">
                  <c:v>13.463891353067513</c:v>
                </c:pt>
                <c:pt idx="3">
                  <c:v>13.163067633713244</c:v>
                </c:pt>
                <c:pt idx="4">
                  <c:v>16.497728790915165</c:v>
                </c:pt>
                <c:pt idx="5">
                  <c:v>16.070407511497191</c:v>
                </c:pt>
                <c:pt idx="6">
                  <c:v>31.124886156648451</c:v>
                </c:pt>
              </c:numCache>
            </c:numRef>
          </c:val>
          <c:smooth val="0"/>
          <c:extLst>
            <c:ext xmlns:c16="http://schemas.microsoft.com/office/drawing/2014/chart" uri="{C3380CC4-5D6E-409C-BE32-E72D297353CC}">
              <c16:uniqueId val="{00000000-D422-48B6-AAFA-C6E003BF8051}"/>
            </c:ext>
          </c:extLst>
        </c:ser>
        <c:dLbls>
          <c:showLegendKey val="0"/>
          <c:showVal val="0"/>
          <c:showCatName val="0"/>
          <c:showSerName val="0"/>
          <c:showPercent val="0"/>
          <c:showBubbleSize val="0"/>
        </c:dLbls>
        <c:marker val="1"/>
        <c:smooth val="0"/>
        <c:axId val="1825982464"/>
        <c:axId val="1825981024"/>
      </c:lineChart>
      <c:catAx>
        <c:axId val="182598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25981024"/>
        <c:crosses val="autoZero"/>
        <c:auto val="1"/>
        <c:lblAlgn val="ctr"/>
        <c:lblOffset val="100"/>
        <c:noMultiLvlLbl val="0"/>
      </c:catAx>
      <c:valAx>
        <c:axId val="1825981024"/>
        <c:scaling>
          <c:orientation val="minMax"/>
        </c:scaling>
        <c:delete val="0"/>
        <c:axPos val="l"/>
        <c:numFmt formatCode="0.00\x"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2598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chemeClr val="accent1">
                <a:lumMod val="60000"/>
                <a:lumOff val="40000"/>
              </a:schemeClr>
            </a:solidFill>
            <a:ln>
              <a:noFill/>
            </a:ln>
            <a:effectLst/>
          </c:spPr>
          <c:dLbls>
            <c:dLbl>
              <c:idx val="0"/>
              <c:layout>
                <c:manualLayout>
                  <c:x val="3.2343232642434834E-2"/>
                  <c:y val="-4.329683655844929E-17"/>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000E-4F41-80B9-B0B52AD13779}"/>
                </c:ext>
              </c:extLst>
            </c:dLbl>
            <c:dLbl>
              <c:idx val="6"/>
              <c:layout>
                <c:manualLayout>
                  <c:x val="-2.7722770836372711E-2"/>
                  <c:y val="8.9743570670923423E-2"/>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2-000E-4F41-80B9-B0B52AD13779}"/>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('RELATIVE VALUATION'!$B$11,'RELATIVE VALUATION'!$B$13:$B$18)</c:f>
              <c:strCache>
                <c:ptCount val="7"/>
                <c:pt idx="0">
                  <c:v>Wipro</c:v>
                </c:pt>
                <c:pt idx="1">
                  <c:v>TCS</c:v>
                </c:pt>
                <c:pt idx="2">
                  <c:v>Infosys</c:v>
                </c:pt>
                <c:pt idx="3">
                  <c:v>HCL Technologies</c:v>
                </c:pt>
                <c:pt idx="4">
                  <c:v>LTIMindtree</c:v>
                </c:pt>
                <c:pt idx="5">
                  <c:v>Tech Mahindra</c:v>
                </c:pt>
                <c:pt idx="6">
                  <c:v>Persistent Systems</c:v>
                </c:pt>
              </c:strCache>
            </c:strRef>
          </c:cat>
          <c:val>
            <c:numRef>
              <c:f>('RELATIVE VALUATION'!$Q$11,'RELATIVE VALUATION'!$Q$13:$Q$18)</c:f>
              <c:numCache>
                <c:formatCode>0.00\x</c:formatCode>
                <c:ptCount val="7"/>
                <c:pt idx="0">
                  <c:v>19.672523961661344</c:v>
                </c:pt>
                <c:pt idx="1">
                  <c:v>24.476562083734656</c:v>
                </c:pt>
                <c:pt idx="2">
                  <c:v>21.978252336448598</c:v>
                </c:pt>
                <c:pt idx="3">
                  <c:v>22.150071843209378</c:v>
                </c:pt>
                <c:pt idx="4">
                  <c:v>26.963820078226856</c:v>
                </c:pt>
                <c:pt idx="5">
                  <c:v>30.127474723724433</c:v>
                </c:pt>
                <c:pt idx="6">
                  <c:v>49.392321428571428</c:v>
                </c:pt>
              </c:numCache>
            </c:numRef>
          </c:val>
          <c:extLst>
            <c:ext xmlns:c16="http://schemas.microsoft.com/office/drawing/2014/chart" uri="{C3380CC4-5D6E-409C-BE32-E72D297353CC}">
              <c16:uniqueId val="{00000000-000E-4F41-80B9-B0B52AD13779}"/>
            </c:ext>
          </c:extLst>
        </c:ser>
        <c:dLbls>
          <c:showLegendKey val="0"/>
          <c:showVal val="0"/>
          <c:showCatName val="0"/>
          <c:showSerName val="0"/>
          <c:showPercent val="0"/>
          <c:showBubbleSize val="0"/>
        </c:dLbls>
        <c:axId val="1836993568"/>
        <c:axId val="1836993088"/>
      </c:areaChart>
      <c:catAx>
        <c:axId val="1836993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36993088"/>
        <c:crosses val="autoZero"/>
        <c:auto val="1"/>
        <c:lblAlgn val="ctr"/>
        <c:lblOffset val="100"/>
        <c:noMultiLvlLbl val="0"/>
      </c:catAx>
      <c:valAx>
        <c:axId val="1836993088"/>
        <c:scaling>
          <c:orientation val="minMax"/>
        </c:scaling>
        <c:delete val="0"/>
        <c:axPos val="l"/>
        <c:numFmt formatCode="0.00\x"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36993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bg1"/>
            </a:solidFill>
            <a:ln>
              <a:noFill/>
            </a:ln>
            <a:effectLst/>
          </c:spPr>
          <c:invertIfNegative val="0"/>
          <c:dLbls>
            <c:dLbl>
              <c:idx val="1"/>
              <c:layout>
                <c:manualLayout>
                  <c:x val="4.8608068800133188E-3"/>
                  <c:y val="-8.0183247131081301E-3"/>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1607-4196-8C5A-0C53DCA908B5}"/>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'FOOTBALL FIELD ANALYSIS'!$F$10:$F$14</c:f>
              <c:strCache>
                <c:ptCount val="5"/>
                <c:pt idx="0">
                  <c:v>Comps P/E</c:v>
                </c:pt>
                <c:pt idx="1">
                  <c:v>DCF</c:v>
                </c:pt>
                <c:pt idx="2">
                  <c:v>Analyst Price</c:v>
                </c:pt>
                <c:pt idx="3">
                  <c:v>52W H/L</c:v>
                </c:pt>
                <c:pt idx="4">
                  <c:v>EV/EBITDA</c:v>
                </c:pt>
              </c:strCache>
            </c:strRef>
          </c:cat>
          <c:val>
            <c:numRef>
              <c:f>'FOOTBALL FIELD ANALYSIS'!$G$10:$G$14</c:f>
              <c:numCache>
                <c:formatCode>0.00</c:formatCode>
                <c:ptCount val="5"/>
                <c:pt idx="0">
                  <c:v>246.3</c:v>
                </c:pt>
                <c:pt idx="1">
                  <c:v>113.47511384458886</c:v>
                </c:pt>
                <c:pt idx="2">
                  <c:v>200</c:v>
                </c:pt>
                <c:pt idx="3">
                  <c:v>190</c:v>
                </c:pt>
                <c:pt idx="4">
                  <c:v>228.49403283861781</c:v>
                </c:pt>
              </c:numCache>
            </c:numRef>
          </c:val>
          <c:extLst>
            <c:ext xmlns:c16="http://schemas.microsoft.com/office/drawing/2014/chart" uri="{C3380CC4-5D6E-409C-BE32-E72D297353CC}">
              <c16:uniqueId val="{00000000-1607-4196-8C5A-0C53DCA908B5}"/>
            </c:ext>
          </c:extLst>
        </c:ser>
        <c:ser>
          <c:idx val="1"/>
          <c:order val="1"/>
          <c:spPr>
            <a:solidFill>
              <a:schemeClr val="accent1">
                <a:lumMod val="60000"/>
                <a:lumOff val="40000"/>
              </a:schemeClr>
            </a:solidFill>
            <a:ln>
              <a:noFill/>
            </a:ln>
            <a:effectLst/>
          </c:spPr>
          <c:invertIfNegative val="0"/>
          <c:cat>
            <c:strRef>
              <c:f>'FOOTBALL FIELD ANALYSIS'!$F$10:$F$14</c:f>
              <c:strCache>
                <c:ptCount val="5"/>
                <c:pt idx="0">
                  <c:v>Comps P/E</c:v>
                </c:pt>
                <c:pt idx="1">
                  <c:v>DCF</c:v>
                </c:pt>
                <c:pt idx="2">
                  <c:v>Analyst Price</c:v>
                </c:pt>
                <c:pt idx="3">
                  <c:v>52W H/L</c:v>
                </c:pt>
                <c:pt idx="4">
                  <c:v>EV/EBITDA</c:v>
                </c:pt>
              </c:strCache>
            </c:strRef>
          </c:cat>
          <c:val>
            <c:numRef>
              <c:f>'FOOTBALL FIELD ANALYSIS'!$H$10:$H$14</c:f>
              <c:numCache>
                <c:formatCode>0.00</c:formatCode>
                <c:ptCount val="5"/>
                <c:pt idx="0">
                  <c:v>306.44655728835789</c:v>
                </c:pt>
                <c:pt idx="1">
                  <c:v>181.07898976900731</c:v>
                </c:pt>
                <c:pt idx="2">
                  <c:v>250</c:v>
                </c:pt>
                <c:pt idx="3">
                  <c:v>232</c:v>
                </c:pt>
                <c:pt idx="4">
                  <c:v>623.38493290910174</c:v>
                </c:pt>
              </c:numCache>
            </c:numRef>
          </c:val>
          <c:extLst>
            <c:ext xmlns:c16="http://schemas.microsoft.com/office/drawing/2014/chart" uri="{C3380CC4-5D6E-409C-BE32-E72D297353CC}">
              <c16:uniqueId val="{00000001-1607-4196-8C5A-0C53DCA908B5}"/>
            </c:ext>
          </c:extLst>
        </c:ser>
        <c:ser>
          <c:idx val="2"/>
          <c:order val="2"/>
          <c:spPr>
            <a:no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'FOOTBALL FIELD ANALYSIS'!$F$10:$F$14</c:f>
              <c:strCache>
                <c:ptCount val="5"/>
                <c:pt idx="0">
                  <c:v>Comps P/E</c:v>
                </c:pt>
                <c:pt idx="1">
                  <c:v>DCF</c:v>
                </c:pt>
                <c:pt idx="2">
                  <c:v>Analyst Price</c:v>
                </c:pt>
                <c:pt idx="3">
                  <c:v>52W H/L</c:v>
                </c:pt>
                <c:pt idx="4">
                  <c:v>EV/EBITDA</c:v>
                </c:pt>
              </c:strCache>
            </c:strRef>
          </c:cat>
          <c:val>
            <c:numRef>
              <c:f>'FOOTBALL FIELD ANALYSIS'!$I$10:$I$14</c:f>
              <c:numCache>
                <c:formatCode>0.00</c:formatCode>
                <c:ptCount val="5"/>
                <c:pt idx="0">
                  <c:v>618.39186428571429</c:v>
                </c:pt>
                <c:pt idx="1">
                  <c:v>260.82503603229355</c:v>
                </c:pt>
                <c:pt idx="2">
                  <c:v>280</c:v>
                </c:pt>
                <c:pt idx="3">
                  <c:v>275</c:v>
                </c:pt>
                <c:pt idx="4">
                  <c:v>715.79556800183389</c:v>
                </c:pt>
              </c:numCache>
            </c:numRef>
          </c:val>
          <c:extLst>
            <c:ext xmlns:c16="http://schemas.microsoft.com/office/drawing/2014/chart" uri="{C3380CC4-5D6E-409C-BE32-E72D297353CC}">
              <c16:uniqueId val="{00000002-1607-4196-8C5A-0C53DCA908B5}"/>
            </c:ext>
          </c:extLst>
        </c:ser>
        <c:dLbls>
          <c:showLegendKey val="0"/>
          <c:showVal val="0"/>
          <c:showCatName val="0"/>
          <c:showSerName val="0"/>
          <c:showPercent val="0"/>
          <c:showBubbleSize val="0"/>
        </c:dLbls>
        <c:gapWidth val="50"/>
        <c:overlap val="100"/>
        <c:axId val="1273000032"/>
        <c:axId val="1273000512"/>
      </c:barChart>
      <c:catAx>
        <c:axId val="127300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rot="0" spcFirstLastPara="1" vertOverflow="ellipsis"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73000512"/>
        <c:crosses val="autoZero"/>
        <c:auto val="1"/>
        <c:lblAlgn val="ctr"/>
        <c:lblOffset val="100"/>
        <c:noMultiLvlLbl val="0"/>
      </c:catAx>
      <c:valAx>
        <c:axId val="1273000512"/>
        <c:scaling>
          <c:orientation val="minMax"/>
          <c:max val="1200"/>
          <c:min val="0"/>
        </c:scaling>
        <c:delete val="0"/>
        <c:axPos val="b"/>
        <c:numFmt formatCode="0.00" sourceLinked="1"/>
        <c:majorTickMark val="out"/>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73000032"/>
        <c:crosses val="autoZero"/>
        <c:crossBetween val="between"/>
        <c:majorUnit val="3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WIPRO</c:v>
          </c:tx>
          <c:spPr>
            <a:ln w="28575" cap="rnd">
              <a:solidFill>
                <a:schemeClr val="accent1">
                  <a:lumMod val="75000"/>
                </a:schemeClr>
              </a:solidFill>
              <a:round/>
            </a:ln>
            <a:effectLst/>
          </c:spPr>
          <c:marker>
            <c:symbol val="none"/>
          </c:marker>
          <c:cat>
            <c:numRef>
              <c:f>'DATA SHEET'!$J$248:$J$300</c:f>
              <c:numCache>
                <c:formatCode>General</c:formatCode>
                <c:ptCount val="53"/>
                <c:pt idx="0" formatCode="mmm\-yy">
                  <c:v>45717</c:v>
                </c:pt>
                <c:pt idx="13" formatCode="mmm\-yy">
                  <c:v>45627</c:v>
                </c:pt>
                <c:pt idx="26" formatCode="mmm\-yy">
                  <c:v>45536</c:v>
                </c:pt>
                <c:pt idx="39" formatCode="mmm\-yy">
                  <c:v>45444</c:v>
                </c:pt>
                <c:pt idx="52" formatCode="mmm\-yy">
                  <c:v>45352</c:v>
                </c:pt>
              </c:numCache>
            </c:numRef>
          </c:cat>
          <c:val>
            <c:numRef>
              <c:f>'DATA SHEET'!$H$248:$H$300</c:f>
              <c:numCache>
                <c:formatCode>0.00</c:formatCode>
                <c:ptCount val="53"/>
                <c:pt idx="0">
                  <c:v>134.35522583460619</c:v>
                </c:pt>
                <c:pt idx="1">
                  <c:v>143.05585860789876</c:v>
                </c:pt>
                <c:pt idx="2">
                  <c:v>144.17412175430943</c:v>
                </c:pt>
                <c:pt idx="3">
                  <c:v>144.01047348898101</c:v>
                </c:pt>
                <c:pt idx="4">
                  <c:v>155.35675321841589</c:v>
                </c:pt>
                <c:pt idx="5">
                  <c:v>151.45646956142264</c:v>
                </c:pt>
                <c:pt idx="6">
                  <c:v>167.11215361117172</c:v>
                </c:pt>
                <c:pt idx="7">
                  <c:v>168.066768492254</c:v>
                </c:pt>
                <c:pt idx="8">
                  <c:v>173.46716124809078</c:v>
                </c:pt>
                <c:pt idx="9">
                  <c:v>170.13964651974689</c:v>
                </c:pt>
                <c:pt idx="10">
                  <c:v>174.61269910538951</c:v>
                </c:pt>
                <c:pt idx="11">
                  <c:v>153.80209469779621</c:v>
                </c:pt>
                <c:pt idx="12">
                  <c:v>163.94828714815623</c:v>
                </c:pt>
                <c:pt idx="13">
                  <c:v>160.62077241981234</c:v>
                </c:pt>
                <c:pt idx="14">
                  <c:v>168.61226271001527</c:v>
                </c:pt>
                <c:pt idx="15">
                  <c:v>166.48483526074625</c:v>
                </c:pt>
                <c:pt idx="16">
                  <c:v>169.07593279511238</c:v>
                </c:pt>
                <c:pt idx="17">
                  <c:v>162.20270565132012</c:v>
                </c:pt>
                <c:pt idx="18">
                  <c:v>157.60418939559241</c:v>
                </c:pt>
                <c:pt idx="19">
                  <c:v>155.91861226271001</c:v>
                </c:pt>
                <c:pt idx="20">
                  <c:v>154.56578660266203</c:v>
                </c:pt>
                <c:pt idx="21">
                  <c:v>155.19310495308753</c:v>
                </c:pt>
                <c:pt idx="22">
                  <c:v>150.3763910102553</c:v>
                </c:pt>
                <c:pt idx="23">
                  <c:v>148.22714379227583</c:v>
                </c:pt>
                <c:pt idx="24">
                  <c:v>149.64542875845518</c:v>
                </c:pt>
                <c:pt idx="25">
                  <c:v>144.0922976216452</c:v>
                </c:pt>
                <c:pt idx="26">
                  <c:v>145.52149247217977</c:v>
                </c:pt>
                <c:pt idx="27">
                  <c:v>147.77438359153393</c:v>
                </c:pt>
                <c:pt idx="28">
                  <c:v>147.0379663975562</c:v>
                </c:pt>
                <c:pt idx="29">
                  <c:v>150.17455814968363</c:v>
                </c:pt>
                <c:pt idx="30">
                  <c:v>141.99214488326425</c:v>
                </c:pt>
                <c:pt idx="31">
                  <c:v>146.84704342133975</c:v>
                </c:pt>
                <c:pt idx="32">
                  <c:v>139.75561859044294</c:v>
                </c:pt>
                <c:pt idx="33">
                  <c:v>140.80842243072226</c:v>
                </c:pt>
                <c:pt idx="34">
                  <c:v>134.00065459306131</c:v>
                </c:pt>
                <c:pt idx="35">
                  <c:v>136.9572332533275</c:v>
                </c:pt>
                <c:pt idx="36">
                  <c:v>143.13768274056292</c:v>
                </c:pt>
                <c:pt idx="37">
                  <c:v>151.9746890682959</c:v>
                </c:pt>
                <c:pt idx="38">
                  <c:v>152.78202051058258</c:v>
                </c:pt>
                <c:pt idx="39">
                  <c:v>145.94697796203363</c:v>
                </c:pt>
                <c:pt idx="40">
                  <c:v>140.42112153611171</c:v>
                </c:pt>
                <c:pt idx="41">
                  <c:v>133.79336679031204</c:v>
                </c:pt>
                <c:pt idx="42">
                  <c:v>130.23674449050841</c:v>
                </c:pt>
                <c:pt idx="43">
                  <c:v>132.15688413702816</c:v>
                </c:pt>
                <c:pt idx="44">
                  <c:v>119.51778311149901</c:v>
                </c:pt>
                <c:pt idx="45">
                  <c:v>126.45646956142265</c:v>
                </c:pt>
                <c:pt idx="46">
                  <c:v>125.73641719397774</c:v>
                </c:pt>
                <c:pt idx="47">
                  <c:v>123.24350861880863</c:v>
                </c:pt>
                <c:pt idx="48">
                  <c:v>124.74361771765221</c:v>
                </c:pt>
                <c:pt idx="49">
                  <c:v>126.71830678594809</c:v>
                </c:pt>
                <c:pt idx="50">
                  <c:v>123.48898101680122</c:v>
                </c:pt>
                <c:pt idx="51">
                  <c:v>128.39842897665287</c:v>
                </c:pt>
                <c:pt idx="52">
                  <c:v>132.29325769146848</c:v>
                </c:pt>
              </c:numCache>
            </c:numRef>
          </c:val>
          <c:smooth val="0"/>
          <c:extLst>
            <c:ext xmlns:c16="http://schemas.microsoft.com/office/drawing/2014/chart" uri="{C3380CC4-5D6E-409C-BE32-E72D297353CC}">
              <c16:uniqueId val="{00000000-84A0-4C9F-982A-09A875712509}"/>
            </c:ext>
          </c:extLst>
        </c:ser>
        <c:ser>
          <c:idx val="1"/>
          <c:order val="1"/>
          <c:tx>
            <c:v>NIFTY</c:v>
          </c:tx>
          <c:spPr>
            <a:ln w="28575" cap="rnd">
              <a:solidFill>
                <a:srgbClr val="FF0000"/>
              </a:solidFill>
              <a:round/>
            </a:ln>
            <a:effectLst/>
          </c:spPr>
          <c:marker>
            <c:symbol val="none"/>
          </c:marker>
          <c:cat>
            <c:numRef>
              <c:f>'DATA SHEET'!$J$248:$J$300</c:f>
              <c:numCache>
                <c:formatCode>General</c:formatCode>
                <c:ptCount val="53"/>
                <c:pt idx="0" formatCode="mmm\-yy">
                  <c:v>45717</c:v>
                </c:pt>
                <c:pt idx="13" formatCode="mmm\-yy">
                  <c:v>45627</c:v>
                </c:pt>
                <c:pt idx="26" formatCode="mmm\-yy">
                  <c:v>45536</c:v>
                </c:pt>
                <c:pt idx="39" formatCode="mmm\-yy">
                  <c:v>45444</c:v>
                </c:pt>
                <c:pt idx="52" formatCode="mmm\-yy">
                  <c:v>45352</c:v>
                </c:pt>
              </c:numCache>
            </c:numRef>
          </c:cat>
          <c:val>
            <c:numRef>
              <c:f>'DATA SHEET'!$I$248:$I$300</c:f>
              <c:numCache>
                <c:formatCode>0.00</c:formatCode>
                <c:ptCount val="53"/>
                <c:pt idx="0">
                  <c:v>130.14520587642016</c:v>
                </c:pt>
                <c:pt idx="1">
                  <c:v>133.63912461681386</c:v>
                </c:pt>
                <c:pt idx="2">
                  <c:v>132.67913507186427</c:v>
                </c:pt>
                <c:pt idx="3">
                  <c:v>127.26296440453089</c:v>
                </c:pt>
                <c:pt idx="4">
                  <c:v>128.14539338547598</c:v>
                </c:pt>
                <c:pt idx="5">
                  <c:v>125.71459417074121</c:v>
                </c:pt>
                <c:pt idx="6">
                  <c:v>129.52841472457476</c:v>
                </c:pt>
                <c:pt idx="7">
                  <c:v>130.28612177292652</c:v>
                </c:pt>
                <c:pt idx="8">
                  <c:v>133.86981757641703</c:v>
                </c:pt>
                <c:pt idx="9">
                  <c:v>133.57690570283222</c:v>
                </c:pt>
                <c:pt idx="10">
                  <c:v>131.21201876226976</c:v>
                </c:pt>
                <c:pt idx="11">
                  <c:v>131.84273104098776</c:v>
                </c:pt>
                <c:pt idx="12">
                  <c:v>133.13995278181048</c:v>
                </c:pt>
                <c:pt idx="13">
                  <c:v>136.39721236536991</c:v>
                </c:pt>
                <c:pt idx="14">
                  <c:v>135.30994394615649</c:v>
                </c:pt>
                <c:pt idx="15">
                  <c:v>134.02635922757634</c:v>
                </c:pt>
                <c:pt idx="16">
                  <c:v>140.73577417091167</c:v>
                </c:pt>
                <c:pt idx="17">
                  <c:v>140.22154479051542</c:v>
                </c:pt>
                <c:pt idx="18">
                  <c:v>137.11514476551423</c:v>
                </c:pt>
                <c:pt idx="19">
                  <c:v>135.84320833676625</c:v>
                </c:pt>
                <c:pt idx="20">
                  <c:v>133.71498055303809</c:v>
                </c:pt>
                <c:pt idx="21">
                  <c:v>137.21230854899241</c:v>
                </c:pt>
                <c:pt idx="22">
                  <c:v>138.0995673086484</c:v>
                </c:pt>
                <c:pt idx="23">
                  <c:v>137.39754476778708</c:v>
                </c:pt>
                <c:pt idx="24">
                  <c:v>141.22301361145281</c:v>
                </c:pt>
                <c:pt idx="25">
                  <c:v>141.84918021608996</c:v>
                </c:pt>
                <c:pt idx="26">
                  <c:v>142.13527357855349</c:v>
                </c:pt>
                <c:pt idx="27">
                  <c:v>148.75121809860136</c:v>
                </c:pt>
                <c:pt idx="28">
                  <c:v>146.54656616938885</c:v>
                </c:pt>
                <c:pt idx="29">
                  <c:v>144.07798103885699</c:v>
                </c:pt>
                <c:pt idx="30">
                  <c:v>141.2122176355108</c:v>
                </c:pt>
                <c:pt idx="31">
                  <c:v>143.39272067116877</c:v>
                </c:pt>
                <c:pt idx="32">
                  <c:v>141.04743695007997</c:v>
                </c:pt>
                <c:pt idx="33">
                  <c:v>139.44508683658017</c:v>
                </c:pt>
                <c:pt idx="34">
                  <c:v>138.45839145640554</c:v>
                </c:pt>
                <c:pt idx="35">
                  <c:v>140.44826028529786</c:v>
                </c:pt>
                <c:pt idx="36">
                  <c:v>141.1139174335124</c:v>
                </c:pt>
                <c:pt idx="37">
                  <c:v>139.38684538741927</c:v>
                </c:pt>
                <c:pt idx="38">
                  <c:v>139.22348522513872</c:v>
                </c:pt>
                <c:pt idx="39">
                  <c:v>138.21036811436912</c:v>
                </c:pt>
                <c:pt idx="40">
                  <c:v>136.43045260708612</c:v>
                </c:pt>
                <c:pt idx="41">
                  <c:v>133.53542642684445</c:v>
                </c:pt>
                <c:pt idx="42">
                  <c:v>133.3337121395067</c:v>
                </c:pt>
                <c:pt idx="43">
                  <c:v>132.33678899265021</c:v>
                </c:pt>
                <c:pt idx="44">
                  <c:v>128.02152376677282</c:v>
                </c:pt>
                <c:pt idx="45">
                  <c:v>130.44436805186612</c:v>
                </c:pt>
                <c:pt idx="46">
                  <c:v>127.65446058474413</c:v>
                </c:pt>
                <c:pt idx="47">
                  <c:v>125.3196887349673</c:v>
                </c:pt>
                <c:pt idx="48">
                  <c:v>127.7098609876045</c:v>
                </c:pt>
                <c:pt idx="49">
                  <c:v>127.39223201120508</c:v>
                </c:pt>
                <c:pt idx="50">
                  <c:v>125.84130483574489</c:v>
                </c:pt>
                <c:pt idx="51">
                  <c:v>127.95731612038081</c:v>
                </c:pt>
                <c:pt idx="52">
                  <c:v>127.92492819255475</c:v>
                </c:pt>
              </c:numCache>
            </c:numRef>
          </c:val>
          <c:smooth val="0"/>
          <c:extLst>
            <c:ext xmlns:c16="http://schemas.microsoft.com/office/drawing/2014/chart" uri="{C3380CC4-5D6E-409C-BE32-E72D297353CC}">
              <c16:uniqueId val="{00000001-84A0-4C9F-982A-09A875712509}"/>
            </c:ext>
          </c:extLst>
        </c:ser>
        <c:dLbls>
          <c:showLegendKey val="0"/>
          <c:showVal val="0"/>
          <c:showCatName val="0"/>
          <c:showSerName val="0"/>
          <c:showPercent val="0"/>
          <c:showBubbleSize val="0"/>
        </c:dLbls>
        <c:smooth val="0"/>
        <c:axId val="2015971999"/>
        <c:axId val="2015972479"/>
      </c:lineChart>
      <c:catAx>
        <c:axId val="2015971999"/>
        <c:scaling>
          <c:orientation val="maxMin"/>
        </c:scaling>
        <c:delete val="0"/>
        <c:axPos val="b"/>
        <c:numFmt formatCode="mmm\-yy" sourceLinked="1"/>
        <c:majorTickMark val="none"/>
        <c:minorTickMark val="none"/>
        <c:tickLblPos val="nextTo"/>
        <c:spPr>
          <a:noFill/>
          <a:ln w="9525" cap="flat" cmpd="sng" algn="ctr">
            <a:solidFill>
              <a:schemeClr val="tx1">
                <a:lumMod val="95000"/>
                <a:lumOff val="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Copperplate Gothic Light" panose="020E0507020206020404" pitchFamily="34" charset="0"/>
                <a:ea typeface="+mn-ea"/>
                <a:cs typeface="+mn-cs"/>
              </a:defRPr>
            </a:pPr>
            <a:endParaRPr lang="en-US"/>
          </a:p>
        </c:txPr>
        <c:crossAx val="2015972479"/>
        <c:crosses val="autoZero"/>
        <c:auto val="0"/>
        <c:lblAlgn val="ctr"/>
        <c:lblOffset val="100"/>
        <c:noMultiLvlLbl val="0"/>
      </c:catAx>
      <c:valAx>
        <c:axId val="2015972479"/>
        <c:scaling>
          <c:orientation val="minMax"/>
        </c:scaling>
        <c:delete val="1"/>
        <c:axPos val="r"/>
        <c:numFmt formatCode="0.00" sourceLinked="1"/>
        <c:majorTickMark val="out"/>
        <c:minorTickMark val="none"/>
        <c:tickLblPos val="nextTo"/>
        <c:crossAx val="2015971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opperplate Gothic Light" panose="020E05070202060204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328311700763431"/>
          <c:y val="0.35363285126271965"/>
          <c:w val="0.30824794161003843"/>
          <c:h val="0.45306241082280818"/>
        </c:manualLayout>
      </c:layout>
      <c:pie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1B38-4B76-816B-95F61B12C5FA}"/>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1B38-4B76-816B-95F61B12C5FA}"/>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5-1B38-4B76-816B-95F61B12C5FA}"/>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7-1B38-4B76-816B-95F61B12C5FA}"/>
              </c:ext>
            </c:extLst>
          </c:dPt>
          <c:dPt>
            <c:idx val="4"/>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9-1B38-4B76-816B-95F61B12C5FA}"/>
              </c:ext>
            </c:extLst>
          </c:dPt>
          <c:dPt>
            <c:idx val="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B-1B38-4B76-816B-95F61B12C5FA}"/>
              </c:ext>
            </c:extLst>
          </c:dPt>
          <c:dPt>
            <c:idx val="6"/>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D-1B38-4B76-816B-95F61B12C5FA}"/>
              </c:ext>
            </c:extLst>
          </c:dPt>
          <c:dPt>
            <c:idx val="7"/>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F-1B38-4B76-816B-95F61B12C5FA}"/>
              </c:ext>
            </c:extLst>
          </c:dPt>
          <c:dPt>
            <c:idx val="8"/>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1-1B38-4B76-816B-95F61B12C5FA}"/>
              </c:ext>
            </c:extLst>
          </c:dPt>
          <c:dLbls>
            <c:dLbl>
              <c:idx val="0"/>
              <c:layout>
                <c:manualLayout>
                  <c:x val="0.13191273465246067"/>
                  <c:y val="0.1565995525727069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B38-4B76-816B-95F61B12C5FA}"/>
                </c:ext>
              </c:extLst>
            </c:dLbl>
            <c:dLbl>
              <c:idx val="1"/>
              <c:layout>
                <c:manualLayout>
                  <c:x val="0.11669203450025367"/>
                  <c:y val="-3.728560775540641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B38-4B76-816B-95F61B12C5FA}"/>
                </c:ext>
              </c:extLst>
            </c:dLbl>
            <c:dLbl>
              <c:idx val="2"/>
              <c:layout>
                <c:manualLayout>
                  <c:x val="-0.13698630136986301"/>
                  <c:y val="4.1014168530947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B38-4B76-816B-95F61B12C5FA}"/>
                </c:ext>
              </c:extLst>
            </c:dLbl>
            <c:dLbl>
              <c:idx val="3"/>
              <c:layout>
                <c:manualLayout>
                  <c:x val="-0.15728056823947237"/>
                  <c:y val="0.1454138702460849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B38-4B76-816B-95F61B12C5FA}"/>
                </c:ext>
              </c:extLst>
            </c:dLbl>
            <c:dLbl>
              <c:idx val="4"/>
              <c:layout>
                <c:manualLayout>
                  <c:x val="-0.15474378488077117"/>
                  <c:y val="0.1118568232662192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B38-4B76-816B-95F61B12C5FA}"/>
                </c:ext>
              </c:extLst>
            </c:dLbl>
            <c:dLbl>
              <c:idx val="5"/>
              <c:layout>
                <c:manualLayout>
                  <c:x val="-0.18518518518518517"/>
                  <c:y val="-2.982848620432513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B38-4B76-816B-95F61B12C5FA}"/>
                </c:ext>
              </c:extLst>
            </c:dLbl>
            <c:dLbl>
              <c:idx val="6"/>
              <c:layout>
                <c:manualLayout>
                  <c:x val="-0.14967021816336884"/>
                  <c:y val="-0.2087994034302759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B38-4B76-816B-95F61B12C5FA}"/>
                </c:ext>
              </c:extLst>
            </c:dLbl>
            <c:dLbl>
              <c:idx val="7"/>
              <c:layout>
                <c:manualLayout>
                  <c:x val="2.0294266869609334E-2"/>
                  <c:y val="-0.1491424310216256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B38-4B76-816B-95F61B12C5FA}"/>
                </c:ext>
              </c:extLst>
            </c:dLbl>
            <c:dLbl>
              <c:idx val="8"/>
              <c:layout>
                <c:manualLayout>
                  <c:x val="0.19786910197869093"/>
                  <c:y val="-0.106434556418702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1B38-4B76-816B-95F61B12C5F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ABOUT!$B$43:$B$51</c:f>
              <c:strCache>
                <c:ptCount val="9"/>
                <c:pt idx="0">
                  <c:v>Mr. Azim Hasham Premji (Zash Traders)</c:v>
                </c:pt>
                <c:pt idx="1">
                  <c:v>Mr. Azim Hasham Premji (Prazim Traders)</c:v>
                </c:pt>
                <c:pt idx="2">
                  <c:v>Mr. Azim Hasham Premji (Hasham Traders)</c:v>
                </c:pt>
                <c:pt idx="3">
                  <c:v>Azim Premji Trust</c:v>
                </c:pt>
                <c:pt idx="4">
                  <c:v>Azim H. Premji</c:v>
                </c:pt>
                <c:pt idx="5">
                  <c:v>LIC ULIP Growth Fund</c:v>
                </c:pt>
                <c:pt idx="6">
                  <c:v>JP Morgan Chase Bank</c:v>
                </c:pt>
                <c:pt idx="7">
                  <c:v>Prazim Trading &amp; Investment Co. Pvt Ltd</c:v>
                </c:pt>
                <c:pt idx="8">
                  <c:v>ICICI Prudential Children’s Fund</c:v>
                </c:pt>
              </c:strCache>
            </c:strRef>
          </c:cat>
          <c:val>
            <c:numRef>
              <c:f>ABOUT!$D$43:$D$51</c:f>
              <c:numCache>
                <c:formatCode>0.00%</c:formatCode>
                <c:ptCount val="9"/>
                <c:pt idx="0">
                  <c:v>0.21029999999999999</c:v>
                </c:pt>
                <c:pt idx="1">
                  <c:v>0.20599999999999999</c:v>
                </c:pt>
                <c:pt idx="2">
                  <c:v>0.1799</c:v>
                </c:pt>
                <c:pt idx="3">
                  <c:v>6.4899999999999999E-2</c:v>
                </c:pt>
                <c:pt idx="4">
                  <c:v>4.1099999999999998E-2</c:v>
                </c:pt>
                <c:pt idx="5">
                  <c:v>2.6700000000000002E-2</c:v>
                </c:pt>
                <c:pt idx="6">
                  <c:v>2.4799999999999999E-2</c:v>
                </c:pt>
                <c:pt idx="7">
                  <c:v>1.8499999999999999E-2</c:v>
                </c:pt>
                <c:pt idx="8">
                  <c:v>1.54E-2</c:v>
                </c:pt>
              </c:numCache>
            </c:numRef>
          </c:val>
          <c:extLst>
            <c:ext xmlns:c16="http://schemas.microsoft.com/office/drawing/2014/chart" uri="{C3380CC4-5D6E-409C-BE32-E72D297353CC}">
              <c16:uniqueId val="{00000012-1B38-4B76-816B-95F61B12C5F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Copperplate Gothic Light" panose="020E0507020206020404" pitchFamily="34" charset="0"/>
                <a:ea typeface="+mn-ea"/>
                <a:cs typeface="+mn-cs"/>
              </a:defRPr>
            </a:pPr>
            <a:r>
              <a:rPr lang="en-IN" sz="1100">
                <a:latin typeface="Copperplate Gothic Light" panose="020E0507020206020404" pitchFamily="34" charset="0"/>
              </a:rPr>
              <a:t>Revenue</a:t>
            </a:r>
            <a:r>
              <a:rPr lang="en-IN" sz="1100" baseline="0">
                <a:latin typeface="Copperplate Gothic Light" panose="020E0507020206020404" pitchFamily="34" charset="0"/>
              </a:rPr>
              <a:t> Comparison (IT Services &amp; Products)</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Copperplate Gothic Light" panose="020E0507020206020404" pitchFamily="34" charset="0"/>
              <a:ea typeface="+mn-ea"/>
              <a:cs typeface="+mn-cs"/>
            </a:defRPr>
          </a:pPr>
          <a:endParaRPr lang="en-US"/>
        </a:p>
      </c:txPr>
    </c:title>
    <c:autoTitleDeleted val="0"/>
    <c:plotArea>
      <c:layout/>
      <c:lineChart>
        <c:grouping val="standard"/>
        <c:varyColors val="0"/>
        <c:ser>
          <c:idx val="0"/>
          <c:order val="0"/>
          <c:tx>
            <c:v>IT SERVICES</c:v>
          </c:tx>
          <c:spPr>
            <a:ln w="28575" cap="rnd">
              <a:solidFill>
                <a:schemeClr val="accent1"/>
              </a:solidFill>
              <a:round/>
            </a:ln>
            <a:effectLst/>
          </c:spPr>
          <c:marker>
            <c:symbol val="none"/>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'FORECASTING SIMPLIFY'!$D$3:$H$3</c:f>
              <c:strCache>
                <c:ptCount val="5"/>
                <c:pt idx="0">
                  <c:v>Year 1</c:v>
                </c:pt>
                <c:pt idx="1">
                  <c:v>Year 2</c:v>
                </c:pt>
                <c:pt idx="2">
                  <c:v>Year 3</c:v>
                </c:pt>
                <c:pt idx="3">
                  <c:v>Year 4</c:v>
                </c:pt>
                <c:pt idx="4">
                  <c:v>Year 5</c:v>
                </c:pt>
              </c:strCache>
            </c:strRef>
          </c:cat>
          <c:val>
            <c:numRef>
              <c:f>'P &amp; L ASSUMPTIONS'!$D$11:$H$11</c:f>
              <c:numCache>
                <c:formatCode>#,##0_);\(#,##0\);"--"</c:formatCode>
                <c:ptCount val="5"/>
                <c:pt idx="0">
                  <c:v>61830</c:v>
                </c:pt>
                <c:pt idx="1">
                  <c:v>79529</c:v>
                </c:pt>
                <c:pt idx="2">
                  <c:v>90935</c:v>
                </c:pt>
                <c:pt idx="3">
                  <c:v>89382</c:v>
                </c:pt>
                <c:pt idx="4">
                  <c:v>89088</c:v>
                </c:pt>
              </c:numCache>
            </c:numRef>
          </c:val>
          <c:smooth val="1"/>
          <c:extLst>
            <c:ext xmlns:c16="http://schemas.microsoft.com/office/drawing/2014/chart" uri="{C3380CC4-5D6E-409C-BE32-E72D297353CC}">
              <c16:uniqueId val="{00000000-0381-464B-9BA8-06EB4F194ACC}"/>
            </c:ext>
          </c:extLst>
        </c:ser>
        <c:dLbls>
          <c:showLegendKey val="0"/>
          <c:showVal val="0"/>
          <c:showCatName val="0"/>
          <c:showSerName val="0"/>
          <c:showPercent val="0"/>
          <c:showBubbleSize val="0"/>
        </c:dLbls>
        <c:marker val="1"/>
        <c:smooth val="0"/>
        <c:axId val="762078175"/>
        <c:axId val="762078655"/>
      </c:lineChart>
      <c:lineChart>
        <c:grouping val="standard"/>
        <c:varyColors val="0"/>
        <c:ser>
          <c:idx val="1"/>
          <c:order val="1"/>
          <c:tx>
            <c:v>IT PRODUCTS</c:v>
          </c:tx>
          <c:spPr>
            <a:ln w="28575" cap="rnd">
              <a:solidFill>
                <a:schemeClr val="accent2"/>
              </a:solidFill>
              <a:round/>
            </a:ln>
            <a:effectLst/>
          </c:spPr>
          <c:marker>
            <c:symbol val="none"/>
          </c:marker>
          <c:dLbls>
            <c:dLbl>
              <c:idx val="3"/>
              <c:layout>
                <c:manualLayout>
                  <c:x val="-1.8726591760299626E-2"/>
                  <c:y val="8.7962962962962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DE-40B2-AEF6-55CC2026598D}"/>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'P &amp; L ASSUMPTIONS'!$D$18:$H$18</c:f>
              <c:numCache>
                <c:formatCode>#,##0_);\(#,##0\);"--"</c:formatCode>
                <c:ptCount val="5"/>
                <c:pt idx="0">
                  <c:v>413</c:v>
                </c:pt>
                <c:pt idx="1">
                  <c:v>0</c:v>
                </c:pt>
                <c:pt idx="2">
                  <c:v>0</c:v>
                </c:pt>
                <c:pt idx="3">
                  <c:v>412</c:v>
                </c:pt>
                <c:pt idx="4">
                  <c:v>0</c:v>
                </c:pt>
              </c:numCache>
            </c:numRef>
          </c:val>
          <c:smooth val="1"/>
          <c:extLst>
            <c:ext xmlns:c16="http://schemas.microsoft.com/office/drawing/2014/chart" uri="{C3380CC4-5D6E-409C-BE32-E72D297353CC}">
              <c16:uniqueId val="{00000001-0381-464B-9BA8-06EB4F194ACC}"/>
            </c:ext>
          </c:extLst>
        </c:ser>
        <c:dLbls>
          <c:showLegendKey val="0"/>
          <c:showVal val="0"/>
          <c:showCatName val="0"/>
          <c:showSerName val="0"/>
          <c:showPercent val="0"/>
          <c:showBubbleSize val="0"/>
        </c:dLbls>
        <c:marker val="1"/>
        <c:smooth val="0"/>
        <c:axId val="784804687"/>
        <c:axId val="784802767"/>
      </c:lineChart>
      <c:catAx>
        <c:axId val="7620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762078655"/>
        <c:crosses val="autoZero"/>
        <c:auto val="1"/>
        <c:lblAlgn val="ctr"/>
        <c:lblOffset val="100"/>
        <c:noMultiLvlLbl val="0"/>
      </c:catAx>
      <c:valAx>
        <c:axId val="762078655"/>
        <c:scaling>
          <c:orientation val="minMax"/>
        </c:scaling>
        <c:delete val="0"/>
        <c:axPos val="l"/>
        <c:numFmt formatCode="#,##0_);\(#,##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762078175"/>
        <c:crosses val="autoZero"/>
        <c:crossBetween val="between"/>
      </c:valAx>
      <c:valAx>
        <c:axId val="784802767"/>
        <c:scaling>
          <c:orientation val="minMax"/>
        </c:scaling>
        <c:delete val="0"/>
        <c:axPos val="r"/>
        <c:numFmt formatCode="#,##0_);\(#,##0\);&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784804687"/>
        <c:crosses val="max"/>
        <c:crossBetween val="between"/>
      </c:valAx>
      <c:catAx>
        <c:axId val="784804687"/>
        <c:scaling>
          <c:orientation val="minMax"/>
        </c:scaling>
        <c:delete val="1"/>
        <c:axPos val="b"/>
        <c:majorTickMark val="out"/>
        <c:minorTickMark val="none"/>
        <c:tickLblPos val="nextTo"/>
        <c:crossAx val="7848027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opperplate Gothic Light" panose="020E0507020206020404" pitchFamily="34" charset="0"/>
                <a:ea typeface="+mn-ea"/>
                <a:cs typeface="+mn-cs"/>
              </a:defRPr>
            </a:pPr>
            <a:r>
              <a:rPr lang="en-IN" sz="1200">
                <a:latin typeface="Copperplate Gothic Light" panose="020E0507020206020404" pitchFamily="34" charset="0"/>
              </a:rPr>
              <a:t>Expenditure</a:t>
            </a:r>
            <a:r>
              <a:rPr lang="en-IN" sz="1200" baseline="0">
                <a:latin typeface="Copperplate Gothic Light" panose="020E0507020206020404" pitchFamily="34" charset="0"/>
              </a:rPr>
              <a:t> Comparison</a:t>
            </a:r>
            <a:endParaRPr lang="en-IN" sz="1200">
              <a:latin typeface="Copperplate Gothic Light" panose="020E05070202060204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opperplate Gothic Light" panose="020E0507020206020404" pitchFamily="34" charset="0"/>
              <a:ea typeface="+mn-ea"/>
              <a:cs typeface="+mn-cs"/>
            </a:defRPr>
          </a:pPr>
          <a:endParaRPr lang="en-IN"/>
        </a:p>
      </c:txPr>
    </c:title>
    <c:autoTitleDeleted val="0"/>
    <c:plotArea>
      <c:layout/>
      <c:barChart>
        <c:barDir val="col"/>
        <c:grouping val="clustered"/>
        <c:varyColors val="0"/>
        <c:ser>
          <c:idx val="0"/>
          <c:order val="0"/>
          <c:tx>
            <c:v>EMPLOYEE COST</c:v>
          </c:tx>
          <c:spPr>
            <a:solidFill>
              <a:schemeClr val="accent1">
                <a:lumMod val="75000"/>
              </a:schemeClr>
            </a:solidFill>
            <a:ln>
              <a:noFill/>
            </a:ln>
            <a:effectLst/>
          </c:spPr>
          <c:invertIfNegative val="0"/>
          <c:dLbls>
            <c:dLbl>
              <c:idx val="1"/>
              <c:layout>
                <c:manualLayout>
                  <c:x val="0"/>
                  <c:y val="0.2234441528142315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B8-4629-832A-5C49E69FE648}"/>
                </c:ext>
              </c:extLst>
            </c:dLbl>
            <c:dLbl>
              <c:idx val="2"/>
              <c:layout>
                <c:manualLayout>
                  <c:x val="0"/>
                  <c:y val="0.2838269174686496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B8-4629-832A-5C49E69FE648}"/>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Copperplate Gothic Light" panose="020E05070202060204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'ALTMAN''S Z SCORE'!$D$3:$H$3</c:f>
              <c:strCache>
                <c:ptCount val="5"/>
                <c:pt idx="0">
                  <c:v>Year 1</c:v>
                </c:pt>
                <c:pt idx="1">
                  <c:v>Year 2</c:v>
                </c:pt>
                <c:pt idx="2">
                  <c:v>Year 3</c:v>
                </c:pt>
                <c:pt idx="3">
                  <c:v>Year 4</c:v>
                </c:pt>
                <c:pt idx="4">
                  <c:v>Year 5</c:v>
                </c:pt>
              </c:strCache>
            </c:strRef>
          </c:cat>
          <c:val>
            <c:numRef>
              <c:f>STATEMENTS!$K$69:$O$69</c:f>
              <c:numCache>
                <c:formatCode>#,##0</c:formatCode>
                <c:ptCount val="5"/>
                <c:pt idx="0">
                  <c:v>61709</c:v>
                </c:pt>
                <c:pt idx="1">
                  <c:v>64207</c:v>
                </c:pt>
                <c:pt idx="2">
                  <c:v>64873</c:v>
                </c:pt>
                <c:pt idx="3">
                  <c:v>63651</c:v>
                </c:pt>
                <c:pt idx="4">
                  <c:v>63363</c:v>
                </c:pt>
              </c:numCache>
            </c:numRef>
          </c:val>
          <c:extLst>
            <c:ext xmlns:c16="http://schemas.microsoft.com/office/drawing/2014/chart" uri="{C3380CC4-5D6E-409C-BE32-E72D297353CC}">
              <c16:uniqueId val="{00000002-88B8-4629-832A-5C49E69FE648}"/>
            </c:ext>
          </c:extLst>
        </c:ser>
        <c:dLbls>
          <c:showLegendKey val="0"/>
          <c:showVal val="0"/>
          <c:showCatName val="0"/>
          <c:showSerName val="0"/>
          <c:showPercent val="0"/>
          <c:showBubbleSize val="0"/>
        </c:dLbls>
        <c:gapWidth val="219"/>
        <c:axId val="244575647"/>
        <c:axId val="244562207"/>
      </c:barChart>
      <c:lineChart>
        <c:grouping val="standard"/>
        <c:varyColors val="0"/>
        <c:ser>
          <c:idx val="1"/>
          <c:order val="1"/>
          <c:tx>
            <c:v>INFRASTRUCTURE COST</c:v>
          </c:tx>
          <c:spPr>
            <a:ln w="28575" cap="rnd">
              <a:solidFill>
                <a:schemeClr val="accent2"/>
              </a:solidFill>
              <a:round/>
            </a:ln>
            <a:effectLst/>
          </c:spPr>
          <c:marker>
            <c:symbol val="none"/>
          </c:marker>
          <c:dLbls>
            <c:dLbl>
              <c:idx val="2"/>
              <c:layout>
                <c:manualLayout>
                  <c:x val="-0.06"/>
                  <c:y val="-8.7442038495188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B8-4629-832A-5C49E69FE648}"/>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STATEMENTS!$K$70:$O$70</c:f>
              <c:numCache>
                <c:formatCode>#,##0</c:formatCode>
                <c:ptCount val="5"/>
                <c:pt idx="0">
                  <c:v>4587</c:v>
                </c:pt>
                <c:pt idx="1">
                  <c:v>6045</c:v>
                </c:pt>
                <c:pt idx="2">
                  <c:v>5575</c:v>
                </c:pt>
                <c:pt idx="3">
                  <c:v>5084</c:v>
                </c:pt>
                <c:pt idx="4">
                  <c:v>5063</c:v>
                </c:pt>
              </c:numCache>
            </c:numRef>
          </c:val>
          <c:smooth val="0"/>
          <c:extLst>
            <c:ext xmlns:c16="http://schemas.microsoft.com/office/drawing/2014/chart" uri="{C3380CC4-5D6E-409C-BE32-E72D297353CC}">
              <c16:uniqueId val="{00000004-88B8-4629-832A-5C49E69FE648}"/>
            </c:ext>
          </c:extLst>
        </c:ser>
        <c:ser>
          <c:idx val="2"/>
          <c:order val="2"/>
          <c:tx>
            <c:v>TECHNOLOGY INVESTMENT</c:v>
          </c:tx>
          <c:spPr>
            <a:ln w="28575" cap="rnd">
              <a:solidFill>
                <a:schemeClr val="accent3"/>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88B8-4629-832A-5C49E69FE648}"/>
                </c:ext>
              </c:extLst>
            </c:dLbl>
            <c:dLbl>
              <c:idx val="2"/>
              <c:layout>
                <c:manualLayout>
                  <c:x val="1.3888888888888888E-2"/>
                  <c:y val="1.3888888888888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8B8-4629-832A-5C49E69FE648}"/>
                </c:ext>
              </c:extLst>
            </c:dLbl>
            <c:dLbl>
              <c:idx val="3"/>
              <c:layout>
                <c:manualLayout>
                  <c:x val="8.3333333333333332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8B8-4629-832A-5C49E69FE648}"/>
                </c:ext>
              </c:extLst>
            </c:dLbl>
            <c:dLbl>
              <c:idx val="4"/>
              <c:layout>
                <c:manualLayout>
                  <c:x val="3.3333333333333229E-2"/>
                  <c:y val="0.1111111111111111"/>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8-88B8-4629-832A-5C49E69FE648}"/>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STATEMENTS!$K$71:$O$71</c:f>
              <c:numCache>
                <c:formatCode>#,##0</c:formatCode>
                <c:ptCount val="5"/>
                <c:pt idx="0">
                  <c:v>0</c:v>
                </c:pt>
                <c:pt idx="1">
                  <c:v>1921</c:v>
                </c:pt>
                <c:pt idx="2">
                  <c:v>2407</c:v>
                </c:pt>
                <c:pt idx="3">
                  <c:v>2285</c:v>
                </c:pt>
                <c:pt idx="4">
                  <c:v>2263</c:v>
                </c:pt>
              </c:numCache>
            </c:numRef>
          </c:val>
          <c:smooth val="0"/>
          <c:extLst>
            <c:ext xmlns:c16="http://schemas.microsoft.com/office/drawing/2014/chart" uri="{C3380CC4-5D6E-409C-BE32-E72D297353CC}">
              <c16:uniqueId val="{00000009-88B8-4629-832A-5C49E69FE648}"/>
            </c:ext>
          </c:extLst>
        </c:ser>
        <c:ser>
          <c:idx val="3"/>
          <c:order val="3"/>
          <c:tx>
            <c:v>SALES &amp; MARKETING</c:v>
          </c:tx>
          <c:spPr>
            <a:ln w="28575" cap="rnd">
              <a:solidFill>
                <a:schemeClr val="accent4"/>
              </a:solidFill>
              <a:round/>
            </a:ln>
            <a:effectLst/>
          </c:spPr>
          <c:marker>
            <c:symbol val="none"/>
          </c:marker>
          <c:dLbls>
            <c:dLbl>
              <c:idx val="4"/>
              <c:layout>
                <c:manualLayout>
                  <c:x val="-5.00000000000001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8B8-4629-832A-5C49E69FE648}"/>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STATEMENTS!$K$72:$O$72</c:f>
              <c:numCache>
                <c:formatCode>General</c:formatCode>
                <c:ptCount val="5"/>
                <c:pt idx="0">
                  <c:v>101</c:v>
                </c:pt>
                <c:pt idx="1">
                  <c:v>201</c:v>
                </c:pt>
                <c:pt idx="2">
                  <c:v>295</c:v>
                </c:pt>
                <c:pt idx="3">
                  <c:v>356</c:v>
                </c:pt>
                <c:pt idx="4">
                  <c:v>359</c:v>
                </c:pt>
              </c:numCache>
            </c:numRef>
          </c:val>
          <c:smooth val="0"/>
          <c:extLst>
            <c:ext xmlns:c16="http://schemas.microsoft.com/office/drawing/2014/chart" uri="{C3380CC4-5D6E-409C-BE32-E72D297353CC}">
              <c16:uniqueId val="{0000000B-88B8-4629-832A-5C49E69FE648}"/>
            </c:ext>
          </c:extLst>
        </c:ser>
        <c:ser>
          <c:idx val="4"/>
          <c:order val="4"/>
          <c:tx>
            <c:v>D &amp; A</c:v>
          </c:tx>
          <c:spPr>
            <a:ln w="28575" cap="rnd">
              <a:solidFill>
                <a:schemeClr val="accent5"/>
              </a:solidFill>
              <a:round/>
            </a:ln>
            <a:effectLst/>
          </c:spPr>
          <c:marker>
            <c:symbol val="none"/>
          </c:marker>
          <c:dLbls>
            <c:dLbl>
              <c:idx val="1"/>
              <c:layout>
                <c:manualLayout>
                  <c:x val="3.0555555555555555E-2"/>
                  <c:y val="-3.2407407407407406E-2"/>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C-88B8-4629-832A-5C49E69FE648}"/>
                </c:ext>
              </c:extLst>
            </c:dLbl>
            <c:dLbl>
              <c:idx val="2"/>
              <c:layout>
                <c:manualLayout>
                  <c:x val="2.7777777777777776E-2"/>
                  <c:y val="-4.1666666666666706E-2"/>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D-88B8-4629-832A-5C49E69FE648}"/>
                </c:ext>
              </c:extLst>
            </c:dLbl>
            <c:dLbl>
              <c:idx val="3"/>
              <c:layout>
                <c:manualLayout>
                  <c:x val="4.1666666666666664E-2"/>
                  <c:y val="-1.3888888888888888E-2"/>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E-88B8-4629-832A-5C49E69FE648}"/>
                </c:ext>
              </c:extLst>
            </c:dLbl>
            <c:dLbl>
              <c:idx val="4"/>
              <c:layout>
                <c:manualLayout>
                  <c:x val="1.3888888888888788E-2"/>
                  <c:y val="-4.6296296296296294E-3"/>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F-88B8-4629-832A-5C49E69FE648}"/>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STATEMENTS!$K$73:$O$73</c:f>
              <c:numCache>
                <c:formatCode>#,##0</c:formatCode>
                <c:ptCount val="5"/>
                <c:pt idx="0">
                  <c:v>2763</c:v>
                </c:pt>
                <c:pt idx="1">
                  <c:v>3078</c:v>
                </c:pt>
                <c:pt idx="2">
                  <c:v>3340</c:v>
                </c:pt>
                <c:pt idx="3">
                  <c:v>3407</c:v>
                </c:pt>
                <c:pt idx="4">
                  <c:v>2958</c:v>
                </c:pt>
              </c:numCache>
            </c:numRef>
          </c:val>
          <c:smooth val="0"/>
          <c:extLst>
            <c:ext xmlns:c16="http://schemas.microsoft.com/office/drawing/2014/chart" uri="{C3380CC4-5D6E-409C-BE32-E72D297353CC}">
              <c16:uniqueId val="{00000010-88B8-4629-832A-5C49E69FE648}"/>
            </c:ext>
          </c:extLst>
        </c:ser>
        <c:dLbls>
          <c:showLegendKey val="0"/>
          <c:showVal val="0"/>
          <c:showCatName val="0"/>
          <c:showSerName val="0"/>
          <c:showPercent val="0"/>
          <c:showBubbleSize val="0"/>
        </c:dLbls>
        <c:marker val="1"/>
        <c:smooth val="0"/>
        <c:axId val="244595327"/>
        <c:axId val="244585727"/>
      </c:lineChart>
      <c:catAx>
        <c:axId val="24457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244562207"/>
        <c:crosses val="autoZero"/>
        <c:auto val="1"/>
        <c:lblAlgn val="ctr"/>
        <c:lblOffset val="100"/>
        <c:noMultiLvlLbl val="0"/>
      </c:catAx>
      <c:valAx>
        <c:axId val="2445622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244575647"/>
        <c:crosses val="autoZero"/>
        <c:crossBetween val="between"/>
      </c:valAx>
      <c:valAx>
        <c:axId val="24458572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244595327"/>
        <c:crosses val="max"/>
        <c:crossBetween val="between"/>
      </c:valAx>
      <c:catAx>
        <c:axId val="244595327"/>
        <c:scaling>
          <c:orientation val="minMax"/>
        </c:scaling>
        <c:delete val="1"/>
        <c:axPos val="b"/>
        <c:majorTickMark val="out"/>
        <c:minorTickMark val="none"/>
        <c:tickLblPos val="nextTo"/>
        <c:crossAx val="244585727"/>
        <c:crosses val="autoZero"/>
        <c:auto val="1"/>
        <c:lblAlgn val="ctr"/>
        <c:lblOffset val="100"/>
        <c:noMultiLvlLbl val="0"/>
      </c:catAx>
      <c:spPr>
        <a:noFill/>
        <a:ln>
          <a:noFill/>
        </a:ln>
        <a:effectLst/>
      </c:spPr>
    </c:plotArea>
    <c:legend>
      <c:legendPos val="b"/>
      <c:layout>
        <c:manualLayout>
          <c:xMode val="edge"/>
          <c:yMode val="edge"/>
          <c:x val="0"/>
          <c:y val="0.74479002624671919"/>
          <c:w val="1"/>
          <c:h val="0.24132108486439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7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Copperplate Gothic Light" panose="020E05070202060204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dash"/>
                <a:headEnd type="stealth" w="lg" len="lg"/>
                <a:tailEnd type="stealth" w="lg" len="lg"/>
              </a:ln>
              <a:effectLst/>
            </c:spPr>
            <c:trendlineType val="log"/>
            <c:dispRSqr val="0"/>
            <c:dispEq val="0"/>
          </c:trendline>
          <c:cat>
            <c:numRef>
              <c:f>'YEARLY STATEMENT ANALYSIS'!$B$10:$K$10</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'YEARLY STATEMENT ANALYSIS'!$B$12:$K$12</c:f>
              <c:numCache>
                <c:formatCode>#,##0_);\(#,##0\);"--"</c:formatCode>
                <c:ptCount val="10"/>
                <c:pt idx="0">
                  <c:v>64625</c:v>
                </c:pt>
                <c:pt idx="1">
                  <c:v>81590</c:v>
                </c:pt>
                <c:pt idx="2">
                  <c:v>93201</c:v>
                </c:pt>
                <c:pt idx="3">
                  <c:v>92425</c:v>
                </c:pt>
                <c:pt idx="4">
                  <c:v>92972</c:v>
                </c:pt>
                <c:pt idx="5">
                  <c:v>92275.319999999992</c:v>
                </c:pt>
                <c:pt idx="6">
                  <c:v>91597.258799999996</c:v>
                </c:pt>
                <c:pt idx="7">
                  <c:v>92684.515788000004</c:v>
                </c:pt>
                <c:pt idx="8">
                  <c:v>93791.209565879995</c:v>
                </c:pt>
                <c:pt idx="9">
                  <c:v>95808.664545447609</c:v>
                </c:pt>
              </c:numCache>
            </c:numRef>
          </c:val>
          <c:extLst>
            <c:ext xmlns:c16="http://schemas.microsoft.com/office/drawing/2014/chart" uri="{C3380CC4-5D6E-409C-BE32-E72D297353CC}">
              <c16:uniqueId val="{00000000-98B2-41A8-B367-554DE13966C8}"/>
            </c:ext>
          </c:extLst>
        </c:ser>
        <c:dLbls>
          <c:showLegendKey val="0"/>
          <c:showVal val="0"/>
          <c:showCatName val="0"/>
          <c:showSerName val="0"/>
          <c:showPercent val="0"/>
          <c:showBubbleSize val="0"/>
        </c:dLbls>
        <c:gapWidth val="60"/>
        <c:overlap val="-27"/>
        <c:axId val="1279946800"/>
        <c:axId val="1279947280"/>
      </c:barChart>
      <c:catAx>
        <c:axId val="12799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1279947280"/>
        <c:crosses val="autoZero"/>
        <c:auto val="1"/>
        <c:lblAlgn val="ctr"/>
        <c:lblOffset val="100"/>
        <c:noMultiLvlLbl val="0"/>
      </c:catAx>
      <c:valAx>
        <c:axId val="1279947280"/>
        <c:scaling>
          <c:orientation val="minMax"/>
        </c:scaling>
        <c:delete val="0"/>
        <c:axPos val="l"/>
        <c:numFmt formatCode="#,##0_);\(#,##0\);&quot;--&quot;"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12799468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FF0000"/>
              </a:solidFill>
              <a:round/>
            </a:ln>
            <a:effectLst/>
          </c:spPr>
          <c:marker>
            <c:symbol val="circle"/>
            <c:size val="5"/>
            <c:spPr>
              <a:solidFill>
                <a:schemeClr val="accent1"/>
              </a:solidFill>
              <a:ln w="381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'YEARLY STATEMENT ANALYSIS'!$B$10:$K$10</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'YEARLY STATEMENT ANALYSIS'!$B$32:$K$32</c:f>
              <c:numCache>
                <c:formatCode>#,##0_);\(#,##0\);"--"</c:formatCode>
                <c:ptCount val="10"/>
                <c:pt idx="0">
                  <c:v>17462</c:v>
                </c:pt>
                <c:pt idx="1">
                  <c:v>17594</c:v>
                </c:pt>
                <c:pt idx="2">
                  <c:v>19620</c:v>
                </c:pt>
                <c:pt idx="3">
                  <c:v>19439</c:v>
                </c:pt>
                <c:pt idx="4">
                  <c:v>21904</c:v>
                </c:pt>
                <c:pt idx="5">
                  <c:v>22960.048439999999</c:v>
                </c:pt>
                <c:pt idx="6">
                  <c:v>22959.724359600004</c:v>
                </c:pt>
                <c:pt idx="7">
                  <c:v>23349.815085996001</c:v>
                </c:pt>
                <c:pt idx="8">
                  <c:v>23751.831393795961</c:v>
                </c:pt>
                <c:pt idx="9">
                  <c:v>24359.576070262134</c:v>
                </c:pt>
              </c:numCache>
            </c:numRef>
          </c:val>
          <c:smooth val="0"/>
          <c:extLst>
            <c:ext xmlns:c16="http://schemas.microsoft.com/office/drawing/2014/chart" uri="{C3380CC4-5D6E-409C-BE32-E72D297353CC}">
              <c16:uniqueId val="{00000000-19C7-4F45-8D50-C97AF2EFD947}"/>
            </c:ext>
          </c:extLst>
        </c:ser>
        <c:dLbls>
          <c:showLegendKey val="0"/>
          <c:showVal val="0"/>
          <c:showCatName val="0"/>
          <c:showSerName val="0"/>
          <c:showPercent val="0"/>
          <c:showBubbleSize val="0"/>
        </c:dLbls>
        <c:marker val="1"/>
        <c:smooth val="0"/>
        <c:axId val="1279997200"/>
        <c:axId val="1279998160"/>
      </c:lineChart>
      <c:catAx>
        <c:axId val="127999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1279998160"/>
        <c:crosses val="autoZero"/>
        <c:auto val="1"/>
        <c:lblAlgn val="ctr"/>
        <c:lblOffset val="100"/>
        <c:noMultiLvlLbl val="0"/>
      </c:catAx>
      <c:valAx>
        <c:axId val="1279998160"/>
        <c:scaling>
          <c:orientation val="minMax"/>
        </c:scaling>
        <c:delete val="0"/>
        <c:axPos val="l"/>
        <c:numFmt formatCode="#,##0_);\(#,##0\);&quot;--&quot;"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127999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noFill/>
              <a:round/>
            </a:ln>
            <a:effectLst/>
          </c:spPr>
          <c:marker>
            <c:symbol val="diamond"/>
            <c:size val="10"/>
            <c:spPr>
              <a:solidFill>
                <a:srgbClr val="FF0000"/>
              </a:solidFill>
              <a:ln w="9525" cap="sq">
                <a:solidFill>
                  <a:schemeClr val="accent1"/>
                </a:solidFill>
                <a:bevel/>
              </a:ln>
              <a:effectLst/>
            </c:spPr>
          </c:marker>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12-47CF-BFE7-E7E975280E18}"/>
                </c:ext>
              </c:extLst>
            </c:dLbl>
            <c:dLbl>
              <c:idx val="2"/>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3A12-47CF-BFE7-E7E975280E18}"/>
                </c:ext>
              </c:extLst>
            </c:dLbl>
            <c:dLbl>
              <c:idx val="3"/>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2-3A12-47CF-BFE7-E7E975280E18}"/>
                </c:ext>
              </c:extLst>
            </c:dLbl>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12-47CF-BFE7-E7E975280E18}"/>
                </c:ext>
              </c:extLst>
            </c:dLbl>
            <c:dLbl>
              <c:idx val="5"/>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4-3A12-47CF-BFE7-E7E975280E18}"/>
                </c:ext>
              </c:extLst>
            </c:dLbl>
            <c:dLbl>
              <c:idx val="6"/>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3A12-47CF-BFE7-E7E975280E18}"/>
                </c:ext>
              </c:extLst>
            </c:dLbl>
            <c:dLbl>
              <c:idx val="7"/>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6-3A12-47CF-BFE7-E7E975280E18}"/>
                </c:ext>
              </c:extLst>
            </c:dLbl>
            <c:dLbl>
              <c:idx val="8"/>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7-3A12-47CF-BFE7-E7E975280E18}"/>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Copperplate Gothic Light" panose="020E05070202060204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75000"/>
                  </a:schemeClr>
                </a:solidFill>
                <a:prstDash val="dash"/>
                <a:headEnd type="stealth" w="lg" len="lg"/>
                <a:tailEnd type="stealth" w="lg" len="lg"/>
              </a:ln>
              <a:effectLst/>
            </c:spPr>
            <c:trendlineType val="movingAvg"/>
            <c:period val="2"/>
            <c:dispRSqr val="0"/>
            <c:dispEq val="0"/>
          </c:trendline>
          <c:cat>
            <c:numRef>
              <c:f>'YEARLY STATEMENT ANALYSIS'!$B$10:$K$10</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'YEARLY STATEMENT ANALYSIS'!$B$72:$K$72</c:f>
              <c:numCache>
                <c:formatCode>#,##0_);\(#,##0\);"--"</c:formatCode>
                <c:ptCount val="10"/>
                <c:pt idx="0">
                  <c:v>17473</c:v>
                </c:pt>
                <c:pt idx="1">
                  <c:v>10002</c:v>
                </c:pt>
                <c:pt idx="2">
                  <c:v>9247</c:v>
                </c:pt>
                <c:pt idx="3">
                  <c:v>9802</c:v>
                </c:pt>
                <c:pt idx="4">
                  <c:v>12358</c:v>
                </c:pt>
                <c:pt idx="5">
                  <c:v>10833.767974585178</c:v>
                </c:pt>
                <c:pt idx="6">
                  <c:v>10683.265226411109</c:v>
                </c:pt>
                <c:pt idx="7">
                  <c:v>11140.237603936956</c:v>
                </c:pt>
                <c:pt idx="8">
                  <c:v>10616.362193573354</c:v>
                </c:pt>
                <c:pt idx="9">
                  <c:v>10863.194645485462</c:v>
                </c:pt>
              </c:numCache>
            </c:numRef>
          </c:val>
          <c:smooth val="1"/>
          <c:extLst>
            <c:ext xmlns:c16="http://schemas.microsoft.com/office/drawing/2014/chart" uri="{C3380CC4-5D6E-409C-BE32-E72D297353CC}">
              <c16:uniqueId val="{00000009-3A12-47CF-BFE7-E7E975280E18}"/>
            </c:ext>
          </c:extLst>
        </c:ser>
        <c:dLbls>
          <c:showLegendKey val="0"/>
          <c:showVal val="0"/>
          <c:showCatName val="0"/>
          <c:showSerName val="0"/>
          <c:showPercent val="0"/>
          <c:showBubbleSize val="0"/>
        </c:dLbls>
        <c:marker val="1"/>
        <c:smooth val="0"/>
        <c:axId val="1279966480"/>
        <c:axId val="1279976560"/>
      </c:lineChart>
      <c:catAx>
        <c:axId val="1279966480"/>
        <c:scaling>
          <c:orientation val="minMax"/>
        </c:scaling>
        <c:delete val="0"/>
        <c:axPos val="b"/>
        <c:numFmt formatCode="General" sourceLinked="1"/>
        <c:majorTickMark val="out"/>
        <c:minorTickMark val="none"/>
        <c:tickLblPos val="nextTo"/>
        <c:spPr>
          <a:noFill/>
          <a:ln w="9525" cap="flat" cmpd="sng" algn="ctr">
            <a:solidFill>
              <a:schemeClr val="bg1">
                <a:lumMod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1279976560"/>
        <c:crosses val="autoZero"/>
        <c:auto val="1"/>
        <c:lblAlgn val="ctr"/>
        <c:lblOffset val="100"/>
        <c:noMultiLvlLbl val="0"/>
      </c:catAx>
      <c:valAx>
        <c:axId val="1279976560"/>
        <c:scaling>
          <c:orientation val="minMax"/>
        </c:scaling>
        <c:delete val="0"/>
        <c:axPos val="l"/>
        <c:numFmt formatCode="#,##0_);\(#,##0\);&quot;--&quot;" sourceLinked="1"/>
        <c:majorTickMark val="none"/>
        <c:minorTickMark val="none"/>
        <c:tickLblPos val="nextTo"/>
        <c:spPr>
          <a:noFill/>
          <a:ln w="9525" cap="flat" cmpd="sng" algn="ctr">
            <a:solidFill>
              <a:schemeClr val="bg1">
                <a:lumMod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127996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WIPRO</c:v>
          </c:tx>
          <c:spPr>
            <a:ln w="28575" cap="rnd">
              <a:solidFill>
                <a:schemeClr val="tx1"/>
              </a:solidFill>
              <a:round/>
            </a:ln>
            <a:effectLst/>
          </c:spPr>
          <c:marker>
            <c:symbol val="none"/>
          </c:marker>
          <c:cat>
            <c:numRef>
              <c:f>'DATA SHEET'!$R$248:$R$300</c:f>
              <c:numCache>
                <c:formatCode>General</c:formatCode>
                <c:ptCount val="53"/>
                <c:pt idx="0" formatCode="mmm\-yy">
                  <c:v>45717</c:v>
                </c:pt>
                <c:pt idx="13" formatCode="mmm\-yy">
                  <c:v>45627</c:v>
                </c:pt>
                <c:pt idx="26" formatCode="mmm\-yy">
                  <c:v>45536</c:v>
                </c:pt>
                <c:pt idx="39" formatCode="mmm\-yy">
                  <c:v>45444</c:v>
                </c:pt>
                <c:pt idx="52" formatCode="mmm\-yy">
                  <c:v>45352</c:v>
                </c:pt>
              </c:numCache>
            </c:numRef>
          </c:cat>
          <c:val>
            <c:numRef>
              <c:f>'DATA SHEET'!$S$248:$S$300</c:f>
              <c:numCache>
                <c:formatCode>0.00</c:formatCode>
                <c:ptCount val="53"/>
                <c:pt idx="0">
                  <c:v>101.55863433943593</c:v>
                </c:pt>
                <c:pt idx="1">
                  <c:v>108.13541151245258</c:v>
                </c:pt>
                <c:pt idx="2">
                  <c:v>108.98070262246414</c:v>
                </c:pt>
                <c:pt idx="3">
                  <c:v>108.85700148441366</c:v>
                </c:pt>
                <c:pt idx="4">
                  <c:v>117.43361372257959</c:v>
                </c:pt>
                <c:pt idx="5">
                  <c:v>114.48540326571003</c:v>
                </c:pt>
                <c:pt idx="6">
                  <c:v>126.31947880587168</c:v>
                </c:pt>
                <c:pt idx="7">
                  <c:v>127.04106877783276</c:v>
                </c:pt>
                <c:pt idx="8">
                  <c:v>131.12320633349825</c:v>
                </c:pt>
                <c:pt idx="9">
                  <c:v>128.60794985980536</c:v>
                </c:pt>
                <c:pt idx="10">
                  <c:v>131.98911429985156</c:v>
                </c:pt>
                <c:pt idx="11">
                  <c:v>116.25845291110011</c:v>
                </c:pt>
                <c:pt idx="12">
                  <c:v>123.92792347022925</c:v>
                </c:pt>
                <c:pt idx="13">
                  <c:v>121.41266699653637</c:v>
                </c:pt>
                <c:pt idx="14">
                  <c:v>127.45340590466765</c:v>
                </c:pt>
                <c:pt idx="15">
                  <c:v>125.84529111001153</c:v>
                </c:pt>
                <c:pt idx="16">
                  <c:v>127.80389246247732</c:v>
                </c:pt>
                <c:pt idx="17">
                  <c:v>122.60844466435759</c:v>
                </c:pt>
                <c:pt idx="18">
                  <c:v>119.13244268513937</c:v>
                </c:pt>
                <c:pt idx="19">
                  <c:v>117.85832096321951</c:v>
                </c:pt>
                <c:pt idx="20">
                  <c:v>116.83572488866898</c:v>
                </c:pt>
                <c:pt idx="21">
                  <c:v>117.3099125845291</c:v>
                </c:pt>
                <c:pt idx="22">
                  <c:v>113.66897575457695</c:v>
                </c:pt>
                <c:pt idx="23">
                  <c:v>112.04436747484743</c:v>
                </c:pt>
                <c:pt idx="24">
                  <c:v>113.11644400461816</c:v>
                </c:pt>
                <c:pt idx="25">
                  <c:v>108.91885205343887</c:v>
                </c:pt>
                <c:pt idx="26">
                  <c:v>109.99917532574632</c:v>
                </c:pt>
                <c:pt idx="27">
                  <c:v>111.70212765957446</c:v>
                </c:pt>
                <c:pt idx="28">
                  <c:v>111.14547253834735</c:v>
                </c:pt>
                <c:pt idx="29">
                  <c:v>113.51641101764802</c:v>
                </c:pt>
                <c:pt idx="30">
                  <c:v>107.33135411512453</c:v>
                </c:pt>
                <c:pt idx="31">
                  <c:v>111.00115454395514</c:v>
                </c:pt>
                <c:pt idx="32">
                  <c:v>105.64077189510141</c:v>
                </c:pt>
                <c:pt idx="33">
                  <c:v>106.43658254989279</c:v>
                </c:pt>
                <c:pt idx="34">
                  <c:v>101.29061520699322</c:v>
                </c:pt>
                <c:pt idx="35">
                  <c:v>103.5254824344384</c:v>
                </c:pt>
                <c:pt idx="36">
                  <c:v>108.1972620814778</c:v>
                </c:pt>
                <c:pt idx="37">
                  <c:v>114.87712353620321</c:v>
                </c:pt>
                <c:pt idx="38">
                  <c:v>115.48738248391884</c:v>
                </c:pt>
                <c:pt idx="39">
                  <c:v>110.32079828467755</c:v>
                </c:pt>
                <c:pt idx="40">
                  <c:v>106.14382318984002</c:v>
                </c:pt>
                <c:pt idx="41">
                  <c:v>101.13392709879598</c:v>
                </c:pt>
                <c:pt idx="42">
                  <c:v>98.445489031832423</c:v>
                </c:pt>
                <c:pt idx="43">
                  <c:v>99.896915718291282</c:v>
                </c:pt>
                <c:pt idx="44">
                  <c:v>90.343064489526625</c:v>
                </c:pt>
                <c:pt idx="45">
                  <c:v>95.587992742866561</c:v>
                </c:pt>
                <c:pt idx="46">
                  <c:v>95.043707735444499</c:v>
                </c:pt>
                <c:pt idx="47">
                  <c:v>93.159327065809009</c:v>
                </c:pt>
                <c:pt idx="48">
                  <c:v>94.293254164604974</c:v>
                </c:pt>
                <c:pt idx="49">
                  <c:v>95.785914563747326</c:v>
                </c:pt>
                <c:pt idx="50">
                  <c:v>93.344878772884712</c:v>
                </c:pt>
                <c:pt idx="51">
                  <c:v>97.055912914398817</c:v>
                </c:pt>
                <c:pt idx="52">
                  <c:v>100</c:v>
                </c:pt>
              </c:numCache>
            </c:numRef>
          </c:val>
          <c:smooth val="0"/>
          <c:extLst>
            <c:ext xmlns:c16="http://schemas.microsoft.com/office/drawing/2014/chart" uri="{C3380CC4-5D6E-409C-BE32-E72D297353CC}">
              <c16:uniqueId val="{00000000-9CA3-43BD-AB73-0AEDF86E9131}"/>
            </c:ext>
          </c:extLst>
        </c:ser>
        <c:ser>
          <c:idx val="1"/>
          <c:order val="1"/>
          <c:tx>
            <c:v>TCS</c:v>
          </c:tx>
          <c:spPr>
            <a:ln w="28575" cap="rnd">
              <a:solidFill>
                <a:schemeClr val="accent5">
                  <a:lumMod val="40000"/>
                  <a:lumOff val="60000"/>
                </a:schemeClr>
              </a:solidFill>
              <a:round/>
            </a:ln>
            <a:effectLst/>
          </c:spPr>
          <c:marker>
            <c:symbol val="none"/>
          </c:marker>
          <c:cat>
            <c:numRef>
              <c:f>'DATA SHEET'!$R$248:$R$300</c:f>
              <c:numCache>
                <c:formatCode>General</c:formatCode>
                <c:ptCount val="53"/>
                <c:pt idx="0" formatCode="mmm\-yy">
                  <c:v>45717</c:v>
                </c:pt>
                <c:pt idx="13" formatCode="mmm\-yy">
                  <c:v>45627</c:v>
                </c:pt>
                <c:pt idx="26" formatCode="mmm\-yy">
                  <c:v>45536</c:v>
                </c:pt>
                <c:pt idx="39" formatCode="mmm\-yy">
                  <c:v>45444</c:v>
                </c:pt>
                <c:pt idx="52" formatCode="mmm\-yy">
                  <c:v>45352</c:v>
                </c:pt>
              </c:numCache>
            </c:numRef>
          </c:cat>
          <c:val>
            <c:numRef>
              <c:f>'DATA SHEET'!$T$248:$T$300</c:f>
              <c:numCache>
                <c:formatCode>0.00</c:formatCode>
                <c:ptCount val="53"/>
                <c:pt idx="0">
                  <c:v>84.236917287282253</c:v>
                </c:pt>
                <c:pt idx="1">
                  <c:v>92.068545576629973</c:v>
                </c:pt>
                <c:pt idx="2">
                  <c:v>91.352401571687153</c:v>
                </c:pt>
                <c:pt idx="3">
                  <c:v>89.640549324577918</c:v>
                </c:pt>
                <c:pt idx="4">
                  <c:v>92.197477028500231</c:v>
                </c:pt>
                <c:pt idx="5">
                  <c:v>88.930788064777204</c:v>
                </c:pt>
                <c:pt idx="6">
                  <c:v>96.660292431851431</c:v>
                </c:pt>
                <c:pt idx="7">
                  <c:v>100.46057888945342</c:v>
                </c:pt>
                <c:pt idx="8">
                  <c:v>102.87453310219286</c:v>
                </c:pt>
                <c:pt idx="9">
                  <c:v>104.99360448936761</c:v>
                </c:pt>
                <c:pt idx="10">
                  <c:v>106.01356716307404</c:v>
                </c:pt>
                <c:pt idx="11">
                  <c:v>105.29742315813124</c:v>
                </c:pt>
                <c:pt idx="12">
                  <c:v>107.19743873202938</c:v>
                </c:pt>
                <c:pt idx="13">
                  <c:v>103.0320592522997</c:v>
                </c:pt>
                <c:pt idx="14">
                  <c:v>104.66425484003565</c:v>
                </c:pt>
                <c:pt idx="15">
                  <c:v>104.8011008958821</c:v>
                </c:pt>
                <c:pt idx="16">
                  <c:v>112.43077912893401</c:v>
                </c:pt>
                <c:pt idx="17">
                  <c:v>111.71718822204804</c:v>
                </c:pt>
                <c:pt idx="18">
                  <c:v>107.32815735253945</c:v>
                </c:pt>
                <c:pt idx="19">
                  <c:v>106.66843681465275</c:v>
                </c:pt>
                <c:pt idx="20">
                  <c:v>104.18810205243551</c:v>
                </c:pt>
                <c:pt idx="21">
                  <c:v>104.21567551144936</c:v>
                </c:pt>
                <c:pt idx="22">
                  <c:v>100.12433587536795</c:v>
                </c:pt>
                <c:pt idx="23">
                  <c:v>101.96767267240435</c:v>
                </c:pt>
                <c:pt idx="24">
                  <c:v>103.61365498964719</c:v>
                </c:pt>
                <c:pt idx="25">
                  <c:v>104.27082242947705</c:v>
                </c:pt>
                <c:pt idx="26">
                  <c:v>106.86068509833258</c:v>
                </c:pt>
                <c:pt idx="27">
                  <c:v>108.27918637871126</c:v>
                </c:pt>
                <c:pt idx="28">
                  <c:v>107.68125081380001</c:v>
                </c:pt>
                <c:pt idx="29">
                  <c:v>113.65473433738171</c:v>
                </c:pt>
                <c:pt idx="30">
                  <c:v>111.9998161769399</c:v>
                </c:pt>
                <c:pt idx="31">
                  <c:v>114.43751420160795</c:v>
                </c:pt>
                <c:pt idx="32">
                  <c:v>112.17955428014123</c:v>
                </c:pt>
                <c:pt idx="33">
                  <c:v>110.97704509537098</c:v>
                </c:pt>
                <c:pt idx="34">
                  <c:v>106.27015351778614</c:v>
                </c:pt>
                <c:pt idx="35">
                  <c:v>107.63478442916559</c:v>
                </c:pt>
                <c:pt idx="36">
                  <c:v>110.26830507479302</c:v>
                </c:pt>
                <c:pt idx="37">
                  <c:v>108.12089429918737</c:v>
                </c:pt>
                <c:pt idx="38">
                  <c:v>105.14423727472102</c:v>
                </c:pt>
                <c:pt idx="39">
                  <c:v>100.81801261741059</c:v>
                </c:pt>
                <c:pt idx="40">
                  <c:v>98.112749916386036</c:v>
                </c:pt>
                <c:pt idx="41">
                  <c:v>95.765686872735728</c:v>
                </c:pt>
                <c:pt idx="42">
                  <c:v>96.30081622544877</c:v>
                </c:pt>
                <c:pt idx="43">
                  <c:v>97.856418871479605</c:v>
                </c:pt>
                <c:pt idx="44">
                  <c:v>92.252368636722224</c:v>
                </c:pt>
                <c:pt idx="45">
                  <c:v>96.739438471613383</c:v>
                </c:pt>
                <c:pt idx="46">
                  <c:v>96.352388806196885</c:v>
                </c:pt>
                <c:pt idx="47">
                  <c:v>97.855142322451186</c:v>
                </c:pt>
                <c:pt idx="48">
                  <c:v>96.585997278397471</c:v>
                </c:pt>
                <c:pt idx="49">
                  <c:v>96.031975000063824</c:v>
                </c:pt>
                <c:pt idx="50">
                  <c:v>96.153757777374949</c:v>
                </c:pt>
                <c:pt idx="51">
                  <c:v>100.55657537639048</c:v>
                </c:pt>
                <c:pt idx="52">
                  <c:v>100</c:v>
                </c:pt>
              </c:numCache>
            </c:numRef>
          </c:val>
          <c:smooth val="0"/>
          <c:extLst>
            <c:ext xmlns:c16="http://schemas.microsoft.com/office/drawing/2014/chart" uri="{C3380CC4-5D6E-409C-BE32-E72D297353CC}">
              <c16:uniqueId val="{00000001-9CA3-43BD-AB73-0AEDF86E9131}"/>
            </c:ext>
          </c:extLst>
        </c:ser>
        <c:ser>
          <c:idx val="2"/>
          <c:order val="2"/>
          <c:tx>
            <c:v>INFOSYS</c:v>
          </c:tx>
          <c:spPr>
            <a:ln w="28575" cap="rnd">
              <a:solidFill>
                <a:srgbClr val="FF0000"/>
              </a:solidFill>
              <a:round/>
            </a:ln>
            <a:effectLst/>
          </c:spPr>
          <c:marker>
            <c:symbol val="none"/>
          </c:marker>
          <c:cat>
            <c:numRef>
              <c:f>'DATA SHEET'!$R$248:$R$300</c:f>
              <c:numCache>
                <c:formatCode>General</c:formatCode>
                <c:ptCount val="53"/>
                <c:pt idx="0" formatCode="mmm\-yy">
                  <c:v>45717</c:v>
                </c:pt>
                <c:pt idx="13" formatCode="mmm\-yy">
                  <c:v>45627</c:v>
                </c:pt>
                <c:pt idx="26" formatCode="mmm\-yy">
                  <c:v>45536</c:v>
                </c:pt>
                <c:pt idx="39" formatCode="mmm\-yy">
                  <c:v>45444</c:v>
                </c:pt>
                <c:pt idx="52" formatCode="mmm\-yy">
                  <c:v>45352</c:v>
                </c:pt>
              </c:numCache>
            </c:numRef>
          </c:cat>
          <c:val>
            <c:numRef>
              <c:f>'DATA SHEET'!$U$248:$U$300</c:f>
              <c:numCache>
                <c:formatCode>0.00</c:formatCode>
                <c:ptCount val="53"/>
                <c:pt idx="0">
                  <c:v>98.697316444680155</c:v>
                </c:pt>
                <c:pt idx="1">
                  <c:v>106.78809635506967</c:v>
                </c:pt>
                <c:pt idx="2">
                  <c:v>108.27707181756992</c:v>
                </c:pt>
                <c:pt idx="3">
                  <c:v>107.41360202881405</c:v>
                </c:pt>
                <c:pt idx="4">
                  <c:v>114.63071368837581</c:v>
                </c:pt>
                <c:pt idx="5">
                  <c:v>114.74629625852421</c:v>
                </c:pt>
                <c:pt idx="6">
                  <c:v>123.40139107022661</c:v>
                </c:pt>
                <c:pt idx="7">
                  <c:v>126.21616660207641</c:v>
                </c:pt>
                <c:pt idx="8">
                  <c:v>129.42868215473106</c:v>
                </c:pt>
                <c:pt idx="9">
                  <c:v>127.80712668529586</c:v>
                </c:pt>
                <c:pt idx="10">
                  <c:v>127.5113712852102</c:v>
                </c:pt>
                <c:pt idx="11">
                  <c:v>123.43198645644237</c:v>
                </c:pt>
                <c:pt idx="12">
                  <c:v>133.73243314908112</c:v>
                </c:pt>
                <c:pt idx="13">
                  <c:v>131.81512227956026</c:v>
                </c:pt>
                <c:pt idx="14">
                  <c:v>130.31934784234537</c:v>
                </c:pt>
                <c:pt idx="15">
                  <c:v>130.68649247693449</c:v>
                </c:pt>
                <c:pt idx="16">
                  <c:v>135.95909736811689</c:v>
                </c:pt>
                <c:pt idx="17">
                  <c:v>130.70348991372103</c:v>
                </c:pt>
                <c:pt idx="18">
                  <c:v>126.31475173543829</c:v>
                </c:pt>
                <c:pt idx="19">
                  <c:v>129.33349650872651</c:v>
                </c:pt>
                <c:pt idx="20">
                  <c:v>126.77028304131737</c:v>
                </c:pt>
                <c:pt idx="21">
                  <c:v>124.41783779006126</c:v>
                </c:pt>
                <c:pt idx="22">
                  <c:v>119.71974626226366</c:v>
                </c:pt>
                <c:pt idx="23">
                  <c:v>126.60030867345205</c:v>
                </c:pt>
                <c:pt idx="24">
                  <c:v>127.79352873586663</c:v>
                </c:pt>
                <c:pt idx="25">
                  <c:v>131.56695970247688</c:v>
                </c:pt>
                <c:pt idx="26">
                  <c:v>130.41453348834997</c:v>
                </c:pt>
                <c:pt idx="27">
                  <c:v>129.63945037088408</c:v>
                </c:pt>
                <c:pt idx="28">
                  <c:v>129.57146062373795</c:v>
                </c:pt>
                <c:pt idx="29">
                  <c:v>132.17886742679204</c:v>
                </c:pt>
                <c:pt idx="30">
                  <c:v>129.30630060986803</c:v>
                </c:pt>
                <c:pt idx="31">
                  <c:v>132.15167152793359</c:v>
                </c:pt>
                <c:pt idx="32">
                  <c:v>126.60370816080935</c:v>
                </c:pt>
                <c:pt idx="33">
                  <c:v>126.38954045729905</c:v>
                </c:pt>
                <c:pt idx="34">
                  <c:v>120.39284475901036</c:v>
                </c:pt>
                <c:pt idx="35">
                  <c:v>123.82292750253264</c:v>
                </c:pt>
                <c:pt idx="36">
                  <c:v>127.74593591286435</c:v>
                </c:pt>
                <c:pt idx="37">
                  <c:v>121.90221714565443</c:v>
                </c:pt>
                <c:pt idx="38">
                  <c:v>116.38144967738866</c:v>
                </c:pt>
                <c:pt idx="39">
                  <c:v>112.00970893589248</c:v>
                </c:pt>
                <c:pt idx="40">
                  <c:v>106.52293634119975</c:v>
                </c:pt>
                <c:pt idx="41">
                  <c:v>104.207885450874</c:v>
                </c:pt>
                <c:pt idx="42">
                  <c:v>101.2299345258735</c:v>
                </c:pt>
                <c:pt idx="43">
                  <c:v>104.26907622330552</c:v>
                </c:pt>
                <c:pt idx="44">
                  <c:v>95.654775259890826</c:v>
                </c:pt>
                <c:pt idx="45">
                  <c:v>99.053582719725881</c:v>
                </c:pt>
                <c:pt idx="46">
                  <c:v>97.647554748743886</c:v>
                </c:pt>
                <c:pt idx="47">
                  <c:v>96.336032526295043</c:v>
                </c:pt>
                <c:pt idx="48">
                  <c:v>95.754040290724149</c:v>
                </c:pt>
                <c:pt idx="49">
                  <c:v>96.697058083640997</c:v>
                </c:pt>
                <c:pt idx="50">
                  <c:v>95.41273176005059</c:v>
                </c:pt>
                <c:pt idx="51">
                  <c:v>100.38210237896126</c:v>
                </c:pt>
                <c:pt idx="52">
                  <c:v>100</c:v>
                </c:pt>
              </c:numCache>
            </c:numRef>
          </c:val>
          <c:smooth val="0"/>
          <c:extLst>
            <c:ext xmlns:c16="http://schemas.microsoft.com/office/drawing/2014/chart" uri="{C3380CC4-5D6E-409C-BE32-E72D297353CC}">
              <c16:uniqueId val="{00000002-9CA3-43BD-AB73-0AEDF86E9131}"/>
            </c:ext>
          </c:extLst>
        </c:ser>
        <c:ser>
          <c:idx val="3"/>
          <c:order val="3"/>
          <c:tx>
            <c:v>HCL TECH</c:v>
          </c:tx>
          <c:spPr>
            <a:ln w="28575" cap="rnd">
              <a:solidFill>
                <a:schemeClr val="accent4"/>
              </a:solidFill>
              <a:round/>
            </a:ln>
            <a:effectLst/>
          </c:spPr>
          <c:marker>
            <c:symbol val="none"/>
          </c:marker>
          <c:cat>
            <c:numRef>
              <c:f>'DATA SHEET'!$R$248:$R$300</c:f>
              <c:numCache>
                <c:formatCode>General</c:formatCode>
                <c:ptCount val="53"/>
                <c:pt idx="0" formatCode="mmm\-yy">
                  <c:v>45717</c:v>
                </c:pt>
                <c:pt idx="13" formatCode="mmm\-yy">
                  <c:v>45627</c:v>
                </c:pt>
                <c:pt idx="26" formatCode="mmm\-yy">
                  <c:v>45536</c:v>
                </c:pt>
                <c:pt idx="39" formatCode="mmm\-yy">
                  <c:v>45444</c:v>
                </c:pt>
                <c:pt idx="52" formatCode="mmm\-yy">
                  <c:v>45352</c:v>
                </c:pt>
              </c:numCache>
            </c:numRef>
          </c:cat>
          <c:val>
            <c:numRef>
              <c:f>'DATA SHEET'!$V$248:$V$300</c:f>
              <c:numCache>
                <c:formatCode>0.00</c:formatCode>
                <c:ptCount val="53"/>
                <c:pt idx="0">
                  <c:v>92.339358994337957</c:v>
                </c:pt>
                <c:pt idx="1">
                  <c:v>103.40371928730976</c:v>
                </c:pt>
                <c:pt idx="2">
                  <c:v>101.72848163731756</c:v>
                </c:pt>
                <c:pt idx="3">
                  <c:v>99.653914082385327</c:v>
                </c:pt>
                <c:pt idx="4">
                  <c:v>101.16032933354113</c:v>
                </c:pt>
                <c:pt idx="5">
                  <c:v>102.27066126434991</c:v>
                </c:pt>
                <c:pt idx="6">
                  <c:v>110.42932834657941</c:v>
                </c:pt>
                <c:pt idx="7">
                  <c:v>111.11435769570413</c:v>
                </c:pt>
                <c:pt idx="8">
                  <c:v>112.04937405849047</c:v>
                </c:pt>
                <c:pt idx="9">
                  <c:v>112.03638772011844</c:v>
                </c:pt>
                <c:pt idx="10">
                  <c:v>116.41278375149342</c:v>
                </c:pt>
                <c:pt idx="11">
                  <c:v>116.1563035686458</c:v>
                </c:pt>
                <c:pt idx="12">
                  <c:v>129.11147472858553</c:v>
                </c:pt>
                <c:pt idx="13">
                  <c:v>125.97592332865825</c:v>
                </c:pt>
                <c:pt idx="14">
                  <c:v>122.43974338995378</c:v>
                </c:pt>
                <c:pt idx="15">
                  <c:v>123.69162640901772</c:v>
                </c:pt>
                <c:pt idx="16">
                  <c:v>127.40961508493068</c:v>
                </c:pt>
                <c:pt idx="17">
                  <c:v>124.42600384395617</c:v>
                </c:pt>
                <c:pt idx="18">
                  <c:v>119.59508596956002</c:v>
                </c:pt>
                <c:pt idx="19">
                  <c:v>122.85335826710302</c:v>
                </c:pt>
                <c:pt idx="20">
                  <c:v>120.30089346007999</c:v>
                </c:pt>
                <c:pt idx="21">
                  <c:v>118.9126538881097</c:v>
                </c:pt>
                <c:pt idx="22">
                  <c:v>113.72915692691291</c:v>
                </c:pt>
                <c:pt idx="23">
                  <c:v>119.87364292764013</c:v>
                </c:pt>
                <c:pt idx="24">
                  <c:v>120.21972884525481</c:v>
                </c:pt>
                <c:pt idx="25">
                  <c:v>119.05160770869045</c:v>
                </c:pt>
                <c:pt idx="26">
                  <c:v>114.97130019219782</c:v>
                </c:pt>
                <c:pt idx="27">
                  <c:v>117.02898550724639</c:v>
                </c:pt>
                <c:pt idx="28">
                  <c:v>113.90057659342372</c:v>
                </c:pt>
                <c:pt idx="29">
                  <c:v>117.31403563451251</c:v>
                </c:pt>
                <c:pt idx="30">
                  <c:v>113.64474572749468</c:v>
                </c:pt>
                <c:pt idx="31">
                  <c:v>113.46033972261182</c:v>
                </c:pt>
                <c:pt idx="32">
                  <c:v>107.5197392343255</c:v>
                </c:pt>
                <c:pt idx="33">
                  <c:v>107.95997610513741</c:v>
                </c:pt>
                <c:pt idx="34">
                  <c:v>102.89270687237028</c:v>
                </c:pt>
                <c:pt idx="35">
                  <c:v>104.14458989143422</c:v>
                </c:pt>
                <c:pt idx="36">
                  <c:v>105.83086592904264</c:v>
                </c:pt>
                <c:pt idx="37">
                  <c:v>103.19009402108983</c:v>
                </c:pt>
                <c:pt idx="38">
                  <c:v>100.96748220871643</c:v>
                </c:pt>
                <c:pt idx="39">
                  <c:v>98.326710300763594</c:v>
                </c:pt>
                <c:pt idx="40">
                  <c:v>94.45678146589789</c:v>
                </c:pt>
                <c:pt idx="41">
                  <c:v>93.696431354215377</c:v>
                </c:pt>
                <c:pt idx="42">
                  <c:v>92.609474832476238</c:v>
                </c:pt>
                <c:pt idx="43">
                  <c:v>92.638694093813314</c:v>
                </c:pt>
                <c:pt idx="44">
                  <c:v>85.688405797101467</c:v>
                </c:pt>
                <c:pt idx="45">
                  <c:v>87.053919276920695</c:v>
                </c:pt>
                <c:pt idx="46">
                  <c:v>86.277336242273122</c:v>
                </c:pt>
                <c:pt idx="47">
                  <c:v>85.176744065243369</c:v>
                </c:pt>
                <c:pt idx="48">
                  <c:v>87.23832528180354</c:v>
                </c:pt>
                <c:pt idx="49">
                  <c:v>95.379460807230799</c:v>
                </c:pt>
                <c:pt idx="50">
                  <c:v>93.673705262064317</c:v>
                </c:pt>
                <c:pt idx="51">
                  <c:v>98.463066853669943</c:v>
                </c:pt>
                <c:pt idx="52">
                  <c:v>100</c:v>
                </c:pt>
              </c:numCache>
            </c:numRef>
          </c:val>
          <c:smooth val="0"/>
          <c:extLst>
            <c:ext xmlns:c16="http://schemas.microsoft.com/office/drawing/2014/chart" uri="{C3380CC4-5D6E-409C-BE32-E72D297353CC}">
              <c16:uniqueId val="{00000003-9CA3-43BD-AB73-0AEDF86E9131}"/>
            </c:ext>
          </c:extLst>
        </c:ser>
        <c:ser>
          <c:idx val="4"/>
          <c:order val="4"/>
          <c:tx>
            <c:v>LTM</c:v>
          </c:tx>
          <c:spPr>
            <a:ln w="28575" cap="rnd">
              <a:solidFill>
                <a:srgbClr val="FFFF00"/>
              </a:solidFill>
              <a:round/>
            </a:ln>
            <a:effectLst/>
          </c:spPr>
          <c:marker>
            <c:symbol val="none"/>
          </c:marker>
          <c:cat>
            <c:numRef>
              <c:f>'DATA SHEET'!$R$248:$R$300</c:f>
              <c:numCache>
                <c:formatCode>General</c:formatCode>
                <c:ptCount val="53"/>
                <c:pt idx="0" formatCode="mmm\-yy">
                  <c:v>45717</c:v>
                </c:pt>
                <c:pt idx="13" formatCode="mmm\-yy">
                  <c:v>45627</c:v>
                </c:pt>
                <c:pt idx="26" formatCode="mmm\-yy">
                  <c:v>45536</c:v>
                </c:pt>
                <c:pt idx="39" formatCode="mmm\-yy">
                  <c:v>45444</c:v>
                </c:pt>
                <c:pt idx="52" formatCode="mmm\-yy">
                  <c:v>45352</c:v>
                </c:pt>
              </c:numCache>
            </c:numRef>
          </c:cat>
          <c:val>
            <c:numRef>
              <c:f>'DATA SHEET'!$W$248:$W$300</c:f>
              <c:numCache>
                <c:formatCode>0.00</c:formatCode>
                <c:ptCount val="53"/>
                <c:pt idx="0">
                  <c:v>83.942161339421617</c:v>
                </c:pt>
                <c:pt idx="1">
                  <c:v>91.148655504819899</c:v>
                </c:pt>
                <c:pt idx="2">
                  <c:v>91.735159817351601</c:v>
                </c:pt>
                <c:pt idx="3">
                  <c:v>90.655504819888392</c:v>
                </c:pt>
                <c:pt idx="4">
                  <c:v>95.828513444951795</c:v>
                </c:pt>
                <c:pt idx="5">
                  <c:v>94.692034500253669</c:v>
                </c:pt>
                <c:pt idx="6">
                  <c:v>107.52917300862505</c:v>
                </c:pt>
                <c:pt idx="7">
                  <c:v>111.85388127853881</c:v>
                </c:pt>
                <c:pt idx="8">
                  <c:v>120.88483003551498</c:v>
                </c:pt>
                <c:pt idx="9">
                  <c:v>120.02333840690005</c:v>
                </c:pt>
                <c:pt idx="10">
                  <c:v>121.72805682394723</c:v>
                </c:pt>
                <c:pt idx="11">
                  <c:v>119.53932014205988</c:v>
                </c:pt>
                <c:pt idx="12">
                  <c:v>124.2902080162354</c:v>
                </c:pt>
                <c:pt idx="13">
                  <c:v>116.35514967021817</c:v>
                </c:pt>
                <c:pt idx="14">
                  <c:v>115.23084728564181</c:v>
                </c:pt>
                <c:pt idx="15">
                  <c:v>118.19989852866566</c:v>
                </c:pt>
                <c:pt idx="16">
                  <c:v>136.26484018264838</c:v>
                </c:pt>
                <c:pt idx="17">
                  <c:v>129.45509893455099</c:v>
                </c:pt>
                <c:pt idx="18">
                  <c:v>125.26433282597667</c:v>
                </c:pt>
                <c:pt idx="19">
                  <c:v>124.47894469812277</c:v>
                </c:pt>
                <c:pt idx="20">
                  <c:v>121.65702688990359</c:v>
                </c:pt>
                <c:pt idx="21">
                  <c:v>120.28310502283104</c:v>
                </c:pt>
                <c:pt idx="22">
                  <c:v>116.31861998985286</c:v>
                </c:pt>
                <c:pt idx="23">
                  <c:v>119.80111618467781</c:v>
                </c:pt>
                <c:pt idx="24">
                  <c:v>121.59715880263826</c:v>
                </c:pt>
                <c:pt idx="25">
                  <c:v>130.10553018772197</c:v>
                </c:pt>
                <c:pt idx="26">
                  <c:v>124.08117706747845</c:v>
                </c:pt>
                <c:pt idx="27">
                  <c:v>124.52765093860985</c:v>
                </c:pt>
                <c:pt idx="28">
                  <c:v>129.33739218670726</c:v>
                </c:pt>
                <c:pt idx="29">
                  <c:v>130.2120750887874</c:v>
                </c:pt>
                <c:pt idx="30">
                  <c:v>125.12227295788938</c:v>
                </c:pt>
                <c:pt idx="31">
                  <c:v>124.93252156265855</c:v>
                </c:pt>
                <c:pt idx="32">
                  <c:v>114.49213597158803</c:v>
                </c:pt>
                <c:pt idx="33">
                  <c:v>112.91222729578894</c:v>
                </c:pt>
                <c:pt idx="34">
                  <c:v>109.05225773718925</c:v>
                </c:pt>
                <c:pt idx="35">
                  <c:v>111.81938102486046</c:v>
                </c:pt>
                <c:pt idx="36">
                  <c:v>117.47234906139015</c:v>
                </c:pt>
                <c:pt idx="37">
                  <c:v>116.9507864028412</c:v>
                </c:pt>
                <c:pt idx="38">
                  <c:v>113.09284627092846</c:v>
                </c:pt>
                <c:pt idx="39">
                  <c:v>110.02942668696095</c:v>
                </c:pt>
                <c:pt idx="40">
                  <c:v>109.28564180618976</c:v>
                </c:pt>
                <c:pt idx="41">
                  <c:v>104.01725012683916</c:v>
                </c:pt>
                <c:pt idx="42">
                  <c:v>102.13191273465247</c:v>
                </c:pt>
                <c:pt idx="43">
                  <c:v>101.00862506341959</c:v>
                </c:pt>
                <c:pt idx="44">
                  <c:v>95.421613394216138</c:v>
                </c:pt>
                <c:pt idx="45">
                  <c:v>98.219178082191789</c:v>
                </c:pt>
                <c:pt idx="46">
                  <c:v>96.687975646879764</c:v>
                </c:pt>
                <c:pt idx="47">
                  <c:v>93.508878741755439</c:v>
                </c:pt>
                <c:pt idx="48">
                  <c:v>94.407914764079152</c:v>
                </c:pt>
                <c:pt idx="49">
                  <c:v>97.169964485032978</c:v>
                </c:pt>
                <c:pt idx="50">
                  <c:v>94.582445459157796</c:v>
                </c:pt>
                <c:pt idx="51">
                  <c:v>99.216641298833082</c:v>
                </c:pt>
                <c:pt idx="52">
                  <c:v>100</c:v>
                </c:pt>
              </c:numCache>
            </c:numRef>
          </c:val>
          <c:smooth val="0"/>
          <c:extLst>
            <c:ext xmlns:c16="http://schemas.microsoft.com/office/drawing/2014/chart" uri="{C3380CC4-5D6E-409C-BE32-E72D297353CC}">
              <c16:uniqueId val="{00000004-9CA3-43BD-AB73-0AEDF86E9131}"/>
            </c:ext>
          </c:extLst>
        </c:ser>
        <c:ser>
          <c:idx val="5"/>
          <c:order val="5"/>
          <c:tx>
            <c:v>TECH MAHINDRA</c:v>
          </c:tx>
          <c:spPr>
            <a:ln w="28575" cap="rnd">
              <a:solidFill>
                <a:schemeClr val="accent6"/>
              </a:solidFill>
              <a:round/>
            </a:ln>
            <a:effectLst/>
          </c:spPr>
          <c:marker>
            <c:symbol val="none"/>
          </c:marker>
          <c:cat>
            <c:numRef>
              <c:f>'DATA SHEET'!$R$248:$R$300</c:f>
              <c:numCache>
                <c:formatCode>General</c:formatCode>
                <c:ptCount val="53"/>
                <c:pt idx="0" formatCode="mmm\-yy">
                  <c:v>45717</c:v>
                </c:pt>
                <c:pt idx="13" formatCode="mmm\-yy">
                  <c:v>45627</c:v>
                </c:pt>
                <c:pt idx="26" formatCode="mmm\-yy">
                  <c:v>45536</c:v>
                </c:pt>
                <c:pt idx="39" formatCode="mmm\-yy">
                  <c:v>45444</c:v>
                </c:pt>
                <c:pt idx="52" formatCode="mmm\-yy">
                  <c:v>45352</c:v>
                </c:pt>
              </c:numCache>
            </c:numRef>
          </c:cat>
          <c:val>
            <c:numRef>
              <c:f>'DATA SHEET'!$X$248:$X$300</c:f>
              <c:numCache>
                <c:formatCode>0.00</c:formatCode>
                <c:ptCount val="53"/>
                <c:pt idx="0">
                  <c:v>104.55516859268639</c:v>
                </c:pt>
                <c:pt idx="1">
                  <c:v>112.25660914991293</c:v>
                </c:pt>
                <c:pt idx="2">
                  <c:v>111.54424568624346</c:v>
                </c:pt>
                <c:pt idx="3">
                  <c:v>114.02960265949027</c:v>
                </c:pt>
                <c:pt idx="4">
                  <c:v>118.1217350007915</c:v>
                </c:pt>
                <c:pt idx="5">
                  <c:v>117.76555326895677</c:v>
                </c:pt>
                <c:pt idx="6">
                  <c:v>130.56039259141997</c:v>
                </c:pt>
                <c:pt idx="7">
                  <c:v>131.32024695266739</c:v>
                </c:pt>
                <c:pt idx="8">
                  <c:v>133.93224631945543</c:v>
                </c:pt>
                <c:pt idx="9">
                  <c:v>132.53522241570366</c:v>
                </c:pt>
                <c:pt idx="10">
                  <c:v>136.38198511951876</c:v>
                </c:pt>
                <c:pt idx="11">
                  <c:v>131.41522874782333</c:v>
                </c:pt>
                <c:pt idx="12">
                  <c:v>135.00079151495962</c:v>
                </c:pt>
                <c:pt idx="13">
                  <c:v>133.72249485515275</c:v>
                </c:pt>
                <c:pt idx="14">
                  <c:v>135.47965806553742</c:v>
                </c:pt>
                <c:pt idx="15">
                  <c:v>133.45337976887762</c:v>
                </c:pt>
                <c:pt idx="16">
                  <c:v>142.18774734842486</c:v>
                </c:pt>
                <c:pt idx="17">
                  <c:v>141.11128700332435</c:v>
                </c:pt>
                <c:pt idx="18">
                  <c:v>135.53110653791356</c:v>
                </c:pt>
                <c:pt idx="19">
                  <c:v>138.31328162102264</c:v>
                </c:pt>
                <c:pt idx="20">
                  <c:v>133.56814943802436</c:v>
                </c:pt>
                <c:pt idx="21">
                  <c:v>133.08136773785023</c:v>
                </c:pt>
                <c:pt idx="22">
                  <c:v>126.93129650150388</c:v>
                </c:pt>
                <c:pt idx="23">
                  <c:v>135.85958524616115</c:v>
                </c:pt>
                <c:pt idx="24">
                  <c:v>133.59981003640968</c:v>
                </c:pt>
                <c:pt idx="25">
                  <c:v>130.36647142630994</c:v>
                </c:pt>
                <c:pt idx="26">
                  <c:v>127.94443564983378</c:v>
                </c:pt>
                <c:pt idx="27">
                  <c:v>127.37454487889821</c:v>
                </c:pt>
                <c:pt idx="28">
                  <c:v>128.38768402722812</c:v>
                </c:pt>
                <c:pt idx="29">
                  <c:v>131.07883488997939</c:v>
                </c:pt>
                <c:pt idx="30">
                  <c:v>128.48266582238404</c:v>
                </c:pt>
                <c:pt idx="31">
                  <c:v>129.5314231438974</c:v>
                </c:pt>
                <c:pt idx="32">
                  <c:v>126.51575114769669</c:v>
                </c:pt>
                <c:pt idx="33">
                  <c:v>125.47886655057778</c:v>
                </c:pt>
                <c:pt idx="34">
                  <c:v>119.2575589678645</c:v>
                </c:pt>
                <c:pt idx="35">
                  <c:v>119.33671046382777</c:v>
                </c:pt>
                <c:pt idx="36">
                  <c:v>121.98432800379928</c:v>
                </c:pt>
                <c:pt idx="37">
                  <c:v>118.04654107962639</c:v>
                </c:pt>
                <c:pt idx="38">
                  <c:v>119.12695899952507</c:v>
                </c:pt>
                <c:pt idx="39">
                  <c:v>115.66803862593002</c:v>
                </c:pt>
                <c:pt idx="40">
                  <c:v>113.21434225106853</c:v>
                </c:pt>
                <c:pt idx="41">
                  <c:v>110.79626404939052</c:v>
                </c:pt>
                <c:pt idx="42">
                  <c:v>108.55231913883172</c:v>
                </c:pt>
                <c:pt idx="43">
                  <c:v>109.03910083900583</c:v>
                </c:pt>
                <c:pt idx="44">
                  <c:v>97.233655216083577</c:v>
                </c:pt>
                <c:pt idx="45">
                  <c:v>104.618489789457</c:v>
                </c:pt>
                <c:pt idx="46">
                  <c:v>103.32436283045749</c:v>
                </c:pt>
                <c:pt idx="47">
                  <c:v>100.07915149596327</c:v>
                </c:pt>
                <c:pt idx="48">
                  <c:v>98.974988127275594</c:v>
                </c:pt>
                <c:pt idx="49">
                  <c:v>101.21497546303624</c:v>
                </c:pt>
                <c:pt idx="50">
                  <c:v>94.47918315656166</c:v>
                </c:pt>
                <c:pt idx="51">
                  <c:v>98.314073135982255</c:v>
                </c:pt>
                <c:pt idx="52">
                  <c:v>100</c:v>
                </c:pt>
              </c:numCache>
            </c:numRef>
          </c:val>
          <c:smooth val="0"/>
          <c:extLst>
            <c:ext xmlns:c16="http://schemas.microsoft.com/office/drawing/2014/chart" uri="{C3380CC4-5D6E-409C-BE32-E72D297353CC}">
              <c16:uniqueId val="{00000005-9CA3-43BD-AB73-0AEDF86E9131}"/>
            </c:ext>
          </c:extLst>
        </c:ser>
        <c:ser>
          <c:idx val="6"/>
          <c:order val="6"/>
          <c:tx>
            <c:v>PERSISTENT SYSTEM</c:v>
          </c:tx>
          <c:spPr>
            <a:ln w="28575" cap="rnd">
              <a:solidFill>
                <a:schemeClr val="accent1">
                  <a:lumMod val="75000"/>
                </a:schemeClr>
              </a:solidFill>
              <a:round/>
            </a:ln>
            <a:effectLst/>
          </c:spPr>
          <c:marker>
            <c:symbol val="none"/>
          </c:marker>
          <c:cat>
            <c:numRef>
              <c:f>'DATA SHEET'!$R$248:$R$300</c:f>
              <c:numCache>
                <c:formatCode>General</c:formatCode>
                <c:ptCount val="53"/>
                <c:pt idx="0" formatCode="mmm\-yy">
                  <c:v>45717</c:v>
                </c:pt>
                <c:pt idx="13" formatCode="mmm\-yy">
                  <c:v>45627</c:v>
                </c:pt>
                <c:pt idx="26" formatCode="mmm\-yy">
                  <c:v>45536</c:v>
                </c:pt>
                <c:pt idx="39" formatCode="mmm\-yy">
                  <c:v>45444</c:v>
                </c:pt>
                <c:pt idx="52" formatCode="mmm\-yy">
                  <c:v>45352</c:v>
                </c:pt>
              </c:numCache>
            </c:numRef>
          </c:cat>
          <c:val>
            <c:numRef>
              <c:f>'DATA SHEET'!$Y$248:$Y$300</c:f>
              <c:numCache>
                <c:formatCode>0.00</c:formatCode>
                <c:ptCount val="53"/>
                <c:pt idx="0">
                  <c:v>115.34246575342466</c:v>
                </c:pt>
                <c:pt idx="1">
                  <c:v>137.95583911928441</c:v>
                </c:pt>
                <c:pt idx="2">
                  <c:v>131.99599674735722</c:v>
                </c:pt>
                <c:pt idx="3">
                  <c:v>128.24795146056172</c:v>
                </c:pt>
                <c:pt idx="4">
                  <c:v>132.07731281666355</c:v>
                </c:pt>
                <c:pt idx="5">
                  <c:v>132.70532307499843</c:v>
                </c:pt>
                <c:pt idx="6">
                  <c:v>142.87358478763997</c:v>
                </c:pt>
                <c:pt idx="7">
                  <c:v>139.18058422468255</c:v>
                </c:pt>
                <c:pt idx="8">
                  <c:v>156.47963970726215</c:v>
                </c:pt>
                <c:pt idx="9">
                  <c:v>150.93763682992432</c:v>
                </c:pt>
                <c:pt idx="10">
                  <c:v>159.14555576405829</c:v>
                </c:pt>
                <c:pt idx="11">
                  <c:v>149.1511853380872</c:v>
                </c:pt>
                <c:pt idx="12">
                  <c:v>158.11972227434791</c:v>
                </c:pt>
                <c:pt idx="13">
                  <c:v>160.27897666854318</c:v>
                </c:pt>
                <c:pt idx="14">
                  <c:v>159.96997560517923</c:v>
                </c:pt>
                <c:pt idx="15">
                  <c:v>159.34696941264775</c:v>
                </c:pt>
                <c:pt idx="16">
                  <c:v>162.07293425908549</c:v>
                </c:pt>
                <c:pt idx="17">
                  <c:v>154.48176643522862</c:v>
                </c:pt>
                <c:pt idx="18">
                  <c:v>147.76130606117471</c:v>
                </c:pt>
                <c:pt idx="19">
                  <c:v>145.02408206667917</c:v>
                </c:pt>
                <c:pt idx="20">
                  <c:v>142.96115593920061</c:v>
                </c:pt>
                <c:pt idx="21">
                  <c:v>141.83273910051918</c:v>
                </c:pt>
                <c:pt idx="22">
                  <c:v>134.83455307437293</c:v>
                </c:pt>
                <c:pt idx="23">
                  <c:v>141.88778382435729</c:v>
                </c:pt>
                <c:pt idx="24">
                  <c:v>137.76568461875274</c:v>
                </c:pt>
                <c:pt idx="25">
                  <c:v>136.84994057671861</c:v>
                </c:pt>
                <c:pt idx="26">
                  <c:v>128.63701757678115</c:v>
                </c:pt>
                <c:pt idx="27">
                  <c:v>136.03552886720459</c:v>
                </c:pt>
                <c:pt idx="28">
                  <c:v>133.98511290423468</c:v>
                </c:pt>
                <c:pt idx="29">
                  <c:v>134.10646149996873</c:v>
                </c:pt>
                <c:pt idx="30">
                  <c:v>129.85425658347407</c:v>
                </c:pt>
                <c:pt idx="31">
                  <c:v>129.37636829924315</c:v>
                </c:pt>
                <c:pt idx="32">
                  <c:v>122.16175642709702</c:v>
                </c:pt>
                <c:pt idx="33">
                  <c:v>121.52749108650778</c:v>
                </c:pt>
                <c:pt idx="34">
                  <c:v>117.57177706886846</c:v>
                </c:pt>
                <c:pt idx="35">
                  <c:v>116.00300243948209</c:v>
                </c:pt>
                <c:pt idx="36">
                  <c:v>119.42077938324888</c:v>
                </c:pt>
                <c:pt idx="37">
                  <c:v>114.6794270344655</c:v>
                </c:pt>
                <c:pt idx="38">
                  <c:v>120.31025207981484</c:v>
                </c:pt>
                <c:pt idx="39">
                  <c:v>119.37824482391943</c:v>
                </c:pt>
                <c:pt idx="40">
                  <c:v>106.1224745105398</c:v>
                </c:pt>
                <c:pt idx="41">
                  <c:v>98.691436792393816</c:v>
                </c:pt>
                <c:pt idx="42">
                  <c:v>94.396697316569728</c:v>
                </c:pt>
                <c:pt idx="43">
                  <c:v>96.33452179896166</c:v>
                </c:pt>
                <c:pt idx="44">
                  <c:v>85.331832113592299</c:v>
                </c:pt>
                <c:pt idx="45">
                  <c:v>88.95227372239944</c:v>
                </c:pt>
                <c:pt idx="46">
                  <c:v>88.575717770688684</c:v>
                </c:pt>
                <c:pt idx="47">
                  <c:v>84.255957965847244</c:v>
                </c:pt>
                <c:pt idx="48">
                  <c:v>84.239694751985979</c:v>
                </c:pt>
                <c:pt idx="49">
                  <c:v>85.005316819916175</c:v>
                </c:pt>
                <c:pt idx="50">
                  <c:v>97.196472133608552</c:v>
                </c:pt>
                <c:pt idx="51">
                  <c:v>99.529617814474264</c:v>
                </c:pt>
                <c:pt idx="52">
                  <c:v>100</c:v>
                </c:pt>
              </c:numCache>
            </c:numRef>
          </c:val>
          <c:smooth val="0"/>
          <c:extLst>
            <c:ext xmlns:c16="http://schemas.microsoft.com/office/drawing/2014/chart" uri="{C3380CC4-5D6E-409C-BE32-E72D297353CC}">
              <c16:uniqueId val="{00000006-9CA3-43BD-AB73-0AEDF86E9131}"/>
            </c:ext>
          </c:extLst>
        </c:ser>
        <c:dLbls>
          <c:showLegendKey val="0"/>
          <c:showVal val="0"/>
          <c:showCatName val="0"/>
          <c:showSerName val="0"/>
          <c:showPercent val="0"/>
          <c:showBubbleSize val="0"/>
        </c:dLbls>
        <c:smooth val="0"/>
        <c:axId val="1540873072"/>
        <c:axId val="1540880272"/>
      </c:lineChart>
      <c:catAx>
        <c:axId val="1540873072"/>
        <c:scaling>
          <c:orientation val="maxMin"/>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1540880272"/>
        <c:crosses val="autoZero"/>
        <c:auto val="0"/>
        <c:lblAlgn val="ctr"/>
        <c:lblOffset val="100"/>
        <c:noMultiLvlLbl val="0"/>
      </c:catAx>
      <c:valAx>
        <c:axId val="1540880272"/>
        <c:scaling>
          <c:orientation val="minMax"/>
        </c:scaling>
        <c:delete val="1"/>
        <c:axPos val="r"/>
        <c:numFmt formatCode="0.00" sourceLinked="1"/>
        <c:majorTickMark val="none"/>
        <c:minorTickMark val="none"/>
        <c:tickLblPos val="nextTo"/>
        <c:crossAx val="1540873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75000"/>
              </a:schemeClr>
            </a:solidFill>
            <a:ln>
              <a:noFill/>
            </a:ln>
            <a:effectLst/>
          </c:spPr>
          <c:invertIfNegative val="0"/>
          <c:dPt>
            <c:idx val="4"/>
            <c:invertIfNegative val="0"/>
            <c:bubble3D val="0"/>
            <c:spPr>
              <a:solidFill>
                <a:schemeClr val="bg1">
                  <a:lumMod val="65000"/>
                </a:schemeClr>
              </a:solidFill>
              <a:ln>
                <a:noFill/>
              </a:ln>
              <a:effectLst/>
            </c:spPr>
            <c:extLst>
              <c:ext xmlns:c16="http://schemas.microsoft.com/office/drawing/2014/chart" uri="{C3380CC4-5D6E-409C-BE32-E72D297353CC}">
                <c16:uniqueId val="{00000001-0E79-49C0-922B-23F4D13A27F6}"/>
              </c:ext>
            </c:extLst>
          </c:dPt>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Copperplate Gothic Light" panose="020E05070202060204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'GDP ESTIMATION'!$C$41:$G$41</c:f>
              <c:numCache>
                <c:formatCode>General</c:formatCode>
                <c:ptCount val="5"/>
                <c:pt idx="0">
                  <c:v>2022</c:v>
                </c:pt>
                <c:pt idx="1">
                  <c:v>2023</c:v>
                </c:pt>
                <c:pt idx="2">
                  <c:v>2024</c:v>
                </c:pt>
                <c:pt idx="3">
                  <c:v>2025</c:v>
                </c:pt>
                <c:pt idx="4">
                  <c:v>2026</c:v>
                </c:pt>
              </c:numCache>
            </c:numRef>
          </c:cat>
          <c:val>
            <c:numRef>
              <c:f>'GDP ESTIMATION'!$C$33:$G$33</c:f>
              <c:numCache>
                <c:formatCode>General</c:formatCode>
                <c:ptCount val="5"/>
                <c:pt idx="0">
                  <c:v>273</c:v>
                </c:pt>
                <c:pt idx="1">
                  <c:v>307</c:v>
                </c:pt>
                <c:pt idx="2">
                  <c:v>340</c:v>
                </c:pt>
                <c:pt idx="3">
                  <c:v>372</c:v>
                </c:pt>
                <c:pt idx="4" formatCode="#,##0_);\(#,##0\);&quot;--&quot;">
                  <c:v>395.92636363636365</c:v>
                </c:pt>
              </c:numCache>
            </c:numRef>
          </c:val>
          <c:extLst>
            <c:ext xmlns:c16="http://schemas.microsoft.com/office/drawing/2014/chart" uri="{C3380CC4-5D6E-409C-BE32-E72D297353CC}">
              <c16:uniqueId val="{00000000-0E79-49C0-922B-23F4D13A27F6}"/>
            </c:ext>
          </c:extLst>
        </c:ser>
        <c:dLbls>
          <c:showLegendKey val="0"/>
          <c:showVal val="0"/>
          <c:showCatName val="0"/>
          <c:showSerName val="0"/>
          <c:showPercent val="0"/>
          <c:showBubbleSize val="0"/>
        </c:dLbls>
        <c:gapWidth val="60"/>
        <c:overlap val="-27"/>
        <c:axId val="1104876016"/>
        <c:axId val="1104871216"/>
      </c:barChart>
      <c:catAx>
        <c:axId val="110487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1104871216"/>
        <c:crosses val="autoZero"/>
        <c:auto val="1"/>
        <c:lblAlgn val="ctr"/>
        <c:lblOffset val="100"/>
        <c:noMultiLvlLbl val="0"/>
      </c:catAx>
      <c:valAx>
        <c:axId val="1104871216"/>
        <c:scaling>
          <c:orientation val="minMax"/>
        </c:scaling>
        <c:delete val="0"/>
        <c:axPos val="l"/>
        <c:numFmt formatCode="General"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11048760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75000"/>
              </a:schemeClr>
            </a:solidFill>
            <a:ln>
              <a:noFill/>
            </a:ln>
            <a:effectLst/>
          </c:spPr>
          <c:invertIfNegative val="0"/>
          <c:dPt>
            <c:idx val="4"/>
            <c:invertIfNegative val="0"/>
            <c:bubble3D val="0"/>
            <c:spPr>
              <a:solidFill>
                <a:schemeClr val="bg1">
                  <a:lumMod val="65000"/>
                </a:schemeClr>
              </a:solidFill>
              <a:ln>
                <a:noFill/>
              </a:ln>
              <a:effectLst/>
            </c:spPr>
            <c:extLst>
              <c:ext xmlns:c16="http://schemas.microsoft.com/office/drawing/2014/chart" uri="{C3380CC4-5D6E-409C-BE32-E72D297353CC}">
                <c16:uniqueId val="{00000001-47ED-403B-B089-7BEEA77F9E6F}"/>
              </c:ext>
            </c:extLst>
          </c:dPt>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Copperplate Gothic Light" panose="020E05070202060204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'GDP ESTIMATION'!$C$41:$G$41</c:f>
              <c:numCache>
                <c:formatCode>General</c:formatCode>
                <c:ptCount val="5"/>
                <c:pt idx="0">
                  <c:v>2022</c:v>
                </c:pt>
                <c:pt idx="1">
                  <c:v>2023</c:v>
                </c:pt>
                <c:pt idx="2">
                  <c:v>2024</c:v>
                </c:pt>
                <c:pt idx="3">
                  <c:v>2025</c:v>
                </c:pt>
                <c:pt idx="4">
                  <c:v>2026</c:v>
                </c:pt>
              </c:numCache>
            </c:numRef>
          </c:cat>
          <c:val>
            <c:numRef>
              <c:f>'GDP ESTIMATION'!$C$64:$G$64</c:f>
              <c:numCache>
                <c:formatCode>General</c:formatCode>
                <c:ptCount val="5"/>
                <c:pt idx="0">
                  <c:v>1730</c:v>
                </c:pt>
                <c:pt idx="1">
                  <c:v>1837</c:v>
                </c:pt>
                <c:pt idx="2">
                  <c:v>1965</c:v>
                </c:pt>
                <c:pt idx="3">
                  <c:v>2072</c:v>
                </c:pt>
                <c:pt idx="4" formatCode="#,##0_);\(#,##0\);&quot;--&quot;">
                  <c:v>2110.7087272727272</c:v>
                </c:pt>
              </c:numCache>
            </c:numRef>
          </c:val>
          <c:extLst>
            <c:ext xmlns:c16="http://schemas.microsoft.com/office/drawing/2014/chart" uri="{C3380CC4-5D6E-409C-BE32-E72D297353CC}">
              <c16:uniqueId val="{00000000-47ED-403B-B089-7BEEA77F9E6F}"/>
            </c:ext>
          </c:extLst>
        </c:ser>
        <c:dLbls>
          <c:showLegendKey val="0"/>
          <c:showVal val="0"/>
          <c:showCatName val="0"/>
          <c:showSerName val="0"/>
          <c:showPercent val="0"/>
          <c:showBubbleSize val="0"/>
        </c:dLbls>
        <c:gapWidth val="60"/>
        <c:overlap val="-27"/>
        <c:axId val="1104898096"/>
        <c:axId val="1104914896"/>
      </c:barChart>
      <c:catAx>
        <c:axId val="110489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1104914896"/>
        <c:crosses val="autoZero"/>
        <c:auto val="1"/>
        <c:lblAlgn val="ctr"/>
        <c:lblOffset val="100"/>
        <c:noMultiLvlLbl val="0"/>
      </c:catAx>
      <c:valAx>
        <c:axId val="1104914896"/>
        <c:scaling>
          <c:orientation val="minMax"/>
        </c:scaling>
        <c:delete val="0"/>
        <c:axPos val="l"/>
        <c:numFmt formatCode="General" sourceLinked="1"/>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pperplate Gothic Light" panose="020E0507020206020404" pitchFamily="34" charset="0"/>
                <a:ea typeface="+mn-ea"/>
                <a:cs typeface="+mn-cs"/>
              </a:defRPr>
            </a:pPr>
            <a:endParaRPr lang="en-US"/>
          </a:p>
        </c:txPr>
        <c:crossAx val="11048980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5D396299-EB8E-48E8-9D2F-D0F851826F70}">
          <cx:spPr>
            <a:solidFill>
              <a:schemeClr val="accent1">
                <a:lumMod val="60000"/>
                <a:lumOff val="40000"/>
              </a:schemeClr>
            </a:solidFill>
            <a:ln>
              <a:solidFill>
                <a:schemeClr val="bg1"/>
              </a:solidFill>
            </a:ln>
          </cx:spPr>
          <cx:dataId val="0"/>
          <cx:layoutPr>
            <cx:binning intervalClosed="r"/>
          </cx:layoutPr>
        </cx:series>
      </cx:plotAreaRegion>
      <cx:axis id="0" hidden="1">
        <cx:catScaling gapWidth="0"/>
        <cx:tickLabels/>
      </cx:axis>
      <cx:axis id="1">
        <cx:valScaling/>
        <cx:tickLabels/>
        <cx:spPr>
          <a:effectLst>
            <a:outerShdw blurRad="50800" dist="38100" dir="5400000" algn="t" rotWithShape="0">
              <a:prstClr val="black">
                <a:alpha val="40000"/>
              </a:prstClr>
            </a:outerShdw>
          </a:effectLst>
        </cx:spPr>
        <cx:txPr>
          <a:bodyPr spcFirstLastPara="1" vertOverflow="ellipsis" horzOverflow="overflow" wrap="square" lIns="0" tIns="0" rIns="0" bIns="0" anchor="ctr" anchorCtr="1"/>
          <a:lstStyle/>
          <a:p>
            <a:pPr algn="ctr" rtl="0">
              <a:defRPr sz="1050" b="1" i="1">
                <a:latin typeface="Arial" panose="020B0604020202020204" pitchFamily="34" charset="0"/>
                <a:ea typeface="Arial" panose="020B0604020202020204" pitchFamily="34" charset="0"/>
                <a:cs typeface="Arial" panose="020B0604020202020204" pitchFamily="34" charset="0"/>
              </a:defRPr>
            </a:pPr>
            <a:endParaRPr lang="en-US" sz="1050" b="1" i="1" u="none" strike="noStrike" baseline="0">
              <a:solidFill>
                <a:sysClr val="windowText" lastClr="000000">
                  <a:lumMod val="65000"/>
                  <a:lumOff val="35000"/>
                </a:sysClr>
              </a:solidFill>
              <a:latin typeface="Arial" panose="020B0604020202020204" pitchFamily="34" charset="0"/>
              <a:cs typeface="Arial" panose="020B060402020202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_xlchart.v1.1</cx:f>
      </cx:strDim>
      <cx:numDim type="val">
        <cx:f dir="row">_xlchart.v1.2</cx:f>
      </cx:numDim>
    </cx:data>
  </cx:chartData>
  <cx:chart>
    <cx:plotArea>
      <cx:plotAreaRegion>
        <cx:plotSurface>
          <cx:spPr>
            <a:noFill/>
            <a:ln>
              <a:noFill/>
            </a:ln>
          </cx:spPr>
        </cx:plotSurface>
        <cx:series layoutId="waterfall" uniqueId="{405AA5EE-64ED-4F94-B659-3BCF043EC801}">
          <cx:spPr>
            <a:solidFill>
              <a:schemeClr val="accent1">
                <a:lumMod val="75000"/>
              </a:schemeClr>
            </a:solidFill>
          </cx:spPr>
          <cx:dataLabels>
            <cx:txPr>
              <a:bodyPr spcFirstLastPara="1" vertOverflow="ellipsis" horzOverflow="overflow" wrap="square" lIns="0" tIns="0" rIns="0" bIns="0" anchor="ctr" anchorCtr="1"/>
              <a:lstStyle/>
              <a:p>
                <a:pPr algn="ctr" rtl="0">
                  <a:defRPr>
                    <a:latin typeface="Copperplate Gothic Light" panose="020E0507020206020404" pitchFamily="34" charset="0"/>
                    <a:ea typeface="Copperplate Gothic Light" panose="020E0507020206020404" pitchFamily="34" charset="0"/>
                    <a:cs typeface="Copperplate Gothic Light" panose="020E0507020206020404" pitchFamily="34" charset="0"/>
                  </a:defRPr>
                </a:pPr>
                <a:endParaRPr lang="en-US" sz="900" b="0" i="0" u="none" strike="noStrike" kern="1200" baseline="0">
                  <a:solidFill>
                    <a:sysClr val="windowText" lastClr="000000">
                      <a:lumMod val="75000"/>
                      <a:lumOff val="25000"/>
                    </a:sysClr>
                  </a:solidFill>
                  <a:latin typeface="Copperplate Gothic Light" panose="020E0507020206020404" pitchFamily="34" charset="0"/>
                </a:endParaRPr>
              </a:p>
            </cx:txPr>
          </cx:dataLabels>
          <cx:dataId val="0"/>
          <cx:layoutPr>
            <cx:subtotals/>
          </cx:layoutPr>
        </cx:series>
      </cx:plotAreaRegion>
      <cx:axis id="0">
        <cx:catScaling/>
        <cx:majorTickMarks type="out"/>
        <cx:tickLabels/>
        <cx:spPr>
          <a:ln>
            <a:solidFill>
              <a:schemeClr val="bg1">
                <a:lumMod val="85000"/>
              </a:schemeClr>
            </a:solidFill>
          </a:ln>
        </cx:spPr>
        <cx:txPr>
          <a:bodyPr spcFirstLastPara="1" vertOverflow="ellipsis" horzOverflow="overflow" wrap="square" lIns="0" tIns="0" rIns="0" bIns="0" anchor="ctr" anchorCtr="1"/>
          <a:lstStyle/>
          <a:p>
            <a:pPr algn="ctr" rtl="0">
              <a:defRPr>
                <a:latin typeface="Copperplate Gothic Light" panose="020E0507020206020404" pitchFamily="34" charset="0"/>
                <a:ea typeface="Copperplate Gothic Light" panose="020E0507020206020404" pitchFamily="34" charset="0"/>
                <a:cs typeface="Copperplate Gothic Light" panose="020E0507020206020404" pitchFamily="34" charset="0"/>
              </a:defRPr>
            </a:pPr>
            <a:endParaRPr lang="en-US" sz="900" b="0" i="0" u="none" strike="noStrike" kern="1200" baseline="0">
              <a:solidFill>
                <a:sysClr val="windowText" lastClr="000000">
                  <a:lumMod val="65000"/>
                  <a:lumOff val="35000"/>
                </a:sysClr>
              </a:solidFill>
              <a:latin typeface="Copperplate Gothic Light" panose="020E0507020206020404" pitchFamily="34" charset="0"/>
            </a:endParaRPr>
          </a:p>
        </cx:txPr>
      </cx:axis>
      <cx:axis id="1">
        <cx:valScaling/>
        <cx:tickLabels/>
        <cx:spPr>
          <a:ln>
            <a:solidFill>
              <a:schemeClr val="bg1">
                <a:lumMod val="85000"/>
              </a:schemeClr>
            </a:solidFill>
          </a:ln>
        </cx:spPr>
        <cx:txPr>
          <a:bodyPr spcFirstLastPara="1" vertOverflow="ellipsis" horzOverflow="overflow" wrap="square" lIns="0" tIns="0" rIns="0" bIns="0" anchor="ctr" anchorCtr="1"/>
          <a:lstStyle/>
          <a:p>
            <a:pPr algn="ctr" rtl="0">
              <a:defRPr>
                <a:latin typeface="Copperplate Gothic Light" panose="020E0507020206020404" pitchFamily="34" charset="0"/>
                <a:ea typeface="Copperplate Gothic Light" panose="020E0507020206020404" pitchFamily="34" charset="0"/>
                <a:cs typeface="Copperplate Gothic Light" panose="020E0507020206020404" pitchFamily="34" charset="0"/>
              </a:defRPr>
            </a:pPr>
            <a:endParaRPr lang="en-US" sz="900" b="0" i="0" u="none" strike="noStrike" kern="1200" baseline="0">
              <a:solidFill>
                <a:sysClr val="windowText" lastClr="000000">
                  <a:lumMod val="65000"/>
                  <a:lumOff val="35000"/>
                </a:sysClr>
              </a:solidFill>
              <a:latin typeface="Copperplate Gothic Light" panose="020E05070202060204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18.xml.rels><?xml version="1.0" encoding="UTF-8" standalone="yes"?>
<Relationships xmlns="http://schemas.openxmlformats.org/package/2006/relationships"><Relationship Id="rId1" Type="http://schemas.microsoft.com/office/2014/relationships/chartEx" Target="../charts/chartEx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2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image" Target="../media/image4.jpeg"/><Relationship Id="rId4"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5.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9.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706BF11D-8771-4090-A7C7-C83BE15C3AAD}"/>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130629</xdr:colOff>
      <xdr:row>17</xdr:row>
      <xdr:rowOff>0</xdr:rowOff>
    </xdr:from>
    <xdr:to>
      <xdr:col>12</xdr:col>
      <xdr:colOff>0</xdr:colOff>
      <xdr:row>26</xdr:row>
      <xdr:rowOff>0</xdr:rowOff>
    </xdr:to>
    <xdr:graphicFrame macro="">
      <xdr:nvGraphicFramePr>
        <xdr:cNvPr id="5" name="Chart 4">
          <a:extLst>
            <a:ext uri="{FF2B5EF4-FFF2-40B4-BE49-F238E27FC236}">
              <a16:creationId xmlns:a16="http://schemas.microsoft.com/office/drawing/2014/main" id="{F5584261-E460-4C99-BC3D-DF0CDF73B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133893</xdr:colOff>
      <xdr:row>42</xdr:row>
      <xdr:rowOff>0</xdr:rowOff>
    </xdr:from>
    <xdr:to>
      <xdr:col>12</xdr:col>
      <xdr:colOff>10886</xdr:colOff>
      <xdr:row>51</xdr:row>
      <xdr:rowOff>0</xdr:rowOff>
    </xdr:to>
    <xdr:graphicFrame macro="">
      <xdr:nvGraphicFramePr>
        <xdr:cNvPr id="6" name="Chart 5">
          <a:extLst>
            <a:ext uri="{FF2B5EF4-FFF2-40B4-BE49-F238E27FC236}">
              <a16:creationId xmlns:a16="http://schemas.microsoft.com/office/drawing/2014/main" id="{B23C209D-02EE-403A-B125-C80AD3A22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337459</xdr:colOff>
      <xdr:row>42</xdr:row>
      <xdr:rowOff>130628</xdr:rowOff>
    </xdr:from>
    <xdr:to>
      <xdr:col>6</xdr:col>
      <xdr:colOff>870857</xdr:colOff>
      <xdr:row>51</xdr:row>
      <xdr:rowOff>32656</xdr:rowOff>
    </xdr:to>
    <xdr:graphicFrame macro="">
      <xdr:nvGraphicFramePr>
        <xdr:cNvPr id="9" name="Chart 8">
          <a:extLst>
            <a:ext uri="{FF2B5EF4-FFF2-40B4-BE49-F238E27FC236}">
              <a16:creationId xmlns:a16="http://schemas.microsoft.com/office/drawing/2014/main" id="{FB330977-3CD9-31EB-C29E-ACD11233C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130629</xdr:colOff>
      <xdr:row>31</xdr:row>
      <xdr:rowOff>10885</xdr:rowOff>
    </xdr:from>
    <xdr:to>
      <xdr:col>12</xdr:col>
      <xdr:colOff>0</xdr:colOff>
      <xdr:row>37</xdr:row>
      <xdr:rowOff>0</xdr:rowOff>
    </xdr:to>
    <xdr:graphicFrame macro="">
      <xdr:nvGraphicFramePr>
        <xdr:cNvPr id="10" name="Chart 9">
          <a:extLst>
            <a:ext uri="{FF2B5EF4-FFF2-40B4-BE49-F238E27FC236}">
              <a16:creationId xmlns:a16="http://schemas.microsoft.com/office/drawing/2014/main" id="{019C6F1A-9C02-4091-A8CE-CC49E2AAB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119743</xdr:colOff>
      <xdr:row>4</xdr:row>
      <xdr:rowOff>76201</xdr:rowOff>
    </xdr:from>
    <xdr:to>
      <xdr:col>1</xdr:col>
      <xdr:colOff>2002972</xdr:colOff>
      <xdr:row>12</xdr:row>
      <xdr:rowOff>87087</xdr:rowOff>
    </xdr:to>
    <xdr:pic>
      <xdr:nvPicPr>
        <xdr:cNvPr id="13" name="Picture 12">
          <a:extLst>
            <a:ext uri="{FF2B5EF4-FFF2-40B4-BE49-F238E27FC236}">
              <a16:creationId xmlns:a16="http://schemas.microsoft.com/office/drawing/2014/main" id="{1604DBC8-BC47-4AEF-9A11-725572FD544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61257" y="936172"/>
          <a:ext cx="1883229" cy="1404258"/>
        </a:xfrm>
        <a:prstGeom prst="rect">
          <a:avLst/>
        </a:prstGeom>
        <a:ln>
          <a:noFill/>
        </a:ln>
        <a:effectLst>
          <a:softEdge rad="112500"/>
        </a:effectLst>
      </xdr:spPr>
    </xdr:pic>
    <xdr:clientData/>
  </xdr:twoCellAnchor>
  <xdr:twoCellAnchor>
    <xdr:from>
      <xdr:col>1</xdr:col>
      <xdr:colOff>2264229</xdr:colOff>
      <xdr:row>4</xdr:row>
      <xdr:rowOff>76201</xdr:rowOff>
    </xdr:from>
    <xdr:to>
      <xdr:col>1</xdr:col>
      <xdr:colOff>2264229</xdr:colOff>
      <xdr:row>12</xdr:row>
      <xdr:rowOff>76200</xdr:rowOff>
    </xdr:to>
    <xdr:cxnSp macro="">
      <xdr:nvCxnSpPr>
        <xdr:cNvPr id="15" name="Straight Connector 14">
          <a:extLst>
            <a:ext uri="{FF2B5EF4-FFF2-40B4-BE49-F238E27FC236}">
              <a16:creationId xmlns:a16="http://schemas.microsoft.com/office/drawing/2014/main" id="{35CCFC40-425F-DDA6-0D8A-DC8E183D5D37}"/>
            </a:ext>
          </a:extLst>
        </xdr:cNvPr>
        <xdr:cNvCxnSpPr/>
      </xdr:nvCxnSpPr>
      <xdr:spPr>
        <a:xfrm flipH="1">
          <a:off x="2405743" y="936172"/>
          <a:ext cx="0" cy="139337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4" name="Straight Connector 3">
          <a:extLst>
            <a:ext uri="{FF2B5EF4-FFF2-40B4-BE49-F238E27FC236}">
              <a16:creationId xmlns:a16="http://schemas.microsoft.com/office/drawing/2014/main" id="{18F9A5C7-3063-4792-8E4A-AA1F25E57A1B}"/>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B7F12FD5-F6B9-496D-94D4-A5A83D06C27F}"/>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5" name="Straight Connector 4">
          <a:extLst>
            <a:ext uri="{FF2B5EF4-FFF2-40B4-BE49-F238E27FC236}">
              <a16:creationId xmlns:a16="http://schemas.microsoft.com/office/drawing/2014/main" id="{CA6A0C18-EF20-6F5A-DAB5-915F749B3FDB}"/>
            </a:ext>
          </a:extLst>
        </xdr:cNvPr>
        <xdr:cNvCxnSpPr/>
      </xdr:nvCxnSpPr>
      <xdr:spPr>
        <a:xfrm>
          <a:off x="2416628" y="97972"/>
          <a:ext cx="0" cy="522514"/>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87087</xdr:colOff>
      <xdr:row>29</xdr:row>
      <xdr:rowOff>163287</xdr:rowOff>
    </xdr:from>
    <xdr:to>
      <xdr:col>15</xdr:col>
      <xdr:colOff>642258</xdr:colOff>
      <xdr:row>32</xdr:row>
      <xdr:rowOff>108858</xdr:rowOff>
    </xdr:to>
    <xdr:cxnSp macro="">
      <xdr:nvCxnSpPr>
        <xdr:cNvPr id="6" name="Straight Arrow Connector 5">
          <a:extLst>
            <a:ext uri="{FF2B5EF4-FFF2-40B4-BE49-F238E27FC236}">
              <a16:creationId xmlns:a16="http://schemas.microsoft.com/office/drawing/2014/main" id="{D60F178C-7CE7-E0C6-56ED-4D5DAC8A6F1C}"/>
            </a:ext>
          </a:extLst>
        </xdr:cNvPr>
        <xdr:cNvCxnSpPr/>
      </xdr:nvCxnSpPr>
      <xdr:spPr>
        <a:xfrm flipH="1">
          <a:off x="14967858" y="5802087"/>
          <a:ext cx="555171"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674915</xdr:colOff>
      <xdr:row>28</xdr:row>
      <xdr:rowOff>65315</xdr:rowOff>
    </xdr:from>
    <xdr:ext cx="1534886" cy="391886"/>
    <xdr:sp macro="" textlink="">
      <xdr:nvSpPr>
        <xdr:cNvPr id="9" name="TextBox 8">
          <a:extLst>
            <a:ext uri="{FF2B5EF4-FFF2-40B4-BE49-F238E27FC236}">
              <a16:creationId xmlns:a16="http://schemas.microsoft.com/office/drawing/2014/main" id="{02B2284A-BAF1-DE7E-3542-67D8465B3EDB}"/>
            </a:ext>
          </a:extLst>
        </xdr:cNvPr>
        <xdr:cNvSpPr txBox="1"/>
      </xdr:nvSpPr>
      <xdr:spPr>
        <a:xfrm>
          <a:off x="15555686" y="5508172"/>
          <a:ext cx="1534886" cy="391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Average Taken</a:t>
          </a:r>
        </a:p>
      </xdr:txBody>
    </xdr:sp>
    <xdr:clientData/>
  </xdr:oneCellAnchor>
  <xdr:twoCellAnchor>
    <xdr:from>
      <xdr:col>15</xdr:col>
      <xdr:colOff>130628</xdr:colOff>
      <xdr:row>8</xdr:row>
      <xdr:rowOff>32659</xdr:rowOff>
    </xdr:from>
    <xdr:to>
      <xdr:col>15</xdr:col>
      <xdr:colOff>685799</xdr:colOff>
      <xdr:row>11</xdr:row>
      <xdr:rowOff>87087</xdr:rowOff>
    </xdr:to>
    <xdr:cxnSp macro="">
      <xdr:nvCxnSpPr>
        <xdr:cNvPr id="10" name="Straight Arrow Connector 9">
          <a:extLst>
            <a:ext uri="{FF2B5EF4-FFF2-40B4-BE49-F238E27FC236}">
              <a16:creationId xmlns:a16="http://schemas.microsoft.com/office/drawing/2014/main" id="{632E6C32-63E8-45FD-9302-5880876AC6C2}"/>
            </a:ext>
          </a:extLst>
        </xdr:cNvPr>
        <xdr:cNvCxnSpPr/>
      </xdr:nvCxnSpPr>
      <xdr:spPr>
        <a:xfrm flipH="1">
          <a:off x="15011399" y="1774373"/>
          <a:ext cx="555171"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707572</xdr:colOff>
      <xdr:row>6</xdr:row>
      <xdr:rowOff>54428</xdr:rowOff>
    </xdr:from>
    <xdr:ext cx="1534886" cy="391886"/>
    <xdr:sp macro="" textlink="">
      <xdr:nvSpPr>
        <xdr:cNvPr id="12" name="TextBox 11">
          <a:extLst>
            <a:ext uri="{FF2B5EF4-FFF2-40B4-BE49-F238E27FC236}">
              <a16:creationId xmlns:a16="http://schemas.microsoft.com/office/drawing/2014/main" id="{F6939426-460C-40AA-809C-46B32B180529}"/>
            </a:ext>
          </a:extLst>
        </xdr:cNvPr>
        <xdr:cNvSpPr txBox="1"/>
      </xdr:nvSpPr>
      <xdr:spPr>
        <a:xfrm>
          <a:off x="15588343" y="1513114"/>
          <a:ext cx="1534886" cy="391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Average Taken</a:t>
          </a:r>
        </a:p>
      </xdr:txBody>
    </xdr:sp>
    <xdr:clientData/>
  </xdr:oneCellAnchor>
  <xdr:twoCellAnchor>
    <xdr:from>
      <xdr:col>15</xdr:col>
      <xdr:colOff>108857</xdr:colOff>
      <xdr:row>43</xdr:row>
      <xdr:rowOff>54429</xdr:rowOff>
    </xdr:from>
    <xdr:to>
      <xdr:col>15</xdr:col>
      <xdr:colOff>664028</xdr:colOff>
      <xdr:row>46</xdr:row>
      <xdr:rowOff>108858</xdr:rowOff>
    </xdr:to>
    <xdr:cxnSp macro="">
      <xdr:nvCxnSpPr>
        <xdr:cNvPr id="13" name="Straight Arrow Connector 12">
          <a:extLst>
            <a:ext uri="{FF2B5EF4-FFF2-40B4-BE49-F238E27FC236}">
              <a16:creationId xmlns:a16="http://schemas.microsoft.com/office/drawing/2014/main" id="{7E2C835C-9A25-436E-A5E3-5273D75A15B0}"/>
            </a:ext>
          </a:extLst>
        </xdr:cNvPr>
        <xdr:cNvCxnSpPr/>
      </xdr:nvCxnSpPr>
      <xdr:spPr>
        <a:xfrm flipH="1">
          <a:off x="14989628" y="8327572"/>
          <a:ext cx="555171"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664029</xdr:colOff>
      <xdr:row>41</xdr:row>
      <xdr:rowOff>21771</xdr:rowOff>
    </xdr:from>
    <xdr:ext cx="1534886" cy="391886"/>
    <xdr:sp macro="" textlink="">
      <xdr:nvSpPr>
        <xdr:cNvPr id="14" name="TextBox 13">
          <a:extLst>
            <a:ext uri="{FF2B5EF4-FFF2-40B4-BE49-F238E27FC236}">
              <a16:creationId xmlns:a16="http://schemas.microsoft.com/office/drawing/2014/main" id="{716C72F0-7BC6-4580-B2A7-1D5A817C9D28}"/>
            </a:ext>
          </a:extLst>
        </xdr:cNvPr>
        <xdr:cNvSpPr txBox="1"/>
      </xdr:nvSpPr>
      <xdr:spPr>
        <a:xfrm>
          <a:off x="15544800" y="8011885"/>
          <a:ext cx="1534886" cy="391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Average Taken</a:t>
          </a:r>
        </a:p>
      </xdr:txBody>
    </xdr:sp>
    <xdr:clientData/>
  </xdr:oneCellAnchor>
  <xdr:twoCellAnchor>
    <xdr:from>
      <xdr:col>15</xdr:col>
      <xdr:colOff>108857</xdr:colOff>
      <xdr:row>71</xdr:row>
      <xdr:rowOff>54429</xdr:rowOff>
    </xdr:from>
    <xdr:to>
      <xdr:col>15</xdr:col>
      <xdr:colOff>664028</xdr:colOff>
      <xdr:row>74</xdr:row>
      <xdr:rowOff>108858</xdr:rowOff>
    </xdr:to>
    <xdr:cxnSp macro="">
      <xdr:nvCxnSpPr>
        <xdr:cNvPr id="15" name="Straight Arrow Connector 14">
          <a:extLst>
            <a:ext uri="{FF2B5EF4-FFF2-40B4-BE49-F238E27FC236}">
              <a16:creationId xmlns:a16="http://schemas.microsoft.com/office/drawing/2014/main" id="{B4C0016E-1805-4EC3-BA8B-3A14642A77EB}"/>
            </a:ext>
          </a:extLst>
        </xdr:cNvPr>
        <xdr:cNvCxnSpPr/>
      </xdr:nvCxnSpPr>
      <xdr:spPr>
        <a:xfrm flipH="1">
          <a:off x="14989628" y="13596258"/>
          <a:ext cx="555171"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631372</xdr:colOff>
      <xdr:row>69</xdr:row>
      <xdr:rowOff>119743</xdr:rowOff>
    </xdr:from>
    <xdr:ext cx="1534886" cy="391886"/>
    <xdr:sp macro="" textlink="">
      <xdr:nvSpPr>
        <xdr:cNvPr id="16" name="TextBox 15">
          <a:extLst>
            <a:ext uri="{FF2B5EF4-FFF2-40B4-BE49-F238E27FC236}">
              <a16:creationId xmlns:a16="http://schemas.microsoft.com/office/drawing/2014/main" id="{639651CA-3885-4322-9071-6CBA0A8195F4}"/>
            </a:ext>
          </a:extLst>
        </xdr:cNvPr>
        <xdr:cNvSpPr txBox="1"/>
      </xdr:nvSpPr>
      <xdr:spPr>
        <a:xfrm>
          <a:off x="15512143" y="13269686"/>
          <a:ext cx="1534886" cy="391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Average Taken</a:t>
          </a:r>
        </a:p>
      </xdr:txBody>
    </xdr:sp>
    <xdr:clientData/>
  </xdr:oneCellAnchor>
  <xdr:twoCellAnchor>
    <xdr:from>
      <xdr:col>1</xdr:col>
      <xdr:colOff>2275114</xdr:colOff>
      <xdr:row>0</xdr:row>
      <xdr:rowOff>97972</xdr:rowOff>
    </xdr:from>
    <xdr:to>
      <xdr:col>1</xdr:col>
      <xdr:colOff>2275114</xdr:colOff>
      <xdr:row>2</xdr:row>
      <xdr:rowOff>228600</xdr:rowOff>
    </xdr:to>
    <xdr:cxnSp macro="">
      <xdr:nvCxnSpPr>
        <xdr:cNvPr id="4" name="Straight Connector 3">
          <a:extLst>
            <a:ext uri="{FF2B5EF4-FFF2-40B4-BE49-F238E27FC236}">
              <a16:creationId xmlns:a16="http://schemas.microsoft.com/office/drawing/2014/main" id="{F6D84DC5-AD2D-4018-A9AE-99AD943BF072}"/>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69330E42-4203-4E17-A8A6-41D78C382A66}"/>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D9AD2000-2D73-4808-A2FE-89737DC01C49}"/>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FC020A01-FA95-435E-8D58-E4F485A3C3E0}"/>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7</xdr:row>
      <xdr:rowOff>21770</xdr:rowOff>
    </xdr:from>
    <xdr:to>
      <xdr:col>9</xdr:col>
      <xdr:colOff>0</xdr:colOff>
      <xdr:row>20</xdr:row>
      <xdr:rowOff>185056</xdr:rowOff>
    </xdr:to>
    <xdr:graphicFrame macro="">
      <xdr:nvGraphicFramePr>
        <xdr:cNvPr id="5" name="Chart 4">
          <a:extLst>
            <a:ext uri="{FF2B5EF4-FFF2-40B4-BE49-F238E27FC236}">
              <a16:creationId xmlns:a16="http://schemas.microsoft.com/office/drawing/2014/main" id="{FE469BD7-EF7F-1D6A-5830-A496B3391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130628</xdr:colOff>
      <xdr:row>7</xdr:row>
      <xdr:rowOff>10886</xdr:rowOff>
    </xdr:from>
    <xdr:to>
      <xdr:col>14</xdr:col>
      <xdr:colOff>1066800</xdr:colOff>
      <xdr:row>20</xdr:row>
      <xdr:rowOff>185057</xdr:rowOff>
    </xdr:to>
    <xdr:graphicFrame macro="">
      <xdr:nvGraphicFramePr>
        <xdr:cNvPr id="6" name="Chart 5">
          <a:extLst>
            <a:ext uri="{FF2B5EF4-FFF2-40B4-BE49-F238E27FC236}">
              <a16:creationId xmlns:a16="http://schemas.microsoft.com/office/drawing/2014/main" id="{23B1B646-47EB-EC90-E9DD-D77C462CC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23</xdr:row>
      <xdr:rowOff>0</xdr:rowOff>
    </xdr:from>
    <xdr:to>
      <xdr:col>8</xdr:col>
      <xdr:colOff>130629</xdr:colOff>
      <xdr:row>37</xdr:row>
      <xdr:rowOff>0</xdr:rowOff>
    </xdr:to>
    <xdr:graphicFrame macro="">
      <xdr:nvGraphicFramePr>
        <xdr:cNvPr id="7" name="Chart 6">
          <a:extLst>
            <a:ext uri="{FF2B5EF4-FFF2-40B4-BE49-F238E27FC236}">
              <a16:creationId xmlns:a16="http://schemas.microsoft.com/office/drawing/2014/main" id="{DA99FE8F-DB21-FEF0-967C-E0666DBF0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23</xdr:row>
      <xdr:rowOff>10886</xdr:rowOff>
    </xdr:from>
    <xdr:to>
      <xdr:col>15</xdr:col>
      <xdr:colOff>0</xdr:colOff>
      <xdr:row>36</xdr:row>
      <xdr:rowOff>185058</xdr:rowOff>
    </xdr:to>
    <xdr:graphicFrame macro="">
      <xdr:nvGraphicFramePr>
        <xdr:cNvPr id="8" name="Chart 7">
          <a:extLst>
            <a:ext uri="{FF2B5EF4-FFF2-40B4-BE49-F238E27FC236}">
              <a16:creationId xmlns:a16="http://schemas.microsoft.com/office/drawing/2014/main" id="{36897075-5B3E-B4C3-F427-ADAFBD186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10885</xdr:colOff>
      <xdr:row>39</xdr:row>
      <xdr:rowOff>10886</xdr:rowOff>
    </xdr:from>
    <xdr:to>
      <xdr:col>9</xdr:col>
      <xdr:colOff>-1</xdr:colOff>
      <xdr:row>53</xdr:row>
      <xdr:rowOff>0</xdr:rowOff>
    </xdr:to>
    <xdr:graphicFrame macro="">
      <xdr:nvGraphicFramePr>
        <xdr:cNvPr id="9" name="Chart 8">
          <a:extLst>
            <a:ext uri="{FF2B5EF4-FFF2-40B4-BE49-F238E27FC236}">
              <a16:creationId xmlns:a16="http://schemas.microsoft.com/office/drawing/2014/main" id="{43AE370E-6EB7-D22A-0DCB-DF043AAC2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130628</xdr:colOff>
      <xdr:row>39</xdr:row>
      <xdr:rowOff>10886</xdr:rowOff>
    </xdr:from>
    <xdr:to>
      <xdr:col>14</xdr:col>
      <xdr:colOff>1066799</xdr:colOff>
      <xdr:row>52</xdr:row>
      <xdr:rowOff>185057</xdr:rowOff>
    </xdr:to>
    <xdr:graphicFrame macro="">
      <xdr:nvGraphicFramePr>
        <xdr:cNvPr id="4" name="Chart 3">
          <a:extLst>
            <a:ext uri="{FF2B5EF4-FFF2-40B4-BE49-F238E27FC236}">
              <a16:creationId xmlns:a16="http://schemas.microsoft.com/office/drawing/2014/main" id="{A453AEA7-BE1E-1DB8-9CE3-11F0DA94F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10885</xdr:colOff>
      <xdr:row>55</xdr:row>
      <xdr:rowOff>21771</xdr:rowOff>
    </xdr:from>
    <xdr:to>
      <xdr:col>8</xdr:col>
      <xdr:colOff>130629</xdr:colOff>
      <xdr:row>69</xdr:row>
      <xdr:rowOff>10885</xdr:rowOff>
    </xdr:to>
    <xdr:graphicFrame macro="">
      <xdr:nvGraphicFramePr>
        <xdr:cNvPr id="10" name="Chart 9">
          <a:extLst>
            <a:ext uri="{FF2B5EF4-FFF2-40B4-BE49-F238E27FC236}">
              <a16:creationId xmlns:a16="http://schemas.microsoft.com/office/drawing/2014/main" id="{1C90D9A8-DCCD-9CD4-8DBE-24F48A9E8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119742</xdr:colOff>
      <xdr:row>55</xdr:row>
      <xdr:rowOff>10885</xdr:rowOff>
    </xdr:from>
    <xdr:to>
      <xdr:col>14</xdr:col>
      <xdr:colOff>1077684</xdr:colOff>
      <xdr:row>69</xdr:row>
      <xdr:rowOff>0</xdr:rowOff>
    </xdr:to>
    <xdr:graphicFrame macro="">
      <xdr:nvGraphicFramePr>
        <xdr:cNvPr id="11" name="Chart 10">
          <a:extLst>
            <a:ext uri="{FF2B5EF4-FFF2-40B4-BE49-F238E27FC236}">
              <a16:creationId xmlns:a16="http://schemas.microsoft.com/office/drawing/2014/main" id="{765144D9-50DC-5EB7-C480-F15DAC3E3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xdr:colOff>
      <xdr:row>71</xdr:row>
      <xdr:rowOff>10887</xdr:rowOff>
    </xdr:from>
    <xdr:to>
      <xdr:col>9</xdr:col>
      <xdr:colOff>-1</xdr:colOff>
      <xdr:row>84</xdr:row>
      <xdr:rowOff>185057</xdr:rowOff>
    </xdr:to>
    <xdr:graphicFrame macro="">
      <xdr:nvGraphicFramePr>
        <xdr:cNvPr id="12" name="Chart 11">
          <a:extLst>
            <a:ext uri="{FF2B5EF4-FFF2-40B4-BE49-F238E27FC236}">
              <a16:creationId xmlns:a16="http://schemas.microsoft.com/office/drawing/2014/main" id="{3EA912B8-A4AC-F6D3-D151-AACAF5BB1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21771</xdr:colOff>
      <xdr:row>71</xdr:row>
      <xdr:rowOff>32658</xdr:rowOff>
    </xdr:from>
    <xdr:to>
      <xdr:col>15</xdr:col>
      <xdr:colOff>0</xdr:colOff>
      <xdr:row>84</xdr:row>
      <xdr:rowOff>185057</xdr:rowOff>
    </xdr:to>
    <xdr:graphicFrame macro="">
      <xdr:nvGraphicFramePr>
        <xdr:cNvPr id="14" name="Chart 13">
          <a:extLst>
            <a:ext uri="{FF2B5EF4-FFF2-40B4-BE49-F238E27FC236}">
              <a16:creationId xmlns:a16="http://schemas.microsoft.com/office/drawing/2014/main" id="{5AC7EF37-7C7F-DFF9-A3C3-67737FF5F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2275114</xdr:colOff>
      <xdr:row>0</xdr:row>
      <xdr:rowOff>97972</xdr:rowOff>
    </xdr:from>
    <xdr:to>
      <xdr:col>1</xdr:col>
      <xdr:colOff>2275114</xdr:colOff>
      <xdr:row>2</xdr:row>
      <xdr:rowOff>228600</xdr:rowOff>
    </xdr:to>
    <xdr:cxnSp macro="">
      <xdr:nvCxnSpPr>
        <xdr:cNvPr id="13" name="Straight Connector 12">
          <a:extLst>
            <a:ext uri="{FF2B5EF4-FFF2-40B4-BE49-F238E27FC236}">
              <a16:creationId xmlns:a16="http://schemas.microsoft.com/office/drawing/2014/main" id="{12C8A5F1-A0B0-4913-9E04-DFB543FF4222}"/>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0A156763-96FF-4CC9-B4FA-BB7B66EE0613}"/>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D7E4051F-68CA-4EB7-9FD0-D6A18D7EC62D}"/>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44E95775-B508-47B7-ABB7-611C52A3D685}"/>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676200CF-AE23-40A8-8327-2E173C2D49FA}"/>
            </a:ext>
          </a:extLst>
        </xdr:cNvPr>
        <xdr:cNvCxnSpPr/>
      </xdr:nvCxnSpPr>
      <xdr:spPr>
        <a:xfrm>
          <a:off x="2412274" y="97972"/>
          <a:ext cx="0" cy="52686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AEFFF4F0-617F-4B0B-A2CE-89D1F2C30226}"/>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130625</xdr:colOff>
      <xdr:row>39</xdr:row>
      <xdr:rowOff>188322</xdr:rowOff>
    </xdr:from>
    <xdr:to>
      <xdr:col>3</xdr:col>
      <xdr:colOff>119743</xdr:colOff>
      <xdr:row>53</xdr:row>
      <xdr:rowOff>163285</xdr:rowOff>
    </xdr:to>
    <xdr:graphicFrame macro="">
      <xdr:nvGraphicFramePr>
        <xdr:cNvPr id="4" name="Chart 3">
          <a:extLst>
            <a:ext uri="{FF2B5EF4-FFF2-40B4-BE49-F238E27FC236}">
              <a16:creationId xmlns:a16="http://schemas.microsoft.com/office/drawing/2014/main" id="{9A493700-65BB-408B-CB6C-710A5E653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37</xdr:row>
      <xdr:rowOff>54429</xdr:rowOff>
    </xdr:from>
    <xdr:to>
      <xdr:col>4</xdr:col>
      <xdr:colOff>533400</xdr:colOff>
      <xdr:row>54</xdr:row>
      <xdr:rowOff>10886</xdr:rowOff>
    </xdr:to>
    <xdr:cxnSp macro="">
      <xdr:nvCxnSpPr>
        <xdr:cNvPr id="6" name="Straight Connector 5">
          <a:extLst>
            <a:ext uri="{FF2B5EF4-FFF2-40B4-BE49-F238E27FC236}">
              <a16:creationId xmlns:a16="http://schemas.microsoft.com/office/drawing/2014/main" id="{8D925786-C6C6-80EA-5D5D-437D9ED263AB}"/>
            </a:ext>
          </a:extLst>
        </xdr:cNvPr>
        <xdr:cNvCxnSpPr/>
      </xdr:nvCxnSpPr>
      <xdr:spPr>
        <a:xfrm>
          <a:off x="6955971" y="7511143"/>
          <a:ext cx="0" cy="32874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555172</xdr:colOff>
      <xdr:row>37</xdr:row>
      <xdr:rowOff>54430</xdr:rowOff>
    </xdr:from>
    <xdr:to>
      <xdr:col>10</xdr:col>
      <xdr:colOff>555172</xdr:colOff>
      <xdr:row>54</xdr:row>
      <xdr:rowOff>10887</xdr:rowOff>
    </xdr:to>
    <xdr:cxnSp macro="">
      <xdr:nvCxnSpPr>
        <xdr:cNvPr id="8" name="Straight Connector 7">
          <a:extLst>
            <a:ext uri="{FF2B5EF4-FFF2-40B4-BE49-F238E27FC236}">
              <a16:creationId xmlns:a16="http://schemas.microsoft.com/office/drawing/2014/main" id="{37A2F32A-64F4-4714-A2E8-C3C93E6A8DDC}"/>
            </a:ext>
          </a:extLst>
        </xdr:cNvPr>
        <xdr:cNvCxnSpPr/>
      </xdr:nvCxnSpPr>
      <xdr:spPr>
        <a:xfrm>
          <a:off x="12507686" y="7511144"/>
          <a:ext cx="0" cy="32874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40</xdr:row>
      <xdr:rowOff>10886</xdr:rowOff>
    </xdr:from>
    <xdr:to>
      <xdr:col>10</xdr:col>
      <xdr:colOff>10886</xdr:colOff>
      <xdr:row>53</xdr:row>
      <xdr:rowOff>152401</xdr:rowOff>
    </xdr:to>
    <xdr:graphicFrame macro="">
      <xdr:nvGraphicFramePr>
        <xdr:cNvPr id="9" name="Chart 8">
          <a:extLst>
            <a:ext uri="{FF2B5EF4-FFF2-40B4-BE49-F238E27FC236}">
              <a16:creationId xmlns:a16="http://schemas.microsoft.com/office/drawing/2014/main" id="{10BAED79-D88C-C404-B795-03FDE156F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10885</xdr:colOff>
      <xdr:row>40</xdr:row>
      <xdr:rowOff>10885</xdr:rowOff>
    </xdr:from>
    <xdr:to>
      <xdr:col>16</xdr:col>
      <xdr:colOff>1055914</xdr:colOff>
      <xdr:row>53</xdr:row>
      <xdr:rowOff>152400</xdr:rowOff>
    </xdr:to>
    <xdr:graphicFrame macro="">
      <xdr:nvGraphicFramePr>
        <xdr:cNvPr id="10" name="Chart 9">
          <a:extLst>
            <a:ext uri="{FF2B5EF4-FFF2-40B4-BE49-F238E27FC236}">
              <a16:creationId xmlns:a16="http://schemas.microsoft.com/office/drawing/2014/main" id="{46415A07-01A1-D843-4E7E-9A9F995C1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728981</xdr:colOff>
      <xdr:row>44</xdr:row>
      <xdr:rowOff>82648</xdr:rowOff>
    </xdr:from>
    <xdr:to>
      <xdr:col>8</xdr:col>
      <xdr:colOff>979714</xdr:colOff>
      <xdr:row>44</xdr:row>
      <xdr:rowOff>82648</xdr:rowOff>
    </xdr:to>
    <xdr:cxnSp macro="">
      <xdr:nvCxnSpPr>
        <xdr:cNvPr id="11" name="Straight Connector 10">
          <a:extLst>
            <a:ext uri="{FF2B5EF4-FFF2-40B4-BE49-F238E27FC236}">
              <a16:creationId xmlns:a16="http://schemas.microsoft.com/office/drawing/2014/main" id="{8F4B0749-A3B7-DC8C-B904-E2AFC0284D42}"/>
            </a:ext>
          </a:extLst>
        </xdr:cNvPr>
        <xdr:cNvCxnSpPr/>
      </xdr:nvCxnSpPr>
      <xdr:spPr>
        <a:xfrm>
          <a:off x="8229238" y="8910962"/>
          <a:ext cx="348379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609239</xdr:colOff>
      <xdr:row>44</xdr:row>
      <xdr:rowOff>152400</xdr:rowOff>
    </xdr:from>
    <xdr:to>
      <xdr:col>16</xdr:col>
      <xdr:colOff>696686</xdr:colOff>
      <xdr:row>44</xdr:row>
      <xdr:rowOff>152400</xdr:rowOff>
    </xdr:to>
    <xdr:cxnSp macro="">
      <xdr:nvCxnSpPr>
        <xdr:cNvPr id="14" name="Straight Connector 13">
          <a:extLst>
            <a:ext uri="{FF2B5EF4-FFF2-40B4-BE49-F238E27FC236}">
              <a16:creationId xmlns:a16="http://schemas.microsoft.com/office/drawing/2014/main" id="{97051C1F-8656-96B0-C823-0BB9E0DDC4C1}"/>
            </a:ext>
          </a:extLst>
        </xdr:cNvPr>
        <xdr:cNvCxnSpPr/>
      </xdr:nvCxnSpPr>
      <xdr:spPr>
        <a:xfrm flipV="1">
          <a:off x="13639439" y="8980714"/>
          <a:ext cx="4539704"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740228</xdr:colOff>
      <xdr:row>41</xdr:row>
      <xdr:rowOff>97971</xdr:rowOff>
    </xdr:from>
    <xdr:to>
      <xdr:col>2</xdr:col>
      <xdr:colOff>968828</xdr:colOff>
      <xdr:row>44</xdr:row>
      <xdr:rowOff>21772</xdr:rowOff>
    </xdr:to>
    <xdr:cxnSp macro="">
      <xdr:nvCxnSpPr>
        <xdr:cNvPr id="17" name="Straight Arrow Connector 16">
          <a:extLst>
            <a:ext uri="{FF2B5EF4-FFF2-40B4-BE49-F238E27FC236}">
              <a16:creationId xmlns:a16="http://schemas.microsoft.com/office/drawing/2014/main" id="{DB24082D-B3F5-17E5-8934-F7085A54AF29}"/>
            </a:ext>
          </a:extLst>
        </xdr:cNvPr>
        <xdr:cNvCxnSpPr/>
      </xdr:nvCxnSpPr>
      <xdr:spPr>
        <a:xfrm flipH="1">
          <a:off x="3951514" y="8338457"/>
          <a:ext cx="228600" cy="51162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oneCellAnchor>
    <xdr:from>
      <xdr:col>2</xdr:col>
      <xdr:colOff>772885</xdr:colOff>
      <xdr:row>40</xdr:row>
      <xdr:rowOff>32656</xdr:rowOff>
    </xdr:from>
    <xdr:ext cx="1434752" cy="247184"/>
    <xdr:sp macro="" textlink="">
      <xdr:nvSpPr>
        <xdr:cNvPr id="19" name="TextBox 18">
          <a:extLst>
            <a:ext uri="{FF2B5EF4-FFF2-40B4-BE49-F238E27FC236}">
              <a16:creationId xmlns:a16="http://schemas.microsoft.com/office/drawing/2014/main" id="{56C9F054-BE2D-20D1-EF4F-926C4BCFE9FF}"/>
            </a:ext>
          </a:extLst>
        </xdr:cNvPr>
        <xdr:cNvSpPr txBox="1"/>
      </xdr:nvSpPr>
      <xdr:spPr>
        <a:xfrm>
          <a:off x="3984171" y="8077199"/>
          <a:ext cx="1434752" cy="24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Arial" panose="020B0604020202020204" pitchFamily="34" charset="0"/>
              <a:cs typeface="Arial" panose="020B0604020202020204" pitchFamily="34" charset="0"/>
            </a:rPr>
            <a:t>Median</a:t>
          </a:r>
          <a:r>
            <a:rPr lang="en-IN" sz="1050" baseline="0">
              <a:latin typeface="Arial" panose="020B0604020202020204" pitchFamily="34" charset="0"/>
              <a:cs typeface="Arial" panose="020B0604020202020204" pitchFamily="34" charset="0"/>
            </a:rPr>
            <a:t> Line at 3.25x</a:t>
          </a:r>
          <a:endParaRPr lang="en-IN" sz="1050">
            <a:latin typeface="Arial" panose="020B0604020202020204" pitchFamily="34" charset="0"/>
            <a:cs typeface="Arial" panose="020B0604020202020204" pitchFamily="34" charset="0"/>
          </a:endParaRPr>
        </a:p>
      </xdr:txBody>
    </xdr:sp>
    <xdr:clientData/>
  </xdr:oneCellAnchor>
  <xdr:oneCellAnchor>
    <xdr:from>
      <xdr:col>6</xdr:col>
      <xdr:colOff>936171</xdr:colOff>
      <xdr:row>40</xdr:row>
      <xdr:rowOff>54428</xdr:rowOff>
    </xdr:from>
    <xdr:ext cx="1509644" cy="247184"/>
    <xdr:sp macro="" textlink="">
      <xdr:nvSpPr>
        <xdr:cNvPr id="20" name="TextBox 19">
          <a:extLst>
            <a:ext uri="{FF2B5EF4-FFF2-40B4-BE49-F238E27FC236}">
              <a16:creationId xmlns:a16="http://schemas.microsoft.com/office/drawing/2014/main" id="{44025F1D-492A-4F86-AA6B-546BBFCD78B4}"/>
            </a:ext>
          </a:extLst>
        </xdr:cNvPr>
        <xdr:cNvSpPr txBox="1"/>
      </xdr:nvSpPr>
      <xdr:spPr>
        <a:xfrm>
          <a:off x="9514114" y="8098971"/>
          <a:ext cx="1509644" cy="24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Arial" panose="020B0604020202020204" pitchFamily="34" charset="0"/>
              <a:cs typeface="Arial" panose="020B0604020202020204" pitchFamily="34" charset="0"/>
            </a:rPr>
            <a:t>Median</a:t>
          </a:r>
          <a:r>
            <a:rPr lang="en-IN" sz="1050" baseline="0">
              <a:latin typeface="Arial" panose="020B0604020202020204" pitchFamily="34" charset="0"/>
              <a:cs typeface="Arial" panose="020B0604020202020204" pitchFamily="34" charset="0"/>
            </a:rPr>
            <a:t> Line at 16.07x</a:t>
          </a:r>
          <a:endParaRPr lang="en-IN" sz="1050">
            <a:latin typeface="Arial" panose="020B0604020202020204" pitchFamily="34" charset="0"/>
            <a:cs typeface="Arial" panose="020B0604020202020204" pitchFamily="34" charset="0"/>
          </a:endParaRPr>
        </a:p>
      </xdr:txBody>
    </xdr:sp>
    <xdr:clientData/>
  </xdr:oneCellAnchor>
  <xdr:oneCellAnchor>
    <xdr:from>
      <xdr:col>14</xdr:col>
      <xdr:colOff>0</xdr:colOff>
      <xdr:row>40</xdr:row>
      <xdr:rowOff>10885</xdr:rowOff>
    </xdr:from>
    <xdr:ext cx="1509644" cy="247184"/>
    <xdr:sp macro="" textlink="">
      <xdr:nvSpPr>
        <xdr:cNvPr id="21" name="TextBox 20">
          <a:extLst>
            <a:ext uri="{FF2B5EF4-FFF2-40B4-BE49-F238E27FC236}">
              <a16:creationId xmlns:a16="http://schemas.microsoft.com/office/drawing/2014/main" id="{05E34C70-DB75-469F-83B8-ABF08D325A2E}"/>
            </a:ext>
          </a:extLst>
        </xdr:cNvPr>
        <xdr:cNvSpPr txBox="1"/>
      </xdr:nvSpPr>
      <xdr:spPr>
        <a:xfrm>
          <a:off x="15327086" y="8055428"/>
          <a:ext cx="1509644" cy="24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Arial" panose="020B0604020202020204" pitchFamily="34" charset="0"/>
              <a:cs typeface="Arial" panose="020B0604020202020204" pitchFamily="34" charset="0"/>
            </a:rPr>
            <a:t>Median</a:t>
          </a:r>
          <a:r>
            <a:rPr lang="en-IN" sz="1050" baseline="0">
              <a:latin typeface="Arial" panose="020B0604020202020204" pitchFamily="34" charset="0"/>
              <a:cs typeface="Arial" panose="020B0604020202020204" pitchFamily="34" charset="0"/>
            </a:rPr>
            <a:t> Line at 25.93x</a:t>
          </a:r>
          <a:endParaRPr lang="en-IN" sz="1050">
            <a:latin typeface="Arial" panose="020B0604020202020204" pitchFamily="34" charset="0"/>
            <a:cs typeface="Arial" panose="020B0604020202020204" pitchFamily="34" charset="0"/>
          </a:endParaRPr>
        </a:p>
      </xdr:txBody>
    </xdr:sp>
    <xdr:clientData/>
  </xdr:oneCellAnchor>
  <xdr:twoCellAnchor>
    <xdr:from>
      <xdr:col>7</xdr:col>
      <xdr:colOff>32657</xdr:colOff>
      <xdr:row>41</xdr:row>
      <xdr:rowOff>119743</xdr:rowOff>
    </xdr:from>
    <xdr:to>
      <xdr:col>7</xdr:col>
      <xdr:colOff>261257</xdr:colOff>
      <xdr:row>44</xdr:row>
      <xdr:rowOff>43544</xdr:rowOff>
    </xdr:to>
    <xdr:cxnSp macro="">
      <xdr:nvCxnSpPr>
        <xdr:cNvPr id="22" name="Straight Arrow Connector 21">
          <a:extLst>
            <a:ext uri="{FF2B5EF4-FFF2-40B4-BE49-F238E27FC236}">
              <a16:creationId xmlns:a16="http://schemas.microsoft.com/office/drawing/2014/main" id="{B260646C-8430-4BB5-B6E7-4FD03C2487DC}"/>
            </a:ext>
          </a:extLst>
        </xdr:cNvPr>
        <xdr:cNvCxnSpPr/>
      </xdr:nvCxnSpPr>
      <xdr:spPr>
        <a:xfrm flipH="1">
          <a:off x="9688286" y="8360229"/>
          <a:ext cx="228600" cy="51162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152400</xdr:colOff>
      <xdr:row>41</xdr:row>
      <xdr:rowOff>97972</xdr:rowOff>
    </xdr:from>
    <xdr:to>
      <xdr:col>14</xdr:col>
      <xdr:colOff>381000</xdr:colOff>
      <xdr:row>44</xdr:row>
      <xdr:rowOff>21773</xdr:rowOff>
    </xdr:to>
    <xdr:cxnSp macro="">
      <xdr:nvCxnSpPr>
        <xdr:cNvPr id="23" name="Straight Arrow Connector 22">
          <a:extLst>
            <a:ext uri="{FF2B5EF4-FFF2-40B4-BE49-F238E27FC236}">
              <a16:creationId xmlns:a16="http://schemas.microsoft.com/office/drawing/2014/main" id="{31C75F22-205C-4C2A-B775-7FB09E5834E3}"/>
            </a:ext>
          </a:extLst>
        </xdr:cNvPr>
        <xdr:cNvCxnSpPr/>
      </xdr:nvCxnSpPr>
      <xdr:spPr>
        <a:xfrm flipH="1">
          <a:off x="15479486" y="8338458"/>
          <a:ext cx="228600" cy="51162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2841855F-1507-4280-976D-A4FEF7562296}"/>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6.xml><?xml version="1.0" encoding="utf-8"?>
<c:userShapes xmlns:c="http://schemas.openxmlformats.org/drawingml/2006/chart">
  <cdr:relSizeAnchor xmlns:cdr="http://schemas.openxmlformats.org/drawingml/2006/chartDrawing">
    <cdr:from>
      <cdr:x>0.13883</cdr:x>
      <cdr:y>0.31074</cdr:y>
    </cdr:from>
    <cdr:to>
      <cdr:x>0.91846</cdr:x>
      <cdr:y>0.31074</cdr:y>
    </cdr:to>
    <cdr:cxnSp macro="">
      <cdr:nvCxnSpPr>
        <cdr:cNvPr id="3" name="Straight Connector 2">
          <a:extLst xmlns:a="http://schemas.openxmlformats.org/drawingml/2006/main">
            <a:ext uri="{FF2B5EF4-FFF2-40B4-BE49-F238E27FC236}">
              <a16:creationId xmlns:a16="http://schemas.microsoft.com/office/drawing/2014/main" id="{124464B8-85DE-0558-1EA5-A14048E41DA6}"/>
            </a:ext>
          </a:extLst>
        </cdr:cNvPr>
        <cdr:cNvCxnSpPr/>
      </cdr:nvCxnSpPr>
      <cdr:spPr>
        <a:xfrm xmlns:a="http://schemas.openxmlformats.org/drawingml/2006/main">
          <a:off x="870496" y="859194"/>
          <a:ext cx="4888433" cy="0"/>
        </a:xfrm>
        <a:prstGeom xmlns:a="http://schemas.openxmlformats.org/drawingml/2006/main" prst="line">
          <a:avLst/>
        </a:prstGeom>
        <a:ln xmlns:a="http://schemas.openxmlformats.org/drawingml/2006/main" w="9525" cap="flat" cmpd="sng" algn="ctr">
          <a:solidFill>
            <a:schemeClr val="dk1"/>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17.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23696045-E243-4053-AE8F-675ABE6244F0}"/>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8</xdr:col>
      <xdr:colOff>10886</xdr:colOff>
      <xdr:row>32</xdr:row>
      <xdr:rowOff>65315</xdr:rowOff>
    </xdr:from>
    <xdr:to>
      <xdr:col>13</xdr:col>
      <xdr:colOff>10885</xdr:colOff>
      <xdr:row>46</xdr:row>
      <xdr:rowOff>65315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C3298C4-CFD0-43B7-A61D-118660A797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711146" y="6519455"/>
              <a:ext cx="5410199" cy="2667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EC6957A1-C49A-405B-A9DC-6302475428C5}"/>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3FB37FA3-4260-4AF7-8923-B7BD8210638C}"/>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637603A2-241C-4D15-A8BB-8B1CF89CB1A4}"/>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39506432-51E6-499C-973D-492FD23FE7D7}"/>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2</xdr:colOff>
      <xdr:row>5</xdr:row>
      <xdr:rowOff>10886</xdr:rowOff>
    </xdr:from>
    <xdr:to>
      <xdr:col>4</xdr:col>
      <xdr:colOff>1</xdr:colOff>
      <xdr:row>22</xdr:row>
      <xdr:rowOff>43542</xdr:rowOff>
    </xdr:to>
    <xdr:graphicFrame macro="">
      <xdr:nvGraphicFramePr>
        <xdr:cNvPr id="3" name="Chart 2">
          <a:extLst>
            <a:ext uri="{FF2B5EF4-FFF2-40B4-BE49-F238E27FC236}">
              <a16:creationId xmlns:a16="http://schemas.microsoft.com/office/drawing/2014/main" id="{D1ED0B34-5240-C135-5065-C2EE8323D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0.33932</cdr:x>
      <cdr:y>0.07142</cdr:y>
    </cdr:from>
    <cdr:to>
      <cdr:x>0.33932</cdr:x>
      <cdr:y>0.88015</cdr:y>
    </cdr:to>
    <cdr:cxnSp macro="">
      <cdr:nvCxnSpPr>
        <cdr:cNvPr id="3" name="Straight Connector 2">
          <a:extLst xmlns:a="http://schemas.openxmlformats.org/drawingml/2006/main">
            <a:ext uri="{FF2B5EF4-FFF2-40B4-BE49-F238E27FC236}">
              <a16:creationId xmlns:a16="http://schemas.microsoft.com/office/drawing/2014/main" id="{852C3586-CF5E-BE64-6C26-DC386B890773}"/>
            </a:ext>
          </a:extLst>
        </cdr:cNvPr>
        <cdr:cNvCxnSpPr/>
      </cdr:nvCxnSpPr>
      <cdr:spPr>
        <a:xfrm xmlns:a="http://schemas.openxmlformats.org/drawingml/2006/main">
          <a:off x="1773013" y="243344"/>
          <a:ext cx="0" cy="2755527"/>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userShapes>
</file>

<file path=xl/drawings/drawing23.xml><?xml version="1.0" encoding="utf-8"?>
<xdr:wsDr xmlns:xdr="http://schemas.openxmlformats.org/drawingml/2006/spreadsheetDrawing" xmlns:a="http://schemas.openxmlformats.org/drawingml/2006/main">
  <xdr:twoCellAnchor>
    <xdr:from>
      <xdr:col>1</xdr:col>
      <xdr:colOff>7620</xdr:colOff>
      <xdr:row>0</xdr:row>
      <xdr:rowOff>182880</xdr:rowOff>
    </xdr:from>
    <xdr:to>
      <xdr:col>4</xdr:col>
      <xdr:colOff>30480</xdr:colOff>
      <xdr:row>9</xdr:row>
      <xdr:rowOff>53340</xdr:rowOff>
    </xdr:to>
    <xdr:sp macro="" textlink="">
      <xdr:nvSpPr>
        <xdr:cNvPr id="2" name="Rectangle: Rounded Corners 1">
          <a:extLst>
            <a:ext uri="{FF2B5EF4-FFF2-40B4-BE49-F238E27FC236}">
              <a16:creationId xmlns:a16="http://schemas.microsoft.com/office/drawing/2014/main" id="{870C4C73-CE32-4AAF-EE3B-D2540DFF02D8}"/>
            </a:ext>
          </a:extLst>
        </xdr:cNvPr>
        <xdr:cNvSpPr/>
      </xdr:nvSpPr>
      <xdr:spPr>
        <a:xfrm>
          <a:off x="144780" y="182880"/>
          <a:ext cx="5257800" cy="1584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000" b="1" cap="none" spc="0">
              <a:ln w="22225">
                <a:solidFill>
                  <a:schemeClr val="accent2"/>
                </a:solidFill>
                <a:prstDash val="solid"/>
              </a:ln>
              <a:solidFill>
                <a:schemeClr val="accent2">
                  <a:lumMod val="40000"/>
                  <a:lumOff val="60000"/>
                </a:schemeClr>
              </a:solidFill>
              <a:effectLst/>
              <a:latin typeface="Arial" panose="020B0604020202020204" pitchFamily="34" charset="0"/>
              <a:cs typeface="Arial" panose="020B0604020202020204" pitchFamily="34" charset="0"/>
            </a:rPr>
            <a:t>EQUITY</a:t>
          </a:r>
          <a:r>
            <a:rPr lang="en-IN" sz="3000" b="1" cap="none" spc="0" baseline="0">
              <a:ln w="22225">
                <a:solidFill>
                  <a:schemeClr val="accent2"/>
                </a:solidFill>
                <a:prstDash val="solid"/>
              </a:ln>
              <a:solidFill>
                <a:schemeClr val="accent2">
                  <a:lumMod val="40000"/>
                  <a:lumOff val="60000"/>
                </a:schemeClr>
              </a:solidFill>
              <a:effectLst/>
              <a:latin typeface="Arial" panose="020B0604020202020204" pitchFamily="34" charset="0"/>
              <a:cs typeface="Arial" panose="020B0604020202020204" pitchFamily="34" charset="0"/>
            </a:rPr>
            <a:t> RESEARCH REPORT</a:t>
          </a:r>
          <a:endParaRPr lang="en-IN" sz="3000" b="1" cap="none" spc="0">
            <a:ln w="22225">
              <a:solidFill>
                <a:schemeClr val="accent2"/>
              </a:solidFill>
              <a:prstDash val="solid"/>
            </a:ln>
            <a:solidFill>
              <a:schemeClr val="accent2">
                <a:lumMod val="40000"/>
                <a:lumOff val="60000"/>
              </a:schemeClr>
            </a:solidFill>
            <a:effectLst/>
            <a:latin typeface="Arial" panose="020B0604020202020204" pitchFamily="34" charset="0"/>
            <a:cs typeface="Arial" panose="020B0604020202020204" pitchFamily="34" charset="0"/>
          </a:endParaRPr>
        </a:p>
      </xdr:txBody>
    </xdr:sp>
    <xdr:clientData/>
  </xdr:twoCellAnchor>
  <xdr:twoCellAnchor>
    <xdr:from>
      <xdr:col>1</xdr:col>
      <xdr:colOff>335280</xdr:colOff>
      <xdr:row>11</xdr:row>
      <xdr:rowOff>182880</xdr:rowOff>
    </xdr:from>
    <xdr:to>
      <xdr:col>3</xdr:col>
      <xdr:colOff>640080</xdr:colOff>
      <xdr:row>11</xdr:row>
      <xdr:rowOff>182880</xdr:rowOff>
    </xdr:to>
    <xdr:cxnSp macro="">
      <xdr:nvCxnSpPr>
        <xdr:cNvPr id="4" name="Straight Arrow Connector 3">
          <a:extLst>
            <a:ext uri="{FF2B5EF4-FFF2-40B4-BE49-F238E27FC236}">
              <a16:creationId xmlns:a16="http://schemas.microsoft.com/office/drawing/2014/main" id="{DE2D582C-5DB5-074C-608D-A37826FED747}"/>
            </a:ext>
          </a:extLst>
        </xdr:cNvPr>
        <xdr:cNvCxnSpPr/>
      </xdr:nvCxnSpPr>
      <xdr:spPr>
        <a:xfrm flipV="1">
          <a:off x="472440" y="2278380"/>
          <a:ext cx="4457700"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22</xdr:row>
      <xdr:rowOff>0</xdr:rowOff>
    </xdr:from>
    <xdr:to>
      <xdr:col>4</xdr:col>
      <xdr:colOff>1760220</xdr:colOff>
      <xdr:row>34</xdr:row>
      <xdr:rowOff>175260</xdr:rowOff>
    </xdr:to>
    <xdr:graphicFrame macro="">
      <xdr:nvGraphicFramePr>
        <xdr:cNvPr id="7" name="Chart 6">
          <a:extLst>
            <a:ext uri="{FF2B5EF4-FFF2-40B4-BE49-F238E27FC236}">
              <a16:creationId xmlns:a16="http://schemas.microsoft.com/office/drawing/2014/main" id="{1BCF9623-7605-4603-8B65-CDACD4187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70</xdr:row>
      <xdr:rowOff>0</xdr:rowOff>
    </xdr:from>
    <xdr:to>
      <xdr:col>4</xdr:col>
      <xdr:colOff>1074421</xdr:colOff>
      <xdr:row>87</xdr:row>
      <xdr:rowOff>167640</xdr:rowOff>
    </xdr:to>
    <xdr:graphicFrame macro="">
      <xdr:nvGraphicFramePr>
        <xdr:cNvPr id="8" name="Chart 7">
          <a:extLst>
            <a:ext uri="{FF2B5EF4-FFF2-40B4-BE49-F238E27FC236}">
              <a16:creationId xmlns:a16="http://schemas.microsoft.com/office/drawing/2014/main" id="{89A22F77-983A-4B58-A5A7-6C0A157FC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1</xdr:col>
      <xdr:colOff>0</xdr:colOff>
      <xdr:row>65</xdr:row>
      <xdr:rowOff>0</xdr:rowOff>
    </xdr:from>
    <xdr:to>
      <xdr:col>6</xdr:col>
      <xdr:colOff>7620</xdr:colOff>
      <xdr:row>79</xdr:row>
      <xdr:rowOff>76200</xdr:rowOff>
    </xdr:to>
    <xdr:graphicFrame macro="">
      <xdr:nvGraphicFramePr>
        <xdr:cNvPr id="4" name="Chart 3">
          <a:extLst>
            <a:ext uri="{FF2B5EF4-FFF2-40B4-BE49-F238E27FC236}">
              <a16:creationId xmlns:a16="http://schemas.microsoft.com/office/drawing/2014/main" id="{1D58AE2A-91AE-4120-BE9A-D8A55E3A0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65</xdr:row>
      <xdr:rowOff>0</xdr:rowOff>
    </xdr:from>
    <xdr:to>
      <xdr:col>12</xdr:col>
      <xdr:colOff>7620</xdr:colOff>
      <xdr:row>79</xdr:row>
      <xdr:rowOff>76200</xdr:rowOff>
    </xdr:to>
    <xdr:graphicFrame macro="">
      <xdr:nvGraphicFramePr>
        <xdr:cNvPr id="3" name="Chart 2">
          <a:extLst>
            <a:ext uri="{FF2B5EF4-FFF2-40B4-BE49-F238E27FC236}">
              <a16:creationId xmlns:a16="http://schemas.microsoft.com/office/drawing/2014/main" id="{D5C60E20-4243-4119-8986-208292A95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30</xdr:row>
      <xdr:rowOff>0</xdr:rowOff>
    </xdr:from>
    <xdr:to>
      <xdr:col>2</xdr:col>
      <xdr:colOff>1074420</xdr:colOff>
      <xdr:row>34</xdr:row>
      <xdr:rowOff>0</xdr:rowOff>
    </xdr:to>
    <xdr:pic>
      <xdr:nvPicPr>
        <xdr:cNvPr id="6" name="Picture 5">
          <a:extLst>
            <a:ext uri="{FF2B5EF4-FFF2-40B4-BE49-F238E27FC236}">
              <a16:creationId xmlns:a16="http://schemas.microsoft.com/office/drawing/2014/main" id="{57170294-3B8A-EF04-0B46-55DE714289C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7160" y="5715000"/>
          <a:ext cx="2842260" cy="762000"/>
        </a:xfrm>
        <a:prstGeom prst="rect">
          <a:avLst/>
        </a:prstGeom>
        <a:ln>
          <a:noFill/>
        </a:ln>
        <a:effectLst>
          <a:softEdge rad="112500"/>
        </a:effectLst>
      </xdr:spPr>
    </xdr:pic>
    <xdr:clientData/>
  </xdr:twoCellAnchor>
  <xdr:twoCellAnchor editAs="oneCell">
    <xdr:from>
      <xdr:col>1</xdr:col>
      <xdr:colOff>0</xdr:colOff>
      <xdr:row>37</xdr:row>
      <xdr:rowOff>0</xdr:rowOff>
    </xdr:from>
    <xdr:to>
      <xdr:col>3</xdr:col>
      <xdr:colOff>0</xdr:colOff>
      <xdr:row>40</xdr:row>
      <xdr:rowOff>187452</xdr:rowOff>
    </xdr:to>
    <xdr:pic>
      <xdr:nvPicPr>
        <xdr:cNvPr id="8" name="Picture 7">
          <a:extLst>
            <a:ext uri="{FF2B5EF4-FFF2-40B4-BE49-F238E27FC236}">
              <a16:creationId xmlns:a16="http://schemas.microsoft.com/office/drawing/2014/main" id="{8848E430-2AA6-C5DD-5985-D4E388C701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7160" y="7048500"/>
          <a:ext cx="2849880" cy="758952"/>
        </a:xfrm>
        <a:prstGeom prst="rect">
          <a:avLst/>
        </a:prstGeom>
        <a:ln>
          <a:noFill/>
        </a:ln>
        <a:effectLst>
          <a:softEdge rad="112500"/>
        </a:effectLst>
      </xdr:spPr>
    </xdr:pic>
    <xdr:clientData/>
  </xdr:twoCellAnchor>
  <xdr:twoCellAnchor editAs="oneCell">
    <xdr:from>
      <xdr:col>1</xdr:col>
      <xdr:colOff>0</xdr:colOff>
      <xdr:row>44</xdr:row>
      <xdr:rowOff>0</xdr:rowOff>
    </xdr:from>
    <xdr:to>
      <xdr:col>3</xdr:col>
      <xdr:colOff>0</xdr:colOff>
      <xdr:row>47</xdr:row>
      <xdr:rowOff>187452</xdr:rowOff>
    </xdr:to>
    <xdr:pic>
      <xdr:nvPicPr>
        <xdr:cNvPr id="10" name="Picture 9">
          <a:extLst>
            <a:ext uri="{FF2B5EF4-FFF2-40B4-BE49-F238E27FC236}">
              <a16:creationId xmlns:a16="http://schemas.microsoft.com/office/drawing/2014/main" id="{E342CC68-BCBB-E933-C650-305691A324C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7160" y="8382000"/>
          <a:ext cx="2849880" cy="758952"/>
        </a:xfrm>
        <a:prstGeom prst="rect">
          <a:avLst/>
        </a:prstGeom>
        <a:ln>
          <a:noFill/>
        </a:ln>
        <a:effectLst>
          <a:softEdge rad="112500"/>
        </a:effec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6</xdr:row>
      <xdr:rowOff>28194</xdr:rowOff>
    </xdr:from>
    <xdr:to>
      <xdr:col>12</xdr:col>
      <xdr:colOff>0</xdr:colOff>
      <xdr:row>46</xdr:row>
      <xdr:rowOff>170434</xdr:rowOff>
    </xdr:to>
    <xdr:pic>
      <xdr:nvPicPr>
        <xdr:cNvPr id="3" name="Picture 2">
          <a:extLst>
            <a:ext uri="{FF2B5EF4-FFF2-40B4-BE49-F238E27FC236}">
              <a16:creationId xmlns:a16="http://schemas.microsoft.com/office/drawing/2014/main" id="{80CB6C57-0B36-804D-0C34-C142BA3B1B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37160" y="1171194"/>
          <a:ext cx="11643360" cy="7762240"/>
        </a:xfrm>
        <a:prstGeom prst="rect">
          <a:avLst/>
        </a:prstGeom>
        <a:ln>
          <a:noFill/>
        </a:ln>
        <a:effectLst>
          <a:softEdge rad="112500"/>
        </a:effectLst>
      </xdr:spPr>
    </xdr:pic>
    <xdr:clientData/>
  </xdr:twoCellAnchor>
  <xdr:twoCellAnchor editAs="oneCell">
    <xdr:from>
      <xdr:col>1</xdr:col>
      <xdr:colOff>9523</xdr:colOff>
      <xdr:row>48</xdr:row>
      <xdr:rowOff>0</xdr:rowOff>
    </xdr:from>
    <xdr:to>
      <xdr:col>12</xdr:col>
      <xdr:colOff>0</xdr:colOff>
      <xdr:row>88</xdr:row>
      <xdr:rowOff>7620</xdr:rowOff>
    </xdr:to>
    <xdr:pic>
      <xdr:nvPicPr>
        <xdr:cNvPr id="5" name="Picture 4">
          <a:extLst>
            <a:ext uri="{FF2B5EF4-FFF2-40B4-BE49-F238E27FC236}">
              <a16:creationId xmlns:a16="http://schemas.microsoft.com/office/drawing/2014/main" id="{B03F70AF-863F-C1E8-1343-5F187E6DA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46683" y="9144000"/>
          <a:ext cx="11633837" cy="7627620"/>
        </a:xfrm>
        <a:prstGeom prst="rect">
          <a:avLst/>
        </a:prstGeom>
        <a:ln>
          <a:noFill/>
        </a:ln>
        <a:effectLst>
          <a:softEdge rad="112500"/>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13</xdr:row>
      <xdr:rowOff>0</xdr:rowOff>
    </xdr:from>
    <xdr:to>
      <xdr:col>10</xdr:col>
      <xdr:colOff>1074420</xdr:colOff>
      <xdr:row>27</xdr:row>
      <xdr:rowOff>0</xdr:rowOff>
    </xdr:to>
    <xdr:graphicFrame macro="">
      <xdr:nvGraphicFramePr>
        <xdr:cNvPr id="7" name="Chart 6">
          <a:extLst>
            <a:ext uri="{FF2B5EF4-FFF2-40B4-BE49-F238E27FC236}">
              <a16:creationId xmlns:a16="http://schemas.microsoft.com/office/drawing/2014/main" id="{C84E06AD-4689-4E5C-8B50-C118C09AA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33</xdr:row>
      <xdr:rowOff>0</xdr:rowOff>
    </xdr:from>
    <xdr:to>
      <xdr:col>11</xdr:col>
      <xdr:colOff>7620</xdr:colOff>
      <xdr:row>47</xdr:row>
      <xdr:rowOff>7620</xdr:rowOff>
    </xdr:to>
    <xdr:graphicFrame macro="">
      <xdr:nvGraphicFramePr>
        <xdr:cNvPr id="9" name="Chart 8">
          <a:extLst>
            <a:ext uri="{FF2B5EF4-FFF2-40B4-BE49-F238E27FC236}">
              <a16:creationId xmlns:a16="http://schemas.microsoft.com/office/drawing/2014/main" id="{7E501ED4-1C00-4EE2-9BEF-398A8A51C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53</xdr:row>
      <xdr:rowOff>0</xdr:rowOff>
    </xdr:from>
    <xdr:to>
      <xdr:col>11</xdr:col>
      <xdr:colOff>0</xdr:colOff>
      <xdr:row>67</xdr:row>
      <xdr:rowOff>7620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B0DAED62-DDA6-4031-86C3-DBFFDFE4211B}"/>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7160" y="10111740"/>
              <a:ext cx="10820400" cy="2674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73</xdr:row>
      <xdr:rowOff>0</xdr:rowOff>
    </xdr:from>
    <xdr:to>
      <xdr:col>10</xdr:col>
      <xdr:colOff>1074420</xdr:colOff>
      <xdr:row>86</xdr:row>
      <xdr:rowOff>175260</xdr:rowOff>
    </xdr:to>
    <xdr:graphicFrame macro="">
      <xdr:nvGraphicFramePr>
        <xdr:cNvPr id="15" name="Chart 14">
          <a:extLst>
            <a:ext uri="{FF2B5EF4-FFF2-40B4-BE49-F238E27FC236}">
              <a16:creationId xmlns:a16="http://schemas.microsoft.com/office/drawing/2014/main" id="{547AF2D4-D1CC-4444-AA6C-0A19E7BAD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1</xdr:col>
      <xdr:colOff>0</xdr:colOff>
      <xdr:row>6</xdr:row>
      <xdr:rowOff>0</xdr:rowOff>
    </xdr:from>
    <xdr:to>
      <xdr:col>11</xdr:col>
      <xdr:colOff>1074420</xdr:colOff>
      <xdr:row>50</xdr:row>
      <xdr:rowOff>0</xdr:rowOff>
    </xdr:to>
    <xdr:graphicFrame macro="">
      <xdr:nvGraphicFramePr>
        <xdr:cNvPr id="2" name="Chart 1">
          <a:extLst>
            <a:ext uri="{FF2B5EF4-FFF2-40B4-BE49-F238E27FC236}">
              <a16:creationId xmlns:a16="http://schemas.microsoft.com/office/drawing/2014/main" id="{6E35997C-077F-493B-911F-BA6BA2D94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1</xdr:col>
      <xdr:colOff>0</xdr:colOff>
      <xdr:row>71</xdr:row>
      <xdr:rowOff>0</xdr:rowOff>
    </xdr:from>
    <xdr:to>
      <xdr:col>5</xdr:col>
      <xdr:colOff>1074420</xdr:colOff>
      <xdr:row>85</xdr:row>
      <xdr:rowOff>15240</xdr:rowOff>
    </xdr:to>
    <xdr:graphicFrame macro="">
      <xdr:nvGraphicFramePr>
        <xdr:cNvPr id="3" name="Chart 2">
          <a:extLst>
            <a:ext uri="{FF2B5EF4-FFF2-40B4-BE49-F238E27FC236}">
              <a16:creationId xmlns:a16="http://schemas.microsoft.com/office/drawing/2014/main" id="{AFD6EFF8-2E6E-4413-B343-C1ED94CCD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71</xdr:row>
      <xdr:rowOff>0</xdr:rowOff>
    </xdr:from>
    <xdr:to>
      <xdr:col>11</xdr:col>
      <xdr:colOff>1074420</xdr:colOff>
      <xdr:row>85</xdr:row>
      <xdr:rowOff>15240</xdr:rowOff>
    </xdr:to>
    <xdr:graphicFrame macro="">
      <xdr:nvGraphicFramePr>
        <xdr:cNvPr id="5" name="Chart 4">
          <a:extLst>
            <a:ext uri="{FF2B5EF4-FFF2-40B4-BE49-F238E27FC236}">
              <a16:creationId xmlns:a16="http://schemas.microsoft.com/office/drawing/2014/main" id="{6BC90AA6-2AF1-45B1-95A2-84FFD8DFC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930EC5-F43C-469C-8EBA-86EC87045390}" name="Table1" displayName="Table1" ref="B5:G56" totalsRowShown="0" headerRowDxfId="18" dataDxfId="17">
  <autoFilter ref="B5:G56" xr:uid="{B3930EC5-F43C-469C-8EBA-86EC87045390}"/>
  <tableColumns count="6">
    <tableColumn id="1" xr3:uid="{2E3FD28B-3F4F-4EF0-A1A5-8AF963CAEA44}" name="Item" dataDxfId="16"/>
    <tableColumn id="2" xr3:uid="{33A570AB-2E04-4B3B-BE87-629F1DEA62A3}" name="FY21" dataDxfId="15"/>
    <tableColumn id="3" xr3:uid="{0BADD438-A5DB-4514-BF34-471EDC162F59}" name="FY22" dataDxfId="14"/>
    <tableColumn id="4" xr3:uid="{04790E1C-8B42-4A90-8B4D-16EF400352FD}" name="FY23" dataDxfId="13"/>
    <tableColumn id="5" xr3:uid="{F7C154FD-2E12-47CE-8DEA-9FE54866FD82}" name="FY24" dataDxfId="12"/>
    <tableColumn id="6" xr3:uid="{F6AD7759-23E1-4C1E-B9A4-B207E0855AD3}" name="FY25"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C8956B-F2A0-4875-984C-A0A53ABD063B}" name="Table2" displayName="Table2" ref="B61:G90" totalsRowShown="0" headerRowDxfId="10" dataDxfId="9">
  <autoFilter ref="B61:G90" xr:uid="{4DC8956B-F2A0-4875-984C-A0A53ABD063B}"/>
  <tableColumns count="6">
    <tableColumn id="1" xr3:uid="{AB3C7645-B469-4F3F-96DF-361D276624AE}" name="Item" dataDxfId="8"/>
    <tableColumn id="2" xr3:uid="{17F7202E-2B91-4ACB-8333-2CE174219FBB}" name="FY21" dataDxfId="7"/>
    <tableColumn id="3" xr3:uid="{08837154-141A-4809-AC47-5DAB03F60D23}" name="FY22" dataDxfId="6"/>
    <tableColumn id="4" xr3:uid="{9B19DAFF-FCD9-4D18-9651-532D407D223B}" name="FY23" dataDxfId="5"/>
    <tableColumn id="5" xr3:uid="{D9D25833-1A3C-4167-8FC7-47D30828DC66}" name="FY24" dataDxfId="4"/>
    <tableColumn id="6" xr3:uid="{0B4CD8E2-846D-4C3E-8CFC-A3C3544E56E3}" name="FY25"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2F5BD7-A293-4859-A584-EA2971D14A3A}" name="Table4" displayName="Table4" ref="B95:G125" totalsRowShown="0" headerRowDxfId="2" tableBorderDxfId="1">
  <autoFilter ref="B95:G125" xr:uid="{FF2F5BD7-A293-4859-A584-EA2971D14A3A}"/>
  <tableColumns count="6">
    <tableColumn id="1" xr3:uid="{4496ADAA-E03E-4317-BFCD-3DB7AF02C4D2}" name="Item" dataDxfId="0"/>
    <tableColumn id="2" xr3:uid="{26063523-C916-4502-BB35-604E6836A91A}" name="FY21"/>
    <tableColumn id="3" xr3:uid="{2DAF27C0-8B42-43F9-8CAC-DB8058104FF2}" name="FY22"/>
    <tableColumn id="4" xr3:uid="{139B1CAC-E192-4401-97A7-C6F3420E322F}" name="FY23"/>
    <tableColumn id="5" xr3:uid="{5C5F6328-C398-4C4B-A7C4-6BFD0BCCD75E}" name="FY24"/>
    <tableColumn id="6" xr3:uid="{BA3CA460-406E-4F3B-822F-833BDA77BB50}" name="FY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9DE3248-CA95-4A3F-83CC-77C626152A4C}">
  <we:reference id="wa200009404" version="1.0.0.8" store="en-US" storeType="OMEX"/>
  <we:alternateReferences>
    <we:reference id="WA200009404" version="1.0.0.8" store="" storeType="OMEX"/>
  </we:alternateReferences>
  <we:properties>
    <we:property name="claude.fileId" value="&quot;683837e8-274c-4376-8df3-4fcb34486b9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50421-0A69-402B-A6CA-A04DD1FB5935}">
  <dimension ref="B1:Y369"/>
  <sheetViews>
    <sheetView topLeftCell="G246" zoomScaleNormal="100" workbookViewId="0">
      <selection activeCell="Q246" sqref="Q246"/>
    </sheetView>
  </sheetViews>
  <sheetFormatPr defaultColWidth="15.77734375" defaultRowHeight="15" outlineLevelRow="1" x14ac:dyDescent="0.25"/>
  <cols>
    <col min="1" max="1" width="2" style="1" customWidth="1"/>
    <col min="2" max="2" width="44.77734375" style="1" customWidth="1"/>
    <col min="3" max="3" width="15.77734375" style="1" customWidth="1"/>
    <col min="4" max="16384" width="15.77734375" style="1"/>
  </cols>
  <sheetData>
    <row r="1" spans="2:15" x14ac:dyDescent="0.25">
      <c r="B1" s="28" t="s">
        <v>0</v>
      </c>
      <c r="E1" s="49"/>
    </row>
    <row r="2" spans="2:15" ht="15.6" outlineLevel="1" thickBot="1" x14ac:dyDescent="0.3">
      <c r="C2" s="1">
        <v>2014</v>
      </c>
      <c r="D2" s="1">
        <f>C2+1</f>
        <v>2015</v>
      </c>
      <c r="E2" s="1">
        <f t="shared" ref="E2:N2" si="0">D2+1</f>
        <v>2016</v>
      </c>
      <c r="F2" s="1">
        <f t="shared" si="0"/>
        <v>2017</v>
      </c>
      <c r="G2" s="1">
        <f t="shared" si="0"/>
        <v>2018</v>
      </c>
      <c r="H2" s="1">
        <f t="shared" si="0"/>
        <v>2019</v>
      </c>
      <c r="I2" s="1">
        <f t="shared" si="0"/>
        <v>2020</v>
      </c>
      <c r="J2" s="1">
        <f t="shared" si="0"/>
        <v>2021</v>
      </c>
      <c r="K2" s="1">
        <f t="shared" si="0"/>
        <v>2022</v>
      </c>
      <c r="L2" s="1">
        <f t="shared" si="0"/>
        <v>2023</v>
      </c>
      <c r="M2" s="1">
        <f t="shared" si="0"/>
        <v>2024</v>
      </c>
      <c r="N2" s="1">
        <f t="shared" si="0"/>
        <v>2025</v>
      </c>
    </row>
    <row r="3" spans="2:15" outlineLevel="1" x14ac:dyDescent="0.25">
      <c r="B3" s="2" t="s">
        <v>1</v>
      </c>
      <c r="C3" s="3">
        <v>43424</v>
      </c>
      <c r="D3" s="3">
        <v>46951</v>
      </c>
      <c r="E3" s="3">
        <v>51244</v>
      </c>
      <c r="F3" s="3">
        <v>55448</v>
      </c>
      <c r="G3" s="3">
        <v>54487</v>
      </c>
      <c r="H3" s="3">
        <v>59019</v>
      </c>
      <c r="I3" s="3">
        <v>61138</v>
      </c>
      <c r="J3" s="3">
        <v>61943</v>
      </c>
      <c r="K3" s="3">
        <v>79093</v>
      </c>
      <c r="L3" s="3">
        <v>90487</v>
      </c>
      <c r="M3" s="3">
        <v>89760</v>
      </c>
      <c r="N3" s="3">
        <v>89088</v>
      </c>
      <c r="O3" s="21"/>
    </row>
    <row r="4" spans="2:15" ht="15.6" outlineLevel="1" thickBot="1" x14ac:dyDescent="0.3">
      <c r="B4" s="4" t="s">
        <v>2</v>
      </c>
      <c r="C4" s="5">
        <v>0.16009999999999999</v>
      </c>
      <c r="D4" s="5">
        <v>8.1199999999999994E-2</v>
      </c>
      <c r="E4" s="5">
        <v>9.1399999999999995E-2</v>
      </c>
      <c r="F4" s="5">
        <v>8.2000000000000003E-2</v>
      </c>
      <c r="G4" s="5">
        <v>-1.7299999999999999E-2</v>
      </c>
      <c r="H4" s="5">
        <v>8.3199999999999996E-2</v>
      </c>
      <c r="I4" s="5">
        <v>3.5900000000000001E-2</v>
      </c>
      <c r="J4" s="5">
        <v>1.2999999999999999E-2</v>
      </c>
      <c r="K4" s="5">
        <v>0.28060000000000002</v>
      </c>
      <c r="L4" s="5">
        <v>0.1409</v>
      </c>
      <c r="M4" s="5">
        <v>-8.0000000000000002E-3</v>
      </c>
      <c r="N4" s="5">
        <v>-7.4999999999999997E-3</v>
      </c>
      <c r="O4" s="22"/>
    </row>
    <row r="5" spans="2:15" ht="15.6" outlineLevel="1" thickBot="1" x14ac:dyDescent="0.3">
      <c r="B5" s="7" t="s">
        <v>3</v>
      </c>
      <c r="C5" s="8">
        <v>33788</v>
      </c>
      <c r="D5" s="8">
        <v>36652</v>
      </c>
      <c r="E5" s="8">
        <v>40448</v>
      </c>
      <c r="F5" s="8">
        <v>44128</v>
      </c>
      <c r="G5" s="8">
        <v>44100</v>
      </c>
      <c r="H5" s="8">
        <v>47406</v>
      </c>
      <c r="I5" s="8">
        <v>48795</v>
      </c>
      <c r="J5" s="8">
        <f>SUM(J6:J9)</f>
        <v>50434</v>
      </c>
      <c r="K5" s="8">
        <f t="shared" ref="K5:N5" si="1">SUM(K6:K9)</f>
        <v>66236</v>
      </c>
      <c r="L5" s="8">
        <f t="shared" si="1"/>
        <v>77980</v>
      </c>
      <c r="M5" s="8">
        <f t="shared" si="1"/>
        <v>77646</v>
      </c>
      <c r="N5" s="8">
        <f t="shared" si="1"/>
        <v>75500</v>
      </c>
      <c r="O5" s="21"/>
    </row>
    <row r="6" spans="2:15" outlineLevel="1" x14ac:dyDescent="0.25">
      <c r="B6" s="9" t="s">
        <v>4</v>
      </c>
      <c r="C6" s="10">
        <v>7.0000000000000007E-2</v>
      </c>
      <c r="D6" s="10">
        <v>7.0000000000000007E-2</v>
      </c>
      <c r="E6" s="10">
        <v>0.06</v>
      </c>
      <c r="F6" s="10">
        <v>0.05</v>
      </c>
      <c r="G6" s="10">
        <v>0.03</v>
      </c>
      <c r="H6" s="10">
        <v>0.02</v>
      </c>
      <c r="I6" s="10">
        <v>0.02</v>
      </c>
      <c r="J6" s="54">
        <v>695</v>
      </c>
      <c r="K6" s="54">
        <v>673</v>
      </c>
      <c r="L6" s="54">
        <v>649</v>
      </c>
      <c r="M6" s="54">
        <v>383</v>
      </c>
      <c r="N6" s="54">
        <v>296</v>
      </c>
      <c r="O6" s="23"/>
    </row>
    <row r="7" spans="2:15" outlineLevel="1" x14ac:dyDescent="0.25">
      <c r="B7" s="12" t="s">
        <v>5</v>
      </c>
      <c r="C7" s="14">
        <v>0.13</v>
      </c>
      <c r="D7" s="14">
        <v>0.12</v>
      </c>
      <c r="E7" s="14">
        <v>0</v>
      </c>
      <c r="F7" s="14">
        <v>0</v>
      </c>
      <c r="G7" s="14">
        <v>0</v>
      </c>
      <c r="H7" s="14">
        <v>0</v>
      </c>
      <c r="I7" s="14">
        <v>0</v>
      </c>
      <c r="J7" s="48">
        <v>8360</v>
      </c>
      <c r="K7" s="48">
        <v>10858</v>
      </c>
      <c r="L7" s="48">
        <v>11524</v>
      </c>
      <c r="M7" s="48">
        <v>10303</v>
      </c>
      <c r="N7" s="48">
        <v>10014</v>
      </c>
      <c r="O7" s="22"/>
    </row>
    <row r="8" spans="2:15" outlineLevel="1" x14ac:dyDescent="0.25">
      <c r="B8" s="12" t="s">
        <v>6</v>
      </c>
      <c r="C8" s="14">
        <v>0.48</v>
      </c>
      <c r="D8" s="14">
        <v>0.48</v>
      </c>
      <c r="E8" s="14">
        <v>0.48</v>
      </c>
      <c r="F8" s="14">
        <v>0.48</v>
      </c>
      <c r="G8" s="14">
        <v>0.5</v>
      </c>
      <c r="H8" s="14">
        <v>0.51</v>
      </c>
      <c r="I8" s="14">
        <v>0.53</v>
      </c>
      <c r="J8" s="48">
        <v>33237</v>
      </c>
      <c r="K8" s="48">
        <v>45007</v>
      </c>
      <c r="L8" s="48">
        <v>53764</v>
      </c>
      <c r="M8" s="48">
        <v>54930</v>
      </c>
      <c r="N8" s="48">
        <v>53347</v>
      </c>
      <c r="O8" s="22"/>
    </row>
    <row r="9" spans="2:15" ht="15.6" outlineLevel="1" thickBot="1" x14ac:dyDescent="0.3">
      <c r="B9" s="12" t="s">
        <v>7</v>
      </c>
      <c r="C9" s="14">
        <v>0.11</v>
      </c>
      <c r="D9" s="14">
        <v>0.11</v>
      </c>
      <c r="E9" s="14">
        <v>0.25</v>
      </c>
      <c r="F9" s="14">
        <v>0.26</v>
      </c>
      <c r="G9" s="14">
        <v>0.28000000000000003</v>
      </c>
      <c r="H9" s="14">
        <v>0.27</v>
      </c>
      <c r="I9" s="14">
        <v>0.25</v>
      </c>
      <c r="J9" s="48">
        <v>8142</v>
      </c>
      <c r="K9" s="48">
        <v>9698</v>
      </c>
      <c r="L9" s="48">
        <v>12043</v>
      </c>
      <c r="M9" s="48">
        <v>12030</v>
      </c>
      <c r="N9" s="48">
        <v>11843</v>
      </c>
      <c r="O9" s="22"/>
    </row>
    <row r="10" spans="2:15" outlineLevel="1" x14ac:dyDescent="0.25">
      <c r="B10" s="2" t="s">
        <v>8</v>
      </c>
      <c r="C10" s="3">
        <v>9635</v>
      </c>
      <c r="D10" s="3">
        <v>10299</v>
      </c>
      <c r="E10" s="3">
        <v>10796</v>
      </c>
      <c r="F10" s="3">
        <v>11321</v>
      </c>
      <c r="G10" s="3">
        <v>10387</v>
      </c>
      <c r="H10" s="3">
        <v>11613</v>
      </c>
      <c r="I10" s="3">
        <v>12342</v>
      </c>
      <c r="J10" s="3">
        <v>14771</v>
      </c>
      <c r="K10" s="3">
        <v>16684</v>
      </c>
      <c r="L10" s="3">
        <v>16839</v>
      </c>
      <c r="M10" s="3">
        <v>16752</v>
      </c>
      <c r="N10" s="3">
        <v>18021</v>
      </c>
      <c r="O10" s="21"/>
    </row>
    <row r="11" spans="2:15" ht="15.6" outlineLevel="1" thickBot="1" x14ac:dyDescent="0.3">
      <c r="B11" s="15" t="s">
        <v>9</v>
      </c>
      <c r="C11" s="14">
        <v>0.22</v>
      </c>
      <c r="D11" s="14">
        <v>0.22</v>
      </c>
      <c r="E11" s="14">
        <v>0.21</v>
      </c>
      <c r="F11" s="14">
        <v>0.2</v>
      </c>
      <c r="G11" s="14">
        <v>0.19</v>
      </c>
      <c r="H11" s="14">
        <v>0.2</v>
      </c>
      <c r="I11" s="14">
        <v>0.2</v>
      </c>
      <c r="J11" s="14">
        <v>0.24</v>
      </c>
      <c r="K11" s="14">
        <v>0.21</v>
      </c>
      <c r="L11" s="14">
        <v>0.19</v>
      </c>
      <c r="M11" s="14">
        <v>0.19</v>
      </c>
      <c r="N11" s="14">
        <v>0.2</v>
      </c>
      <c r="O11" s="24"/>
    </row>
    <row r="12" spans="2:15" outlineLevel="1" x14ac:dyDescent="0.25">
      <c r="B12" s="2" t="s">
        <v>10</v>
      </c>
      <c r="C12" s="3">
        <v>1922</v>
      </c>
      <c r="D12" s="3">
        <v>2450</v>
      </c>
      <c r="E12" s="3">
        <v>2752</v>
      </c>
      <c r="F12" s="3">
        <v>2623</v>
      </c>
      <c r="G12" s="3">
        <v>2550</v>
      </c>
      <c r="H12" s="3">
        <v>2614</v>
      </c>
      <c r="I12" s="3">
        <v>2728</v>
      </c>
      <c r="J12" s="3">
        <v>2404</v>
      </c>
      <c r="K12" s="3">
        <v>2067</v>
      </c>
      <c r="L12" s="3">
        <v>2275</v>
      </c>
      <c r="M12" s="3">
        <v>2631</v>
      </c>
      <c r="N12" s="3">
        <v>3909</v>
      </c>
      <c r="O12" s="21"/>
    </row>
    <row r="13" spans="2:15" outlineLevel="1" x14ac:dyDescent="0.25">
      <c r="B13" s="4" t="s">
        <v>11</v>
      </c>
      <c r="C13" s="6">
        <v>154</v>
      </c>
      <c r="D13" s="6">
        <v>395</v>
      </c>
      <c r="E13" s="6">
        <v>265</v>
      </c>
      <c r="F13" s="6">
        <v>0</v>
      </c>
      <c r="G13" s="6">
        <v>0</v>
      </c>
      <c r="H13" s="6">
        <v>0</v>
      </c>
      <c r="I13" s="6">
        <v>0</v>
      </c>
      <c r="J13" s="6">
        <v>0</v>
      </c>
      <c r="K13" s="6">
        <v>0</v>
      </c>
      <c r="L13" s="6">
        <v>9</v>
      </c>
      <c r="M13" s="6">
        <v>207</v>
      </c>
      <c r="N13" s="6">
        <v>61</v>
      </c>
      <c r="O13" s="22"/>
    </row>
    <row r="14" spans="2:15" outlineLevel="1" x14ac:dyDescent="0.25">
      <c r="B14" s="4" t="s">
        <v>12</v>
      </c>
      <c r="C14" s="16">
        <v>1767</v>
      </c>
      <c r="D14" s="16">
        <v>2055</v>
      </c>
      <c r="E14" s="16">
        <v>2488</v>
      </c>
      <c r="F14" s="16">
        <v>2623</v>
      </c>
      <c r="G14" s="16">
        <v>2550</v>
      </c>
      <c r="H14" s="16">
        <v>2614</v>
      </c>
      <c r="I14" s="16">
        <v>2728</v>
      </c>
      <c r="J14" s="16">
        <v>2404</v>
      </c>
      <c r="K14" s="16">
        <v>2067</v>
      </c>
      <c r="L14" s="16">
        <v>2266</v>
      </c>
      <c r="M14" s="16">
        <v>2424</v>
      </c>
      <c r="N14" s="16">
        <v>3849</v>
      </c>
      <c r="O14" s="22"/>
    </row>
    <row r="15" spans="2:15" outlineLevel="1" x14ac:dyDescent="0.25">
      <c r="B15" s="15" t="s">
        <v>13</v>
      </c>
      <c r="C15" s="13">
        <v>383</v>
      </c>
      <c r="D15" s="13">
        <v>350</v>
      </c>
      <c r="E15" s="13">
        <v>558</v>
      </c>
      <c r="F15" s="13">
        <v>594</v>
      </c>
      <c r="G15" s="13">
        <v>583</v>
      </c>
      <c r="H15" s="13">
        <v>738</v>
      </c>
      <c r="I15" s="13">
        <v>733</v>
      </c>
      <c r="J15" s="13">
        <v>509</v>
      </c>
      <c r="K15" s="13">
        <v>532</v>
      </c>
      <c r="L15" s="17">
        <v>1008</v>
      </c>
      <c r="M15" s="17">
        <v>1255</v>
      </c>
      <c r="N15" s="17">
        <v>1477</v>
      </c>
      <c r="O15" s="25"/>
    </row>
    <row r="16" spans="2:15" ht="15.6" outlineLevel="1" thickBot="1" x14ac:dyDescent="0.3">
      <c r="B16" s="18" t="s">
        <v>14</v>
      </c>
      <c r="C16" s="16">
        <v>1060</v>
      </c>
      <c r="D16" s="16">
        <v>1175</v>
      </c>
      <c r="E16" s="16">
        <v>1496</v>
      </c>
      <c r="F16" s="16">
        <v>2310</v>
      </c>
      <c r="G16" s="16">
        <v>2112</v>
      </c>
      <c r="H16" s="16">
        <v>1947</v>
      </c>
      <c r="I16" s="16">
        <v>2086</v>
      </c>
      <c r="J16" s="16">
        <v>2763</v>
      </c>
      <c r="K16" s="16">
        <v>3078</v>
      </c>
      <c r="L16" s="16">
        <v>3340</v>
      </c>
      <c r="M16" s="16">
        <v>3407</v>
      </c>
      <c r="N16" s="16">
        <v>2958</v>
      </c>
      <c r="O16" s="25"/>
    </row>
    <row r="17" spans="2:15" outlineLevel="1" x14ac:dyDescent="0.25">
      <c r="B17" s="7" t="s">
        <v>15</v>
      </c>
      <c r="C17" s="8">
        <v>10114</v>
      </c>
      <c r="D17" s="8">
        <v>11224</v>
      </c>
      <c r="E17" s="8">
        <v>11494</v>
      </c>
      <c r="F17" s="8">
        <v>11039</v>
      </c>
      <c r="G17" s="8">
        <v>10242</v>
      </c>
      <c r="H17" s="8">
        <v>11542</v>
      </c>
      <c r="I17" s="8">
        <v>12252</v>
      </c>
      <c r="J17" s="8">
        <v>13903</v>
      </c>
      <c r="K17" s="8">
        <v>15141</v>
      </c>
      <c r="L17" s="8">
        <v>14766</v>
      </c>
      <c r="M17" s="8">
        <v>14721</v>
      </c>
      <c r="N17" s="8">
        <v>17496</v>
      </c>
      <c r="O17" s="21"/>
    </row>
    <row r="18" spans="2:15" ht="15.6" outlineLevel="1" thickBot="1" x14ac:dyDescent="0.3">
      <c r="B18" s="18" t="s">
        <v>16</v>
      </c>
      <c r="C18" s="19">
        <v>0.21</v>
      </c>
      <c r="D18" s="19">
        <v>0.22</v>
      </c>
      <c r="E18" s="19">
        <v>0.22</v>
      </c>
      <c r="F18" s="19">
        <v>0.23</v>
      </c>
      <c r="G18" s="19">
        <v>0.22</v>
      </c>
      <c r="H18" s="19">
        <v>0.22</v>
      </c>
      <c r="I18" s="19">
        <v>0.2</v>
      </c>
      <c r="J18" s="19">
        <v>0.22</v>
      </c>
      <c r="K18" s="19">
        <v>0.19</v>
      </c>
      <c r="L18" s="19">
        <v>0.23</v>
      </c>
      <c r="M18" s="19">
        <v>0.25</v>
      </c>
      <c r="N18" s="19">
        <v>0.24</v>
      </c>
      <c r="O18" s="22"/>
    </row>
    <row r="19" spans="2:15" outlineLevel="1" x14ac:dyDescent="0.25">
      <c r="B19" s="7" t="s">
        <v>17</v>
      </c>
      <c r="C19" s="8">
        <v>7991</v>
      </c>
      <c r="D19" s="8">
        <v>8714</v>
      </c>
      <c r="E19" s="8">
        <v>8957</v>
      </c>
      <c r="F19" s="8">
        <v>8518</v>
      </c>
      <c r="G19" s="8">
        <v>8003</v>
      </c>
      <c r="H19" s="8">
        <v>9018</v>
      </c>
      <c r="I19" s="8">
        <v>9772</v>
      </c>
      <c r="J19" s="8">
        <v>10868</v>
      </c>
      <c r="K19" s="8">
        <v>12243</v>
      </c>
      <c r="L19" s="8">
        <v>11366</v>
      </c>
      <c r="M19" s="8">
        <v>11112</v>
      </c>
      <c r="N19" s="8">
        <v>13218</v>
      </c>
      <c r="O19" s="21"/>
    </row>
    <row r="20" spans="2:15" outlineLevel="1" x14ac:dyDescent="0.25">
      <c r="B20" s="12" t="s">
        <v>18</v>
      </c>
      <c r="C20" s="13">
        <v>-44</v>
      </c>
      <c r="D20" s="13">
        <v>-53</v>
      </c>
      <c r="E20" s="13">
        <v>-49</v>
      </c>
      <c r="F20" s="13">
        <v>-25</v>
      </c>
      <c r="G20" s="13">
        <v>0</v>
      </c>
      <c r="H20" s="13">
        <v>-14</v>
      </c>
      <c r="I20" s="13">
        <v>-50</v>
      </c>
      <c r="J20" s="13">
        <v>-72</v>
      </c>
      <c r="K20" s="13">
        <v>-14</v>
      </c>
      <c r="L20" s="13">
        <v>-16</v>
      </c>
      <c r="M20" s="13">
        <v>-67</v>
      </c>
      <c r="N20" s="13">
        <v>-83</v>
      </c>
      <c r="O20" s="22"/>
    </row>
    <row r="21" spans="2:15" outlineLevel="1" x14ac:dyDescent="0.25">
      <c r="B21" s="12" t="s">
        <v>19</v>
      </c>
      <c r="C21" s="13">
        <v>122</v>
      </c>
      <c r="D21" s="13">
        <v>307</v>
      </c>
      <c r="E21" s="13">
        <v>205</v>
      </c>
      <c r="F21" s="13">
        <v>0</v>
      </c>
      <c r="G21" s="13">
        <v>0</v>
      </c>
      <c r="H21" s="13">
        <v>0</v>
      </c>
      <c r="I21" s="13">
        <v>0</v>
      </c>
      <c r="J21" s="13">
        <v>0</v>
      </c>
      <c r="K21" s="13">
        <v>0</v>
      </c>
      <c r="L21" s="13">
        <v>7</v>
      </c>
      <c r="M21" s="13">
        <v>156</v>
      </c>
      <c r="N21" s="13">
        <v>46</v>
      </c>
      <c r="O21" s="22"/>
    </row>
    <row r="22" spans="2:15" outlineLevel="1" x14ac:dyDescent="0.25">
      <c r="B22" s="12" t="s">
        <v>20</v>
      </c>
      <c r="C22" s="17">
        <v>7869</v>
      </c>
      <c r="D22" s="17">
        <v>8407</v>
      </c>
      <c r="E22" s="17">
        <v>8752</v>
      </c>
      <c r="F22" s="17">
        <v>8518</v>
      </c>
      <c r="G22" s="17">
        <v>8003</v>
      </c>
      <c r="H22" s="17">
        <v>9018</v>
      </c>
      <c r="I22" s="17">
        <v>9772</v>
      </c>
      <c r="J22" s="17">
        <v>10868</v>
      </c>
      <c r="K22" s="17">
        <v>12243</v>
      </c>
      <c r="L22" s="17">
        <v>11360</v>
      </c>
      <c r="M22" s="17">
        <v>10956</v>
      </c>
      <c r="N22" s="17">
        <v>13172</v>
      </c>
      <c r="O22" s="22"/>
    </row>
    <row r="23" spans="2:15" outlineLevel="1" x14ac:dyDescent="0.25">
      <c r="B23" s="12" t="s">
        <v>21</v>
      </c>
      <c r="C23" s="17">
        <v>7826</v>
      </c>
      <c r="D23" s="17">
        <v>8356</v>
      </c>
      <c r="E23" s="17">
        <v>8704</v>
      </c>
      <c r="F23" s="17">
        <v>8493</v>
      </c>
      <c r="G23" s="17">
        <v>8003</v>
      </c>
      <c r="H23" s="17">
        <v>9004</v>
      </c>
      <c r="I23" s="17">
        <v>9722</v>
      </c>
      <c r="J23" s="17">
        <v>10796</v>
      </c>
      <c r="K23" s="17">
        <v>12230</v>
      </c>
      <c r="L23" s="17">
        <v>11343</v>
      </c>
      <c r="M23" s="17">
        <v>10890</v>
      </c>
      <c r="N23" s="17">
        <v>13090</v>
      </c>
      <c r="O23" s="22"/>
    </row>
    <row r="24" spans="2:15" outlineLevel="1" x14ac:dyDescent="0.25">
      <c r="B24" s="12" t="s">
        <v>22</v>
      </c>
      <c r="C24" s="17">
        <v>7947</v>
      </c>
      <c r="D24" s="17">
        <v>8661</v>
      </c>
      <c r="E24" s="17">
        <v>8908</v>
      </c>
      <c r="F24" s="17">
        <v>8493</v>
      </c>
      <c r="G24" s="17">
        <v>8003</v>
      </c>
      <c r="H24" s="17">
        <v>9004</v>
      </c>
      <c r="I24" s="17">
        <v>9722</v>
      </c>
      <c r="J24" s="17">
        <v>10796</v>
      </c>
      <c r="K24" s="17">
        <v>12230</v>
      </c>
      <c r="L24" s="17">
        <v>11350</v>
      </c>
      <c r="M24" s="17">
        <v>11045</v>
      </c>
      <c r="N24" s="17">
        <v>13135</v>
      </c>
      <c r="O24" s="22"/>
    </row>
    <row r="25" spans="2:15" outlineLevel="1" x14ac:dyDescent="0.25">
      <c r="B25" s="12" t="s">
        <v>23</v>
      </c>
      <c r="C25" s="14">
        <v>0.31</v>
      </c>
      <c r="D25" s="14">
        <v>7.0000000000000007E-2</v>
      </c>
      <c r="E25" s="14">
        <v>0.04</v>
      </c>
      <c r="F25" s="14">
        <v>-0.02</v>
      </c>
      <c r="G25" s="14">
        <v>-0.06</v>
      </c>
      <c r="H25" s="14">
        <v>0.13</v>
      </c>
      <c r="I25" s="14">
        <v>0.08</v>
      </c>
      <c r="J25" s="14">
        <v>0.11</v>
      </c>
      <c r="K25" s="14">
        <v>0.13</v>
      </c>
      <c r="L25" s="14">
        <v>-7.0000000000000007E-2</v>
      </c>
      <c r="M25" s="14">
        <v>-0.04</v>
      </c>
      <c r="N25" s="14">
        <v>0.2</v>
      </c>
      <c r="O25" s="22"/>
    </row>
    <row r="26" spans="2:15" outlineLevel="1" x14ac:dyDescent="0.25">
      <c r="B26" s="18" t="s">
        <v>24</v>
      </c>
      <c r="C26" s="6">
        <v>6.04</v>
      </c>
      <c r="D26" s="6">
        <v>6.58</v>
      </c>
      <c r="E26" s="6">
        <v>6.76</v>
      </c>
      <c r="F26" s="6">
        <v>6.55</v>
      </c>
      <c r="G26" s="6">
        <v>6.63</v>
      </c>
      <c r="H26" s="6">
        <v>7.46</v>
      </c>
      <c r="I26" s="6">
        <v>8.51</v>
      </c>
      <c r="J26" s="6">
        <v>9.85</v>
      </c>
      <c r="K26" s="6">
        <v>11.15</v>
      </c>
      <c r="L26" s="6">
        <v>10.34</v>
      </c>
      <c r="M26" s="6">
        <v>10.57</v>
      </c>
      <c r="N26" s="6">
        <v>12.54</v>
      </c>
      <c r="O26" s="22"/>
    </row>
    <row r="27" spans="2:15" outlineLevel="1" x14ac:dyDescent="0.25">
      <c r="B27" s="15" t="s">
        <v>25</v>
      </c>
      <c r="C27" s="14">
        <v>0.25</v>
      </c>
      <c r="D27" s="14">
        <v>0.34</v>
      </c>
      <c r="E27" s="14">
        <v>0.17</v>
      </c>
      <c r="F27" s="14">
        <v>0.06</v>
      </c>
      <c r="G27" s="14">
        <v>0.06</v>
      </c>
      <c r="H27" s="14">
        <v>7.0000000000000007E-2</v>
      </c>
      <c r="I27" s="14">
        <v>0.06</v>
      </c>
      <c r="J27" s="14">
        <v>0.05</v>
      </c>
      <c r="K27" s="14">
        <v>0.27</v>
      </c>
      <c r="L27" s="14">
        <v>0.05</v>
      </c>
      <c r="M27" s="14">
        <v>0.05</v>
      </c>
      <c r="N27" s="14">
        <v>0.48</v>
      </c>
      <c r="O27" s="22"/>
    </row>
    <row r="31" spans="2:15" x14ac:dyDescent="0.25">
      <c r="B31" s="28" t="s">
        <v>26</v>
      </c>
    </row>
    <row r="32" spans="2:15" outlineLevel="1" x14ac:dyDescent="0.25">
      <c r="C32" s="1">
        <v>2014</v>
      </c>
      <c r="D32" s="1">
        <f>C32+1</f>
        <v>2015</v>
      </c>
      <c r="E32" s="1">
        <f t="shared" ref="E32:N32" si="2">D32+1</f>
        <v>2016</v>
      </c>
      <c r="F32" s="1">
        <f t="shared" si="2"/>
        <v>2017</v>
      </c>
      <c r="G32" s="1">
        <f t="shared" si="2"/>
        <v>2018</v>
      </c>
      <c r="H32" s="1">
        <f t="shared" si="2"/>
        <v>2019</v>
      </c>
      <c r="I32" s="1">
        <f t="shared" si="2"/>
        <v>2020</v>
      </c>
      <c r="J32" s="1">
        <f t="shared" si="2"/>
        <v>2021</v>
      </c>
      <c r="K32" s="1">
        <f t="shared" si="2"/>
        <v>2022</v>
      </c>
      <c r="L32" s="1">
        <f t="shared" si="2"/>
        <v>2023</v>
      </c>
      <c r="M32" s="1">
        <f t="shared" si="2"/>
        <v>2024</v>
      </c>
      <c r="N32" s="1">
        <f t="shared" si="2"/>
        <v>2025</v>
      </c>
    </row>
    <row r="33" spans="2:15" outlineLevel="1" x14ac:dyDescent="0.25">
      <c r="B33" s="119" t="s">
        <v>215</v>
      </c>
      <c r="C33" s="6">
        <v>493</v>
      </c>
      <c r="D33" s="6">
        <v>494</v>
      </c>
      <c r="E33" s="6">
        <v>494</v>
      </c>
      <c r="F33" s="6">
        <v>486</v>
      </c>
      <c r="G33" s="6">
        <v>905</v>
      </c>
      <c r="H33" s="16">
        <v>1207</v>
      </c>
      <c r="I33" s="16">
        <v>1143</v>
      </c>
      <c r="J33" s="16">
        <v>1096</v>
      </c>
      <c r="K33" s="16">
        <v>1096</v>
      </c>
      <c r="L33" s="16">
        <v>1098</v>
      </c>
      <c r="M33" s="16">
        <v>1045</v>
      </c>
      <c r="N33" s="16">
        <v>2094</v>
      </c>
      <c r="O33" s="25"/>
    </row>
    <row r="34" spans="2:15" ht="15.6" outlineLevel="1" thickBot="1" x14ac:dyDescent="0.3">
      <c r="B34" s="15" t="s">
        <v>27</v>
      </c>
      <c r="C34" s="17">
        <v>31636</v>
      </c>
      <c r="D34" s="17">
        <v>36598</v>
      </c>
      <c r="E34" s="17">
        <v>45651</v>
      </c>
      <c r="F34" s="17">
        <v>51184</v>
      </c>
      <c r="G34" s="17">
        <v>47022</v>
      </c>
      <c r="H34" s="17">
        <v>55216</v>
      </c>
      <c r="I34" s="17">
        <v>54179</v>
      </c>
      <c r="J34" s="17">
        <v>53805</v>
      </c>
      <c r="K34" s="17">
        <v>64307</v>
      </c>
      <c r="L34" s="17">
        <v>76570</v>
      </c>
      <c r="M34" s="17">
        <v>73943</v>
      </c>
      <c r="N34" s="17">
        <v>80736</v>
      </c>
      <c r="O34" s="25"/>
    </row>
    <row r="35" spans="2:15" outlineLevel="1" x14ac:dyDescent="0.25">
      <c r="B35" s="2" t="s">
        <v>28</v>
      </c>
      <c r="C35" s="3">
        <v>5159</v>
      </c>
      <c r="D35" s="3">
        <v>7891</v>
      </c>
      <c r="E35" s="3">
        <v>12522</v>
      </c>
      <c r="F35" s="3">
        <v>14241</v>
      </c>
      <c r="G35" s="3">
        <v>13901</v>
      </c>
      <c r="H35" s="3">
        <v>9947</v>
      </c>
      <c r="I35" s="3">
        <v>9724</v>
      </c>
      <c r="J35" s="3">
        <v>10451</v>
      </c>
      <c r="K35" s="3">
        <v>17593</v>
      </c>
      <c r="L35" s="3">
        <v>17467</v>
      </c>
      <c r="M35" s="3">
        <v>16465</v>
      </c>
      <c r="N35" s="3">
        <v>19204</v>
      </c>
      <c r="O35" s="21"/>
    </row>
    <row r="36" spans="2:15" outlineLevel="1" x14ac:dyDescent="0.25">
      <c r="B36" s="4" t="s">
        <v>29</v>
      </c>
      <c r="C36" s="16">
        <v>1091</v>
      </c>
      <c r="D36" s="16">
        <v>1271</v>
      </c>
      <c r="E36" s="16">
        <v>1736</v>
      </c>
      <c r="F36" s="16">
        <v>1961</v>
      </c>
      <c r="G36" s="16">
        <v>4527</v>
      </c>
      <c r="H36" s="16">
        <v>2837</v>
      </c>
      <c r="I36" s="6">
        <v>484</v>
      </c>
      <c r="J36" s="6">
        <v>746</v>
      </c>
      <c r="K36" s="16">
        <v>5646</v>
      </c>
      <c r="L36" s="16">
        <v>6127</v>
      </c>
      <c r="M36" s="16">
        <v>6230</v>
      </c>
      <c r="N36" s="16">
        <v>6395</v>
      </c>
      <c r="O36" s="22"/>
    </row>
    <row r="37" spans="2:15" outlineLevel="1" x14ac:dyDescent="0.25">
      <c r="B37" s="4" t="s">
        <v>30</v>
      </c>
      <c r="C37" s="16">
        <v>3943</v>
      </c>
      <c r="D37" s="16">
        <v>6444</v>
      </c>
      <c r="E37" s="16">
        <v>10265</v>
      </c>
      <c r="F37" s="16">
        <v>11674</v>
      </c>
      <c r="G37" s="16">
        <v>7960</v>
      </c>
      <c r="H37" s="16">
        <v>6808</v>
      </c>
      <c r="I37" s="16">
        <v>5402</v>
      </c>
      <c r="J37" s="16">
        <v>6036</v>
      </c>
      <c r="K37" s="16">
        <v>9523</v>
      </c>
      <c r="L37" s="16">
        <v>8882</v>
      </c>
      <c r="M37" s="16">
        <v>7917</v>
      </c>
      <c r="N37" s="16">
        <v>9786</v>
      </c>
      <c r="O37" s="25"/>
    </row>
    <row r="38" spans="2:15" outlineLevel="1" x14ac:dyDescent="0.25">
      <c r="B38" s="4" t="s">
        <v>31</v>
      </c>
      <c r="C38" s="6">
        <v>0</v>
      </c>
      <c r="D38" s="6">
        <v>0</v>
      </c>
      <c r="E38" s="6">
        <v>0</v>
      </c>
      <c r="F38" s="6">
        <v>0</v>
      </c>
      <c r="G38" s="6">
        <v>0</v>
      </c>
      <c r="H38" s="6">
        <v>0</v>
      </c>
      <c r="I38" s="16">
        <v>1920</v>
      </c>
      <c r="J38" s="16">
        <v>2118</v>
      </c>
      <c r="K38" s="16">
        <v>2423</v>
      </c>
      <c r="L38" s="16">
        <v>2457</v>
      </c>
      <c r="M38" s="16">
        <v>2318</v>
      </c>
      <c r="N38" s="16">
        <v>3022</v>
      </c>
      <c r="O38" s="25"/>
    </row>
    <row r="39" spans="2:15" ht="15.6" outlineLevel="1" thickBot="1" x14ac:dyDescent="0.3">
      <c r="B39" s="4" t="s">
        <v>32</v>
      </c>
      <c r="C39" s="6">
        <v>125</v>
      </c>
      <c r="D39" s="6">
        <v>176</v>
      </c>
      <c r="E39" s="6">
        <v>521</v>
      </c>
      <c r="F39" s="6">
        <v>606</v>
      </c>
      <c r="G39" s="16">
        <v>1415</v>
      </c>
      <c r="H39" s="6">
        <v>301</v>
      </c>
      <c r="I39" s="16">
        <v>1918</v>
      </c>
      <c r="J39" s="16">
        <v>1551</v>
      </c>
      <c r="K39" s="6">
        <v>0</v>
      </c>
      <c r="L39" s="6">
        <v>0</v>
      </c>
      <c r="M39" s="6">
        <v>0</v>
      </c>
      <c r="N39" s="6">
        <v>0</v>
      </c>
      <c r="O39" s="22"/>
    </row>
    <row r="40" spans="2:15" outlineLevel="1" x14ac:dyDescent="0.25">
      <c r="B40" s="7" t="s">
        <v>33</v>
      </c>
      <c r="C40" s="8">
        <v>12245</v>
      </c>
      <c r="D40" s="8">
        <v>13367</v>
      </c>
      <c r="E40" s="8">
        <v>12924</v>
      </c>
      <c r="F40" s="8">
        <v>12761</v>
      </c>
      <c r="G40" s="8">
        <v>13563</v>
      </c>
      <c r="H40" s="8">
        <v>16217</v>
      </c>
      <c r="I40" s="8">
        <v>15954</v>
      </c>
      <c r="J40" s="8">
        <v>17213</v>
      </c>
      <c r="K40" s="8">
        <v>24280</v>
      </c>
      <c r="L40" s="8">
        <v>21789</v>
      </c>
      <c r="M40" s="8">
        <v>23611</v>
      </c>
      <c r="N40" s="8">
        <v>26362</v>
      </c>
      <c r="O40" s="21"/>
    </row>
    <row r="41" spans="2:15" outlineLevel="1" x14ac:dyDescent="0.25">
      <c r="B41" s="120" t="s">
        <v>216</v>
      </c>
      <c r="C41" s="13">
        <v>139</v>
      </c>
      <c r="D41" s="13">
        <v>165</v>
      </c>
      <c r="E41" s="13">
        <v>221</v>
      </c>
      <c r="F41" s="13">
        <v>239</v>
      </c>
      <c r="G41" s="13">
        <v>241</v>
      </c>
      <c r="H41" s="13">
        <v>264</v>
      </c>
      <c r="I41" s="13">
        <v>188</v>
      </c>
      <c r="J41" s="13">
        <v>150</v>
      </c>
      <c r="K41" s="13">
        <v>53</v>
      </c>
      <c r="L41" s="13">
        <v>60</v>
      </c>
      <c r="M41" s="13">
        <v>133</v>
      </c>
      <c r="N41" s="13">
        <v>214</v>
      </c>
      <c r="O41" s="22"/>
    </row>
    <row r="42" spans="2:15" outlineLevel="1" x14ac:dyDescent="0.25">
      <c r="B42" s="12" t="s">
        <v>34</v>
      </c>
      <c r="C42" s="17">
        <v>5216</v>
      </c>
      <c r="D42" s="17">
        <v>5849</v>
      </c>
      <c r="E42" s="17">
        <v>4902</v>
      </c>
      <c r="F42" s="17">
        <v>4867</v>
      </c>
      <c r="G42" s="17">
        <v>5120</v>
      </c>
      <c r="H42" s="17">
        <v>6266</v>
      </c>
      <c r="I42" s="17">
        <v>5840</v>
      </c>
      <c r="J42" s="17">
        <v>5417</v>
      </c>
      <c r="K42" s="17">
        <v>6252</v>
      </c>
      <c r="L42" s="17">
        <v>5972</v>
      </c>
      <c r="M42" s="17">
        <v>8857</v>
      </c>
      <c r="N42" s="17">
        <v>8825</v>
      </c>
      <c r="O42" s="25"/>
    </row>
    <row r="43" spans="2:15" outlineLevel="1" x14ac:dyDescent="0.25">
      <c r="B43" s="12" t="s">
        <v>35</v>
      </c>
      <c r="C43" s="13">
        <v>328</v>
      </c>
      <c r="D43" s="13">
        <v>220</v>
      </c>
      <c r="E43" s="13">
        <v>238</v>
      </c>
      <c r="F43" s="13">
        <v>239</v>
      </c>
      <c r="G43" s="13">
        <v>190</v>
      </c>
      <c r="H43" s="13">
        <v>136</v>
      </c>
      <c r="I43" s="13">
        <v>146</v>
      </c>
      <c r="J43" s="13">
        <v>36</v>
      </c>
      <c r="K43" s="13">
        <v>63</v>
      </c>
      <c r="L43" s="13">
        <v>64</v>
      </c>
      <c r="M43" s="13">
        <v>119</v>
      </c>
      <c r="N43" s="13">
        <v>79</v>
      </c>
      <c r="O43" s="22"/>
    </row>
    <row r="44" spans="2:15" ht="15.6" outlineLevel="1" thickBot="1" x14ac:dyDescent="0.3">
      <c r="B44" s="12" t="s">
        <v>36</v>
      </c>
      <c r="C44" s="17">
        <v>6562</v>
      </c>
      <c r="D44" s="17">
        <v>7134</v>
      </c>
      <c r="E44" s="17">
        <v>7562</v>
      </c>
      <c r="F44" s="17">
        <v>7415</v>
      </c>
      <c r="G44" s="17">
        <v>8012</v>
      </c>
      <c r="H44" s="17">
        <v>9551</v>
      </c>
      <c r="I44" s="17">
        <v>9780</v>
      </c>
      <c r="J44" s="17">
        <v>11610</v>
      </c>
      <c r="K44" s="17">
        <v>17913</v>
      </c>
      <c r="L44" s="17">
        <v>15694</v>
      </c>
      <c r="M44" s="17">
        <v>14501</v>
      </c>
      <c r="N44" s="17">
        <v>17244</v>
      </c>
      <c r="O44" s="25"/>
    </row>
    <row r="45" spans="2:15" ht="15.6" outlineLevel="1" thickBot="1" x14ac:dyDescent="0.3">
      <c r="B45" s="2" t="s">
        <v>37</v>
      </c>
      <c r="C45" s="3">
        <v>49533</v>
      </c>
      <c r="D45" s="3">
        <v>58350</v>
      </c>
      <c r="E45" s="3">
        <v>71590</v>
      </c>
      <c r="F45" s="3">
        <v>78672</v>
      </c>
      <c r="G45" s="3">
        <v>75391</v>
      </c>
      <c r="H45" s="3">
        <v>82586</v>
      </c>
      <c r="I45" s="3">
        <v>81000</v>
      </c>
      <c r="J45" s="3">
        <v>82566</v>
      </c>
      <c r="K45" s="3">
        <v>107276</v>
      </c>
      <c r="L45" s="3">
        <v>116924</v>
      </c>
      <c r="M45" s="3">
        <v>115064</v>
      </c>
      <c r="N45" s="3">
        <v>128396</v>
      </c>
      <c r="O45" s="21"/>
    </row>
    <row r="46" spans="2:15" outlineLevel="1" x14ac:dyDescent="0.25">
      <c r="B46" s="7" t="s">
        <v>38</v>
      </c>
      <c r="C46" s="8">
        <v>10649</v>
      </c>
      <c r="D46" s="8">
        <v>10837</v>
      </c>
      <c r="E46" s="8">
        <v>17279</v>
      </c>
      <c r="F46" s="8">
        <v>19886</v>
      </c>
      <c r="G46" s="8">
        <v>18127</v>
      </c>
      <c r="H46" s="8">
        <v>17465</v>
      </c>
      <c r="I46" s="8">
        <v>22062</v>
      </c>
      <c r="J46" s="8">
        <v>23040</v>
      </c>
      <c r="K46" s="8">
        <v>37990</v>
      </c>
      <c r="L46" s="8">
        <v>44757</v>
      </c>
      <c r="M46" s="8">
        <v>44083</v>
      </c>
      <c r="N46" s="8">
        <v>45654</v>
      </c>
      <c r="O46" s="21"/>
    </row>
    <row r="47" spans="2:15" outlineLevel="1" x14ac:dyDescent="0.25">
      <c r="B47" s="120" t="s">
        <v>202</v>
      </c>
      <c r="C47" s="13">
        <v>568</v>
      </c>
      <c r="D47" s="13">
        <v>587</v>
      </c>
      <c r="E47" s="13">
        <v>370</v>
      </c>
      <c r="F47" s="13">
        <v>381</v>
      </c>
      <c r="G47" s="13">
        <v>364</v>
      </c>
      <c r="H47" s="13">
        <v>370</v>
      </c>
      <c r="I47" s="13">
        <v>576</v>
      </c>
      <c r="J47" s="13">
        <v>590</v>
      </c>
      <c r="K47" s="13">
        <v>609</v>
      </c>
      <c r="L47" s="13">
        <v>614</v>
      </c>
      <c r="M47" s="13">
        <v>572</v>
      </c>
      <c r="N47" s="13">
        <v>550</v>
      </c>
      <c r="O47" s="22"/>
    </row>
    <row r="48" spans="2:15" outlineLevel="1" x14ac:dyDescent="0.25">
      <c r="B48" s="120" t="s">
        <v>203</v>
      </c>
      <c r="C48" s="17">
        <v>2392</v>
      </c>
      <c r="D48" s="17">
        <v>2437</v>
      </c>
      <c r="E48" s="17">
        <v>2589</v>
      </c>
      <c r="F48" s="17">
        <v>2738</v>
      </c>
      <c r="G48" s="17">
        <v>2495</v>
      </c>
      <c r="H48" s="17">
        <v>2729</v>
      </c>
      <c r="I48" s="17">
        <v>5194</v>
      </c>
      <c r="J48" s="17">
        <v>5806</v>
      </c>
      <c r="K48" s="17">
        <v>6648</v>
      </c>
      <c r="L48" s="17">
        <v>7545</v>
      </c>
      <c r="M48" s="17">
        <v>7548</v>
      </c>
      <c r="N48" s="17">
        <v>8759</v>
      </c>
      <c r="O48" s="22"/>
    </row>
    <row r="49" spans="2:15" outlineLevel="1" x14ac:dyDescent="0.25">
      <c r="B49" s="120" t="s">
        <v>39</v>
      </c>
      <c r="C49" s="17">
        <v>7251</v>
      </c>
      <c r="D49" s="17">
        <v>7979</v>
      </c>
      <c r="E49" s="17">
        <v>9950</v>
      </c>
      <c r="F49" s="17">
        <v>10889</v>
      </c>
      <c r="G49" s="17">
        <v>6938</v>
      </c>
      <c r="H49" s="17">
        <v>9229</v>
      </c>
      <c r="I49" s="17">
        <v>8801</v>
      </c>
      <c r="J49" s="17">
        <v>9618</v>
      </c>
      <c r="K49" s="17">
        <v>10074</v>
      </c>
      <c r="L49" s="17">
        <v>12023</v>
      </c>
      <c r="M49" s="17">
        <v>10476</v>
      </c>
      <c r="N49" s="17">
        <v>10500</v>
      </c>
      <c r="O49" s="22"/>
    </row>
    <row r="50" spans="2:15" outlineLevel="1" x14ac:dyDescent="0.25">
      <c r="B50" s="120" t="s">
        <v>40</v>
      </c>
      <c r="C50" s="13">
        <v>414</v>
      </c>
      <c r="D50" s="13">
        <v>422</v>
      </c>
      <c r="E50" s="13">
        <v>441</v>
      </c>
      <c r="F50" s="13">
        <v>543</v>
      </c>
      <c r="G50" s="13">
        <v>582</v>
      </c>
      <c r="H50" s="13">
        <v>591</v>
      </c>
      <c r="I50" s="13">
        <v>687</v>
      </c>
      <c r="J50" s="13">
        <v>686</v>
      </c>
      <c r="K50" s="13">
        <v>726</v>
      </c>
      <c r="L50" s="13">
        <v>782</v>
      </c>
      <c r="M50" s="13">
        <v>751</v>
      </c>
      <c r="N50" s="13">
        <v>766</v>
      </c>
      <c r="O50" s="22"/>
    </row>
    <row r="51" spans="2:15" outlineLevel="1" x14ac:dyDescent="0.25">
      <c r="B51" s="120" t="s">
        <v>41</v>
      </c>
      <c r="C51" s="13">
        <v>0</v>
      </c>
      <c r="D51" s="13">
        <v>0</v>
      </c>
      <c r="E51" s="13">
        <v>0</v>
      </c>
      <c r="F51" s="13">
        <v>0</v>
      </c>
      <c r="G51" s="17">
        <v>1776</v>
      </c>
      <c r="H51" s="13">
        <v>0</v>
      </c>
      <c r="I51" s="17">
        <v>1684</v>
      </c>
      <c r="J51" s="17">
        <v>1851</v>
      </c>
      <c r="K51" s="17">
        <v>2516</v>
      </c>
      <c r="L51" s="13">
        <v>0</v>
      </c>
      <c r="M51" s="13">
        <v>0</v>
      </c>
      <c r="N51" s="13">
        <v>0</v>
      </c>
      <c r="O51" s="22"/>
    </row>
    <row r="52" spans="2:15" outlineLevel="1" x14ac:dyDescent="0.25">
      <c r="B52" s="120" t="s">
        <v>204</v>
      </c>
      <c r="C52" s="13">
        <v>830</v>
      </c>
      <c r="D52" s="13">
        <v>857</v>
      </c>
      <c r="E52" s="13">
        <v>961</v>
      </c>
      <c r="F52" s="17">
        <v>1022</v>
      </c>
      <c r="G52" s="13">
        <v>986</v>
      </c>
      <c r="H52" s="17">
        <v>1050</v>
      </c>
      <c r="I52" s="17">
        <v>1290</v>
      </c>
      <c r="J52" s="17">
        <v>1373</v>
      </c>
      <c r="K52" s="17">
        <v>1529</v>
      </c>
      <c r="L52" s="17">
        <v>1799</v>
      </c>
      <c r="M52" s="17">
        <v>1823</v>
      </c>
      <c r="N52" s="17">
        <v>1958</v>
      </c>
      <c r="O52" s="22"/>
    </row>
    <row r="53" spans="2:15" outlineLevel="1" x14ac:dyDescent="0.25">
      <c r="B53" s="12" t="s">
        <v>42</v>
      </c>
      <c r="C53" s="13">
        <v>98</v>
      </c>
      <c r="D53" s="13">
        <v>85</v>
      </c>
      <c r="E53" s="13">
        <v>59</v>
      </c>
      <c r="F53" s="13">
        <v>43</v>
      </c>
      <c r="G53" s="13">
        <v>114</v>
      </c>
      <c r="H53" s="13">
        <v>95</v>
      </c>
      <c r="I53" s="13">
        <v>163</v>
      </c>
      <c r="J53" s="13">
        <v>134</v>
      </c>
      <c r="K53" s="13">
        <v>122</v>
      </c>
      <c r="L53" s="13">
        <v>103</v>
      </c>
      <c r="M53" s="13">
        <v>88</v>
      </c>
      <c r="N53" s="13">
        <v>77</v>
      </c>
      <c r="O53" s="22"/>
    </row>
    <row r="54" spans="2:15" outlineLevel="1" x14ac:dyDescent="0.25">
      <c r="B54" s="120" t="s">
        <v>220</v>
      </c>
      <c r="C54" s="17">
        <v>5952</v>
      </c>
      <c r="D54" s="17">
        <v>5895</v>
      </c>
      <c r="E54" s="17">
        <v>10098</v>
      </c>
      <c r="F54" s="17">
        <v>12228</v>
      </c>
      <c r="G54" s="17">
        <v>11405</v>
      </c>
      <c r="H54" s="13">
        <v>0</v>
      </c>
      <c r="I54" s="13">
        <v>0</v>
      </c>
      <c r="J54" s="17">
        <v>13515</v>
      </c>
      <c r="K54" s="17">
        <v>24286</v>
      </c>
      <c r="L54" s="17">
        <v>30348</v>
      </c>
      <c r="M54" s="17">
        <v>31600</v>
      </c>
      <c r="N54" s="17">
        <v>32501</v>
      </c>
      <c r="O54" s="25"/>
    </row>
    <row r="55" spans="2:15" ht="15.6" outlineLevel="1" thickBot="1" x14ac:dyDescent="0.3">
      <c r="B55" s="12" t="s">
        <v>43</v>
      </c>
      <c r="C55" s="13">
        <v>0</v>
      </c>
      <c r="D55" s="13">
        <v>43</v>
      </c>
      <c r="E55" s="17">
        <v>1836</v>
      </c>
      <c r="F55" s="17">
        <v>2681</v>
      </c>
      <c r="G55" s="17">
        <v>3314</v>
      </c>
      <c r="H55" s="17">
        <v>14609</v>
      </c>
      <c r="I55" s="17">
        <v>16608</v>
      </c>
      <c r="J55" s="17">
        <v>2794</v>
      </c>
      <c r="K55" s="17">
        <v>5479</v>
      </c>
      <c r="L55" s="17">
        <v>6174</v>
      </c>
      <c r="M55" s="17">
        <v>5564</v>
      </c>
      <c r="N55" s="17">
        <v>5218</v>
      </c>
      <c r="O55" s="22"/>
    </row>
    <row r="56" spans="2:15" outlineLevel="1" x14ac:dyDescent="0.25">
      <c r="B56" s="9" t="s">
        <v>44</v>
      </c>
      <c r="C56" s="8">
        <v>17505</v>
      </c>
      <c r="D56" s="8">
        <v>18305</v>
      </c>
      <c r="E56" s="8">
        <v>26304</v>
      </c>
      <c r="F56" s="8">
        <v>30525</v>
      </c>
      <c r="G56" s="8">
        <v>27972</v>
      </c>
      <c r="H56" s="8">
        <v>28672</v>
      </c>
      <c r="I56" s="8">
        <v>35004</v>
      </c>
      <c r="J56" s="8">
        <v>36368</v>
      </c>
      <c r="K56" s="8">
        <v>51990</v>
      </c>
      <c r="L56" s="8">
        <v>59388</v>
      </c>
      <c r="M56" s="8">
        <v>58423</v>
      </c>
      <c r="N56" s="8">
        <v>60330</v>
      </c>
      <c r="O56" s="23"/>
    </row>
    <row r="57" spans="2:15" outlineLevel="1" x14ac:dyDescent="0.25">
      <c r="B57" s="12" t="s">
        <v>45</v>
      </c>
      <c r="C57" s="17">
        <v>6856</v>
      </c>
      <c r="D57" s="17">
        <v>7468</v>
      </c>
      <c r="E57" s="17">
        <v>9024</v>
      </c>
      <c r="F57" s="17">
        <v>10639</v>
      </c>
      <c r="G57" s="17">
        <v>9846</v>
      </c>
      <c r="H57" s="17">
        <v>11208</v>
      </c>
      <c r="I57" s="17">
        <v>12942</v>
      </c>
      <c r="J57" s="17">
        <v>13327</v>
      </c>
      <c r="K57" s="17">
        <v>14000</v>
      </c>
      <c r="L57" s="17">
        <v>14631</v>
      </c>
      <c r="M57" s="17">
        <v>14339</v>
      </c>
      <c r="N57" s="17">
        <v>14676</v>
      </c>
      <c r="O57" s="22"/>
    </row>
    <row r="58" spans="2:15" outlineLevel="1" x14ac:dyDescent="0.25">
      <c r="B58" s="18" t="s">
        <v>46</v>
      </c>
      <c r="C58" s="6">
        <v>369</v>
      </c>
      <c r="D58" s="6">
        <v>395</v>
      </c>
      <c r="E58" s="6">
        <v>381</v>
      </c>
      <c r="F58" s="6">
        <v>738</v>
      </c>
      <c r="G58" s="16">
        <v>1378</v>
      </c>
      <c r="H58" s="16">
        <v>2142</v>
      </c>
      <c r="I58" s="16">
        <v>1881</v>
      </c>
      <c r="J58" s="16">
        <v>1853</v>
      </c>
      <c r="K58" s="16">
        <v>1602</v>
      </c>
      <c r="L58" s="6">
        <v>617</v>
      </c>
      <c r="M58" s="6">
        <v>748</v>
      </c>
      <c r="N58" s="6">
        <v>221</v>
      </c>
      <c r="O58" s="22"/>
    </row>
    <row r="59" spans="2:15" ht="15.6" outlineLevel="1" thickBot="1" x14ac:dyDescent="0.3">
      <c r="B59" s="15" t="s">
        <v>47</v>
      </c>
      <c r="C59" s="17">
        <v>6146</v>
      </c>
      <c r="D59" s="17">
        <v>5532</v>
      </c>
      <c r="E59" s="17">
        <v>20915</v>
      </c>
      <c r="F59" s="17">
        <v>29913</v>
      </c>
      <c r="G59" s="17">
        <v>25797</v>
      </c>
      <c r="H59" s="17">
        <v>22887</v>
      </c>
      <c r="I59" s="17">
        <v>20032</v>
      </c>
      <c r="J59" s="17">
        <v>18775</v>
      </c>
      <c r="K59" s="17">
        <v>26154</v>
      </c>
      <c r="L59" s="17">
        <v>33073</v>
      </c>
      <c r="M59" s="17">
        <v>33384</v>
      </c>
      <c r="N59" s="17">
        <v>43926</v>
      </c>
      <c r="O59" s="25"/>
    </row>
    <row r="60" spans="2:15" outlineLevel="1" x14ac:dyDescent="0.25">
      <c r="B60" s="2" t="s">
        <v>48</v>
      </c>
      <c r="C60" s="3">
        <v>32368</v>
      </c>
      <c r="D60" s="3">
        <v>41586</v>
      </c>
      <c r="E60" s="3">
        <v>33016</v>
      </c>
      <c r="F60" s="3">
        <v>28135</v>
      </c>
      <c r="G60" s="3">
        <v>30090</v>
      </c>
      <c r="H60" s="3">
        <v>40093</v>
      </c>
      <c r="I60" s="3">
        <v>37024</v>
      </c>
      <c r="J60" s="3">
        <v>38898</v>
      </c>
      <c r="K60" s="3">
        <v>41531</v>
      </c>
      <c r="L60" s="3">
        <v>38477</v>
      </c>
      <c r="M60" s="3">
        <v>36848</v>
      </c>
      <c r="N60" s="3">
        <v>38595</v>
      </c>
      <c r="O60" s="21"/>
    </row>
    <row r="61" spans="2:15" outlineLevel="1" x14ac:dyDescent="0.25">
      <c r="B61" s="4" t="s">
        <v>49</v>
      </c>
      <c r="C61" s="6">
        <v>229</v>
      </c>
      <c r="D61" s="6">
        <v>485</v>
      </c>
      <c r="E61" s="6">
        <v>539</v>
      </c>
      <c r="F61" s="6">
        <v>392</v>
      </c>
      <c r="G61" s="6">
        <v>337</v>
      </c>
      <c r="H61" s="6">
        <v>395</v>
      </c>
      <c r="I61" s="6">
        <v>186</v>
      </c>
      <c r="J61" s="6">
        <v>106</v>
      </c>
      <c r="K61" s="6">
        <v>133</v>
      </c>
      <c r="L61" s="6">
        <v>119</v>
      </c>
      <c r="M61" s="6">
        <v>91</v>
      </c>
      <c r="N61" s="6">
        <v>69</v>
      </c>
      <c r="O61" s="22"/>
    </row>
    <row r="62" spans="2:15" outlineLevel="1" x14ac:dyDescent="0.25">
      <c r="B62" s="4" t="s">
        <v>50</v>
      </c>
      <c r="C62" s="16">
        <v>8547</v>
      </c>
      <c r="D62" s="16">
        <v>9155</v>
      </c>
      <c r="E62" s="16">
        <v>9961</v>
      </c>
      <c r="F62" s="16">
        <v>9485</v>
      </c>
      <c r="G62" s="16">
        <v>10099</v>
      </c>
      <c r="H62" s="16">
        <v>10049</v>
      </c>
      <c r="I62" s="16">
        <v>10447</v>
      </c>
      <c r="J62" s="16">
        <v>9430</v>
      </c>
      <c r="K62" s="16">
        <v>11522</v>
      </c>
      <c r="L62" s="16">
        <v>12635</v>
      </c>
      <c r="M62" s="16">
        <v>11548</v>
      </c>
      <c r="N62" s="16">
        <v>11774</v>
      </c>
      <c r="O62" s="25"/>
    </row>
    <row r="63" spans="2:15" outlineLevel="1" x14ac:dyDescent="0.25">
      <c r="B63" s="4" t="s">
        <v>51</v>
      </c>
      <c r="C63" s="16">
        <v>11420</v>
      </c>
      <c r="D63" s="16">
        <v>16619</v>
      </c>
      <c r="E63" s="16">
        <v>9905</v>
      </c>
      <c r="F63" s="16">
        <v>5271</v>
      </c>
      <c r="G63" s="16">
        <v>4492</v>
      </c>
      <c r="H63" s="16">
        <v>15853</v>
      </c>
      <c r="I63" s="16">
        <v>14450</v>
      </c>
      <c r="J63" s="16">
        <v>16979</v>
      </c>
      <c r="K63" s="16">
        <v>10384</v>
      </c>
      <c r="L63" s="16">
        <v>9188</v>
      </c>
      <c r="M63" s="16">
        <v>9695</v>
      </c>
      <c r="N63" s="16">
        <v>12197</v>
      </c>
      <c r="O63" s="25"/>
    </row>
    <row r="64" spans="2:15" outlineLevel="1" x14ac:dyDescent="0.25">
      <c r="B64" s="118" t="s">
        <v>198</v>
      </c>
      <c r="C64" s="16">
        <v>1023</v>
      </c>
      <c r="D64" s="16">
        <v>1326</v>
      </c>
      <c r="E64" s="16">
        <v>2612</v>
      </c>
      <c r="F64" s="16">
        <v>1613</v>
      </c>
      <c r="G64" s="16">
        <v>2354</v>
      </c>
      <c r="H64" s="16">
        <v>2358</v>
      </c>
      <c r="I64" s="16">
        <v>1625</v>
      </c>
      <c r="J64" s="16">
        <v>1830</v>
      </c>
      <c r="K64" s="16">
        <v>2294</v>
      </c>
      <c r="L64" s="16">
        <v>2830</v>
      </c>
      <c r="M64" s="16">
        <v>2826</v>
      </c>
      <c r="N64" s="16">
        <v>2662</v>
      </c>
      <c r="O64" s="22"/>
    </row>
    <row r="65" spans="2:15" ht="15.6" outlineLevel="1" thickBot="1" x14ac:dyDescent="0.3">
      <c r="B65" s="118" t="s">
        <v>199</v>
      </c>
      <c r="C65" s="16">
        <v>11149</v>
      </c>
      <c r="D65" s="16">
        <v>14001</v>
      </c>
      <c r="E65" s="16">
        <v>9998</v>
      </c>
      <c r="F65" s="16">
        <v>11374</v>
      </c>
      <c r="G65" s="16">
        <v>12807</v>
      </c>
      <c r="H65" s="16">
        <v>11438</v>
      </c>
      <c r="I65" s="16">
        <v>10315</v>
      </c>
      <c r="J65" s="16">
        <v>10552</v>
      </c>
      <c r="K65" s="16">
        <v>17198</v>
      </c>
      <c r="L65" s="16">
        <v>13705</v>
      </c>
      <c r="M65" s="16">
        <v>12688</v>
      </c>
      <c r="N65" s="16">
        <v>11893</v>
      </c>
      <c r="O65" s="25"/>
    </row>
    <row r="66" spans="2:15" outlineLevel="1" x14ac:dyDescent="0.25">
      <c r="B66" s="7" t="s">
        <v>52</v>
      </c>
      <c r="C66" s="8">
        <v>49533</v>
      </c>
      <c r="D66" s="8">
        <v>58350</v>
      </c>
      <c r="E66" s="8">
        <v>71590</v>
      </c>
      <c r="F66" s="8">
        <v>78672</v>
      </c>
      <c r="G66" s="8">
        <v>75391</v>
      </c>
      <c r="H66" s="8">
        <v>82586</v>
      </c>
      <c r="I66" s="8">
        <v>81000</v>
      </c>
      <c r="J66" s="8">
        <v>82566</v>
      </c>
      <c r="K66" s="8">
        <v>107276</v>
      </c>
      <c r="L66" s="8">
        <v>116924</v>
      </c>
      <c r="M66" s="8">
        <v>115064</v>
      </c>
      <c r="N66" s="8">
        <v>128396</v>
      </c>
      <c r="O66" s="21"/>
    </row>
    <row r="67" spans="2:15" x14ac:dyDescent="0.25">
      <c r="B67" s="27"/>
      <c r="C67" s="20"/>
      <c r="D67" s="20"/>
      <c r="E67" s="20"/>
      <c r="F67" s="20"/>
      <c r="G67" s="20"/>
      <c r="H67" s="20"/>
      <c r="I67" s="20"/>
      <c r="J67" s="20"/>
      <c r="K67" s="20"/>
      <c r="L67" s="20"/>
      <c r="M67" s="20"/>
      <c r="N67" s="20"/>
      <c r="O67" s="21"/>
    </row>
    <row r="68" spans="2:15" x14ac:dyDescent="0.25">
      <c r="B68" s="27"/>
      <c r="C68" s="20"/>
      <c r="D68" s="20"/>
      <c r="E68" s="20"/>
      <c r="F68" s="20"/>
      <c r="G68" s="20"/>
      <c r="H68" s="20">
        <f>SUM(J47,J48,J49,J50,J51,J52,J53,J54,J55,J58,J59)</f>
        <v>56995</v>
      </c>
      <c r="I68" s="20"/>
      <c r="J68" s="20"/>
      <c r="K68" s="20"/>
      <c r="L68" s="20"/>
      <c r="M68" s="20"/>
      <c r="N68" s="20"/>
      <c r="O68" s="21"/>
    </row>
    <row r="70" spans="2:15" x14ac:dyDescent="0.25">
      <c r="B70" s="28" t="s">
        <v>53</v>
      </c>
      <c r="C70" s="172"/>
      <c r="J70" s="172"/>
    </row>
    <row r="71" spans="2:15" ht="15.6" outlineLevel="1" thickBot="1" x14ac:dyDescent="0.3">
      <c r="C71" s="1">
        <v>2014</v>
      </c>
      <c r="D71" s="1">
        <f>C71+1</f>
        <v>2015</v>
      </c>
      <c r="E71" s="1">
        <f t="shared" ref="E71:N71" si="3">D71+1</f>
        <v>2016</v>
      </c>
      <c r="F71" s="1">
        <f t="shared" si="3"/>
        <v>2017</v>
      </c>
      <c r="G71" s="1">
        <f t="shared" si="3"/>
        <v>2018</v>
      </c>
      <c r="H71" s="1">
        <f t="shared" si="3"/>
        <v>2019</v>
      </c>
      <c r="I71" s="1">
        <f t="shared" si="3"/>
        <v>2020</v>
      </c>
      <c r="J71" s="1">
        <f t="shared" si="3"/>
        <v>2021</v>
      </c>
      <c r="K71" s="1">
        <f t="shared" si="3"/>
        <v>2022</v>
      </c>
      <c r="L71" s="1">
        <f t="shared" si="3"/>
        <v>2023</v>
      </c>
      <c r="M71" s="1">
        <f t="shared" si="3"/>
        <v>2024</v>
      </c>
      <c r="N71" s="1">
        <f t="shared" si="3"/>
        <v>2025</v>
      </c>
    </row>
    <row r="72" spans="2:15" ht="15.6" outlineLevel="1" thickBot="1" x14ac:dyDescent="0.3">
      <c r="B72" s="2" t="s">
        <v>54</v>
      </c>
      <c r="C72" s="3">
        <v>6790</v>
      </c>
      <c r="D72" s="3">
        <v>7840</v>
      </c>
      <c r="E72" s="3">
        <v>7887</v>
      </c>
      <c r="F72" s="3">
        <v>9277</v>
      </c>
      <c r="G72" s="3">
        <v>8423</v>
      </c>
      <c r="H72" s="3">
        <v>11632</v>
      </c>
      <c r="I72" s="3">
        <v>10064</v>
      </c>
      <c r="J72" s="3">
        <v>14755</v>
      </c>
      <c r="K72" s="3">
        <v>11080</v>
      </c>
      <c r="L72" s="3">
        <v>13060</v>
      </c>
      <c r="M72" s="3">
        <v>17622</v>
      </c>
      <c r="N72" s="3">
        <v>16943</v>
      </c>
    </row>
    <row r="73" spans="2:15" outlineLevel="1" x14ac:dyDescent="0.25">
      <c r="B73" s="170" t="s">
        <v>238</v>
      </c>
      <c r="C73" s="3">
        <v>9977</v>
      </c>
      <c r="D73" s="3">
        <v>10990</v>
      </c>
      <c r="E73" s="3">
        <v>11180</v>
      </c>
      <c r="F73" s="3">
        <v>11374</v>
      </c>
      <c r="G73" s="3">
        <v>11322</v>
      </c>
      <c r="H73" s="3">
        <v>11430</v>
      </c>
      <c r="I73" s="3">
        <v>13088</v>
      </c>
      <c r="J73" s="3">
        <v>14954</v>
      </c>
      <c r="K73" s="3">
        <v>17297</v>
      </c>
      <c r="L73" s="3">
        <v>17538</v>
      </c>
      <c r="M73" s="3">
        <v>17416</v>
      </c>
      <c r="N73" s="3">
        <v>18533</v>
      </c>
    </row>
    <row r="74" spans="2:15" outlineLevel="1" x14ac:dyDescent="0.25">
      <c r="B74" s="170" t="s">
        <v>55</v>
      </c>
      <c r="C74" s="16">
        <v>-1566</v>
      </c>
      <c r="D74" s="6">
        <v>-888</v>
      </c>
      <c r="E74" s="6">
        <v>-532</v>
      </c>
      <c r="F74" s="6">
        <v>335</v>
      </c>
      <c r="G74" s="6">
        <v>-974</v>
      </c>
      <c r="H74" s="6">
        <v>139</v>
      </c>
      <c r="I74" s="6">
        <v>-333</v>
      </c>
      <c r="J74" s="16">
        <v>1285</v>
      </c>
      <c r="K74" s="16">
        <v>-4323</v>
      </c>
      <c r="L74" s="6">
        <v>-98</v>
      </c>
      <c r="M74" s="6">
        <v>782</v>
      </c>
      <c r="N74" s="6">
        <v>189</v>
      </c>
    </row>
    <row r="75" spans="2:15" outlineLevel="1" x14ac:dyDescent="0.25">
      <c r="B75" s="170" t="s">
        <v>56</v>
      </c>
      <c r="C75" s="6">
        <v>97</v>
      </c>
      <c r="D75" s="6">
        <v>-256</v>
      </c>
      <c r="E75" s="6">
        <v>-54</v>
      </c>
      <c r="F75" s="6">
        <v>148</v>
      </c>
      <c r="G75" s="6">
        <v>54</v>
      </c>
      <c r="H75" s="6">
        <v>-57</v>
      </c>
      <c r="I75" s="6">
        <v>208</v>
      </c>
      <c r="J75" s="6">
        <v>80</v>
      </c>
      <c r="K75" s="6">
        <v>-26</v>
      </c>
      <c r="L75" s="6">
        <v>16</v>
      </c>
      <c r="M75" s="6">
        <v>29</v>
      </c>
      <c r="N75" s="6">
        <v>21</v>
      </c>
    </row>
    <row r="76" spans="2:15" outlineLevel="1" x14ac:dyDescent="0.25">
      <c r="B76" s="170" t="s">
        <v>57</v>
      </c>
      <c r="C76" s="6">
        <v>0</v>
      </c>
      <c r="D76" s="6">
        <v>0</v>
      </c>
      <c r="E76" s="6">
        <v>468</v>
      </c>
      <c r="F76" s="6">
        <v>-523</v>
      </c>
      <c r="G76" s="6">
        <v>450</v>
      </c>
      <c r="H76" s="16">
        <v>2084</v>
      </c>
      <c r="I76" s="16">
        <v>-1240</v>
      </c>
      <c r="J76" s="6">
        <v>570</v>
      </c>
      <c r="K76" s="6">
        <v>970</v>
      </c>
      <c r="L76" s="6">
        <v>-982</v>
      </c>
      <c r="M76" s="6">
        <v>-44</v>
      </c>
      <c r="N76" s="6">
        <v>55</v>
      </c>
    </row>
    <row r="77" spans="2:15" outlineLevel="1" x14ac:dyDescent="0.25">
      <c r="B77" s="170" t="s">
        <v>58</v>
      </c>
      <c r="C77" s="6">
        <v>-891</v>
      </c>
      <c r="D77" s="6">
        <v>-363</v>
      </c>
      <c r="E77" s="6">
        <v>0</v>
      </c>
      <c r="F77" s="6">
        <v>0</v>
      </c>
      <c r="G77" s="6">
        <v>0</v>
      </c>
      <c r="H77" s="6">
        <v>0</v>
      </c>
      <c r="I77" s="6">
        <v>0</v>
      </c>
      <c r="J77" s="6">
        <v>0</v>
      </c>
      <c r="K77" s="6">
        <v>0</v>
      </c>
      <c r="L77" s="6">
        <v>0</v>
      </c>
      <c r="M77" s="6">
        <v>0</v>
      </c>
      <c r="N77" s="6">
        <v>0</v>
      </c>
    </row>
    <row r="78" spans="2:15" ht="15.6" outlineLevel="1" thickBot="1" x14ac:dyDescent="0.3">
      <c r="B78" s="170" t="s">
        <v>59</v>
      </c>
      <c r="C78" s="16">
        <v>1347</v>
      </c>
      <c r="D78" s="6">
        <v>783</v>
      </c>
      <c r="E78" s="6">
        <v>-481</v>
      </c>
      <c r="F78" s="6">
        <v>492</v>
      </c>
      <c r="G78" s="6">
        <v>381</v>
      </c>
      <c r="H78" s="6">
        <v>550</v>
      </c>
      <c r="I78" s="16">
        <v>-1021</v>
      </c>
      <c r="J78" s="6">
        <v>357</v>
      </c>
      <c r="K78" s="6">
        <v>-270</v>
      </c>
      <c r="L78" s="6">
        <v>-391</v>
      </c>
      <c r="M78" s="6">
        <v>974</v>
      </c>
      <c r="N78" s="6">
        <v>762</v>
      </c>
    </row>
    <row r="79" spans="2:15" outlineLevel="1" x14ac:dyDescent="0.25">
      <c r="B79" s="170" t="s">
        <v>239</v>
      </c>
      <c r="C79" s="3">
        <v>-1013</v>
      </c>
      <c r="D79" s="26">
        <v>-723</v>
      </c>
      <c r="E79" s="26">
        <v>-599</v>
      </c>
      <c r="F79" s="26">
        <v>451</v>
      </c>
      <c r="G79" s="26">
        <v>-88</v>
      </c>
      <c r="H79" s="3">
        <v>2716</v>
      </c>
      <c r="I79" s="3">
        <v>-2386</v>
      </c>
      <c r="J79" s="3">
        <v>2292</v>
      </c>
      <c r="K79" s="3">
        <v>-3649</v>
      </c>
      <c r="L79" s="3">
        <v>-1456</v>
      </c>
      <c r="M79" s="3">
        <v>1741</v>
      </c>
      <c r="N79" s="3">
        <v>1027</v>
      </c>
    </row>
    <row r="80" spans="2:15" ht="15.6" outlineLevel="1" thickBot="1" x14ac:dyDescent="0.3">
      <c r="B80" s="171" t="s">
        <v>240</v>
      </c>
      <c r="C80" s="16">
        <v>-2173</v>
      </c>
      <c r="D80" s="16">
        <v>-2427</v>
      </c>
      <c r="E80" s="16">
        <v>-2694</v>
      </c>
      <c r="F80" s="16">
        <v>-2548</v>
      </c>
      <c r="G80" s="16">
        <v>-2810</v>
      </c>
      <c r="H80" s="16">
        <v>-2515</v>
      </c>
      <c r="I80" s="6">
        <v>-638</v>
      </c>
      <c r="J80" s="16">
        <v>-2492</v>
      </c>
      <c r="K80" s="16">
        <v>-2569</v>
      </c>
      <c r="L80" s="16">
        <v>-3022</v>
      </c>
      <c r="M80" s="16">
        <v>-1536</v>
      </c>
      <c r="N80" s="16">
        <v>-2618</v>
      </c>
    </row>
    <row r="81" spans="2:16" outlineLevel="1" x14ac:dyDescent="0.25">
      <c r="B81" s="7" t="s">
        <v>60</v>
      </c>
      <c r="C81" s="11">
        <v>-284</v>
      </c>
      <c r="D81" s="8">
        <v>-2537</v>
      </c>
      <c r="E81" s="8">
        <v>-13761</v>
      </c>
      <c r="F81" s="8">
        <v>-11770</v>
      </c>
      <c r="G81" s="8">
        <v>3595</v>
      </c>
      <c r="H81" s="8">
        <v>5065</v>
      </c>
      <c r="I81" s="8">
        <v>3593</v>
      </c>
      <c r="J81" s="11">
        <v>685</v>
      </c>
      <c r="K81" s="8">
        <v>-22321</v>
      </c>
      <c r="L81" s="8">
        <v>-8169</v>
      </c>
      <c r="M81" s="8">
        <v>1144</v>
      </c>
      <c r="N81" s="8">
        <v>-8044</v>
      </c>
    </row>
    <row r="82" spans="2:16" outlineLevel="1" x14ac:dyDescent="0.25">
      <c r="B82" s="12" t="s">
        <v>61</v>
      </c>
      <c r="C82" s="13">
        <v>-889</v>
      </c>
      <c r="D82" s="17">
        <v>-1285</v>
      </c>
      <c r="E82" s="17">
        <v>-1395</v>
      </c>
      <c r="F82" s="17">
        <v>-2085</v>
      </c>
      <c r="G82" s="17">
        <v>-2187</v>
      </c>
      <c r="H82" s="17">
        <v>-2278</v>
      </c>
      <c r="I82" s="17">
        <v>-2350</v>
      </c>
      <c r="J82" s="17">
        <v>-1958</v>
      </c>
      <c r="K82" s="17">
        <v>-2015</v>
      </c>
      <c r="L82" s="17">
        <v>-1483</v>
      </c>
      <c r="M82" s="17">
        <v>-1051</v>
      </c>
      <c r="N82" s="17">
        <v>-1474</v>
      </c>
    </row>
    <row r="83" spans="2:16" outlineLevel="1" x14ac:dyDescent="0.25">
      <c r="B83" s="12" t="s">
        <v>62</v>
      </c>
      <c r="C83" s="13">
        <v>109</v>
      </c>
      <c r="D83" s="13">
        <v>143</v>
      </c>
      <c r="E83" s="13">
        <v>78</v>
      </c>
      <c r="F83" s="13">
        <v>558</v>
      </c>
      <c r="G83" s="13">
        <v>117</v>
      </c>
      <c r="H83" s="13">
        <v>194</v>
      </c>
      <c r="I83" s="13">
        <v>127</v>
      </c>
      <c r="J83" s="13">
        <v>75</v>
      </c>
      <c r="K83" s="13">
        <v>74</v>
      </c>
      <c r="L83" s="13">
        <v>55</v>
      </c>
      <c r="M83" s="13">
        <v>402</v>
      </c>
      <c r="N83" s="13">
        <v>182</v>
      </c>
    </row>
    <row r="84" spans="2:16" outlineLevel="1" x14ac:dyDescent="0.25">
      <c r="B84" s="12" t="s">
        <v>63</v>
      </c>
      <c r="C84" s="17">
        <v>-46580</v>
      </c>
      <c r="D84" s="17">
        <v>-55128</v>
      </c>
      <c r="E84" s="17">
        <v>-93496</v>
      </c>
      <c r="F84" s="17">
        <v>-81344</v>
      </c>
      <c r="G84" s="17">
        <v>-78248</v>
      </c>
      <c r="H84" s="17">
        <v>-93061</v>
      </c>
      <c r="I84" s="17">
        <v>-117825</v>
      </c>
      <c r="J84" s="17">
        <v>-117225</v>
      </c>
      <c r="K84" s="17">
        <v>-101549</v>
      </c>
      <c r="L84" s="17">
        <v>-80663</v>
      </c>
      <c r="M84" s="17">
        <v>-97507</v>
      </c>
      <c r="N84" s="17">
        <v>-80158</v>
      </c>
    </row>
    <row r="85" spans="2:16" outlineLevel="1" x14ac:dyDescent="0.25">
      <c r="B85" s="12" t="s">
        <v>64</v>
      </c>
      <c r="C85" s="17">
        <v>47353</v>
      </c>
      <c r="D85" s="17">
        <v>56158</v>
      </c>
      <c r="E85" s="17">
        <v>83065</v>
      </c>
      <c r="F85" s="17">
        <v>72976</v>
      </c>
      <c r="G85" s="17">
        <v>83045</v>
      </c>
      <c r="H85" s="17">
        <v>95495</v>
      </c>
      <c r="I85" s="17">
        <v>121283</v>
      </c>
      <c r="J85" s="17">
        <v>118906</v>
      </c>
      <c r="K85" s="17">
        <v>95539</v>
      </c>
      <c r="L85" s="17">
        <v>74088</v>
      </c>
      <c r="M85" s="17">
        <v>97860</v>
      </c>
      <c r="N85" s="17">
        <v>70652</v>
      </c>
    </row>
    <row r="86" spans="2:16" outlineLevel="1" x14ac:dyDescent="0.25">
      <c r="B86" s="12" t="s">
        <v>65</v>
      </c>
      <c r="C86" s="13">
        <v>0</v>
      </c>
      <c r="D86" s="13">
        <v>0</v>
      </c>
      <c r="E86" s="17">
        <v>1837</v>
      </c>
      <c r="F86" s="17">
        <v>1707</v>
      </c>
      <c r="G86" s="17">
        <v>1435</v>
      </c>
      <c r="H86" s="17">
        <v>2016</v>
      </c>
      <c r="I86" s="17">
        <v>2384</v>
      </c>
      <c r="J86" s="17">
        <v>1962</v>
      </c>
      <c r="K86" s="17">
        <v>1228</v>
      </c>
      <c r="L86" s="17">
        <v>1411</v>
      </c>
      <c r="M86" s="17">
        <v>2011</v>
      </c>
      <c r="N86" s="17">
        <v>2621</v>
      </c>
    </row>
    <row r="87" spans="2:16" outlineLevel="1" x14ac:dyDescent="0.25">
      <c r="B87" s="12" t="s">
        <v>66</v>
      </c>
      <c r="C87" s="17">
        <v>1173</v>
      </c>
      <c r="D87" s="17">
        <v>1243</v>
      </c>
      <c r="E87" s="13">
        <v>7</v>
      </c>
      <c r="F87" s="13">
        <v>31</v>
      </c>
      <c r="G87" s="13">
        <v>61</v>
      </c>
      <c r="H87" s="13">
        <v>36</v>
      </c>
      <c r="I87" s="13">
        <v>37</v>
      </c>
      <c r="J87" s="13">
        <v>0</v>
      </c>
      <c r="K87" s="13">
        <v>0</v>
      </c>
      <c r="L87" s="17">
        <v>2741</v>
      </c>
      <c r="M87" s="13">
        <v>0</v>
      </c>
      <c r="N87" s="13">
        <v>230</v>
      </c>
    </row>
    <row r="88" spans="2:16" outlineLevel="1" x14ac:dyDescent="0.25">
      <c r="B88" s="12" t="s">
        <v>67</v>
      </c>
      <c r="C88" s="13">
        <v>0</v>
      </c>
      <c r="D88" s="13">
        <v>0</v>
      </c>
      <c r="E88" s="13">
        <v>0</v>
      </c>
      <c r="F88" s="13">
        <v>0</v>
      </c>
      <c r="G88" s="13">
        <v>0</v>
      </c>
      <c r="H88" s="13">
        <v>0</v>
      </c>
      <c r="I88" s="13">
        <v>0</v>
      </c>
      <c r="J88" s="13">
        <v>0</v>
      </c>
      <c r="K88" s="13">
        <v>0</v>
      </c>
      <c r="L88" s="13">
        <v>0</v>
      </c>
      <c r="M88" s="13">
        <v>-48</v>
      </c>
      <c r="N88" s="13">
        <v>0</v>
      </c>
    </row>
    <row r="89" spans="2:16" outlineLevel="1" x14ac:dyDescent="0.25">
      <c r="B89" s="12" t="s">
        <v>68</v>
      </c>
      <c r="C89" s="13">
        <v>0</v>
      </c>
      <c r="D89" s="13">
        <v>0</v>
      </c>
      <c r="E89" s="13">
        <v>0</v>
      </c>
      <c r="F89" s="13">
        <v>0</v>
      </c>
      <c r="G89" s="13">
        <v>0</v>
      </c>
      <c r="H89" s="17">
        <v>2610</v>
      </c>
      <c r="I89" s="13">
        <v>746</v>
      </c>
      <c r="J89" s="13">
        <v>0</v>
      </c>
      <c r="K89" s="13">
        <v>0</v>
      </c>
      <c r="L89" s="13">
        <v>0</v>
      </c>
      <c r="M89" s="13">
        <v>0</v>
      </c>
      <c r="N89" s="13">
        <v>0</v>
      </c>
    </row>
    <row r="90" spans="2:16" outlineLevel="1" x14ac:dyDescent="0.25">
      <c r="B90" s="12" t="s">
        <v>69</v>
      </c>
      <c r="C90" s="13">
        <v>-298</v>
      </c>
      <c r="D90" s="17">
        <v>-1133</v>
      </c>
      <c r="E90" s="13">
        <v>0</v>
      </c>
      <c r="F90" s="13">
        <v>0</v>
      </c>
      <c r="G90" s="13">
        <v>0</v>
      </c>
      <c r="H90" s="13">
        <v>0</v>
      </c>
      <c r="I90" s="13">
        <v>0</v>
      </c>
      <c r="J90" s="13">
        <v>0</v>
      </c>
      <c r="K90" s="13">
        <v>0</v>
      </c>
      <c r="L90" s="13">
        <v>0</v>
      </c>
      <c r="M90" s="13">
        <v>0</v>
      </c>
      <c r="N90" s="13">
        <v>0</v>
      </c>
    </row>
    <row r="91" spans="2:16" outlineLevel="1" x14ac:dyDescent="0.25">
      <c r="B91" s="12" t="s">
        <v>70</v>
      </c>
      <c r="C91" s="13">
        <v>0</v>
      </c>
      <c r="D91" s="17">
        <v>-2570</v>
      </c>
      <c r="E91" s="13">
        <v>0</v>
      </c>
      <c r="F91" s="13">
        <v>0</v>
      </c>
      <c r="G91" s="13">
        <v>0</v>
      </c>
      <c r="H91" s="13">
        <v>0</v>
      </c>
      <c r="I91" s="13">
        <v>0</v>
      </c>
      <c r="J91" s="13">
        <v>0</v>
      </c>
      <c r="K91" s="13">
        <v>0</v>
      </c>
      <c r="L91" s="13">
        <v>0</v>
      </c>
      <c r="M91" s="13">
        <v>0</v>
      </c>
      <c r="N91" s="13">
        <v>0</v>
      </c>
      <c r="P91" s="172"/>
    </row>
    <row r="92" spans="2:16" ht="15.6" outlineLevel="1" thickBot="1" x14ac:dyDescent="0.3">
      <c r="B92" s="12" t="s">
        <v>71</v>
      </c>
      <c r="C92" s="17">
        <v>-1152</v>
      </c>
      <c r="D92" s="13">
        <v>35</v>
      </c>
      <c r="E92" s="17">
        <v>-3856</v>
      </c>
      <c r="F92" s="17">
        <v>-3612</v>
      </c>
      <c r="G92" s="13">
        <v>-628</v>
      </c>
      <c r="H92" s="13">
        <v>53</v>
      </c>
      <c r="I92" s="13">
        <v>-808</v>
      </c>
      <c r="J92" s="17">
        <v>-1076</v>
      </c>
      <c r="K92" s="17">
        <v>-15597</v>
      </c>
      <c r="L92" s="17">
        <v>-4318</v>
      </c>
      <c r="M92" s="13">
        <v>-523</v>
      </c>
      <c r="N92" s="13">
        <v>-97</v>
      </c>
    </row>
    <row r="93" spans="2:16" outlineLevel="1" x14ac:dyDescent="0.25">
      <c r="B93" s="2" t="s">
        <v>72</v>
      </c>
      <c r="C93" s="3">
        <v>-3570</v>
      </c>
      <c r="D93" s="26">
        <v>-830</v>
      </c>
      <c r="E93" s="26">
        <v>-159</v>
      </c>
      <c r="F93" s="3">
        <v>-2275</v>
      </c>
      <c r="G93" s="3">
        <v>-12998</v>
      </c>
      <c r="H93" s="3">
        <v>-4937</v>
      </c>
      <c r="I93" s="3">
        <v>-15100</v>
      </c>
      <c r="J93" s="3">
        <v>-12884</v>
      </c>
      <c r="K93" s="3">
        <v>4659</v>
      </c>
      <c r="L93" s="3">
        <v>-6088</v>
      </c>
      <c r="M93" s="3">
        <v>-18257</v>
      </c>
      <c r="N93" s="3">
        <v>-6396</v>
      </c>
    </row>
    <row r="94" spans="2:16" outlineLevel="1" x14ac:dyDescent="0.25">
      <c r="B94" s="4" t="s">
        <v>73</v>
      </c>
      <c r="C94" s="6">
        <v>1</v>
      </c>
      <c r="D94" s="6">
        <v>100</v>
      </c>
      <c r="E94" s="6">
        <v>0</v>
      </c>
      <c r="F94" s="6">
        <v>0</v>
      </c>
      <c r="G94" s="6">
        <v>2</v>
      </c>
      <c r="H94" s="6">
        <v>0</v>
      </c>
      <c r="I94" s="6">
        <v>1</v>
      </c>
      <c r="J94" s="6">
        <v>1</v>
      </c>
      <c r="K94" s="6">
        <v>1</v>
      </c>
      <c r="L94" s="6">
        <v>1</v>
      </c>
      <c r="M94" s="6">
        <v>1</v>
      </c>
      <c r="N94" s="6">
        <v>3</v>
      </c>
    </row>
    <row r="95" spans="2:16" outlineLevel="1" x14ac:dyDescent="0.25">
      <c r="B95" s="4" t="s">
        <v>74</v>
      </c>
      <c r="C95" s="6">
        <v>0</v>
      </c>
      <c r="D95" s="6">
        <v>0</v>
      </c>
      <c r="E95" s="6">
        <v>0</v>
      </c>
      <c r="F95" s="6">
        <v>0</v>
      </c>
      <c r="G95" s="6">
        <v>0</v>
      </c>
      <c r="H95" s="16">
        <v>6516</v>
      </c>
      <c r="I95" s="16">
        <v>10634</v>
      </c>
      <c r="J95" s="16">
        <v>10342</v>
      </c>
      <c r="K95" s="16">
        <v>26012</v>
      </c>
      <c r="L95" s="16">
        <v>16103</v>
      </c>
      <c r="M95" s="16">
        <v>12050</v>
      </c>
      <c r="N95" s="16">
        <v>19560</v>
      </c>
    </row>
    <row r="96" spans="2:16" outlineLevel="1" x14ac:dyDescent="0.25">
      <c r="B96" s="4" t="s">
        <v>75</v>
      </c>
      <c r="C96" s="6">
        <v>0</v>
      </c>
      <c r="D96" s="6">
        <v>0</v>
      </c>
      <c r="E96" s="6">
        <v>0</v>
      </c>
      <c r="F96" s="6">
        <v>0</v>
      </c>
      <c r="G96" s="6">
        <v>0</v>
      </c>
      <c r="H96" s="16">
        <v>-10404</v>
      </c>
      <c r="I96" s="16">
        <v>-13238</v>
      </c>
      <c r="J96" s="16">
        <v>-9721</v>
      </c>
      <c r="K96" s="16">
        <v>-19181</v>
      </c>
      <c r="L96" s="16">
        <v>-16891</v>
      </c>
      <c r="M96" s="16">
        <v>-13056</v>
      </c>
      <c r="N96" s="16">
        <v>-17767</v>
      </c>
    </row>
    <row r="97" spans="2:18" outlineLevel="1" x14ac:dyDescent="0.25">
      <c r="B97" s="4" t="s">
        <v>76</v>
      </c>
      <c r="C97" s="6">
        <v>-94</v>
      </c>
      <c r="D97" s="6">
        <v>-92</v>
      </c>
      <c r="E97" s="6">
        <v>-135</v>
      </c>
      <c r="F97" s="6">
        <v>-200</v>
      </c>
      <c r="G97" s="6">
        <v>-312</v>
      </c>
      <c r="H97" s="6">
        <v>-480</v>
      </c>
      <c r="I97" s="6">
        <v>-460</v>
      </c>
      <c r="J97" s="6">
        <v>-334</v>
      </c>
      <c r="K97" s="6">
        <v>-509</v>
      </c>
      <c r="L97" s="6">
        <v>-871</v>
      </c>
      <c r="M97" s="16">
        <v>-1046</v>
      </c>
      <c r="N97" s="6">
        <v>-869</v>
      </c>
    </row>
    <row r="98" spans="2:18" outlineLevel="1" x14ac:dyDescent="0.25">
      <c r="B98" s="4" t="s">
        <v>77</v>
      </c>
      <c r="C98" s="16">
        <v>-2329</v>
      </c>
      <c r="D98" s="16">
        <v>-2949</v>
      </c>
      <c r="E98" s="16">
        <v>-3549</v>
      </c>
      <c r="F98" s="6">
        <v>-873</v>
      </c>
      <c r="G98" s="6">
        <v>-542</v>
      </c>
      <c r="H98" s="6">
        <v>-543</v>
      </c>
      <c r="I98" s="6">
        <v>-828</v>
      </c>
      <c r="J98" s="6">
        <v>-642</v>
      </c>
      <c r="K98" s="6">
        <v>-660</v>
      </c>
      <c r="L98" s="16">
        <v>-3281</v>
      </c>
      <c r="M98" s="6">
        <v>-554</v>
      </c>
      <c r="N98" s="16">
        <v>-6275</v>
      </c>
    </row>
    <row r="99" spans="2:18" outlineLevel="1" x14ac:dyDescent="0.25">
      <c r="B99" s="4" t="s">
        <v>78</v>
      </c>
      <c r="C99" s="6">
        <v>0</v>
      </c>
      <c r="D99" s="6">
        <v>0</v>
      </c>
      <c r="E99" s="6">
        <v>0</v>
      </c>
      <c r="F99" s="6">
        <v>0</v>
      </c>
      <c r="G99" s="6">
        <v>0</v>
      </c>
      <c r="H99" s="6">
        <v>0</v>
      </c>
      <c r="I99" s="6">
        <v>-678</v>
      </c>
      <c r="J99" s="6">
        <v>-866</v>
      </c>
      <c r="K99" s="6">
        <v>-973</v>
      </c>
      <c r="L99" s="6">
        <v>-971</v>
      </c>
      <c r="M99" s="16">
        <v>-1006</v>
      </c>
      <c r="N99" s="16">
        <v>-1047</v>
      </c>
    </row>
    <row r="100" spans="2:18" ht="15.6" outlineLevel="1" thickBot="1" x14ac:dyDescent="0.3">
      <c r="B100" s="4" t="s">
        <v>79</v>
      </c>
      <c r="C100" s="16">
        <v>-1148</v>
      </c>
      <c r="D100" s="16">
        <v>2111</v>
      </c>
      <c r="E100" s="16">
        <v>3525</v>
      </c>
      <c r="F100" s="16">
        <v>-1202</v>
      </c>
      <c r="G100" s="16">
        <v>-12146</v>
      </c>
      <c r="H100" s="6">
        <v>-26</v>
      </c>
      <c r="I100" s="16">
        <v>-10531</v>
      </c>
      <c r="J100" s="16">
        <v>-11664</v>
      </c>
      <c r="K100" s="6">
        <v>-31</v>
      </c>
      <c r="L100" s="6">
        <v>-178</v>
      </c>
      <c r="M100" s="16">
        <v>-14647</v>
      </c>
      <c r="N100" s="6">
        <v>0</v>
      </c>
    </row>
    <row r="101" spans="2:18" outlineLevel="1" x14ac:dyDescent="0.25">
      <c r="B101" s="7" t="s">
        <v>80</v>
      </c>
      <c r="C101" s="8">
        <v>2936</v>
      </c>
      <c r="D101" s="8">
        <v>4474</v>
      </c>
      <c r="E101" s="8">
        <v>-6032</v>
      </c>
      <c r="F101" s="8">
        <v>-4767</v>
      </c>
      <c r="G101" s="11">
        <v>-979</v>
      </c>
      <c r="H101" s="8">
        <v>11760</v>
      </c>
      <c r="I101" s="8">
        <v>-1442</v>
      </c>
      <c r="J101" s="8">
        <v>2556</v>
      </c>
      <c r="K101" s="8">
        <v>-6583</v>
      </c>
      <c r="L101" s="8">
        <v>-1197</v>
      </c>
      <c r="M101" s="11">
        <v>509</v>
      </c>
      <c r="N101" s="8">
        <v>2502</v>
      </c>
    </row>
    <row r="105" spans="2:18" x14ac:dyDescent="0.25">
      <c r="B105" s="250" t="s">
        <v>312</v>
      </c>
      <c r="C105" s="944" t="s">
        <v>378</v>
      </c>
      <c r="D105" s="944"/>
      <c r="E105" s="944" t="s">
        <v>379</v>
      </c>
      <c r="F105" s="944"/>
      <c r="G105" s="944" t="s">
        <v>271</v>
      </c>
      <c r="H105" s="944"/>
      <c r="I105" s="944" t="s">
        <v>414</v>
      </c>
      <c r="J105" s="944"/>
      <c r="K105" s="944" t="s">
        <v>410</v>
      </c>
      <c r="L105" s="944"/>
      <c r="M105" s="944" t="s">
        <v>411</v>
      </c>
      <c r="N105" s="944"/>
      <c r="O105" s="944" t="s">
        <v>412</v>
      </c>
      <c r="P105" s="944"/>
      <c r="Q105" s="944" t="s">
        <v>413</v>
      </c>
      <c r="R105" s="944"/>
    </row>
    <row r="106" spans="2:18" x14ac:dyDescent="0.25">
      <c r="B106" s="241"/>
      <c r="C106" s="241"/>
      <c r="D106" s="241"/>
      <c r="E106" s="241"/>
      <c r="F106" s="241"/>
      <c r="G106" s="241"/>
      <c r="H106" s="241"/>
      <c r="I106" s="241"/>
      <c r="J106" s="241"/>
      <c r="K106" s="241"/>
      <c r="L106" s="241"/>
      <c r="M106" s="241"/>
      <c r="N106" s="241"/>
      <c r="O106" s="241"/>
      <c r="P106" s="241"/>
      <c r="Q106" s="241"/>
      <c r="R106" s="241"/>
    </row>
    <row r="107" spans="2:18" x14ac:dyDescent="0.25">
      <c r="B107" s="251" t="s">
        <v>302</v>
      </c>
      <c r="C107" s="252" t="s">
        <v>376</v>
      </c>
      <c r="D107" s="253" t="s">
        <v>377</v>
      </c>
      <c r="E107" s="252" t="s">
        <v>376</v>
      </c>
      <c r="F107" s="253" t="s">
        <v>377</v>
      </c>
      <c r="G107" s="252" t="s">
        <v>376</v>
      </c>
      <c r="H107" s="253" t="s">
        <v>377</v>
      </c>
      <c r="I107" s="252" t="s">
        <v>376</v>
      </c>
      <c r="J107" s="253" t="s">
        <v>377</v>
      </c>
      <c r="K107" s="252" t="s">
        <v>376</v>
      </c>
      <c r="L107" s="253" t="s">
        <v>377</v>
      </c>
      <c r="M107" s="252" t="s">
        <v>376</v>
      </c>
      <c r="N107" s="253" t="s">
        <v>377</v>
      </c>
      <c r="O107" s="252" t="s">
        <v>376</v>
      </c>
      <c r="P107" s="253" t="s">
        <v>377</v>
      </c>
      <c r="Q107" s="252" t="s">
        <v>376</v>
      </c>
      <c r="R107" s="253" t="s">
        <v>377</v>
      </c>
    </row>
    <row r="108" spans="2:18" x14ac:dyDescent="0.25">
      <c r="B108" s="254" t="s">
        <v>313</v>
      </c>
      <c r="C108" s="249">
        <v>246.3</v>
      </c>
      <c r="D108" s="255">
        <f>C108/C109-1</f>
        <v>-6.0819828408007592E-2</v>
      </c>
      <c r="E108" s="248">
        <v>22904.45</v>
      </c>
      <c r="F108" s="255">
        <f>E108/E109-1</f>
        <v>-2.6144430011883713E-2</v>
      </c>
      <c r="G108" s="248">
        <v>3299.4</v>
      </c>
      <c r="H108" s="255">
        <f>G108/G109-1</f>
        <v>-8.5063017345368364E-2</v>
      </c>
      <c r="I108" s="248">
        <v>1451.65</v>
      </c>
      <c r="J108" s="255">
        <f>I108/I109-1</f>
        <v>-7.5764810747142919E-2</v>
      </c>
      <c r="K108" s="248">
        <v>1422.1</v>
      </c>
      <c r="L108" s="255">
        <f>K108/K109-1</f>
        <v>-0.10700156985871279</v>
      </c>
      <c r="M108" s="248">
        <v>4136.25</v>
      </c>
      <c r="N108" s="255">
        <f>M108/M109-1</f>
        <v>-7.9063087935698717E-2</v>
      </c>
      <c r="O108" s="248">
        <v>1320.95</v>
      </c>
      <c r="P108" s="255">
        <f>O108/O109-1</f>
        <v>-6.8605676009166228E-2</v>
      </c>
      <c r="Q108" s="248">
        <v>4609.95</v>
      </c>
      <c r="R108" s="255">
        <f>Q108/Q109-1</f>
        <v>-0.16391747902969855</v>
      </c>
    </row>
    <row r="109" spans="2:18" x14ac:dyDescent="0.25">
      <c r="B109" s="254" t="s">
        <v>314</v>
      </c>
      <c r="C109" s="249">
        <v>262.25</v>
      </c>
      <c r="D109" s="255">
        <f t="shared" ref="D109:D172" si="4">C109/C110-1</f>
        <v>-7.7563374952706043E-3</v>
      </c>
      <c r="E109" s="248">
        <v>23519.35</v>
      </c>
      <c r="F109" s="255">
        <f t="shared" ref="F109:F172" si="5">E109/E110-1</f>
        <v>7.2354220912702605E-3</v>
      </c>
      <c r="G109" s="248">
        <v>3606.15</v>
      </c>
      <c r="H109" s="255">
        <f t="shared" ref="H109:H172" si="6">G109/G110-1</f>
        <v>7.8393560828373676E-3</v>
      </c>
      <c r="I109" s="248">
        <v>1570.65</v>
      </c>
      <c r="J109" s="255">
        <f t="shared" ref="J109:J172" si="7">I109/I110-1</f>
        <v>-1.3751530564189429E-2</v>
      </c>
      <c r="K109" s="248">
        <v>1592.5</v>
      </c>
      <c r="L109" s="255">
        <f t="shared" ref="L109:L172" si="8">K109/K110-1</f>
        <v>1.6467734729048278E-2</v>
      </c>
      <c r="M109" s="248">
        <v>4491.3500000000004</v>
      </c>
      <c r="N109" s="255">
        <f t="shared" ref="N109:N172" si="9">M109/M110-1</f>
        <v>-6.393451689618912E-3</v>
      </c>
      <c r="O109" s="248">
        <v>1418.25</v>
      </c>
      <c r="P109" s="255">
        <f t="shared" ref="P109:P172" si="10">O109/O110-1</f>
        <v>6.3863757317721426E-3</v>
      </c>
      <c r="Q109" s="248">
        <v>5513.75</v>
      </c>
      <c r="R109" s="255">
        <f t="shared" ref="R109:R172" si="11">Q109/Q110-1</f>
        <v>4.5151690345082374E-2</v>
      </c>
    </row>
    <row r="110" spans="2:18" x14ac:dyDescent="0.25">
      <c r="B110" s="254" t="s">
        <v>315</v>
      </c>
      <c r="C110" s="249">
        <v>264.3</v>
      </c>
      <c r="D110" s="255">
        <f t="shared" si="4"/>
        <v>1.1363636363637131E-3</v>
      </c>
      <c r="E110" s="248">
        <v>23350.400000000001</v>
      </c>
      <c r="F110" s="255">
        <f t="shared" si="5"/>
        <v>4.2558891289982803E-2</v>
      </c>
      <c r="G110" s="248">
        <v>3578.1</v>
      </c>
      <c r="H110" s="255">
        <f t="shared" si="6"/>
        <v>1.9096851369248435E-2</v>
      </c>
      <c r="I110" s="248">
        <v>1592.55</v>
      </c>
      <c r="J110" s="255">
        <f t="shared" si="7"/>
        <v>8.0387378548596455E-3</v>
      </c>
      <c r="K110" s="248">
        <v>1566.7</v>
      </c>
      <c r="L110" s="255">
        <f t="shared" si="8"/>
        <v>2.0817722756149237E-2</v>
      </c>
      <c r="M110" s="248">
        <v>4520.25</v>
      </c>
      <c r="N110" s="255">
        <f t="shared" si="9"/>
        <v>1.1909425683616748E-2</v>
      </c>
      <c r="O110" s="248">
        <v>1409.25</v>
      </c>
      <c r="P110" s="255">
        <f t="shared" si="10"/>
        <v>-2.1795717210981169E-2</v>
      </c>
      <c r="Q110" s="248">
        <v>5275.55</v>
      </c>
      <c r="R110" s="255">
        <f t="shared" si="11"/>
        <v>2.9224991464663841E-2</v>
      </c>
    </row>
    <row r="111" spans="2:18" x14ac:dyDescent="0.25">
      <c r="B111" s="254">
        <v>45903</v>
      </c>
      <c r="C111" s="249">
        <v>264</v>
      </c>
      <c r="D111" s="255">
        <f t="shared" si="4"/>
        <v>-7.3033707865168607E-2</v>
      </c>
      <c r="E111" s="248">
        <v>22397.200000000001</v>
      </c>
      <c r="F111" s="255">
        <f t="shared" si="5"/>
        <v>-6.8861545283227521E-3</v>
      </c>
      <c r="G111" s="248">
        <v>3511.05</v>
      </c>
      <c r="H111" s="255">
        <f t="shared" si="6"/>
        <v>-2.7733163491360124E-2</v>
      </c>
      <c r="I111" s="248">
        <v>1579.85</v>
      </c>
      <c r="J111" s="255">
        <f t="shared" si="7"/>
        <v>-6.2959667852906298E-2</v>
      </c>
      <c r="K111" s="248">
        <v>1534.75</v>
      </c>
      <c r="L111" s="255">
        <f t="shared" si="8"/>
        <v>-1.4891363650951561E-2</v>
      </c>
      <c r="M111" s="248">
        <v>4467.05</v>
      </c>
      <c r="N111" s="255">
        <f t="shared" si="9"/>
        <v>-5.3981935429218808E-2</v>
      </c>
      <c r="O111" s="248">
        <v>1440.65</v>
      </c>
      <c r="P111" s="255">
        <f t="shared" si="10"/>
        <v>-3.4643347740141217E-2</v>
      </c>
      <c r="Q111" s="248">
        <v>5125.75</v>
      </c>
      <c r="R111" s="255">
        <f t="shared" si="11"/>
        <v>-2.8993331817837475E-2</v>
      </c>
    </row>
    <row r="112" spans="2:18" x14ac:dyDescent="0.25">
      <c r="B112" s="254">
        <v>45691</v>
      </c>
      <c r="C112" s="249">
        <v>284.8</v>
      </c>
      <c r="D112" s="255">
        <f t="shared" si="4"/>
        <v>2.5751845849090627E-2</v>
      </c>
      <c r="E112" s="248">
        <v>22552.5</v>
      </c>
      <c r="F112" s="255">
        <f t="shared" si="5"/>
        <v>1.9335855401429125E-2</v>
      </c>
      <c r="G112" s="248">
        <v>3611.2</v>
      </c>
      <c r="H112" s="255">
        <f t="shared" si="6"/>
        <v>3.6732936194645793E-2</v>
      </c>
      <c r="I112" s="248">
        <v>1686</v>
      </c>
      <c r="J112" s="255">
        <f t="shared" si="7"/>
        <v>-1.0072880251229543E-3</v>
      </c>
      <c r="K112" s="248">
        <v>1557.95</v>
      </c>
      <c r="L112" s="255">
        <f t="shared" si="8"/>
        <v>-1.0856798196882567E-2</v>
      </c>
      <c r="M112" s="248">
        <v>4721.95</v>
      </c>
      <c r="N112" s="255">
        <f t="shared" si="9"/>
        <v>1.2001843140196478E-2</v>
      </c>
      <c r="O112" s="248">
        <v>1492.35</v>
      </c>
      <c r="P112" s="255">
        <f t="shared" si="10"/>
        <v>3.0244984373424266E-3</v>
      </c>
      <c r="Q112" s="248">
        <v>5278.8</v>
      </c>
      <c r="R112" s="255">
        <f t="shared" si="11"/>
        <v>-4.7323667489959087E-3</v>
      </c>
    </row>
    <row r="113" spans="2:18" x14ac:dyDescent="0.25">
      <c r="B113" s="254" t="s">
        <v>316</v>
      </c>
      <c r="C113" s="249">
        <v>277.64999999999998</v>
      </c>
      <c r="D113" s="255">
        <f t="shared" si="4"/>
        <v>-9.3683695119960997E-2</v>
      </c>
      <c r="E113" s="248">
        <v>22124.7</v>
      </c>
      <c r="F113" s="255">
        <f t="shared" si="5"/>
        <v>-2.9443891226053842E-2</v>
      </c>
      <c r="G113" s="248">
        <v>3483.25</v>
      </c>
      <c r="H113" s="255">
        <f t="shared" si="6"/>
        <v>-7.9965662968832563E-2</v>
      </c>
      <c r="I113" s="248">
        <v>1687.7</v>
      </c>
      <c r="J113" s="255">
        <f t="shared" si="7"/>
        <v>-7.0137741046831903E-2</v>
      </c>
      <c r="K113" s="248">
        <v>1575.05</v>
      </c>
      <c r="L113" s="255">
        <f t="shared" si="8"/>
        <v>-7.3881342976421571E-2</v>
      </c>
      <c r="M113" s="248">
        <v>4665.95</v>
      </c>
      <c r="N113" s="255">
        <f t="shared" si="9"/>
        <v>-0.11938284420118905</v>
      </c>
      <c r="O113" s="248">
        <v>1487.85</v>
      </c>
      <c r="P113" s="255">
        <f t="shared" si="10"/>
        <v>-9.7999393755683561E-2</v>
      </c>
      <c r="Q113" s="248">
        <v>5303.9</v>
      </c>
      <c r="R113" s="255">
        <f t="shared" si="11"/>
        <v>-7.1169640824475189E-2</v>
      </c>
    </row>
    <row r="114" spans="2:18" x14ac:dyDescent="0.25">
      <c r="B114" s="254" t="s">
        <v>317</v>
      </c>
      <c r="C114" s="249">
        <v>306.35000000000002</v>
      </c>
      <c r="D114" s="255">
        <f t="shared" si="4"/>
        <v>-5.6799740344044558E-3</v>
      </c>
      <c r="E114" s="248">
        <v>22795.9</v>
      </c>
      <c r="F114" s="255">
        <f t="shared" si="5"/>
        <v>-5.8157157342695331E-3</v>
      </c>
      <c r="G114" s="248">
        <v>3786</v>
      </c>
      <c r="H114" s="255">
        <f t="shared" si="6"/>
        <v>-3.7828633874226414E-2</v>
      </c>
      <c r="I114" s="248">
        <v>1815</v>
      </c>
      <c r="J114" s="255">
        <f t="shared" si="7"/>
        <v>-2.2301228183581157E-2</v>
      </c>
      <c r="K114" s="248">
        <v>1700.7</v>
      </c>
      <c r="L114" s="255">
        <f t="shared" si="8"/>
        <v>-6.1650840029218168E-3</v>
      </c>
      <c r="M114" s="248">
        <v>5298.5</v>
      </c>
      <c r="N114" s="255">
        <f t="shared" si="9"/>
        <v>-3.8663908846795936E-2</v>
      </c>
      <c r="O114" s="248">
        <v>1649.5</v>
      </c>
      <c r="P114" s="255">
        <f t="shared" si="10"/>
        <v>-5.7862696642757561E-3</v>
      </c>
      <c r="Q114" s="248">
        <v>5710.3</v>
      </c>
      <c r="R114" s="255">
        <f t="shared" si="11"/>
        <v>2.6533877433620345E-2</v>
      </c>
    </row>
    <row r="115" spans="2:18" x14ac:dyDescent="0.25">
      <c r="B115" s="254">
        <v>45902</v>
      </c>
      <c r="C115" s="249">
        <v>308.10000000000002</v>
      </c>
      <c r="D115" s="255">
        <f t="shared" si="4"/>
        <v>-3.1132075471698051E-2</v>
      </c>
      <c r="E115" s="248">
        <v>22929.25</v>
      </c>
      <c r="F115" s="255">
        <f t="shared" si="5"/>
        <v>-2.6770005878620329E-2</v>
      </c>
      <c r="G115" s="248">
        <v>3934.85</v>
      </c>
      <c r="H115" s="255">
        <f t="shared" si="6"/>
        <v>-2.3465032014692078E-2</v>
      </c>
      <c r="I115" s="248">
        <v>1856.4</v>
      </c>
      <c r="J115" s="255">
        <f t="shared" si="7"/>
        <v>-2.4820739106453438E-2</v>
      </c>
      <c r="K115" s="248">
        <v>1711.25</v>
      </c>
      <c r="L115" s="255">
        <f t="shared" si="8"/>
        <v>-8.3446817141367147E-3</v>
      </c>
      <c r="M115" s="248">
        <v>5511.6</v>
      </c>
      <c r="N115" s="255">
        <f t="shared" si="9"/>
        <v>-7.4707047644629432E-2</v>
      </c>
      <c r="O115" s="248">
        <v>1659.1</v>
      </c>
      <c r="P115" s="255">
        <f t="shared" si="10"/>
        <v>-1.9502393475562929E-2</v>
      </c>
      <c r="Q115" s="248">
        <v>5562.7</v>
      </c>
      <c r="R115" s="255">
        <f t="shared" si="11"/>
        <v>-0.110551478230281</v>
      </c>
    </row>
    <row r="116" spans="2:18" x14ac:dyDescent="0.25">
      <c r="B116" s="254">
        <v>45690</v>
      </c>
      <c r="C116" s="249">
        <v>318</v>
      </c>
      <c r="D116" s="255">
        <f t="shared" si="4"/>
        <v>1.955755049695429E-2</v>
      </c>
      <c r="E116" s="248">
        <v>23559.95</v>
      </c>
      <c r="F116" s="255">
        <f t="shared" si="5"/>
        <v>2.1928332000475947E-3</v>
      </c>
      <c r="G116" s="248">
        <v>4029.4</v>
      </c>
      <c r="H116" s="255">
        <f t="shared" si="6"/>
        <v>-2.0182861589339463E-2</v>
      </c>
      <c r="I116" s="248">
        <v>1903.65</v>
      </c>
      <c r="J116" s="255">
        <f t="shared" si="7"/>
        <v>1.2687519948930914E-2</v>
      </c>
      <c r="K116" s="248">
        <v>1725.65</v>
      </c>
      <c r="L116" s="255">
        <f t="shared" si="8"/>
        <v>1.159117911269103E-4</v>
      </c>
      <c r="M116" s="248">
        <v>5956.6</v>
      </c>
      <c r="N116" s="255">
        <f t="shared" si="9"/>
        <v>7.1777009375819656E-3</v>
      </c>
      <c r="O116" s="248">
        <v>1692.1</v>
      </c>
      <c r="P116" s="255">
        <f t="shared" si="10"/>
        <v>1.0540774582698642E-2</v>
      </c>
      <c r="Q116" s="248">
        <v>6254.1</v>
      </c>
      <c r="R116" s="255">
        <f t="shared" si="11"/>
        <v>3.6717170042767533E-2</v>
      </c>
    </row>
    <row r="117" spans="2:18" x14ac:dyDescent="0.25">
      <c r="B117" s="254" t="s">
        <v>318</v>
      </c>
      <c r="C117" s="249">
        <v>311.89999999999998</v>
      </c>
      <c r="D117" s="255">
        <f t="shared" si="4"/>
        <v>-2.5616994689159789E-2</v>
      </c>
      <c r="E117" s="248">
        <v>23508.400000000001</v>
      </c>
      <c r="F117" s="255">
        <f t="shared" si="5"/>
        <v>1.8023401841314346E-2</v>
      </c>
      <c r="G117" s="248">
        <v>4112.3999999999996</v>
      </c>
      <c r="H117" s="255">
        <f t="shared" si="6"/>
        <v>-9.6210579551340158E-3</v>
      </c>
      <c r="I117" s="248">
        <v>1879.8</v>
      </c>
      <c r="J117" s="255">
        <f t="shared" si="7"/>
        <v>2.319443333599791E-3</v>
      </c>
      <c r="K117" s="248">
        <v>1725.45</v>
      </c>
      <c r="L117" s="255">
        <f t="shared" si="8"/>
        <v>-3.7593775274004981E-2</v>
      </c>
      <c r="M117" s="248">
        <v>5914.15</v>
      </c>
      <c r="N117" s="255">
        <f t="shared" si="9"/>
        <v>-1.4004317998049354E-2</v>
      </c>
      <c r="O117" s="248">
        <v>1674.45</v>
      </c>
      <c r="P117" s="255">
        <f t="shared" si="10"/>
        <v>-2.8205797858448678E-2</v>
      </c>
      <c r="Q117" s="248">
        <v>6032.6</v>
      </c>
      <c r="R117" s="255">
        <f t="shared" si="11"/>
        <v>-5.1574917657786434E-2</v>
      </c>
    </row>
    <row r="118" spans="2:18" x14ac:dyDescent="0.25">
      <c r="B118" s="254" t="s">
        <v>319</v>
      </c>
      <c r="C118" s="249">
        <v>320.10000000000002</v>
      </c>
      <c r="D118" s="255">
        <f t="shared" si="4"/>
        <v>0.13530767866643045</v>
      </c>
      <c r="E118" s="248">
        <v>23092.2</v>
      </c>
      <c r="F118" s="255">
        <f t="shared" si="5"/>
        <v>-4.7838229209764549E-3</v>
      </c>
      <c r="G118" s="248">
        <v>4152.3500000000004</v>
      </c>
      <c r="H118" s="255">
        <f t="shared" si="6"/>
        <v>6.8011541352472893E-3</v>
      </c>
      <c r="I118" s="248">
        <v>1875.45</v>
      </c>
      <c r="J118" s="255">
        <f t="shared" si="7"/>
        <v>3.3049657109807562E-2</v>
      </c>
      <c r="K118" s="248">
        <v>1792.85</v>
      </c>
      <c r="L118" s="255">
        <f t="shared" si="8"/>
        <v>2.2080608194978701E-3</v>
      </c>
      <c r="M118" s="248">
        <v>5998.15</v>
      </c>
      <c r="N118" s="255">
        <f t="shared" si="9"/>
        <v>1.8309763509498644E-2</v>
      </c>
      <c r="O118" s="248">
        <v>1723.05</v>
      </c>
      <c r="P118" s="255">
        <f t="shared" si="10"/>
        <v>3.7794374510630613E-2</v>
      </c>
      <c r="Q118" s="248">
        <v>6360.65</v>
      </c>
      <c r="R118" s="255">
        <f t="shared" si="11"/>
        <v>6.7008320472388139E-2</v>
      </c>
    </row>
    <row r="119" spans="2:18" x14ac:dyDescent="0.25">
      <c r="B119" s="254">
        <v>45992</v>
      </c>
      <c r="C119" s="249">
        <v>281.95</v>
      </c>
      <c r="D119" s="255">
        <f t="shared" si="4"/>
        <v>-6.1886541340875123E-2</v>
      </c>
      <c r="E119" s="248">
        <v>23203.200000000001</v>
      </c>
      <c r="F119" s="255">
        <f t="shared" si="5"/>
        <v>-9.7432942833365344E-3</v>
      </c>
      <c r="G119" s="248">
        <v>4124.3</v>
      </c>
      <c r="H119" s="255">
        <f t="shared" si="6"/>
        <v>-1.7724449355994265E-2</v>
      </c>
      <c r="I119" s="248">
        <v>1815.45</v>
      </c>
      <c r="J119" s="255">
        <f t="shared" si="7"/>
        <v>-7.7022801799740748E-2</v>
      </c>
      <c r="K119" s="248">
        <v>1788.9</v>
      </c>
      <c r="L119" s="255">
        <f t="shared" si="8"/>
        <v>-0.10034097424085453</v>
      </c>
      <c r="M119" s="248">
        <v>5890.3</v>
      </c>
      <c r="N119" s="255">
        <f t="shared" si="9"/>
        <v>-3.8224152570047631E-2</v>
      </c>
      <c r="O119" s="248">
        <v>1660.3</v>
      </c>
      <c r="P119" s="255">
        <f t="shared" si="10"/>
        <v>-2.6559568480300166E-2</v>
      </c>
      <c r="Q119" s="248">
        <v>5961.2</v>
      </c>
      <c r="R119" s="255">
        <f t="shared" si="11"/>
        <v>-5.6719913286337076E-2</v>
      </c>
    </row>
    <row r="120" spans="2:18" x14ac:dyDescent="0.25">
      <c r="B120" s="254">
        <v>45778</v>
      </c>
      <c r="C120" s="249">
        <v>300.55</v>
      </c>
      <c r="D120" s="255">
        <f t="shared" si="4"/>
        <v>2.07165902530142E-2</v>
      </c>
      <c r="E120" s="248">
        <v>23431.5</v>
      </c>
      <c r="F120" s="255">
        <f t="shared" si="5"/>
        <v>-2.3880690280048689E-2</v>
      </c>
      <c r="G120" s="248">
        <v>4198.72</v>
      </c>
      <c r="H120" s="255">
        <f t="shared" si="6"/>
        <v>4.0427994062796513E-2</v>
      </c>
      <c r="I120" s="248">
        <v>1966.95</v>
      </c>
      <c r="J120" s="255">
        <f t="shared" si="7"/>
        <v>1.4545454545454639E-2</v>
      </c>
      <c r="K120" s="248">
        <v>1988.42</v>
      </c>
      <c r="L120" s="255">
        <f t="shared" si="8"/>
        <v>2.4890084685046832E-2</v>
      </c>
      <c r="M120" s="248">
        <v>6124.4</v>
      </c>
      <c r="N120" s="255">
        <f t="shared" si="9"/>
        <v>6.8196881431611178E-2</v>
      </c>
      <c r="O120" s="248">
        <v>1705.6</v>
      </c>
      <c r="P120" s="255">
        <f t="shared" si="10"/>
        <v>9.5593240403681889E-3</v>
      </c>
      <c r="Q120" s="248">
        <v>6319.65</v>
      </c>
      <c r="R120" s="255">
        <f t="shared" si="11"/>
        <v>-1.3471850389091378E-2</v>
      </c>
    </row>
    <row r="121" spans="2:18" x14ac:dyDescent="0.25">
      <c r="B121" s="254" t="s">
        <v>320</v>
      </c>
      <c r="C121" s="249">
        <v>294.45</v>
      </c>
      <c r="D121" s="255">
        <f t="shared" si="4"/>
        <v>-4.7395664833387308E-2</v>
      </c>
      <c r="E121" s="248">
        <v>24004.75</v>
      </c>
      <c r="F121" s="255">
        <f t="shared" si="5"/>
        <v>8.035391838208783E-3</v>
      </c>
      <c r="G121" s="248">
        <v>4035.57</v>
      </c>
      <c r="H121" s="255">
        <f t="shared" si="6"/>
        <v>-1.5594584705451831E-2</v>
      </c>
      <c r="I121" s="248">
        <v>1938.75</v>
      </c>
      <c r="J121" s="255">
        <f t="shared" si="7"/>
        <v>1.1477761836441891E-2</v>
      </c>
      <c r="K121" s="248">
        <v>1940.13</v>
      </c>
      <c r="L121" s="255">
        <f t="shared" si="8"/>
        <v>2.8880981295772878E-2</v>
      </c>
      <c r="M121" s="248">
        <v>5733.4</v>
      </c>
      <c r="N121" s="255">
        <f t="shared" si="9"/>
        <v>9.7569566748854086E-3</v>
      </c>
      <c r="O121" s="248">
        <v>1689.45</v>
      </c>
      <c r="P121" s="255">
        <f t="shared" si="10"/>
        <v>-1.2969941284725284E-2</v>
      </c>
      <c r="Q121" s="248">
        <v>6405.95</v>
      </c>
      <c r="R121" s="255">
        <f t="shared" si="11"/>
        <v>1.931619119118988E-3</v>
      </c>
    </row>
    <row r="122" spans="2:18" x14ac:dyDescent="0.25">
      <c r="B122" s="254" t="s">
        <v>321</v>
      </c>
      <c r="C122" s="249">
        <v>309.10000000000002</v>
      </c>
      <c r="D122" s="255">
        <f t="shared" si="4"/>
        <v>1.2778505897772074E-2</v>
      </c>
      <c r="E122" s="248">
        <v>23813.4</v>
      </c>
      <c r="F122" s="255">
        <f t="shared" si="5"/>
        <v>9.5771065182830295E-3</v>
      </c>
      <c r="G122" s="248">
        <v>4099.5</v>
      </c>
      <c r="H122" s="255">
        <f t="shared" si="6"/>
        <v>-1.3057692588783754E-3</v>
      </c>
      <c r="I122" s="248">
        <v>1916.75</v>
      </c>
      <c r="J122" s="255">
        <f t="shared" si="7"/>
        <v>-2.8093541086804397E-3</v>
      </c>
      <c r="K122" s="248">
        <v>1885.67</v>
      </c>
      <c r="L122" s="255">
        <f t="shared" si="8"/>
        <v>-1.012100055119558E-2</v>
      </c>
      <c r="M122" s="248">
        <v>5678</v>
      </c>
      <c r="N122" s="255">
        <f t="shared" si="9"/>
        <v>-2.5118898408392432E-2</v>
      </c>
      <c r="O122" s="248">
        <v>1711.65</v>
      </c>
      <c r="P122" s="255">
        <f t="shared" si="10"/>
        <v>1.5183416861896282E-2</v>
      </c>
      <c r="Q122" s="248">
        <v>6393.6</v>
      </c>
      <c r="R122" s="255">
        <f t="shared" si="11"/>
        <v>3.9097461020303204E-3</v>
      </c>
    </row>
    <row r="123" spans="2:18" x14ac:dyDescent="0.25">
      <c r="B123" s="254" t="s">
        <v>322</v>
      </c>
      <c r="C123" s="249">
        <v>305.2</v>
      </c>
      <c r="D123" s="255">
        <f t="shared" si="4"/>
        <v>-1.5325052427810903E-2</v>
      </c>
      <c r="E123" s="248">
        <v>23587.5</v>
      </c>
      <c r="F123" s="255">
        <f t="shared" si="5"/>
        <v>-4.7673841159869612E-2</v>
      </c>
      <c r="G123" s="248">
        <v>4104.8599999999997</v>
      </c>
      <c r="H123" s="255">
        <f t="shared" si="6"/>
        <v>-6.7861116788155429E-2</v>
      </c>
      <c r="I123" s="248">
        <v>1922.15</v>
      </c>
      <c r="J123" s="255">
        <f t="shared" si="7"/>
        <v>-3.8780817122568312E-2</v>
      </c>
      <c r="K123" s="248">
        <v>1904.95</v>
      </c>
      <c r="L123" s="255">
        <f t="shared" si="8"/>
        <v>-2.9181382216990071E-2</v>
      </c>
      <c r="M123" s="248">
        <v>5824.3</v>
      </c>
      <c r="N123" s="255">
        <f t="shared" si="9"/>
        <v>-0.13257228812486499</v>
      </c>
      <c r="O123" s="248">
        <v>1686.05</v>
      </c>
      <c r="P123" s="255">
        <f t="shared" si="10"/>
        <v>-6.1428412380316266E-2</v>
      </c>
      <c r="Q123" s="248">
        <v>6368.7</v>
      </c>
      <c r="R123" s="255">
        <f t="shared" si="11"/>
        <v>-1.6819371222588364E-2</v>
      </c>
    </row>
    <row r="124" spans="2:18" x14ac:dyDescent="0.25">
      <c r="B124" s="254">
        <v>45516</v>
      </c>
      <c r="C124" s="249">
        <v>309.95</v>
      </c>
      <c r="D124" s="255">
        <f t="shared" si="4"/>
        <v>4.2374306372961135E-2</v>
      </c>
      <c r="E124" s="248">
        <v>24768.3</v>
      </c>
      <c r="F124" s="255">
        <f t="shared" si="5"/>
        <v>3.6672636944945491E-3</v>
      </c>
      <c r="G124" s="248">
        <v>4403.7</v>
      </c>
      <c r="H124" s="255">
        <f t="shared" si="6"/>
        <v>6.3874764326115052E-3</v>
      </c>
      <c r="I124" s="248">
        <v>1999.7</v>
      </c>
      <c r="J124" s="255">
        <f t="shared" si="7"/>
        <v>4.0210153974198803E-2</v>
      </c>
      <c r="K124" s="248">
        <v>1962.21</v>
      </c>
      <c r="L124" s="255">
        <f t="shared" si="8"/>
        <v>2.3979000761900737E-2</v>
      </c>
      <c r="M124" s="248">
        <v>6714.45</v>
      </c>
      <c r="N124" s="255">
        <f t="shared" si="9"/>
        <v>5.2603113389456002E-2</v>
      </c>
      <c r="O124" s="248">
        <v>1796.4</v>
      </c>
      <c r="P124" s="255">
        <f t="shared" si="10"/>
        <v>7.6284496297958082E-3</v>
      </c>
      <c r="Q124" s="248">
        <v>6477.65</v>
      </c>
      <c r="R124" s="255">
        <f t="shared" si="11"/>
        <v>4.9139571607887511E-2</v>
      </c>
    </row>
    <row r="125" spans="2:18" x14ac:dyDescent="0.25">
      <c r="B125" s="254">
        <v>45303</v>
      </c>
      <c r="C125" s="249">
        <v>297.35000000000002</v>
      </c>
      <c r="D125" s="255">
        <f t="shared" si="4"/>
        <v>2.9177627024781883E-2</v>
      </c>
      <c r="E125" s="248">
        <v>24677.8</v>
      </c>
      <c r="F125" s="255">
        <f t="shared" si="5"/>
        <v>2.2655411481449228E-2</v>
      </c>
      <c r="G125" s="248">
        <v>4375.75</v>
      </c>
      <c r="H125" s="255">
        <f t="shared" si="6"/>
        <v>4.0893563979599534E-2</v>
      </c>
      <c r="I125" s="248">
        <v>1922.4</v>
      </c>
      <c r="J125" s="255">
        <f t="shared" si="7"/>
        <v>3.4744462685362132E-2</v>
      </c>
      <c r="K125" s="248">
        <v>1916.26</v>
      </c>
      <c r="L125" s="255">
        <f t="shared" si="8"/>
        <v>4.0393949594431877E-2</v>
      </c>
      <c r="M125" s="248">
        <v>6378.9</v>
      </c>
      <c r="N125" s="255">
        <f t="shared" si="9"/>
        <v>3.3455382023199975E-2</v>
      </c>
      <c r="O125" s="248">
        <v>1782.8</v>
      </c>
      <c r="P125" s="255">
        <f t="shared" si="10"/>
        <v>4.117269170122051E-2</v>
      </c>
      <c r="Q125" s="248">
        <v>6174.25</v>
      </c>
      <c r="R125" s="255">
        <f t="shared" si="11"/>
        <v>4.5481869057597546E-2</v>
      </c>
    </row>
    <row r="126" spans="2:18" x14ac:dyDescent="0.25">
      <c r="B126" s="254" t="s">
        <v>323</v>
      </c>
      <c r="C126" s="249">
        <v>288.92</v>
      </c>
      <c r="D126" s="255">
        <f t="shared" si="4"/>
        <v>1.0810621698212231E-2</v>
      </c>
      <c r="E126" s="248">
        <v>24131.1</v>
      </c>
      <c r="F126" s="255">
        <f t="shared" si="5"/>
        <v>9.3632684645870157E-3</v>
      </c>
      <c r="G126" s="248">
        <v>4203.84</v>
      </c>
      <c r="H126" s="255">
        <f t="shared" si="6"/>
        <v>6.184777405457087E-3</v>
      </c>
      <c r="I126" s="248">
        <v>1857.85</v>
      </c>
      <c r="J126" s="255">
        <f t="shared" si="7"/>
        <v>-2.3340780654488191E-2</v>
      </c>
      <c r="K126" s="248">
        <v>1841.86</v>
      </c>
      <c r="L126" s="255">
        <f t="shared" si="8"/>
        <v>-2.6521638020337912E-2</v>
      </c>
      <c r="M126" s="248">
        <v>6172.4</v>
      </c>
      <c r="N126" s="255">
        <f t="shared" si="9"/>
        <v>6.3094054159804625E-3</v>
      </c>
      <c r="O126" s="248">
        <v>1712.3</v>
      </c>
      <c r="P126" s="255">
        <f t="shared" si="10"/>
        <v>-2.0115024750350541E-2</v>
      </c>
      <c r="Q126" s="248">
        <v>5905.65</v>
      </c>
      <c r="R126" s="255">
        <f t="shared" si="11"/>
        <v>1.8874272158723171E-2</v>
      </c>
    </row>
    <row r="127" spans="2:18" x14ac:dyDescent="0.25">
      <c r="B127" s="254" t="s">
        <v>324</v>
      </c>
      <c r="C127" s="249">
        <v>285.83</v>
      </c>
      <c r="D127" s="255">
        <f t="shared" si="4"/>
        <v>8.7524263278628833E-3</v>
      </c>
      <c r="E127" s="248">
        <v>23907.25</v>
      </c>
      <c r="F127" s="255">
        <f t="shared" si="5"/>
        <v>1.5916150717937061E-2</v>
      </c>
      <c r="G127" s="248">
        <v>4178</v>
      </c>
      <c r="H127" s="255">
        <f t="shared" si="6"/>
        <v>2.38063148608747E-2</v>
      </c>
      <c r="I127" s="248">
        <v>1902.25</v>
      </c>
      <c r="J127" s="255">
        <f t="shared" si="7"/>
        <v>2.0219355876753164E-2</v>
      </c>
      <c r="K127" s="248">
        <v>1892.04</v>
      </c>
      <c r="L127" s="255">
        <f t="shared" si="8"/>
        <v>2.1217338737970382E-2</v>
      </c>
      <c r="M127" s="248">
        <v>6133.7</v>
      </c>
      <c r="N127" s="255">
        <f t="shared" si="9"/>
        <v>2.3195682817178653E-2</v>
      </c>
      <c r="O127" s="248">
        <v>1747.45</v>
      </c>
      <c r="P127" s="255">
        <f t="shared" si="10"/>
        <v>3.5525925925925961E-2</v>
      </c>
      <c r="Q127" s="248">
        <v>5796.25</v>
      </c>
      <c r="R127" s="255">
        <f t="shared" si="11"/>
        <v>1.4429976548006485E-2</v>
      </c>
    </row>
    <row r="128" spans="2:18" x14ac:dyDescent="0.25">
      <c r="B128" s="254">
        <v>45576</v>
      </c>
      <c r="C128" s="249">
        <v>283.35000000000002</v>
      </c>
      <c r="D128" s="255">
        <f t="shared" si="4"/>
        <v>-4.0421792618627883E-3</v>
      </c>
      <c r="E128" s="248">
        <v>23532.7</v>
      </c>
      <c r="F128" s="255">
        <f t="shared" si="5"/>
        <v>-2.5488442202731498E-2</v>
      </c>
      <c r="G128" s="248">
        <v>4080.85</v>
      </c>
      <c r="H128" s="255">
        <f t="shared" si="6"/>
        <v>-2.645807252941168E-4</v>
      </c>
      <c r="I128" s="248">
        <v>1864.55</v>
      </c>
      <c r="J128" s="255">
        <f t="shared" si="7"/>
        <v>1.8907620426787508E-2</v>
      </c>
      <c r="K128" s="248">
        <v>1852.73</v>
      </c>
      <c r="L128" s="255">
        <f t="shared" si="8"/>
        <v>1.1674447811723665E-2</v>
      </c>
      <c r="M128" s="248">
        <v>5994.65</v>
      </c>
      <c r="N128" s="255">
        <f t="shared" si="9"/>
        <v>1.1422401066315757E-2</v>
      </c>
      <c r="O128" s="248">
        <v>1687.5</v>
      </c>
      <c r="P128" s="255">
        <f t="shared" si="10"/>
        <v>3.6577750022304123E-3</v>
      </c>
      <c r="Q128" s="248">
        <v>5713.8</v>
      </c>
      <c r="R128" s="255">
        <f t="shared" si="11"/>
        <v>7.9559687406283164E-3</v>
      </c>
    </row>
    <row r="129" spans="2:18" x14ac:dyDescent="0.25">
      <c r="B129" s="254">
        <v>45362</v>
      </c>
      <c r="C129" s="249">
        <v>284.5</v>
      </c>
      <c r="D129" s="255">
        <f t="shared" si="4"/>
        <v>3.2031051619690221E-2</v>
      </c>
      <c r="E129" s="248">
        <v>24148.2</v>
      </c>
      <c r="F129" s="255">
        <f t="shared" si="5"/>
        <v>-6.4247758117372822E-3</v>
      </c>
      <c r="G129" s="248">
        <v>4081.93</v>
      </c>
      <c r="H129" s="255">
        <f t="shared" si="6"/>
        <v>4.0862589502458135E-2</v>
      </c>
      <c r="I129" s="248">
        <v>1829.95</v>
      </c>
      <c r="J129" s="255">
        <f t="shared" si="7"/>
        <v>3.9242411335434602E-2</v>
      </c>
      <c r="K129" s="248">
        <v>1831.35</v>
      </c>
      <c r="L129" s="255">
        <f t="shared" si="8"/>
        <v>4.557755549465603E-2</v>
      </c>
      <c r="M129" s="248">
        <v>5926.95</v>
      </c>
      <c r="N129" s="255">
        <f t="shared" si="9"/>
        <v>3.4082978574917933E-2</v>
      </c>
      <c r="O129" s="248">
        <v>1681.35</v>
      </c>
      <c r="P129" s="255">
        <f t="shared" si="10"/>
        <v>4.845196894584225E-2</v>
      </c>
      <c r="Q129" s="248">
        <v>5668.7</v>
      </c>
      <c r="R129" s="255">
        <f t="shared" si="11"/>
        <v>5.1902022638708356E-2</v>
      </c>
    </row>
    <row r="130" spans="2:18" x14ac:dyDescent="0.25">
      <c r="B130" s="254" t="s">
        <v>325</v>
      </c>
      <c r="C130" s="249">
        <v>275.67</v>
      </c>
      <c r="D130" s="255">
        <f t="shared" si="4"/>
        <v>1.4499687189489574E-2</v>
      </c>
      <c r="E130" s="248">
        <v>24304.35</v>
      </c>
      <c r="F130" s="255">
        <f t="shared" si="5"/>
        <v>5.1094256600276999E-3</v>
      </c>
      <c r="G130" s="248">
        <v>3921.68</v>
      </c>
      <c r="H130" s="255">
        <f t="shared" si="6"/>
        <v>-1.8077658817991615E-2</v>
      </c>
      <c r="I130" s="248">
        <v>1760.85</v>
      </c>
      <c r="J130" s="255">
        <f t="shared" si="7"/>
        <v>-5.4348701699739599E-2</v>
      </c>
      <c r="K130" s="248">
        <v>1751.52</v>
      </c>
      <c r="L130" s="255">
        <f t="shared" si="8"/>
        <v>-5.1258023454215595E-2</v>
      </c>
      <c r="M130" s="248">
        <v>5731.6</v>
      </c>
      <c r="N130" s="255">
        <f t="shared" si="9"/>
        <v>-2.9068979536522432E-2</v>
      </c>
      <c r="O130" s="248">
        <v>1603.65</v>
      </c>
      <c r="P130" s="255">
        <f t="shared" si="10"/>
        <v>-6.5717032246788376E-2</v>
      </c>
      <c r="Q130" s="248">
        <v>5389</v>
      </c>
      <c r="R130" s="255">
        <f t="shared" si="11"/>
        <v>-4.9709922587243605E-2</v>
      </c>
    </row>
    <row r="131" spans="2:18" x14ac:dyDescent="0.25">
      <c r="B131" s="254" t="s">
        <v>326</v>
      </c>
      <c r="C131" s="249">
        <v>271.73</v>
      </c>
      <c r="D131" s="255">
        <f t="shared" si="4"/>
        <v>-9.4776364232856958E-3</v>
      </c>
      <c r="E131" s="248">
        <v>24180.799999999999</v>
      </c>
      <c r="F131" s="255">
        <f t="shared" si="5"/>
        <v>-2.7088140564616281E-2</v>
      </c>
      <c r="G131" s="248">
        <v>3993.88</v>
      </c>
      <c r="H131" s="255">
        <f t="shared" si="6"/>
        <v>-1.5885766382889521E-2</v>
      </c>
      <c r="I131" s="248">
        <v>1862.05</v>
      </c>
      <c r="J131" s="255">
        <f t="shared" si="7"/>
        <v>-9.3370929985102658E-3</v>
      </c>
      <c r="K131" s="248">
        <v>1846.15</v>
      </c>
      <c r="L131" s="255">
        <f t="shared" si="8"/>
        <v>-2.8787780586341238E-3</v>
      </c>
      <c r="M131" s="248">
        <v>5903.2</v>
      </c>
      <c r="N131" s="255">
        <f t="shared" si="9"/>
        <v>-1.4770432431530311E-2</v>
      </c>
      <c r="O131" s="248">
        <v>1716.45</v>
      </c>
      <c r="P131" s="255">
        <f t="shared" si="10"/>
        <v>1.6914509153385771E-2</v>
      </c>
      <c r="Q131" s="248">
        <v>5670.9</v>
      </c>
      <c r="R131" s="255">
        <f t="shared" si="11"/>
        <v>2.9921088237697901E-2</v>
      </c>
    </row>
    <row r="132" spans="2:18" x14ac:dyDescent="0.25">
      <c r="B132" s="254" t="s">
        <v>327</v>
      </c>
      <c r="C132" s="249">
        <v>274.33</v>
      </c>
      <c r="D132" s="255">
        <f t="shared" si="4"/>
        <v>3.8538709066818111E-2</v>
      </c>
      <c r="E132" s="248">
        <v>24854.05</v>
      </c>
      <c r="F132" s="255">
        <f t="shared" si="5"/>
        <v>-4.4143124668275524E-3</v>
      </c>
      <c r="G132" s="248">
        <v>4058.35</v>
      </c>
      <c r="H132" s="255">
        <f t="shared" si="6"/>
        <v>-6.3025055765176807E-3</v>
      </c>
      <c r="I132" s="248">
        <v>1879.6</v>
      </c>
      <c r="J132" s="255">
        <f t="shared" si="7"/>
        <v>-2.8680688336520044E-2</v>
      </c>
      <c r="K132" s="248">
        <v>1851.48</v>
      </c>
      <c r="L132" s="255">
        <f t="shared" si="8"/>
        <v>9.8118888022296069E-3</v>
      </c>
      <c r="M132" s="248">
        <v>5991.7</v>
      </c>
      <c r="N132" s="255">
        <f t="shared" si="9"/>
        <v>-6.5395924161005814E-2</v>
      </c>
      <c r="O132" s="248">
        <v>1687.9</v>
      </c>
      <c r="P132" s="255">
        <f t="shared" si="10"/>
        <v>2.4801918581706772E-2</v>
      </c>
      <c r="Q132" s="248">
        <v>5506.15</v>
      </c>
      <c r="R132" s="255">
        <f t="shared" si="11"/>
        <v>6.6915925441763946E-3</v>
      </c>
    </row>
    <row r="133" spans="2:18" x14ac:dyDescent="0.25">
      <c r="B133" s="254">
        <v>45453</v>
      </c>
      <c r="C133" s="249">
        <v>264.14999999999998</v>
      </c>
      <c r="D133" s="255">
        <f t="shared" si="4"/>
        <v>-9.8211942872137303E-3</v>
      </c>
      <c r="E133" s="248">
        <v>24964.25</v>
      </c>
      <c r="F133" s="255">
        <f t="shared" si="5"/>
        <v>-2.0128245104857889E-3</v>
      </c>
      <c r="G133" s="248">
        <v>4084.09</v>
      </c>
      <c r="H133" s="255">
        <f t="shared" si="6"/>
        <v>-2.4235879327110244E-2</v>
      </c>
      <c r="I133" s="248">
        <v>1935.1</v>
      </c>
      <c r="J133" s="255">
        <f t="shared" si="7"/>
        <v>8.8366394703229822E-3</v>
      </c>
      <c r="K133" s="248">
        <v>1833.49</v>
      </c>
      <c r="L133" s="255">
        <f t="shared" si="8"/>
        <v>3.5489791884336208E-2</v>
      </c>
      <c r="M133" s="248">
        <v>6410.95</v>
      </c>
      <c r="N133" s="255">
        <f t="shared" si="9"/>
        <v>4.8551708346281419E-2</v>
      </c>
      <c r="O133" s="248">
        <v>1647.05</v>
      </c>
      <c r="P133" s="255">
        <f t="shared" si="10"/>
        <v>1.8930372111726212E-2</v>
      </c>
      <c r="Q133" s="248">
        <v>5469.55</v>
      </c>
      <c r="R133" s="255">
        <f t="shared" si="11"/>
        <v>6.3845719954097158E-2</v>
      </c>
    </row>
    <row r="134" spans="2:18" x14ac:dyDescent="0.25">
      <c r="B134" s="254" t="s">
        <v>328</v>
      </c>
      <c r="C134" s="249">
        <v>266.77</v>
      </c>
      <c r="D134" s="255">
        <f t="shared" si="4"/>
        <v>-1.5245478036175708E-2</v>
      </c>
      <c r="E134" s="248">
        <v>25014.6</v>
      </c>
      <c r="F134" s="255">
        <f t="shared" si="5"/>
        <v>-4.4476573735768743E-2</v>
      </c>
      <c r="G134" s="248">
        <v>4185.53</v>
      </c>
      <c r="H134" s="255">
        <f t="shared" si="6"/>
        <v>-1.310040579190741E-2</v>
      </c>
      <c r="I134" s="248">
        <v>1918.15</v>
      </c>
      <c r="J134" s="255">
        <f t="shared" si="7"/>
        <v>5.9787596695948242E-3</v>
      </c>
      <c r="K134" s="248">
        <v>1770.65</v>
      </c>
      <c r="L134" s="255">
        <f t="shared" si="8"/>
        <v>-1.7582698048092982E-2</v>
      </c>
      <c r="M134" s="248">
        <v>6114.1</v>
      </c>
      <c r="N134" s="255">
        <f t="shared" si="9"/>
        <v>-3.5853392219813429E-3</v>
      </c>
      <c r="O134" s="248">
        <v>1616.45</v>
      </c>
      <c r="P134" s="255">
        <f t="shared" si="10"/>
        <v>4.4741339133136382E-3</v>
      </c>
      <c r="Q134" s="248">
        <v>5141.3</v>
      </c>
      <c r="R134" s="255">
        <f t="shared" si="11"/>
        <v>-5.4386610263012614E-2</v>
      </c>
    </row>
    <row r="135" spans="2:18" x14ac:dyDescent="0.25">
      <c r="B135" s="254" t="s">
        <v>329</v>
      </c>
      <c r="C135" s="249">
        <v>270.89999999999998</v>
      </c>
      <c r="D135" s="255">
        <f t="shared" si="4"/>
        <v>5.008347245408995E-3</v>
      </c>
      <c r="E135" s="248">
        <v>26178.95</v>
      </c>
      <c r="F135" s="255">
        <f t="shared" si="5"/>
        <v>1.5044036764834123E-2</v>
      </c>
      <c r="G135" s="248">
        <v>4241.09</v>
      </c>
      <c r="H135" s="255">
        <f t="shared" si="6"/>
        <v>5.5528289316140178E-3</v>
      </c>
      <c r="I135" s="248">
        <v>1906.75</v>
      </c>
      <c r="J135" s="255">
        <f t="shared" si="7"/>
        <v>5.2472779745516007E-4</v>
      </c>
      <c r="K135" s="248">
        <v>1802.34</v>
      </c>
      <c r="L135" s="255">
        <f t="shared" si="8"/>
        <v>2.7466137638527677E-2</v>
      </c>
      <c r="M135" s="248">
        <v>6136.1</v>
      </c>
      <c r="N135" s="255">
        <f t="shared" si="9"/>
        <v>-3.7187553937644169E-2</v>
      </c>
      <c r="O135" s="248">
        <v>1609.25</v>
      </c>
      <c r="P135" s="255">
        <f t="shared" si="10"/>
        <v>-7.8912487284609201E-3</v>
      </c>
      <c r="Q135" s="248">
        <v>5437</v>
      </c>
      <c r="R135" s="255">
        <f t="shared" si="11"/>
        <v>1.5303311827153721E-2</v>
      </c>
    </row>
    <row r="136" spans="2:18" x14ac:dyDescent="0.25">
      <c r="B136" s="254" t="s">
        <v>330</v>
      </c>
      <c r="C136" s="249">
        <v>269.55</v>
      </c>
      <c r="D136" s="255">
        <f t="shared" si="4"/>
        <v>-2.0886305848165643E-2</v>
      </c>
      <c r="E136" s="248">
        <v>25790.95</v>
      </c>
      <c r="F136" s="255">
        <f t="shared" si="5"/>
        <v>1.7133673811448702E-2</v>
      </c>
      <c r="G136" s="248">
        <v>4217.67</v>
      </c>
      <c r="H136" s="255">
        <f t="shared" si="6"/>
        <v>-5.2558158341644901E-2</v>
      </c>
      <c r="I136" s="248">
        <v>1905.75</v>
      </c>
      <c r="J136" s="255">
        <f t="shared" si="7"/>
        <v>-1.972635152512725E-2</v>
      </c>
      <c r="K136" s="248">
        <v>1754.16</v>
      </c>
      <c r="L136" s="255">
        <f t="shared" si="8"/>
        <v>-2.909676598052835E-2</v>
      </c>
      <c r="M136" s="248">
        <v>6373.1</v>
      </c>
      <c r="N136" s="255">
        <f t="shared" si="9"/>
        <v>-6.7173716530032346E-3</v>
      </c>
      <c r="O136" s="248">
        <v>1622.05</v>
      </c>
      <c r="P136" s="255">
        <f t="shared" si="10"/>
        <v>-2.0530781075450588E-2</v>
      </c>
      <c r="Q136" s="248">
        <v>5355.05</v>
      </c>
      <c r="R136" s="255">
        <f t="shared" si="11"/>
        <v>-9.048676281272483E-4</v>
      </c>
    </row>
    <row r="137" spans="2:18" x14ac:dyDescent="0.25">
      <c r="B137" s="254">
        <v>45513</v>
      </c>
      <c r="C137" s="249">
        <v>275.3</v>
      </c>
      <c r="D137" s="255">
        <f t="shared" si="4"/>
        <v>5.7625816365731941E-2</v>
      </c>
      <c r="E137" s="248">
        <v>25356.5</v>
      </c>
      <c r="F137" s="255">
        <f t="shared" si="5"/>
        <v>2.0294018827344829E-2</v>
      </c>
      <c r="G137" s="248">
        <v>4451.6400000000003</v>
      </c>
      <c r="H137" s="255">
        <f t="shared" si="6"/>
        <v>1.4776079255588437E-2</v>
      </c>
      <c r="I137" s="248">
        <v>1944.1</v>
      </c>
      <c r="J137" s="255">
        <f t="shared" si="7"/>
        <v>2.2215211504587717E-2</v>
      </c>
      <c r="K137" s="248">
        <v>1806.73</v>
      </c>
      <c r="L137" s="255">
        <f t="shared" si="8"/>
        <v>3.2287369587823189E-2</v>
      </c>
      <c r="M137" s="248">
        <v>6416.2</v>
      </c>
      <c r="N137" s="255">
        <f t="shared" si="9"/>
        <v>4.0678625879910557E-2</v>
      </c>
      <c r="O137" s="248">
        <v>1656.05</v>
      </c>
      <c r="P137" s="255">
        <f t="shared" si="10"/>
        <v>2.0206376097335665E-2</v>
      </c>
      <c r="Q137" s="248">
        <v>5359.9</v>
      </c>
      <c r="R137" s="255">
        <f t="shared" si="11"/>
        <v>3.2745980211755343E-2</v>
      </c>
    </row>
    <row r="138" spans="2:18" x14ac:dyDescent="0.25">
      <c r="B138" s="254">
        <v>45300</v>
      </c>
      <c r="C138" s="249">
        <v>260.3</v>
      </c>
      <c r="D138" s="255">
        <f t="shared" si="4"/>
        <v>-3.3060921248142527E-2</v>
      </c>
      <c r="E138" s="248">
        <v>24852.15</v>
      </c>
      <c r="F138" s="255">
        <f t="shared" si="5"/>
        <v>-1.5206511358818231E-2</v>
      </c>
      <c r="G138" s="248">
        <v>4386.82</v>
      </c>
      <c r="H138" s="255">
        <f t="shared" si="6"/>
        <v>-2.1301563929232881E-2</v>
      </c>
      <c r="I138" s="248">
        <v>1901.85</v>
      </c>
      <c r="J138" s="255">
        <f t="shared" si="7"/>
        <v>-2.1531100478468956E-2</v>
      </c>
      <c r="K138" s="248">
        <v>1750.22</v>
      </c>
      <c r="L138" s="255">
        <f t="shared" si="8"/>
        <v>1.6252904348224018E-3</v>
      </c>
      <c r="M138" s="248">
        <v>6165.4</v>
      </c>
      <c r="N138" s="255">
        <f t="shared" si="9"/>
        <v>1.518831068623383E-3</v>
      </c>
      <c r="O138" s="248">
        <v>1623.25</v>
      </c>
      <c r="P138" s="255">
        <f t="shared" si="10"/>
        <v>-8.0965475099297191E-3</v>
      </c>
      <c r="Q138" s="248">
        <v>5189.95</v>
      </c>
      <c r="R138" s="255">
        <f t="shared" si="11"/>
        <v>3.6937834205206244E-3</v>
      </c>
    </row>
    <row r="139" spans="2:18" x14ac:dyDescent="0.25">
      <c r="B139" s="254" t="s">
        <v>331</v>
      </c>
      <c r="C139" s="249">
        <v>269.2</v>
      </c>
      <c r="D139" s="255">
        <f t="shared" si="4"/>
        <v>5.0741608118657355E-2</v>
      </c>
      <c r="E139" s="248">
        <v>25235.9</v>
      </c>
      <c r="F139" s="255">
        <f t="shared" si="5"/>
        <v>1.6627623810837822E-2</v>
      </c>
      <c r="G139" s="248">
        <v>4482.3</v>
      </c>
      <c r="H139" s="255">
        <f t="shared" si="6"/>
        <v>2.0128087831656094E-2</v>
      </c>
      <c r="I139" s="248">
        <v>1943.7</v>
      </c>
      <c r="J139" s="255">
        <f t="shared" si="7"/>
        <v>4.3821491864024509E-2</v>
      </c>
      <c r="K139" s="248">
        <v>1747.38</v>
      </c>
      <c r="L139" s="255">
        <f t="shared" si="8"/>
        <v>5.5251254612323386E-2</v>
      </c>
      <c r="M139" s="248">
        <v>6156.05</v>
      </c>
      <c r="N139" s="255">
        <f t="shared" si="9"/>
        <v>9.118866988088481E-2</v>
      </c>
      <c r="O139" s="248">
        <v>1636.5</v>
      </c>
      <c r="P139" s="255">
        <f t="shared" si="10"/>
        <v>2.3836336336336306E-2</v>
      </c>
      <c r="Q139" s="248">
        <v>5170.8500000000004</v>
      </c>
      <c r="R139" s="255">
        <f t="shared" si="11"/>
        <v>5.9057859703021132E-2</v>
      </c>
    </row>
    <row r="140" spans="2:18" x14ac:dyDescent="0.25">
      <c r="B140" s="254" t="s">
        <v>332</v>
      </c>
      <c r="C140" s="249">
        <v>256.2</v>
      </c>
      <c r="D140" s="255">
        <f t="shared" si="4"/>
        <v>-7.4768527486150926E-3</v>
      </c>
      <c r="E140" s="248">
        <v>24823.15</v>
      </c>
      <c r="F140" s="255">
        <f t="shared" si="5"/>
        <v>1.1490904052988471E-2</v>
      </c>
      <c r="G140" s="248">
        <v>4393.8599999999997</v>
      </c>
      <c r="H140" s="255">
        <f t="shared" si="6"/>
        <v>1.0835656903072532E-2</v>
      </c>
      <c r="I140" s="248">
        <v>1862.1</v>
      </c>
      <c r="J140" s="255">
        <f t="shared" si="7"/>
        <v>1.6945049624788044E-3</v>
      </c>
      <c r="K140" s="248">
        <v>1655.89</v>
      </c>
      <c r="L140" s="255">
        <f t="shared" si="8"/>
        <v>-4.0777785128738309E-3</v>
      </c>
      <c r="M140" s="248">
        <v>5641.6</v>
      </c>
      <c r="N140" s="255">
        <f t="shared" si="9"/>
        <v>1.3992361267131104E-2</v>
      </c>
      <c r="O140" s="248">
        <v>1598.4</v>
      </c>
      <c r="P140" s="255">
        <f t="shared" si="10"/>
        <v>8.2634201728379875E-3</v>
      </c>
      <c r="Q140" s="248">
        <v>4882.5</v>
      </c>
      <c r="R140" s="255">
        <f t="shared" si="11"/>
        <v>5.2191099718972289E-3</v>
      </c>
    </row>
    <row r="141" spans="2:18" x14ac:dyDescent="0.25">
      <c r="B141" s="254">
        <v>45604</v>
      </c>
      <c r="C141" s="249">
        <v>258.13</v>
      </c>
      <c r="D141" s="255">
        <f t="shared" si="4"/>
        <v>5.0803989415835415E-2</v>
      </c>
      <c r="E141" s="248">
        <v>24541.15</v>
      </c>
      <c r="F141" s="255">
        <f t="shared" si="5"/>
        <v>7.1262952703396998E-3</v>
      </c>
      <c r="G141" s="248">
        <v>4346.76</v>
      </c>
      <c r="H141" s="255">
        <f t="shared" si="6"/>
        <v>4.4291754756871082E-2</v>
      </c>
      <c r="I141" s="248">
        <v>1858.95</v>
      </c>
      <c r="J141" s="255">
        <f t="shared" si="7"/>
        <v>4.9809402795425672E-2</v>
      </c>
      <c r="K141" s="248">
        <v>1662.67</v>
      </c>
      <c r="L141" s="255">
        <f t="shared" si="8"/>
        <v>4.9248089459368982E-2</v>
      </c>
      <c r="M141" s="248">
        <v>5563.75</v>
      </c>
      <c r="N141" s="255">
        <f t="shared" si="9"/>
        <v>3.5395595090768728E-2</v>
      </c>
      <c r="O141" s="248">
        <v>1585.3</v>
      </c>
      <c r="P141" s="255">
        <f t="shared" si="10"/>
        <v>5.2166987456029768E-2</v>
      </c>
      <c r="Q141" s="248">
        <v>4857.1499999999996</v>
      </c>
      <c r="R141" s="255">
        <f t="shared" si="11"/>
        <v>3.3645098477351754E-2</v>
      </c>
    </row>
    <row r="142" spans="2:18" x14ac:dyDescent="0.25">
      <c r="B142" s="254">
        <v>45390</v>
      </c>
      <c r="C142" s="249">
        <v>245.65</v>
      </c>
      <c r="D142" s="255">
        <f t="shared" si="4"/>
        <v>-2.1587605050384262E-2</v>
      </c>
      <c r="E142" s="248">
        <v>24367.5</v>
      </c>
      <c r="F142" s="255">
        <f t="shared" si="5"/>
        <v>-1.4167984885325113E-2</v>
      </c>
      <c r="G142" s="248">
        <v>4162.3999999999996</v>
      </c>
      <c r="H142" s="255">
        <f t="shared" si="6"/>
        <v>-1.2678344817771192E-2</v>
      </c>
      <c r="I142" s="248">
        <v>1770.75</v>
      </c>
      <c r="J142" s="255">
        <f t="shared" si="7"/>
        <v>-2.7701515484296113E-2</v>
      </c>
      <c r="K142" s="248">
        <v>1584.63</v>
      </c>
      <c r="L142" s="255">
        <f t="shared" si="8"/>
        <v>-1.2020624598637064E-2</v>
      </c>
      <c r="M142" s="248">
        <v>5373.55</v>
      </c>
      <c r="N142" s="255">
        <f t="shared" si="9"/>
        <v>-2.4746365632769995E-2</v>
      </c>
      <c r="O142" s="248">
        <v>1506.7</v>
      </c>
      <c r="P142" s="255">
        <f t="shared" si="10"/>
        <v>-6.6326192213306268E-4</v>
      </c>
      <c r="Q142" s="248">
        <v>4699.05</v>
      </c>
      <c r="R142" s="255">
        <f t="shared" si="11"/>
        <v>1.3523569186968176E-2</v>
      </c>
    </row>
    <row r="143" spans="2:18" x14ac:dyDescent="0.25">
      <c r="B143" s="254" t="s">
        <v>333</v>
      </c>
      <c r="C143" s="249">
        <v>251.07</v>
      </c>
      <c r="D143" s="255">
        <f t="shared" si="4"/>
        <v>-4.3178353658536506E-2</v>
      </c>
      <c r="E143" s="248">
        <v>24717.7</v>
      </c>
      <c r="F143" s="255">
        <f t="shared" si="5"/>
        <v>-4.7171615693268887E-3</v>
      </c>
      <c r="G143" s="248">
        <v>4215.8500000000004</v>
      </c>
      <c r="H143" s="255">
        <f t="shared" si="6"/>
        <v>-2.3882843250752406E-2</v>
      </c>
      <c r="I143" s="248">
        <v>1821.2</v>
      </c>
      <c r="J143" s="255">
        <f t="shared" si="7"/>
        <v>-3.0709457661397654E-2</v>
      </c>
      <c r="K143" s="248">
        <v>1603.91</v>
      </c>
      <c r="L143" s="255">
        <f t="shared" si="8"/>
        <v>-1.5933688369695997E-2</v>
      </c>
      <c r="M143" s="248">
        <v>5509.9</v>
      </c>
      <c r="N143" s="255">
        <f t="shared" si="9"/>
        <v>-4.8121690608021184E-2</v>
      </c>
      <c r="O143" s="248">
        <v>1507.7</v>
      </c>
      <c r="P143" s="255">
        <f t="shared" si="10"/>
        <v>-2.1704571261720207E-2</v>
      </c>
      <c r="Q143" s="248">
        <v>4636.3500000000004</v>
      </c>
      <c r="R143" s="255">
        <f t="shared" si="11"/>
        <v>-2.8619616798834957E-2</v>
      </c>
    </row>
    <row r="144" spans="2:18" x14ac:dyDescent="0.25">
      <c r="B144" s="254" t="s">
        <v>334</v>
      </c>
      <c r="C144" s="249">
        <v>262.39999999999998</v>
      </c>
      <c r="D144" s="255">
        <f t="shared" si="4"/>
        <v>-5.814788226848544E-2</v>
      </c>
      <c r="E144" s="248">
        <v>24834.85</v>
      </c>
      <c r="F144" s="255">
        <f t="shared" si="5"/>
        <v>1.2390495252925682E-2</v>
      </c>
      <c r="G144" s="248">
        <v>4319</v>
      </c>
      <c r="H144" s="255">
        <f t="shared" si="6"/>
        <v>1.9861200645117094E-2</v>
      </c>
      <c r="I144" s="248">
        <v>1878.9</v>
      </c>
      <c r="J144" s="255">
        <f t="shared" si="7"/>
        <v>4.7937756211829718E-2</v>
      </c>
      <c r="K144" s="248">
        <v>1629.88</v>
      </c>
      <c r="L144" s="255">
        <f t="shared" si="8"/>
        <v>2.5591331542087037E-2</v>
      </c>
      <c r="M144" s="248">
        <v>5788.45</v>
      </c>
      <c r="N144" s="255">
        <f t="shared" si="9"/>
        <v>4.4596763697886121E-3</v>
      </c>
      <c r="O144" s="248">
        <v>1541.15</v>
      </c>
      <c r="P144" s="255">
        <f t="shared" si="10"/>
        <v>3.3357918734075342E-2</v>
      </c>
      <c r="Q144" s="248">
        <v>4772.95</v>
      </c>
      <c r="R144" s="255">
        <f t="shared" si="11"/>
        <v>4.134440214249091E-2</v>
      </c>
    </row>
    <row r="145" spans="2:18" x14ac:dyDescent="0.25">
      <c r="B145" s="254" t="s">
        <v>335</v>
      </c>
      <c r="C145" s="249">
        <v>278.60000000000002</v>
      </c>
      <c r="D145" s="255">
        <f t="shared" si="4"/>
        <v>-5.2842045129961601E-3</v>
      </c>
      <c r="E145" s="248">
        <v>24530.9</v>
      </c>
      <c r="F145" s="255">
        <f t="shared" si="5"/>
        <v>1.1733664188653403E-3</v>
      </c>
      <c r="G145" s="248">
        <v>4234.8900000000003</v>
      </c>
      <c r="H145" s="255">
        <f t="shared" si="6"/>
        <v>2.8310225092878172E-2</v>
      </c>
      <c r="I145" s="248">
        <v>1792.95</v>
      </c>
      <c r="J145" s="255">
        <f t="shared" si="7"/>
        <v>4.7436833649773691E-2</v>
      </c>
      <c r="K145" s="248">
        <v>1589.21</v>
      </c>
      <c r="L145" s="255">
        <f t="shared" si="8"/>
        <v>2.2013144863599621E-2</v>
      </c>
      <c r="M145" s="248">
        <v>5762.75</v>
      </c>
      <c r="N145" s="255">
        <f t="shared" si="9"/>
        <v>3.4113034193785863E-2</v>
      </c>
      <c r="O145" s="248">
        <v>1491.4</v>
      </c>
      <c r="P145" s="255">
        <f t="shared" si="10"/>
        <v>-9.06946613069326E-3</v>
      </c>
      <c r="Q145" s="248">
        <v>4583.45</v>
      </c>
      <c r="R145" s="255">
        <f t="shared" si="11"/>
        <v>-4.6802537173754821E-2</v>
      </c>
    </row>
    <row r="146" spans="2:18" x14ac:dyDescent="0.25">
      <c r="B146" s="254">
        <v>45480</v>
      </c>
      <c r="C146" s="249">
        <v>280.08</v>
      </c>
      <c r="D146" s="255">
        <f t="shared" si="4"/>
        <v>4.6832367781722839E-2</v>
      </c>
      <c r="E146" s="248">
        <v>24502.15</v>
      </c>
      <c r="F146" s="255">
        <f t="shared" si="5"/>
        <v>7.3302540510651326E-3</v>
      </c>
      <c r="G146" s="248">
        <v>4118.3</v>
      </c>
      <c r="H146" s="255">
        <f t="shared" si="6"/>
        <v>4.2911227319346157E-2</v>
      </c>
      <c r="I146" s="248">
        <v>1711.75</v>
      </c>
      <c r="J146" s="255">
        <f t="shared" si="7"/>
        <v>3.9030016085465302E-2</v>
      </c>
      <c r="K146" s="248">
        <v>1554.98</v>
      </c>
      <c r="L146" s="255">
        <f t="shared" si="8"/>
        <v>2.685711644247224E-2</v>
      </c>
      <c r="M146" s="248">
        <v>5572.65</v>
      </c>
      <c r="N146" s="255">
        <f t="shared" si="9"/>
        <v>2.7841820831104647E-2</v>
      </c>
      <c r="O146" s="248">
        <v>1505.05</v>
      </c>
      <c r="P146" s="255">
        <f t="shared" si="10"/>
        <v>2.9903856023539843E-2</v>
      </c>
      <c r="Q146" s="248">
        <v>4808.5</v>
      </c>
      <c r="R146" s="255">
        <f t="shared" si="11"/>
        <v>7.8071784123656673E-3</v>
      </c>
    </row>
    <row r="147" spans="2:18" x14ac:dyDescent="0.25">
      <c r="B147" s="254" t="s">
        <v>336</v>
      </c>
      <c r="C147" s="249">
        <v>267.55</v>
      </c>
      <c r="D147" s="255">
        <f t="shared" si="4"/>
        <v>3.9352031699168677E-2</v>
      </c>
      <c r="E147" s="248">
        <v>24323.85</v>
      </c>
      <c r="F147" s="255">
        <f t="shared" si="5"/>
        <v>1.3046321208133094E-2</v>
      </c>
      <c r="G147" s="248">
        <v>3948.85</v>
      </c>
      <c r="H147" s="255">
        <f t="shared" si="6"/>
        <v>2.7572998446481645E-2</v>
      </c>
      <c r="I147" s="248">
        <v>1647.45</v>
      </c>
      <c r="J147" s="255">
        <f t="shared" si="7"/>
        <v>5.1507898516036432E-2</v>
      </c>
      <c r="K147" s="248">
        <v>1514.31</v>
      </c>
      <c r="L147" s="255">
        <f t="shared" si="8"/>
        <v>4.0970365227433581E-2</v>
      </c>
      <c r="M147" s="248">
        <v>5421.7</v>
      </c>
      <c r="N147" s="255">
        <f t="shared" si="9"/>
        <v>6.8058792397469592E-3</v>
      </c>
      <c r="O147" s="248">
        <v>1461.35</v>
      </c>
      <c r="P147" s="255">
        <f t="shared" si="10"/>
        <v>2.1673017093718272E-2</v>
      </c>
      <c r="Q147" s="248">
        <v>4771.25</v>
      </c>
      <c r="R147" s="255">
        <f t="shared" si="11"/>
        <v>0.12491011328672985</v>
      </c>
    </row>
    <row r="148" spans="2:18" x14ac:dyDescent="0.25">
      <c r="B148" s="254" t="s">
        <v>337</v>
      </c>
      <c r="C148" s="249">
        <v>257.42</v>
      </c>
      <c r="D148" s="255">
        <f t="shared" si="4"/>
        <v>4.9537244669140224E-2</v>
      </c>
      <c r="E148" s="248">
        <v>24010.6</v>
      </c>
      <c r="F148" s="255">
        <f t="shared" si="5"/>
        <v>2.1679836262983532E-2</v>
      </c>
      <c r="G148" s="248">
        <v>3842.89</v>
      </c>
      <c r="H148" s="255">
        <f t="shared" si="6"/>
        <v>2.4508392518181932E-2</v>
      </c>
      <c r="I148" s="248">
        <v>1566.75</v>
      </c>
      <c r="J148" s="255">
        <f t="shared" si="7"/>
        <v>2.2215697788216859E-2</v>
      </c>
      <c r="K148" s="248">
        <v>1454.71</v>
      </c>
      <c r="L148" s="255">
        <f t="shared" si="8"/>
        <v>8.115038115038109E-3</v>
      </c>
      <c r="M148" s="248">
        <v>5385.05</v>
      </c>
      <c r="N148" s="255">
        <f t="shared" si="9"/>
        <v>5.0649211288764873E-2</v>
      </c>
      <c r="O148" s="248">
        <v>1430.35</v>
      </c>
      <c r="P148" s="255">
        <f t="shared" si="10"/>
        <v>2.1824546363766295E-2</v>
      </c>
      <c r="Q148" s="248">
        <v>4241.45</v>
      </c>
      <c r="R148" s="255">
        <f t="shared" si="11"/>
        <v>7.5295668597649801E-2</v>
      </c>
    </row>
    <row r="149" spans="2:18" x14ac:dyDescent="0.25">
      <c r="B149" s="254" t="s">
        <v>338</v>
      </c>
      <c r="C149" s="249">
        <v>245.27</v>
      </c>
      <c r="D149" s="255">
        <f t="shared" si="4"/>
        <v>2.7308900523560276E-2</v>
      </c>
      <c r="E149" s="248">
        <v>23501.1</v>
      </c>
      <c r="F149" s="255">
        <f t="shared" si="5"/>
        <v>1.5128528569481325E-3</v>
      </c>
      <c r="G149" s="248">
        <v>3750.96</v>
      </c>
      <c r="H149" s="255">
        <f t="shared" si="6"/>
        <v>-5.5568516829624937E-3</v>
      </c>
      <c r="I149" s="248">
        <v>1532.7</v>
      </c>
      <c r="J149" s="255">
        <f t="shared" si="7"/>
        <v>2.9417690912754368E-2</v>
      </c>
      <c r="K149" s="248">
        <v>1443</v>
      </c>
      <c r="L149" s="255">
        <f t="shared" si="8"/>
        <v>1.1736990450549101E-2</v>
      </c>
      <c r="M149" s="248">
        <v>5125.45</v>
      </c>
      <c r="N149" s="255">
        <f t="shared" si="9"/>
        <v>1.8459826529294121E-2</v>
      </c>
      <c r="O149" s="248">
        <v>1399.8</v>
      </c>
      <c r="P149" s="255">
        <f t="shared" si="10"/>
        <v>2.0671552006999772E-2</v>
      </c>
      <c r="Q149" s="248">
        <v>3944.45</v>
      </c>
      <c r="R149" s="255">
        <f t="shared" si="11"/>
        <v>4.549671331636973E-2</v>
      </c>
    </row>
    <row r="150" spans="2:18" x14ac:dyDescent="0.25">
      <c r="B150" s="254">
        <v>45541</v>
      </c>
      <c r="C150" s="249">
        <v>238.75</v>
      </c>
      <c r="D150" s="255">
        <f t="shared" si="4"/>
        <v>-1.4529244231642369E-2</v>
      </c>
      <c r="E150" s="248">
        <v>23465.599999999999</v>
      </c>
      <c r="F150" s="255">
        <f t="shared" si="5"/>
        <v>7.5332275661599279E-3</v>
      </c>
      <c r="G150" s="248">
        <v>3771.92</v>
      </c>
      <c r="H150" s="255">
        <f t="shared" si="6"/>
        <v>-1.589678698618513E-2</v>
      </c>
      <c r="I150" s="248">
        <v>1488.9</v>
      </c>
      <c r="J150" s="255">
        <f t="shared" si="7"/>
        <v>-2.9147104851330097E-2</v>
      </c>
      <c r="K150" s="248">
        <v>1426.26</v>
      </c>
      <c r="L150" s="255">
        <f t="shared" si="8"/>
        <v>-3.1541098050757999E-4</v>
      </c>
      <c r="M150" s="248">
        <v>5032.55</v>
      </c>
      <c r="N150" s="255">
        <f t="shared" si="9"/>
        <v>1.112071043960472E-2</v>
      </c>
      <c r="O150" s="248">
        <v>1371.45</v>
      </c>
      <c r="P150" s="255">
        <f t="shared" si="10"/>
        <v>-4.4642857142855874E-3</v>
      </c>
      <c r="Q150" s="248">
        <v>3772.8</v>
      </c>
      <c r="R150" s="255">
        <f t="shared" si="11"/>
        <v>-2.0115576910590183E-2</v>
      </c>
    </row>
    <row r="151" spans="2:18" x14ac:dyDescent="0.25">
      <c r="B151" s="254">
        <v>45328</v>
      </c>
      <c r="C151" s="249">
        <v>242.27</v>
      </c>
      <c r="D151" s="255">
        <f t="shared" si="4"/>
        <v>0.10575079872204474</v>
      </c>
      <c r="E151" s="248">
        <v>23290.15</v>
      </c>
      <c r="F151" s="255">
        <f t="shared" si="5"/>
        <v>3.3707341538434354E-2</v>
      </c>
      <c r="G151" s="248">
        <v>3832.85</v>
      </c>
      <c r="H151" s="255">
        <f t="shared" si="6"/>
        <v>6.0746952274205457E-2</v>
      </c>
      <c r="I151" s="248">
        <v>1533.6</v>
      </c>
      <c r="J151" s="255">
        <f t="shared" si="7"/>
        <v>9.0056151823157071E-2</v>
      </c>
      <c r="K151" s="248">
        <v>1426.71</v>
      </c>
      <c r="L151" s="255">
        <f t="shared" si="8"/>
        <v>8.1111186887630859E-2</v>
      </c>
      <c r="M151" s="248">
        <v>4977.2</v>
      </c>
      <c r="N151" s="255">
        <f t="shared" si="9"/>
        <v>5.855079861332646E-2</v>
      </c>
      <c r="O151" s="248">
        <v>1377.6</v>
      </c>
      <c r="P151" s="255">
        <f t="shared" si="10"/>
        <v>0.12141316292889393</v>
      </c>
      <c r="Q151" s="248">
        <v>3850.25</v>
      </c>
      <c r="R151" s="255">
        <f t="shared" si="11"/>
        <v>0.12894003811757804</v>
      </c>
    </row>
    <row r="152" spans="2:18" x14ac:dyDescent="0.25">
      <c r="B152" s="254" t="s">
        <v>339</v>
      </c>
      <c r="C152" s="249">
        <v>219.1</v>
      </c>
      <c r="D152" s="255">
        <f t="shared" si="4"/>
        <v>-5.4870157881114601E-2</v>
      </c>
      <c r="E152" s="248">
        <v>22530.7</v>
      </c>
      <c r="F152" s="255">
        <f t="shared" si="5"/>
        <v>-1.8573774562117951E-2</v>
      </c>
      <c r="G152" s="248">
        <v>3613.35</v>
      </c>
      <c r="H152" s="255">
        <f t="shared" si="6"/>
        <v>-4.6383046105935466E-2</v>
      </c>
      <c r="I152" s="248">
        <v>1406.9</v>
      </c>
      <c r="J152" s="255">
        <f t="shared" si="7"/>
        <v>-3.4312817028052889E-2</v>
      </c>
      <c r="K152" s="248">
        <v>1319.67</v>
      </c>
      <c r="L152" s="255">
        <f t="shared" si="8"/>
        <v>-1.5685835757440092E-2</v>
      </c>
      <c r="M152" s="248">
        <v>4701.8999999999996</v>
      </c>
      <c r="N152" s="255">
        <f t="shared" si="9"/>
        <v>-2.8482876181621042E-2</v>
      </c>
      <c r="O152" s="248">
        <v>1228.45</v>
      </c>
      <c r="P152" s="255">
        <f t="shared" si="10"/>
        <v>-7.0588235294117618E-2</v>
      </c>
      <c r="Q152" s="248">
        <v>3410.5</v>
      </c>
      <c r="R152" s="255">
        <f t="shared" si="11"/>
        <v>-4.0700945094509389E-2</v>
      </c>
    </row>
    <row r="153" spans="2:18" x14ac:dyDescent="0.25">
      <c r="B153" s="254" t="s">
        <v>340</v>
      </c>
      <c r="C153" s="249">
        <v>231.82</v>
      </c>
      <c r="D153" s="255">
        <f t="shared" si="4"/>
        <v>5.7266811279825802E-3</v>
      </c>
      <c r="E153" s="248">
        <v>22957.1</v>
      </c>
      <c r="F153" s="255">
        <f t="shared" si="5"/>
        <v>2.1855150649200406E-2</v>
      </c>
      <c r="G153" s="248">
        <v>3789.1</v>
      </c>
      <c r="H153" s="255">
        <f t="shared" si="6"/>
        <v>4.0170219982298416E-3</v>
      </c>
      <c r="I153" s="248">
        <v>1456.89</v>
      </c>
      <c r="J153" s="255">
        <f t="shared" si="7"/>
        <v>1.4399008501542188E-2</v>
      </c>
      <c r="K153" s="248">
        <v>1340.7</v>
      </c>
      <c r="L153" s="255">
        <f t="shared" si="8"/>
        <v>9.0010084741936058E-3</v>
      </c>
      <c r="M153" s="248">
        <v>4839.75</v>
      </c>
      <c r="N153" s="255">
        <f t="shared" si="9"/>
        <v>1.583653422328557E-2</v>
      </c>
      <c r="O153" s="248">
        <v>1321.75</v>
      </c>
      <c r="P153" s="255">
        <f t="shared" si="10"/>
        <v>1.2524896583422596E-2</v>
      </c>
      <c r="Q153" s="248">
        <v>3555.2</v>
      </c>
      <c r="R153" s="255">
        <f t="shared" si="11"/>
        <v>4.2512322924168622E-3</v>
      </c>
    </row>
    <row r="154" spans="2:18" x14ac:dyDescent="0.25">
      <c r="B154" s="254">
        <v>45631</v>
      </c>
      <c r="C154" s="249">
        <v>230.5</v>
      </c>
      <c r="D154" s="255">
        <f t="shared" si="4"/>
        <v>2.0227504094188387E-2</v>
      </c>
      <c r="E154" s="248">
        <v>22466.1</v>
      </c>
      <c r="F154" s="255">
        <f t="shared" si="5"/>
        <v>1.8630527041241907E-2</v>
      </c>
      <c r="G154" s="248">
        <v>3773.94</v>
      </c>
      <c r="H154" s="255">
        <f t="shared" si="6"/>
        <v>-1.5356919223544208E-2</v>
      </c>
      <c r="I154" s="248">
        <v>1436.21</v>
      </c>
      <c r="J154" s="255">
        <f t="shared" si="7"/>
        <v>1.3614036078254177E-2</v>
      </c>
      <c r="K154" s="248">
        <v>1328.74</v>
      </c>
      <c r="L154" s="255">
        <f t="shared" si="8"/>
        <v>1.2921275509037322E-2</v>
      </c>
      <c r="M154" s="248">
        <v>4764.3</v>
      </c>
      <c r="N154" s="255">
        <f t="shared" si="9"/>
        <v>3.3997807993228824E-2</v>
      </c>
      <c r="O154" s="248">
        <v>1305.4000000000001</v>
      </c>
      <c r="P154" s="255">
        <f t="shared" si="10"/>
        <v>3.2426447326795227E-2</v>
      </c>
      <c r="Q154" s="248">
        <v>3540.15</v>
      </c>
      <c r="R154" s="255">
        <f t="shared" si="11"/>
        <v>5.1269487750556841E-2</v>
      </c>
    </row>
    <row r="155" spans="2:18" x14ac:dyDescent="0.25">
      <c r="B155" s="254">
        <v>45417</v>
      </c>
      <c r="C155" s="249">
        <v>225.93</v>
      </c>
      <c r="D155" s="255">
        <f t="shared" si="4"/>
        <v>-1.2025537869511993E-2</v>
      </c>
      <c r="E155" s="248">
        <v>22055.200000000001</v>
      </c>
      <c r="F155" s="255">
        <f t="shared" si="5"/>
        <v>-1.8715643679771743E-2</v>
      </c>
      <c r="G155" s="248">
        <v>3832.8</v>
      </c>
      <c r="H155" s="255">
        <f t="shared" si="6"/>
        <v>1.3140052179567485E-2</v>
      </c>
      <c r="I155" s="248">
        <v>1416.92</v>
      </c>
      <c r="J155" s="255">
        <f t="shared" si="7"/>
        <v>6.0779914226476439E-3</v>
      </c>
      <c r="K155" s="248">
        <v>1311.79</v>
      </c>
      <c r="L155" s="255">
        <f t="shared" si="8"/>
        <v>-2.3631600101225114E-2</v>
      </c>
      <c r="M155" s="248">
        <v>4607.6499999999996</v>
      </c>
      <c r="N155" s="255">
        <f t="shared" si="9"/>
        <v>-9.5228882511635415E-3</v>
      </c>
      <c r="O155" s="248">
        <v>1264.4000000000001</v>
      </c>
      <c r="P155" s="255">
        <f t="shared" si="10"/>
        <v>1.1155983845815509E-2</v>
      </c>
      <c r="Q155" s="248">
        <v>3367.5</v>
      </c>
      <c r="R155" s="255">
        <f t="shared" si="11"/>
        <v>1.9305879382813806E-4</v>
      </c>
    </row>
    <row r="156" spans="2:18" x14ac:dyDescent="0.25">
      <c r="B156" s="254" t="s">
        <v>341</v>
      </c>
      <c r="C156" s="249">
        <v>228.68</v>
      </c>
      <c r="D156" s="255">
        <f t="shared" si="4"/>
        <v>-1.5583297460180834E-2</v>
      </c>
      <c r="E156" s="248">
        <v>22475.85</v>
      </c>
      <c r="F156" s="255">
        <f t="shared" si="5"/>
        <v>2.4933151055197555E-3</v>
      </c>
      <c r="G156" s="248">
        <v>3783.09</v>
      </c>
      <c r="H156" s="255">
        <f t="shared" si="6"/>
        <v>5.7691438537350592E-3</v>
      </c>
      <c r="I156" s="248">
        <v>1408.36</v>
      </c>
      <c r="J156" s="255">
        <f t="shared" si="7"/>
        <v>-9.7522904171618574E-3</v>
      </c>
      <c r="K156" s="248">
        <v>1343.54</v>
      </c>
      <c r="L156" s="255">
        <f t="shared" si="8"/>
        <v>-8.5355226969474285E-2</v>
      </c>
      <c r="M156" s="248">
        <v>4651.95</v>
      </c>
      <c r="N156" s="255">
        <f t="shared" si="9"/>
        <v>-2.8424932905880329E-2</v>
      </c>
      <c r="O156" s="248">
        <v>1250.45</v>
      </c>
      <c r="P156" s="255">
        <f t="shared" si="10"/>
        <v>-2.2130987292277582E-2</v>
      </c>
      <c r="Q156" s="248">
        <v>3366.85</v>
      </c>
      <c r="R156" s="255">
        <f t="shared" si="11"/>
        <v>-9.0067550662996654E-3</v>
      </c>
    </row>
    <row r="157" spans="2:18" x14ac:dyDescent="0.25">
      <c r="B157" s="254" t="s">
        <v>342</v>
      </c>
      <c r="C157" s="249">
        <v>232.3</v>
      </c>
      <c r="D157" s="255">
        <f t="shared" si="4"/>
        <v>2.6150720028271124E-2</v>
      </c>
      <c r="E157" s="248">
        <v>22419.95</v>
      </c>
      <c r="F157" s="255">
        <f t="shared" si="5"/>
        <v>1.2324468325281002E-2</v>
      </c>
      <c r="G157" s="248">
        <v>3761.39</v>
      </c>
      <c r="H157" s="255">
        <f t="shared" si="6"/>
        <v>-1.2665420481339229E-3</v>
      </c>
      <c r="I157" s="248">
        <v>1422.23</v>
      </c>
      <c r="J157" s="255">
        <f t="shared" si="7"/>
        <v>1.3460743654424512E-2</v>
      </c>
      <c r="K157" s="248">
        <v>1468.92</v>
      </c>
      <c r="L157" s="255">
        <f t="shared" si="8"/>
        <v>1.8209544934668864E-2</v>
      </c>
      <c r="M157" s="248">
        <v>4788.05</v>
      </c>
      <c r="N157" s="255">
        <f t="shared" si="9"/>
        <v>2.7357286157213112E-2</v>
      </c>
      <c r="O157" s="248">
        <v>1278.75</v>
      </c>
      <c r="P157" s="255">
        <f t="shared" si="10"/>
        <v>7.1293930381602477E-2</v>
      </c>
      <c r="Q157" s="248">
        <v>3397.45</v>
      </c>
      <c r="R157" s="255">
        <f t="shared" si="11"/>
        <v>-0.12542796097510744</v>
      </c>
    </row>
    <row r="158" spans="2:18" x14ac:dyDescent="0.25">
      <c r="B158" s="254" t="s">
        <v>343</v>
      </c>
      <c r="C158" s="249">
        <v>226.38</v>
      </c>
      <c r="D158" s="255">
        <f t="shared" si="4"/>
        <v>-3.8236043843996925E-2</v>
      </c>
      <c r="E158" s="248">
        <v>22147</v>
      </c>
      <c r="F158" s="255">
        <f t="shared" si="5"/>
        <v>-1.6536852669254087E-2</v>
      </c>
      <c r="G158" s="248">
        <v>3766.16</v>
      </c>
      <c r="H158" s="255">
        <f t="shared" si="6"/>
        <v>-4.378448234275556E-2</v>
      </c>
      <c r="I158" s="248">
        <v>1403.34</v>
      </c>
      <c r="J158" s="255">
        <f t="shared" si="7"/>
        <v>-4.950454813299654E-2</v>
      </c>
      <c r="K158" s="248">
        <v>1442.65</v>
      </c>
      <c r="L158" s="255">
        <f t="shared" si="8"/>
        <v>-4.8641198620425818E-2</v>
      </c>
      <c r="M158" s="248">
        <v>4660.55</v>
      </c>
      <c r="N158" s="255">
        <f t="shared" si="9"/>
        <v>-4.6707848391253526E-2</v>
      </c>
      <c r="O158" s="248">
        <v>1193.6500000000001</v>
      </c>
      <c r="P158" s="255">
        <f t="shared" si="10"/>
        <v>-3.9006521214072776E-2</v>
      </c>
      <c r="Q158" s="248">
        <v>3884.7</v>
      </c>
      <c r="R158" s="255">
        <f t="shared" si="11"/>
        <v>-2.3441722495255113E-2</v>
      </c>
    </row>
    <row r="159" spans="2:18" x14ac:dyDescent="0.25">
      <c r="B159" s="254">
        <v>45477</v>
      </c>
      <c r="C159" s="249">
        <v>235.38</v>
      </c>
      <c r="D159" s="255">
        <f t="shared" si="4"/>
        <v>-2.944087085601188E-2</v>
      </c>
      <c r="E159" s="248">
        <v>22519.4</v>
      </c>
      <c r="F159" s="255">
        <f t="shared" si="5"/>
        <v>2.5317917534661838E-4</v>
      </c>
      <c r="G159" s="248">
        <v>3938.61</v>
      </c>
      <c r="H159" s="255">
        <f t="shared" si="6"/>
        <v>5.5657537639048904E-3</v>
      </c>
      <c r="I159" s="248">
        <v>1476.43</v>
      </c>
      <c r="J159" s="255">
        <f t="shared" si="7"/>
        <v>3.8210237896125765E-3</v>
      </c>
      <c r="K159" s="248">
        <v>1516.41</v>
      </c>
      <c r="L159" s="255">
        <f t="shared" si="8"/>
        <v>-1.5369331463300551E-2</v>
      </c>
      <c r="M159" s="248">
        <v>4888.8999999999996</v>
      </c>
      <c r="N159" s="255">
        <f t="shared" si="9"/>
        <v>-7.8335870116692519E-3</v>
      </c>
      <c r="O159" s="248">
        <v>1242.0999999999999</v>
      </c>
      <c r="P159" s="255">
        <f t="shared" si="10"/>
        <v>-1.6859268640177394E-2</v>
      </c>
      <c r="Q159" s="248">
        <v>3977.95</v>
      </c>
      <c r="R159" s="255">
        <f t="shared" si="11"/>
        <v>-4.7038218552574174E-3</v>
      </c>
    </row>
    <row r="160" spans="2:18" x14ac:dyDescent="0.25">
      <c r="B160" s="254" t="s">
        <v>344</v>
      </c>
      <c r="C160" s="249">
        <v>242.52</v>
      </c>
      <c r="D160" s="255">
        <f t="shared" si="4"/>
        <v>1.0289523016038249E-2</v>
      </c>
      <c r="E160" s="248">
        <v>22513.7</v>
      </c>
      <c r="F160" s="255">
        <f t="shared" si="5"/>
        <v>8.3665891816597782E-3</v>
      </c>
      <c r="G160" s="248">
        <v>3916.81</v>
      </c>
      <c r="H160" s="255">
        <f t="shared" si="6"/>
        <v>2.6557602188977514E-2</v>
      </c>
      <c r="I160" s="248">
        <v>1470.81</v>
      </c>
      <c r="J160" s="255">
        <f t="shared" si="7"/>
        <v>-1.2653894177194869E-2</v>
      </c>
      <c r="K160" s="248">
        <v>1540.08</v>
      </c>
      <c r="L160" s="255">
        <f t="shared" si="8"/>
        <v>1.1050585681040559E-3</v>
      </c>
      <c r="M160" s="248">
        <v>4927.5</v>
      </c>
      <c r="N160" s="255">
        <f t="shared" si="9"/>
        <v>-2.2071926129919595E-3</v>
      </c>
      <c r="O160" s="248">
        <v>1263.4000000000001</v>
      </c>
      <c r="P160" s="255">
        <f t="shared" si="10"/>
        <v>1.2258633122346208E-2</v>
      </c>
      <c r="Q160" s="248">
        <v>3996.75</v>
      </c>
      <c r="R160" s="255">
        <f t="shared" si="11"/>
        <v>3.0618263040995686E-3</v>
      </c>
    </row>
    <row r="161" spans="2:18" x14ac:dyDescent="0.25">
      <c r="B161" s="254" t="s">
        <v>345</v>
      </c>
      <c r="C161" s="249">
        <v>240.05</v>
      </c>
      <c r="D161" s="255">
        <f t="shared" si="4"/>
        <v>-1.4370765756518189E-2</v>
      </c>
      <c r="E161" s="248">
        <v>22326.9</v>
      </c>
      <c r="F161" s="255">
        <f t="shared" si="5"/>
        <v>1.0415558849152129E-2</v>
      </c>
      <c r="G161" s="248">
        <v>3815.48</v>
      </c>
      <c r="H161" s="255">
        <f t="shared" si="6"/>
        <v>-8.8452356521445674E-3</v>
      </c>
      <c r="I161" s="248">
        <v>1489.66</v>
      </c>
      <c r="J161" s="255">
        <f t="shared" si="7"/>
        <v>-7.1514739501062907E-3</v>
      </c>
      <c r="K161" s="248">
        <v>1538.38</v>
      </c>
      <c r="L161" s="255">
        <f t="shared" si="8"/>
        <v>-9.1779754352292464E-3</v>
      </c>
      <c r="M161" s="248">
        <v>4938.3999999999996</v>
      </c>
      <c r="N161" s="255">
        <f t="shared" si="9"/>
        <v>-1.3306693306693429E-2</v>
      </c>
      <c r="O161" s="248">
        <v>1248.0999999999999</v>
      </c>
      <c r="P161" s="255">
        <f t="shared" si="10"/>
        <v>-1.1523383360392936E-2</v>
      </c>
      <c r="Q161" s="248">
        <v>3984.55</v>
      </c>
      <c r="R161" s="255">
        <f t="shared" si="11"/>
        <v>-2.8853150011276529E-4</v>
      </c>
    </row>
    <row r="162" spans="2:18" x14ac:dyDescent="0.25">
      <c r="B162" s="254" t="s">
        <v>346</v>
      </c>
      <c r="C162" s="249">
        <v>243.55</v>
      </c>
      <c r="D162" s="255">
        <f t="shared" si="4"/>
        <v>-5.7833655705996079E-2</v>
      </c>
      <c r="E162" s="248">
        <v>22096.75</v>
      </c>
      <c r="F162" s="255">
        <f t="shared" si="5"/>
        <v>3.3328262957270649E-3</v>
      </c>
      <c r="G162" s="248">
        <v>3849.53</v>
      </c>
      <c r="H162" s="255">
        <f t="shared" si="6"/>
        <v>-7.3083637326783912E-2</v>
      </c>
      <c r="I162" s="248">
        <v>1500.39</v>
      </c>
      <c r="J162" s="255">
        <f t="shared" si="7"/>
        <v>-7.6592156766204567E-2</v>
      </c>
      <c r="K162" s="248">
        <v>1552.63</v>
      </c>
      <c r="L162" s="255">
        <f t="shared" si="8"/>
        <v>-5.430658001327815E-2</v>
      </c>
      <c r="M162" s="248">
        <v>5005</v>
      </c>
      <c r="N162" s="255">
        <f t="shared" si="9"/>
        <v>-3.6453069200188759E-2</v>
      </c>
      <c r="O162" s="248">
        <v>1262.6500000000001</v>
      </c>
      <c r="P162" s="255">
        <f t="shared" si="10"/>
        <v>-1.5247231321166677E-2</v>
      </c>
      <c r="Q162" s="248">
        <v>3985.7</v>
      </c>
      <c r="R162" s="255">
        <f t="shared" si="11"/>
        <v>-5.4676808428382628E-2</v>
      </c>
    </row>
    <row r="163" spans="2:18" x14ac:dyDescent="0.25">
      <c r="B163" s="254">
        <v>45568</v>
      </c>
      <c r="C163" s="249">
        <v>258.5</v>
      </c>
      <c r="D163" s="255">
        <f t="shared" si="4"/>
        <v>2.9097963142579175E-3</v>
      </c>
      <c r="E163" s="248">
        <v>22023.35</v>
      </c>
      <c r="F163" s="255">
        <f t="shared" si="5"/>
        <v>-2.0903770191899484E-2</v>
      </c>
      <c r="G163" s="248">
        <v>4153.05</v>
      </c>
      <c r="H163" s="255">
        <f t="shared" si="6"/>
        <v>2.6932863186890588E-2</v>
      </c>
      <c r="I163" s="248">
        <v>1624.84</v>
      </c>
      <c r="J163" s="255">
        <f t="shared" si="7"/>
        <v>1.0856108349560412E-2</v>
      </c>
      <c r="K163" s="248">
        <v>1641.79</v>
      </c>
      <c r="L163" s="255">
        <f t="shared" si="8"/>
        <v>5.8939938854407625E-3</v>
      </c>
      <c r="M163" s="248">
        <v>5194.3500000000004</v>
      </c>
      <c r="N163" s="255">
        <f t="shared" si="9"/>
        <v>1.3986764792004225E-2</v>
      </c>
      <c r="O163" s="248">
        <v>1282.2</v>
      </c>
      <c r="P163" s="255">
        <f t="shared" si="10"/>
        <v>-4.6190272871948768E-3</v>
      </c>
      <c r="Q163" s="248">
        <v>4216.2299999999996</v>
      </c>
      <c r="R163" s="255">
        <f t="shared" si="11"/>
        <v>7.2096606586160572E-3</v>
      </c>
    </row>
    <row r="164" spans="2:18" x14ac:dyDescent="0.25">
      <c r="B164" s="254">
        <v>45354</v>
      </c>
      <c r="C164" s="249">
        <v>257.75</v>
      </c>
      <c r="D164" s="255">
        <f t="shared" si="4"/>
        <v>-6.9350799460605739E-3</v>
      </c>
      <c r="E164" s="248">
        <v>22493.55</v>
      </c>
      <c r="F164" s="255">
        <f t="shared" si="5"/>
        <v>6.929662581836471E-3</v>
      </c>
      <c r="G164" s="248">
        <v>4044.13</v>
      </c>
      <c r="H164" s="255">
        <f t="shared" si="6"/>
        <v>3.4788132333856137E-3</v>
      </c>
      <c r="I164" s="248">
        <v>1607.39</v>
      </c>
      <c r="J164" s="255">
        <f t="shared" si="7"/>
        <v>-2.3118576906948296E-2</v>
      </c>
      <c r="K164" s="248">
        <v>1632.17</v>
      </c>
      <c r="L164" s="255">
        <f t="shared" si="8"/>
        <v>-3.9240815330159329E-3</v>
      </c>
      <c r="M164" s="248">
        <v>5122.7</v>
      </c>
      <c r="N164" s="255">
        <f t="shared" si="9"/>
        <v>-2.8605019389216113E-2</v>
      </c>
      <c r="O164" s="248">
        <v>1288.1500000000001</v>
      </c>
      <c r="P164" s="255">
        <f t="shared" si="10"/>
        <v>1.2855794936310838E-2</v>
      </c>
      <c r="Q164" s="248">
        <v>4186.05</v>
      </c>
      <c r="R164" s="255">
        <f t="shared" si="11"/>
        <v>-2.6386789161530366E-2</v>
      </c>
    </row>
    <row r="165" spans="2:18" x14ac:dyDescent="0.25">
      <c r="B165" s="254" t="s">
        <v>347</v>
      </c>
      <c r="C165" s="249">
        <v>259.55</v>
      </c>
      <c r="D165" s="255">
        <f t="shared" si="4"/>
        <v>-3.1818860041778474E-2</v>
      </c>
      <c r="E165" s="248">
        <v>22338.75</v>
      </c>
      <c r="F165" s="255">
        <f t="shared" si="5"/>
        <v>5.6746816010659895E-3</v>
      </c>
      <c r="G165" s="248">
        <v>4030.11</v>
      </c>
      <c r="H165" s="255">
        <f t="shared" si="6"/>
        <v>1.0427426714671117E-2</v>
      </c>
      <c r="I165" s="248">
        <v>1645.43</v>
      </c>
      <c r="J165" s="255">
        <f t="shared" si="7"/>
        <v>-1.3205793277159761E-2</v>
      </c>
      <c r="K165" s="248">
        <v>1638.6</v>
      </c>
      <c r="L165" s="255">
        <f t="shared" si="8"/>
        <v>-1.2992645331502239E-2</v>
      </c>
      <c r="M165" s="248">
        <v>5273.55</v>
      </c>
      <c r="N165" s="255">
        <f t="shared" si="9"/>
        <v>-4.8550783470000747E-2</v>
      </c>
      <c r="O165" s="248">
        <v>1271.8</v>
      </c>
      <c r="P165" s="255">
        <f t="shared" si="10"/>
        <v>-3.8154660616373626E-2</v>
      </c>
      <c r="Q165" s="248">
        <v>4299.5</v>
      </c>
      <c r="R165" s="255">
        <f t="shared" si="11"/>
        <v>-6.1602117356077679E-3</v>
      </c>
    </row>
    <row r="166" spans="2:18" x14ac:dyDescent="0.25">
      <c r="B166" s="254" t="s">
        <v>348</v>
      </c>
      <c r="C166" s="249">
        <v>268.08</v>
      </c>
      <c r="D166" s="255">
        <f t="shared" si="4"/>
        <v>-1.2596685082873038E-2</v>
      </c>
      <c r="E166" s="248">
        <v>22212.7</v>
      </c>
      <c r="F166" s="255">
        <f t="shared" si="5"/>
        <v>7.8037448901351336E-3</v>
      </c>
      <c r="G166" s="248">
        <v>3988.52</v>
      </c>
      <c r="H166" s="255">
        <f t="shared" si="6"/>
        <v>-1.8456904358782555E-2</v>
      </c>
      <c r="I166" s="248">
        <v>1667.45</v>
      </c>
      <c r="J166" s="255">
        <f t="shared" si="7"/>
        <v>-1.4573520634001302E-2</v>
      </c>
      <c r="K166" s="248">
        <v>1660.17</v>
      </c>
      <c r="L166" s="255">
        <f t="shared" si="8"/>
        <v>-1.022944032926687E-3</v>
      </c>
      <c r="M166" s="248">
        <v>5542.65</v>
      </c>
      <c r="N166" s="255">
        <f t="shared" si="9"/>
        <v>-6.7647480467349919E-3</v>
      </c>
      <c r="O166" s="248">
        <v>1322.25</v>
      </c>
      <c r="P166" s="255">
        <f t="shared" si="10"/>
        <v>1.5124179494069301E-2</v>
      </c>
      <c r="Q166" s="248">
        <v>4326.1499999999996</v>
      </c>
      <c r="R166" s="255">
        <f t="shared" si="11"/>
        <v>-2.44928147344734E-2</v>
      </c>
    </row>
    <row r="167" spans="2:18" x14ac:dyDescent="0.25">
      <c r="B167" s="254">
        <v>45598</v>
      </c>
      <c r="C167" s="249">
        <v>271.5</v>
      </c>
      <c r="D167" s="255">
        <f t="shared" si="4"/>
        <v>0.10712392447906049</v>
      </c>
      <c r="E167" s="248">
        <v>22040.7</v>
      </c>
      <c r="F167" s="255">
        <f t="shared" si="5"/>
        <v>1.1853552163433978E-2</v>
      </c>
      <c r="G167" s="248">
        <v>4063.52</v>
      </c>
      <c r="H167" s="255">
        <f t="shared" si="6"/>
        <v>-1.3074979601066516E-3</v>
      </c>
      <c r="I167" s="248">
        <v>1692.11</v>
      </c>
      <c r="J167" s="255">
        <f t="shared" si="7"/>
        <v>1.9349514153699676E-2</v>
      </c>
      <c r="K167" s="248">
        <v>1661.87</v>
      </c>
      <c r="L167" s="255">
        <f t="shared" si="8"/>
        <v>2.2601129748821558E-2</v>
      </c>
      <c r="M167" s="248">
        <v>5580.4</v>
      </c>
      <c r="N167" s="255">
        <f t="shared" si="9"/>
        <v>2.3306988429024456E-2</v>
      </c>
      <c r="O167" s="248">
        <v>1302.55</v>
      </c>
      <c r="P167" s="255">
        <f t="shared" si="10"/>
        <v>-6.4833530376415816E-3</v>
      </c>
      <c r="Q167" s="248">
        <v>4434.7700000000004</v>
      </c>
      <c r="R167" s="255">
        <f t="shared" si="11"/>
        <v>2.6714482171052323E-2</v>
      </c>
    </row>
    <row r="168" spans="2:18" x14ac:dyDescent="0.25">
      <c r="B168" s="254">
        <v>45384</v>
      </c>
      <c r="C168" s="249">
        <v>245.23</v>
      </c>
      <c r="D168" s="255">
        <f t="shared" si="4"/>
        <v>1.5150887941383528E-2</v>
      </c>
      <c r="E168" s="248">
        <v>21782.5</v>
      </c>
      <c r="F168" s="255">
        <f t="shared" si="5"/>
        <v>-3.2625904876955047E-3</v>
      </c>
      <c r="G168" s="248">
        <v>4068.84</v>
      </c>
      <c r="H168" s="255">
        <f t="shared" si="6"/>
        <v>4.2207343124849528E-2</v>
      </c>
      <c r="I168" s="248">
        <v>1659.99</v>
      </c>
      <c r="J168" s="255">
        <f t="shared" si="7"/>
        <v>-1.4175762830639038E-2</v>
      </c>
      <c r="K168" s="248">
        <v>1625.14</v>
      </c>
      <c r="L168" s="255">
        <f t="shared" si="8"/>
        <v>2.9579650923374334E-2</v>
      </c>
      <c r="M168" s="248">
        <v>5453.3</v>
      </c>
      <c r="N168" s="255">
        <f t="shared" si="9"/>
        <v>-5.9334469589945593E-3</v>
      </c>
      <c r="O168" s="248">
        <v>1311.05</v>
      </c>
      <c r="P168" s="255">
        <f t="shared" si="10"/>
        <v>-2.0215230550780894E-2</v>
      </c>
      <c r="Q168" s="248">
        <v>4319.38</v>
      </c>
      <c r="R168" s="255">
        <f t="shared" si="11"/>
        <v>1.6013925152306374E-2</v>
      </c>
    </row>
    <row r="169" spans="2:18" x14ac:dyDescent="0.25">
      <c r="B169" s="254" t="s">
        <v>349</v>
      </c>
      <c r="C169" s="249">
        <v>241.57</v>
      </c>
      <c r="D169" s="255">
        <f t="shared" si="4"/>
        <v>2.7957446808510644E-2</v>
      </c>
      <c r="E169" s="248">
        <v>21853.8</v>
      </c>
      <c r="F169" s="255">
        <f t="shared" si="5"/>
        <v>2.3472551352060167E-2</v>
      </c>
      <c r="G169" s="248">
        <v>3904.06</v>
      </c>
      <c r="H169" s="255">
        <f t="shared" si="6"/>
        <v>4.094109867724649E-2</v>
      </c>
      <c r="I169" s="248">
        <v>1683.86</v>
      </c>
      <c r="J169" s="255">
        <f t="shared" si="7"/>
        <v>1.4526284078927532E-2</v>
      </c>
      <c r="K169" s="248">
        <v>1578.45</v>
      </c>
      <c r="L169" s="255">
        <f t="shared" si="8"/>
        <v>2.161081123063191E-2</v>
      </c>
      <c r="M169" s="248">
        <v>5485.85</v>
      </c>
      <c r="N169" s="255">
        <f t="shared" si="9"/>
        <v>-1.6015578790276042E-3</v>
      </c>
      <c r="O169" s="248">
        <v>1338.1</v>
      </c>
      <c r="P169" s="255">
        <f t="shared" si="10"/>
        <v>1.2140236753526601E-2</v>
      </c>
      <c r="Q169" s="248">
        <v>4251.3</v>
      </c>
      <c r="R169" s="255">
        <f t="shared" si="11"/>
        <v>1.4780230010168482E-2</v>
      </c>
    </row>
    <row r="170" spans="2:18" x14ac:dyDescent="0.25">
      <c r="B170" s="254" t="s">
        <v>350</v>
      </c>
      <c r="C170" s="249">
        <v>235</v>
      </c>
      <c r="D170" s="255">
        <f t="shared" si="4"/>
        <v>-3.1007751937984551E-2</v>
      </c>
      <c r="E170" s="248">
        <v>21352.6</v>
      </c>
      <c r="F170" s="255">
        <f t="shared" si="5"/>
        <v>-1.2477800799171379E-2</v>
      </c>
      <c r="G170" s="248">
        <v>3750.51</v>
      </c>
      <c r="H170" s="255">
        <f t="shared" si="6"/>
        <v>-3.366759593731794E-2</v>
      </c>
      <c r="I170" s="248">
        <v>1659.75</v>
      </c>
      <c r="J170" s="255">
        <f t="shared" si="7"/>
        <v>5.9700587914417458E-3</v>
      </c>
      <c r="K170" s="248">
        <v>1545.06</v>
      </c>
      <c r="L170" s="255">
        <f t="shared" si="8"/>
        <v>-1.1288155116145226E-2</v>
      </c>
      <c r="M170" s="248">
        <v>5494.65</v>
      </c>
      <c r="N170" s="255">
        <f t="shared" si="9"/>
        <v>-2.7865502507895212E-2</v>
      </c>
      <c r="O170" s="248">
        <v>1322.05</v>
      </c>
      <c r="P170" s="255">
        <f t="shared" si="10"/>
        <v>-4.8816461615943663E-2</v>
      </c>
      <c r="Q170" s="248">
        <v>4189.38</v>
      </c>
      <c r="R170" s="255">
        <f t="shared" si="11"/>
        <v>6.5219381216818251E-2</v>
      </c>
    </row>
    <row r="171" spans="2:18" x14ac:dyDescent="0.25">
      <c r="B171" s="254" t="s">
        <v>351</v>
      </c>
      <c r="C171" s="249">
        <v>242.52</v>
      </c>
      <c r="D171" s="255">
        <f t="shared" si="4"/>
        <v>4.2065913290078694E-2</v>
      </c>
      <c r="E171" s="248">
        <v>21622.400000000001</v>
      </c>
      <c r="F171" s="255">
        <f t="shared" si="5"/>
        <v>-1.2430033958222397E-2</v>
      </c>
      <c r="G171" s="248">
        <v>3881.18</v>
      </c>
      <c r="H171" s="255">
        <f t="shared" si="6"/>
        <v>2.0222119997371335E-2</v>
      </c>
      <c r="I171" s="248">
        <v>1649.9</v>
      </c>
      <c r="J171" s="255">
        <f t="shared" si="7"/>
        <v>2.8801965442629918E-2</v>
      </c>
      <c r="K171" s="248">
        <v>1562.7</v>
      </c>
      <c r="L171" s="255">
        <f t="shared" si="8"/>
        <v>1.7621317496288258E-2</v>
      </c>
      <c r="M171" s="248">
        <v>5652.15</v>
      </c>
      <c r="N171" s="255">
        <f t="shared" si="9"/>
        <v>-9.3778308655534381E-2</v>
      </c>
      <c r="O171" s="248">
        <v>1389.9</v>
      </c>
      <c r="P171" s="255">
        <f t="shared" si="10"/>
        <v>6.2574060624593919E-2</v>
      </c>
      <c r="Q171" s="248">
        <v>3932.88</v>
      </c>
      <c r="R171" s="255">
        <f t="shared" si="11"/>
        <v>2.7526962628542817E-2</v>
      </c>
    </row>
    <row r="172" spans="2:18" x14ac:dyDescent="0.25">
      <c r="B172" s="254">
        <v>45474</v>
      </c>
      <c r="C172" s="249">
        <v>232.73</v>
      </c>
      <c r="D172" s="255">
        <f t="shared" si="4"/>
        <v>1.9404292597459349E-2</v>
      </c>
      <c r="E172" s="248">
        <v>21894.55</v>
      </c>
      <c r="F172" s="255">
        <f t="shared" si="5"/>
        <v>8.4635296718684749E-3</v>
      </c>
      <c r="G172" s="248">
        <v>3804.25</v>
      </c>
      <c r="H172" s="255">
        <f t="shared" si="6"/>
        <v>3.8765468505957967E-2</v>
      </c>
      <c r="I172" s="248">
        <v>1603.71</v>
      </c>
      <c r="J172" s="255">
        <f t="shared" si="7"/>
        <v>5.2330769836478552E-2</v>
      </c>
      <c r="K172" s="248">
        <v>1535.64</v>
      </c>
      <c r="L172" s="255">
        <f t="shared" si="8"/>
        <v>7.5378151260504289E-2</v>
      </c>
      <c r="M172" s="248">
        <v>6237.05</v>
      </c>
      <c r="N172" s="255">
        <f t="shared" si="9"/>
        <v>4.8657873277681229E-2</v>
      </c>
      <c r="O172" s="248">
        <v>1308.05</v>
      </c>
      <c r="P172" s="255">
        <f t="shared" si="10"/>
        <v>4.7865096531282569E-2</v>
      </c>
      <c r="Q172" s="248">
        <v>3827.52</v>
      </c>
      <c r="R172" s="255">
        <f t="shared" si="11"/>
        <v>4.1394359222719723E-2</v>
      </c>
    </row>
    <row r="173" spans="2:18" x14ac:dyDescent="0.25">
      <c r="B173" s="254" t="s">
        <v>352</v>
      </c>
      <c r="C173" s="249">
        <v>228.3</v>
      </c>
      <c r="D173" s="255">
        <f t="shared" ref="D173:D211" si="12">C173/C174-1</f>
        <v>-3.1190324633991073E-2</v>
      </c>
      <c r="E173" s="248">
        <v>21710.799999999999</v>
      </c>
      <c r="F173" s="255">
        <f t="shared" ref="F173:F211" si="13">E173/E174-1</f>
        <v>-9.479370864280412E-4</v>
      </c>
      <c r="G173" s="248">
        <v>3662.28</v>
      </c>
      <c r="H173" s="255">
        <f t="shared" ref="H173:H211" si="14">G173/G174-1</f>
        <v>-1.4631416379222162E-2</v>
      </c>
      <c r="I173" s="248">
        <v>1523.96</v>
      </c>
      <c r="J173" s="255">
        <f t="shared" ref="J173:J211" si="15">I173/I174-1</f>
        <v>-6.7068600293302971E-3</v>
      </c>
      <c r="K173" s="248">
        <v>1428</v>
      </c>
      <c r="L173" s="255">
        <f t="shared" ref="L173:L211" si="16">K173/K174-1</f>
        <v>-2.2714362950745692E-2</v>
      </c>
      <c r="M173" s="248">
        <v>5947.65</v>
      </c>
      <c r="N173" s="255">
        <f t="shared" ref="N173:N211" si="17">M173/M174-1</f>
        <v>-5.5171208667265104E-2</v>
      </c>
      <c r="O173" s="248">
        <v>1248.3</v>
      </c>
      <c r="P173" s="255">
        <f t="shared" ref="P173:P211" si="18">O173/O174-1</f>
        <v>-1.9133304522060413E-2</v>
      </c>
      <c r="Q173" s="248">
        <v>3675.38</v>
      </c>
      <c r="R173" s="255">
        <f t="shared" ref="R173:R211" si="19">Q173/Q174-1</f>
        <v>-5.2291119712019052E-3</v>
      </c>
    </row>
    <row r="174" spans="2:18" x14ac:dyDescent="0.25">
      <c r="B174" s="254" t="s">
        <v>353</v>
      </c>
      <c r="C174" s="249">
        <v>235.65</v>
      </c>
      <c r="D174" s="255">
        <f t="shared" si="12"/>
        <v>1.8718658135915778E-2</v>
      </c>
      <c r="E174" s="248">
        <v>21731.4</v>
      </c>
      <c r="F174" s="255">
        <f t="shared" si="13"/>
        <v>1.7892774504201459E-2</v>
      </c>
      <c r="G174" s="248">
        <v>3716.66</v>
      </c>
      <c r="H174" s="255">
        <f t="shared" si="14"/>
        <v>-8.0018363120022418E-3</v>
      </c>
      <c r="I174" s="248">
        <v>1534.25</v>
      </c>
      <c r="J174" s="255">
        <f t="shared" si="15"/>
        <v>-1.2798074819514338E-2</v>
      </c>
      <c r="K174" s="248">
        <v>1461.19</v>
      </c>
      <c r="L174" s="255">
        <f t="shared" si="16"/>
        <v>2.3254218685690997E-3</v>
      </c>
      <c r="M174" s="248">
        <v>6294.95</v>
      </c>
      <c r="N174" s="255">
        <f t="shared" si="17"/>
        <v>1.0571350596394247E-2</v>
      </c>
      <c r="O174" s="248">
        <v>1272.6500000000001</v>
      </c>
      <c r="P174" s="255">
        <f t="shared" si="18"/>
        <v>-1.9605536603536367E-3</v>
      </c>
      <c r="Q174" s="248">
        <v>3694.7</v>
      </c>
      <c r="R174" s="255">
        <f t="shared" si="19"/>
        <v>-5.6463419885458555E-3</v>
      </c>
    </row>
    <row r="175" spans="2:18" x14ac:dyDescent="0.25">
      <c r="B175" s="254" t="s">
        <v>354</v>
      </c>
      <c r="C175" s="249">
        <v>231.32</v>
      </c>
      <c r="D175" s="255">
        <f t="shared" si="12"/>
        <v>3.6055000671832316E-2</v>
      </c>
      <c r="E175" s="248">
        <v>21349.4</v>
      </c>
      <c r="F175" s="255">
        <f t="shared" si="13"/>
        <v>-4.9984503638732525E-3</v>
      </c>
      <c r="G175" s="248">
        <v>3746.64</v>
      </c>
      <c r="H175" s="255">
        <f t="shared" si="14"/>
        <v>-9.5826206947597914E-3</v>
      </c>
      <c r="I175" s="248">
        <v>1554.14</v>
      </c>
      <c r="J175" s="255">
        <f t="shared" si="15"/>
        <v>-9.8244093886183936E-3</v>
      </c>
      <c r="K175" s="248">
        <v>1457.8</v>
      </c>
      <c r="L175" s="255">
        <f t="shared" si="16"/>
        <v>-1.9181731940174029E-2</v>
      </c>
      <c r="M175" s="248">
        <v>6229.1</v>
      </c>
      <c r="N175" s="255">
        <f t="shared" si="17"/>
        <v>1.6282446608911316E-2</v>
      </c>
      <c r="O175" s="248">
        <v>1275.1500000000001</v>
      </c>
      <c r="P175" s="255">
        <f t="shared" si="18"/>
        <v>-2.3696501033611428E-2</v>
      </c>
      <c r="Q175" s="248">
        <v>3715.68</v>
      </c>
      <c r="R175" s="255">
        <f t="shared" si="19"/>
        <v>2.8581868714411041E-2</v>
      </c>
    </row>
    <row r="176" spans="2:18" x14ac:dyDescent="0.25">
      <c r="B176" s="254">
        <v>45211</v>
      </c>
      <c r="C176" s="249">
        <v>223.27</v>
      </c>
      <c r="D176" s="255">
        <f t="shared" si="12"/>
        <v>5.6649313771888199E-2</v>
      </c>
      <c r="E176" s="248">
        <v>21456.65</v>
      </c>
      <c r="F176" s="255">
        <f t="shared" si="13"/>
        <v>2.3236239472755438E-2</v>
      </c>
      <c r="G176" s="248">
        <v>3782.89</v>
      </c>
      <c r="H176" s="255">
        <f t="shared" si="14"/>
        <v>6.4604188184041345E-2</v>
      </c>
      <c r="I176" s="248">
        <v>1569.56</v>
      </c>
      <c r="J176" s="255">
        <f t="shared" si="15"/>
        <v>5.8518063920042662E-2</v>
      </c>
      <c r="K176" s="248">
        <v>1486.31</v>
      </c>
      <c r="L176" s="255">
        <f t="shared" si="16"/>
        <v>9.3252815311173798E-2</v>
      </c>
      <c r="M176" s="248">
        <v>6129.3</v>
      </c>
      <c r="N176" s="255">
        <f t="shared" si="17"/>
        <v>7.3677019286352508E-2</v>
      </c>
      <c r="O176" s="248">
        <v>1306.0999999999999</v>
      </c>
      <c r="P176" s="255">
        <f t="shared" si="18"/>
        <v>6.5943034358932451E-2</v>
      </c>
      <c r="Q176" s="248">
        <v>3612.43</v>
      </c>
      <c r="R176" s="255">
        <f t="shared" si="19"/>
        <v>0.11762085234743602</v>
      </c>
    </row>
    <row r="177" spans="2:18" x14ac:dyDescent="0.25">
      <c r="B177" s="254">
        <v>44997</v>
      </c>
      <c r="C177" s="249">
        <v>211.3</v>
      </c>
      <c r="D177" s="255">
        <f t="shared" si="12"/>
        <v>3.6699048179766658E-2</v>
      </c>
      <c r="E177" s="248">
        <v>20969.400000000001</v>
      </c>
      <c r="F177" s="255">
        <f t="shared" si="13"/>
        <v>3.4611380557433069E-2</v>
      </c>
      <c r="G177" s="248">
        <v>3553.33</v>
      </c>
      <c r="H177" s="255">
        <f t="shared" si="14"/>
        <v>3.2761632384954886E-2</v>
      </c>
      <c r="I177" s="248">
        <v>1482.79</v>
      </c>
      <c r="J177" s="255">
        <f t="shared" si="15"/>
        <v>2.6749113671615143E-2</v>
      </c>
      <c r="K177" s="248">
        <v>1359.53</v>
      </c>
      <c r="L177" s="255">
        <f t="shared" si="16"/>
        <v>2.0499617180345542E-2</v>
      </c>
      <c r="M177" s="248">
        <v>5708.7</v>
      </c>
      <c r="N177" s="255">
        <f t="shared" si="17"/>
        <v>2.3605669664069628E-2</v>
      </c>
      <c r="O177" s="248">
        <v>1225.3</v>
      </c>
      <c r="P177" s="255">
        <f t="shared" si="18"/>
        <v>3.8916881733643827E-3</v>
      </c>
      <c r="Q177" s="248">
        <v>3232.25</v>
      </c>
      <c r="R177" s="255">
        <f t="shared" si="19"/>
        <v>4.8497660609641002E-3</v>
      </c>
    </row>
    <row r="178" spans="2:18" x14ac:dyDescent="0.25">
      <c r="B178" s="254" t="s">
        <v>355</v>
      </c>
      <c r="C178" s="249">
        <v>203.82</v>
      </c>
      <c r="D178" s="255">
        <f t="shared" si="12"/>
        <v>2.9393939393939306E-2</v>
      </c>
      <c r="E178" s="248">
        <v>20267.900000000001</v>
      </c>
      <c r="F178" s="255">
        <f t="shared" si="13"/>
        <v>2.3905388816198414E-2</v>
      </c>
      <c r="G178" s="248">
        <v>3440.61</v>
      </c>
      <c r="H178" s="255">
        <f t="shared" si="14"/>
        <v>1.5780181627085943E-2</v>
      </c>
      <c r="I178" s="248">
        <v>1444.16</v>
      </c>
      <c r="J178" s="255">
        <f t="shared" si="15"/>
        <v>1.0368421789077598E-2</v>
      </c>
      <c r="K178" s="248">
        <v>1332.22</v>
      </c>
      <c r="L178" s="255">
        <f t="shared" si="16"/>
        <v>2.1038190638963172E-2</v>
      </c>
      <c r="M178" s="248">
        <v>5577.05</v>
      </c>
      <c r="N178" s="255">
        <f t="shared" si="17"/>
        <v>1.9085992033037291E-2</v>
      </c>
      <c r="O178" s="248">
        <v>1220.55</v>
      </c>
      <c r="P178" s="255">
        <f t="shared" si="18"/>
        <v>1.8950619860583551E-2</v>
      </c>
      <c r="Q178" s="248">
        <v>3216.65</v>
      </c>
      <c r="R178" s="255">
        <f t="shared" si="19"/>
        <v>6.7194962412133741E-3</v>
      </c>
    </row>
    <row r="179" spans="2:18" x14ac:dyDescent="0.25">
      <c r="B179" s="254" t="s">
        <v>356</v>
      </c>
      <c r="C179" s="249">
        <v>198</v>
      </c>
      <c r="D179" s="255">
        <f t="shared" si="12"/>
        <v>1.5174506828528056E-3</v>
      </c>
      <c r="E179" s="248">
        <v>19794.7</v>
      </c>
      <c r="F179" s="255">
        <f t="shared" si="13"/>
        <v>3.1877476966115648E-3</v>
      </c>
      <c r="G179" s="248">
        <v>3387.16</v>
      </c>
      <c r="H179" s="255">
        <f t="shared" si="14"/>
        <v>-1.29473509364465E-2</v>
      </c>
      <c r="I179" s="248">
        <v>1429.34</v>
      </c>
      <c r="J179" s="255">
        <f t="shared" si="15"/>
        <v>-1.049325283842828E-4</v>
      </c>
      <c r="K179" s="248">
        <v>1304.77</v>
      </c>
      <c r="L179" s="255">
        <f t="shared" si="16"/>
        <v>0</v>
      </c>
      <c r="M179" s="248">
        <v>5472.6</v>
      </c>
      <c r="N179" s="255">
        <f t="shared" si="17"/>
        <v>-8.3174775754280006E-3</v>
      </c>
      <c r="O179" s="248">
        <v>1197.8499999999999</v>
      </c>
      <c r="P179" s="255">
        <f t="shared" si="18"/>
        <v>-4.0739970900021127E-3</v>
      </c>
      <c r="Q179" s="248">
        <v>3195.18</v>
      </c>
      <c r="R179" s="255">
        <f t="shared" si="19"/>
        <v>5.4800011273137272E-4</v>
      </c>
    </row>
    <row r="180" spans="2:18" x14ac:dyDescent="0.25">
      <c r="B180" s="254">
        <v>45271</v>
      </c>
      <c r="C180" s="249">
        <v>197.7</v>
      </c>
      <c r="D180" s="255">
        <f t="shared" si="12"/>
        <v>4.2446612180332188E-2</v>
      </c>
      <c r="E180" s="248">
        <v>19731.8</v>
      </c>
      <c r="F180" s="255">
        <f t="shared" si="13"/>
        <v>1.5775777527818002E-2</v>
      </c>
      <c r="G180" s="248">
        <v>3431.59</v>
      </c>
      <c r="H180" s="255">
        <f t="shared" si="14"/>
        <v>5.069794642392389E-2</v>
      </c>
      <c r="I180" s="248">
        <v>1429.49</v>
      </c>
      <c r="J180" s="255">
        <f t="shared" si="15"/>
        <v>5.0184398830426469E-2</v>
      </c>
      <c r="K180" s="248">
        <v>1304.77</v>
      </c>
      <c r="L180" s="255">
        <f t="shared" si="16"/>
        <v>4.2773226773226813E-2</v>
      </c>
      <c r="M180" s="248">
        <v>5518.5</v>
      </c>
      <c r="N180" s="255">
        <f t="shared" si="17"/>
        <v>4.8715829081269035E-2</v>
      </c>
      <c r="O180" s="248">
        <v>1202.75</v>
      </c>
      <c r="P180" s="255">
        <f t="shared" si="18"/>
        <v>5.6758775205377088E-2</v>
      </c>
      <c r="Q180" s="248">
        <v>3193.43</v>
      </c>
      <c r="R180" s="255">
        <f t="shared" si="19"/>
        <v>2.252911398079438E-2</v>
      </c>
    </row>
    <row r="181" spans="2:18" x14ac:dyDescent="0.25">
      <c r="B181" s="254">
        <v>45057</v>
      </c>
      <c r="C181" s="249">
        <v>189.65</v>
      </c>
      <c r="D181" s="255">
        <f t="shared" si="12"/>
        <v>-1.1054909527037582E-2</v>
      </c>
      <c r="E181" s="248">
        <v>19425.349999999999</v>
      </c>
      <c r="F181" s="255">
        <f t="shared" si="13"/>
        <v>1.0127089118384225E-2</v>
      </c>
      <c r="G181" s="248">
        <v>3266.01</v>
      </c>
      <c r="H181" s="255">
        <f t="shared" si="14"/>
        <v>-5.2084761095424481E-3</v>
      </c>
      <c r="I181" s="248">
        <v>1361.18</v>
      </c>
      <c r="J181" s="255">
        <f t="shared" si="15"/>
        <v>-1.4544585779753372E-2</v>
      </c>
      <c r="K181" s="248">
        <v>1251.25</v>
      </c>
      <c r="L181" s="255">
        <f t="shared" si="16"/>
        <v>-8.5260814098144788E-3</v>
      </c>
      <c r="M181" s="248">
        <v>5262.15</v>
      </c>
      <c r="N181" s="255">
        <f t="shared" si="17"/>
        <v>2.477141939064631E-2</v>
      </c>
      <c r="O181" s="248">
        <v>1138.1500000000001</v>
      </c>
      <c r="P181" s="255">
        <f t="shared" si="18"/>
        <v>4.4567999293974037E-3</v>
      </c>
      <c r="Q181" s="248">
        <v>3123.07</v>
      </c>
      <c r="R181" s="255">
        <f t="shared" si="19"/>
        <v>-6.3632054010887007E-3</v>
      </c>
    </row>
    <row r="182" spans="2:18" x14ac:dyDescent="0.25">
      <c r="B182" s="254" t="s">
        <v>357</v>
      </c>
      <c r="C182" s="249">
        <v>191.77</v>
      </c>
      <c r="D182" s="255">
        <f t="shared" si="12"/>
        <v>3.086096872057853E-3</v>
      </c>
      <c r="E182" s="248">
        <v>19230.599999999999</v>
      </c>
      <c r="F182" s="255">
        <f t="shared" si="13"/>
        <v>9.6260615049414966E-3</v>
      </c>
      <c r="G182" s="248">
        <v>3283.11</v>
      </c>
      <c r="H182" s="255">
        <f t="shared" si="14"/>
        <v>-1.5229230375557457E-5</v>
      </c>
      <c r="I182" s="248">
        <v>1381.27</v>
      </c>
      <c r="J182" s="255">
        <f t="shared" si="15"/>
        <v>6.3091482649841879E-3</v>
      </c>
      <c r="K182" s="248">
        <v>1262.01</v>
      </c>
      <c r="L182" s="255">
        <f t="shared" si="16"/>
        <v>-1.9296927517893359E-3</v>
      </c>
      <c r="M182" s="248">
        <v>5134.95</v>
      </c>
      <c r="N182" s="255">
        <f t="shared" si="17"/>
        <v>-6.9715722297428728E-3</v>
      </c>
      <c r="O182" s="248">
        <v>1133.0999999999999</v>
      </c>
      <c r="P182" s="255">
        <f t="shared" si="18"/>
        <v>1.1199857212975672E-2</v>
      </c>
      <c r="Q182" s="248">
        <v>3143.07</v>
      </c>
      <c r="R182" s="255">
        <f t="shared" si="19"/>
        <v>3.3265612055702443E-2</v>
      </c>
    </row>
    <row r="183" spans="2:18" x14ac:dyDescent="0.25">
      <c r="B183" s="254" t="s">
        <v>358</v>
      </c>
      <c r="C183" s="249">
        <v>191.18</v>
      </c>
      <c r="D183" s="255">
        <f t="shared" si="12"/>
        <v>-2.4243352217628744E-2</v>
      </c>
      <c r="E183" s="248">
        <v>19047.25</v>
      </c>
      <c r="F183" s="255">
        <f t="shared" si="13"/>
        <v>-2.5349683896503383E-2</v>
      </c>
      <c r="G183" s="248">
        <v>3283.16</v>
      </c>
      <c r="H183" s="255">
        <f t="shared" si="14"/>
        <v>-4.1091169297720387E-2</v>
      </c>
      <c r="I183" s="248">
        <v>1372.61</v>
      </c>
      <c r="J183" s="255">
        <f t="shared" si="15"/>
        <v>-3.2862427338383071E-2</v>
      </c>
      <c r="K183" s="248">
        <v>1264.45</v>
      </c>
      <c r="L183" s="255">
        <f t="shared" si="16"/>
        <v>8.019834341791654E-3</v>
      </c>
      <c r="M183" s="248">
        <v>5171</v>
      </c>
      <c r="N183" s="255">
        <f t="shared" si="17"/>
        <v>-4.5271592629518853E-2</v>
      </c>
      <c r="O183" s="248">
        <v>1120.55</v>
      </c>
      <c r="P183" s="255">
        <f t="shared" si="18"/>
        <v>-4.2837618518834941E-2</v>
      </c>
      <c r="Q183" s="248">
        <v>3041.88</v>
      </c>
      <c r="R183" s="255">
        <f t="shared" si="19"/>
        <v>2.9871514905286611E-2</v>
      </c>
    </row>
    <row r="184" spans="2:18" x14ac:dyDescent="0.25">
      <c r="B184" s="254" t="s">
        <v>359</v>
      </c>
      <c r="C184" s="249">
        <v>195.93</v>
      </c>
      <c r="D184" s="255">
        <f t="shared" si="12"/>
        <v>-4.6662125340599436E-2</v>
      </c>
      <c r="E184" s="248">
        <v>19542.650000000001</v>
      </c>
      <c r="F184" s="255">
        <f t="shared" si="13"/>
        <v>-1.0551337776978809E-2</v>
      </c>
      <c r="G184" s="248">
        <v>3423.85</v>
      </c>
      <c r="H184" s="255">
        <f t="shared" si="14"/>
        <v>-2.1368486341718618E-2</v>
      </c>
      <c r="I184" s="248">
        <v>1419.25</v>
      </c>
      <c r="J184" s="255">
        <f t="shared" si="15"/>
        <v>-2.7263847997021085E-3</v>
      </c>
      <c r="K184" s="248">
        <v>1254.3900000000001</v>
      </c>
      <c r="L184" s="255">
        <f t="shared" si="16"/>
        <v>2.1570836229418688E-3</v>
      </c>
      <c r="M184" s="248">
        <v>5416.2</v>
      </c>
      <c r="N184" s="255">
        <f t="shared" si="17"/>
        <v>6.3010902524950341E-2</v>
      </c>
      <c r="O184" s="248">
        <v>1170.7</v>
      </c>
      <c r="P184" s="255">
        <f t="shared" si="18"/>
        <v>-1.9596348714512879E-2</v>
      </c>
      <c r="Q184" s="248">
        <v>2953.65</v>
      </c>
      <c r="R184" s="255">
        <f t="shared" si="19"/>
        <v>2.4601679657824338E-2</v>
      </c>
    </row>
    <row r="185" spans="2:18" x14ac:dyDescent="0.25">
      <c r="B185" s="254">
        <v>45148</v>
      </c>
      <c r="C185" s="249">
        <v>205.52</v>
      </c>
      <c r="D185" s="255">
        <f t="shared" si="12"/>
        <v>7.7967930172118116E-3</v>
      </c>
      <c r="E185" s="248">
        <v>19751.05</v>
      </c>
      <c r="F185" s="255">
        <f t="shared" si="13"/>
        <v>4.9634925076957881E-3</v>
      </c>
      <c r="G185" s="248">
        <v>3498.61</v>
      </c>
      <c r="H185" s="255">
        <f t="shared" si="14"/>
        <v>-1.3959426629163385E-2</v>
      </c>
      <c r="I185" s="248">
        <v>1423.13</v>
      </c>
      <c r="J185" s="255">
        <f t="shared" si="15"/>
        <v>-3.2154297100808638E-2</v>
      </c>
      <c r="K185" s="248">
        <v>1251.69</v>
      </c>
      <c r="L185" s="255">
        <f t="shared" si="16"/>
        <v>1.4697298874801534E-2</v>
      </c>
      <c r="M185" s="248">
        <v>5095.1499999999996</v>
      </c>
      <c r="N185" s="255">
        <f t="shared" si="17"/>
        <v>-2.7494655672621771E-2</v>
      </c>
      <c r="O185" s="248">
        <v>1194.0999999999999</v>
      </c>
      <c r="P185" s="255">
        <f t="shared" si="18"/>
        <v>-1.8736132796450145E-2</v>
      </c>
      <c r="Q185" s="248">
        <v>2882.73</v>
      </c>
      <c r="R185" s="255">
        <f t="shared" si="19"/>
        <v>3.0305982561011913E-3</v>
      </c>
    </row>
    <row r="186" spans="2:18" x14ac:dyDescent="0.25">
      <c r="B186" s="254">
        <v>44936</v>
      </c>
      <c r="C186" s="249">
        <v>203.93</v>
      </c>
      <c r="D186" s="255">
        <f t="shared" si="12"/>
        <v>4.4823170131020884E-3</v>
      </c>
      <c r="E186" s="248">
        <v>19653.5</v>
      </c>
      <c r="F186" s="255">
        <f t="shared" si="13"/>
        <v>7.7399774929598486E-4</v>
      </c>
      <c r="G186" s="248">
        <v>3548.14</v>
      </c>
      <c r="H186" s="255">
        <f t="shared" si="14"/>
        <v>2.6301555300372259E-2</v>
      </c>
      <c r="I186" s="248">
        <v>1470.41</v>
      </c>
      <c r="J186" s="255">
        <f t="shared" si="15"/>
        <v>3.0124491211354743E-2</v>
      </c>
      <c r="K186" s="248">
        <v>1233.56</v>
      </c>
      <c r="L186" s="255">
        <f t="shared" si="16"/>
        <v>2.3483143328428824E-3</v>
      </c>
      <c r="M186" s="248">
        <v>5239.2</v>
      </c>
      <c r="N186" s="255">
        <f t="shared" si="17"/>
        <v>5.6335595074712419E-3</v>
      </c>
      <c r="O186" s="248">
        <v>1216.9000000000001</v>
      </c>
      <c r="P186" s="255">
        <f t="shared" si="18"/>
        <v>-4.8249918220476529E-3</v>
      </c>
      <c r="Q186" s="248">
        <v>2874.02</v>
      </c>
      <c r="R186" s="255">
        <f t="shared" si="19"/>
        <v>-8.3944313143684557E-3</v>
      </c>
    </row>
    <row r="187" spans="2:18" x14ac:dyDescent="0.25">
      <c r="B187" s="254" t="s">
        <v>360</v>
      </c>
      <c r="C187" s="249">
        <v>203.02</v>
      </c>
      <c r="D187" s="255">
        <f t="shared" si="12"/>
        <v>-2.9772998805256856E-2</v>
      </c>
      <c r="E187" s="248">
        <v>19638.3</v>
      </c>
      <c r="F187" s="255">
        <f t="shared" si="13"/>
        <v>-1.8272615220402688E-3</v>
      </c>
      <c r="G187" s="248">
        <v>3457.21</v>
      </c>
      <c r="H187" s="255">
        <f t="shared" si="14"/>
        <v>-2.0828435884727048E-2</v>
      </c>
      <c r="I187" s="248">
        <v>1427.41</v>
      </c>
      <c r="J187" s="255">
        <f t="shared" si="15"/>
        <v>-4.057078715123974E-2</v>
      </c>
      <c r="K187" s="248">
        <v>1230.67</v>
      </c>
      <c r="L187" s="255">
        <f t="shared" si="16"/>
        <v>-3.0541025964204715E-2</v>
      </c>
      <c r="M187" s="248">
        <v>5209.8500000000004</v>
      </c>
      <c r="N187" s="255">
        <f t="shared" si="17"/>
        <v>-4.0101335789958448E-2</v>
      </c>
      <c r="O187" s="248">
        <v>1222.8</v>
      </c>
      <c r="P187" s="255">
        <f t="shared" si="18"/>
        <v>-6.3239744129926834E-2</v>
      </c>
      <c r="Q187" s="248">
        <v>2898.35</v>
      </c>
      <c r="R187" s="255">
        <f t="shared" si="19"/>
        <v>-9.0026943118562963E-3</v>
      </c>
    </row>
    <row r="188" spans="2:18" x14ac:dyDescent="0.25">
      <c r="B188" s="254" t="s">
        <v>361</v>
      </c>
      <c r="C188" s="249">
        <v>209.25</v>
      </c>
      <c r="D188" s="255">
        <f t="shared" si="12"/>
        <v>-5.1106475603119983E-2</v>
      </c>
      <c r="E188" s="248">
        <v>19674.25</v>
      </c>
      <c r="F188" s="255">
        <f t="shared" si="13"/>
        <v>-2.5658231954180599E-2</v>
      </c>
      <c r="G188" s="248">
        <v>3530.75</v>
      </c>
      <c r="H188" s="255">
        <f t="shared" si="14"/>
        <v>1.4891504751100015E-3</v>
      </c>
      <c r="I188" s="248">
        <v>1487.77</v>
      </c>
      <c r="J188" s="255">
        <f t="shared" si="15"/>
        <v>-1.0218677027269862E-2</v>
      </c>
      <c r="K188" s="248">
        <v>1269.44</v>
      </c>
      <c r="L188" s="255">
        <f t="shared" si="16"/>
        <v>-2.3680425770825186E-2</v>
      </c>
      <c r="M188" s="248">
        <v>5427.5</v>
      </c>
      <c r="N188" s="255">
        <f t="shared" si="17"/>
        <v>-1.9031954887218094E-2</v>
      </c>
      <c r="O188" s="248">
        <v>1305.3499999999999</v>
      </c>
      <c r="P188" s="255">
        <f t="shared" si="18"/>
        <v>4.0767662782199565E-3</v>
      </c>
      <c r="Q188" s="248">
        <v>2924.68</v>
      </c>
      <c r="R188" s="255">
        <f t="shared" si="19"/>
        <v>-1.9491622022113408E-2</v>
      </c>
    </row>
    <row r="189" spans="2:18" x14ac:dyDescent="0.25">
      <c r="B189" s="254">
        <v>45208</v>
      </c>
      <c r="C189" s="249">
        <v>220.52</v>
      </c>
      <c r="D189" s="255">
        <f t="shared" si="12"/>
        <v>2.5674418604651139E-2</v>
      </c>
      <c r="E189" s="248">
        <v>20192.349999999999</v>
      </c>
      <c r="F189" s="255">
        <f t="shared" si="13"/>
        <v>1.8789149316723597E-2</v>
      </c>
      <c r="G189" s="248">
        <v>3525.5</v>
      </c>
      <c r="H189" s="255">
        <f t="shared" si="14"/>
        <v>4.5438235965684859E-2</v>
      </c>
      <c r="I189" s="248">
        <v>1503.13</v>
      </c>
      <c r="J189" s="255">
        <f t="shared" si="15"/>
        <v>2.8582963814529183E-2</v>
      </c>
      <c r="K189" s="248">
        <v>1300.23</v>
      </c>
      <c r="L189" s="255">
        <f t="shared" si="16"/>
        <v>3.3717066034885779E-2</v>
      </c>
      <c r="M189" s="248">
        <v>5532.8</v>
      </c>
      <c r="N189" s="255">
        <f t="shared" si="17"/>
        <v>9.9114721182806953E-3</v>
      </c>
      <c r="O189" s="248">
        <v>1300.05</v>
      </c>
      <c r="P189" s="255">
        <f t="shared" si="18"/>
        <v>2.9375668078704509E-2</v>
      </c>
      <c r="Q189" s="248">
        <v>2982.82</v>
      </c>
      <c r="R189" s="255">
        <f t="shared" si="19"/>
        <v>-9.0436506873170508E-4</v>
      </c>
    </row>
    <row r="190" spans="2:18" x14ac:dyDescent="0.25">
      <c r="B190" s="254">
        <v>44994</v>
      </c>
      <c r="C190" s="249">
        <v>215</v>
      </c>
      <c r="D190" s="255">
        <f t="shared" si="12"/>
        <v>3.2760111442021289E-2</v>
      </c>
      <c r="E190" s="248">
        <v>19819.95</v>
      </c>
      <c r="F190" s="255">
        <f t="shared" si="13"/>
        <v>1.9791307569216876E-2</v>
      </c>
      <c r="G190" s="248">
        <v>3372.27</v>
      </c>
      <c r="H190" s="255">
        <f t="shared" si="14"/>
        <v>1.8554203767019883E-2</v>
      </c>
      <c r="I190" s="248">
        <v>1461.36</v>
      </c>
      <c r="J190" s="255">
        <f t="shared" si="15"/>
        <v>1.7830278040898095E-2</v>
      </c>
      <c r="K190" s="248">
        <v>1257.82</v>
      </c>
      <c r="L190" s="255">
        <f t="shared" si="16"/>
        <v>6.4298587783352845E-2</v>
      </c>
      <c r="M190" s="248">
        <v>5478.5</v>
      </c>
      <c r="N190" s="255">
        <f t="shared" si="17"/>
        <v>3.3026294700519321E-2</v>
      </c>
      <c r="O190" s="248">
        <v>1262.95</v>
      </c>
      <c r="P190" s="255">
        <f t="shared" si="18"/>
        <v>2.841903831277226E-2</v>
      </c>
      <c r="Q190" s="248">
        <v>2985.52</v>
      </c>
      <c r="R190" s="255">
        <f t="shared" si="19"/>
        <v>7.7163422510057034E-2</v>
      </c>
    </row>
    <row r="191" spans="2:18" x14ac:dyDescent="0.25">
      <c r="B191" s="254" t="s">
        <v>362</v>
      </c>
      <c r="C191" s="249">
        <v>208.18</v>
      </c>
      <c r="D191" s="255">
        <f t="shared" si="12"/>
        <v>1.6255796924579125E-2</v>
      </c>
      <c r="E191" s="248">
        <v>19435.3</v>
      </c>
      <c r="F191" s="255">
        <f t="shared" si="13"/>
        <v>8.7979736112697715E-3</v>
      </c>
      <c r="G191" s="248">
        <v>3310.84</v>
      </c>
      <c r="H191" s="255">
        <f t="shared" si="14"/>
        <v>-6.187950701652678E-4</v>
      </c>
      <c r="I191" s="248">
        <v>1435.76</v>
      </c>
      <c r="J191" s="255">
        <f t="shared" si="15"/>
        <v>1.6726386902148338E-2</v>
      </c>
      <c r="K191" s="248">
        <v>1181.83</v>
      </c>
      <c r="L191" s="255">
        <f t="shared" si="16"/>
        <v>2.7597840169030219E-2</v>
      </c>
      <c r="M191" s="248">
        <v>5303.35</v>
      </c>
      <c r="N191" s="255">
        <f t="shared" si="17"/>
        <v>3.4315637555096368E-2</v>
      </c>
      <c r="O191" s="248">
        <v>1228.05</v>
      </c>
      <c r="P191" s="255">
        <f t="shared" si="18"/>
        <v>3.2408575031525721E-2</v>
      </c>
      <c r="Q191" s="248">
        <v>2771.65</v>
      </c>
      <c r="R191" s="255">
        <f t="shared" si="19"/>
        <v>7.890383230502751E-2</v>
      </c>
    </row>
    <row r="192" spans="2:18" x14ac:dyDescent="0.25">
      <c r="B192" s="254" t="s">
        <v>363</v>
      </c>
      <c r="C192" s="249">
        <v>204.85</v>
      </c>
      <c r="D192" s="255">
        <f t="shared" si="12"/>
        <v>-4.8579062424095598E-3</v>
      </c>
      <c r="E192" s="248">
        <v>19265.8</v>
      </c>
      <c r="F192" s="255">
        <f t="shared" si="13"/>
        <v>-2.2967196008317758E-3</v>
      </c>
      <c r="G192" s="248">
        <v>3312.89</v>
      </c>
      <c r="H192" s="255">
        <f t="shared" si="14"/>
        <v>4.216454782993484E-3</v>
      </c>
      <c r="I192" s="248">
        <v>1412.14</v>
      </c>
      <c r="J192" s="255">
        <f t="shared" si="15"/>
        <v>2.2534069021447944E-2</v>
      </c>
      <c r="K192" s="248">
        <v>1150.0899999999999</v>
      </c>
      <c r="L192" s="255">
        <f t="shared" si="16"/>
        <v>-1.6823820067192741E-2</v>
      </c>
      <c r="M192" s="248">
        <v>5127.3999999999996</v>
      </c>
      <c r="N192" s="255">
        <f t="shared" si="17"/>
        <v>8.3085061404284399E-3</v>
      </c>
      <c r="O192" s="248">
        <v>1189.5</v>
      </c>
      <c r="P192" s="255">
        <f t="shared" si="18"/>
        <v>-1.7591674925668932E-2</v>
      </c>
      <c r="Q192" s="248">
        <v>2568.9499999999998</v>
      </c>
      <c r="R192" s="255">
        <f t="shared" si="19"/>
        <v>5.8989632499948375E-2</v>
      </c>
    </row>
    <row r="193" spans="2:18" x14ac:dyDescent="0.25">
      <c r="B193" s="254" t="s">
        <v>364</v>
      </c>
      <c r="C193" s="249">
        <v>205.85</v>
      </c>
      <c r="D193" s="255">
        <f t="shared" si="12"/>
        <v>-3.2442378462135268E-3</v>
      </c>
      <c r="E193" s="248">
        <v>19310.150000000001</v>
      </c>
      <c r="F193" s="255">
        <f t="shared" si="13"/>
        <v>-6.0813349598265454E-3</v>
      </c>
      <c r="G193" s="248">
        <v>3298.98</v>
      </c>
      <c r="H193" s="255">
        <f t="shared" si="14"/>
        <v>-2.3690230628316433E-2</v>
      </c>
      <c r="I193" s="248">
        <v>1381.02</v>
      </c>
      <c r="J193" s="255">
        <f t="shared" si="15"/>
        <v>1.2359254046446111E-2</v>
      </c>
      <c r="K193" s="248">
        <v>1169.77</v>
      </c>
      <c r="L193" s="255">
        <f t="shared" si="16"/>
        <v>1.9185802506145322E-3</v>
      </c>
      <c r="M193" s="248">
        <v>5085.1499999999996</v>
      </c>
      <c r="N193" s="255">
        <f t="shared" si="17"/>
        <v>-4.3466768480719953E-3</v>
      </c>
      <c r="O193" s="248">
        <v>1210.8</v>
      </c>
      <c r="P193" s="255">
        <f t="shared" si="18"/>
        <v>-7.9069195788439295E-3</v>
      </c>
      <c r="Q193" s="248">
        <v>2425.85</v>
      </c>
      <c r="R193" s="255">
        <f t="shared" si="19"/>
        <v>-8.3474023717742263E-3</v>
      </c>
    </row>
    <row r="194" spans="2:18" x14ac:dyDescent="0.25">
      <c r="B194" s="254">
        <v>45085</v>
      </c>
      <c r="C194" s="249">
        <v>206.52</v>
      </c>
      <c r="D194" s="255">
        <f t="shared" si="12"/>
        <v>1.0223548402876315E-2</v>
      </c>
      <c r="E194" s="248">
        <v>19428.3</v>
      </c>
      <c r="F194" s="255">
        <f t="shared" si="13"/>
        <v>-4.5447558538710409E-3</v>
      </c>
      <c r="G194" s="248">
        <v>3379.03</v>
      </c>
      <c r="H194" s="255">
        <f t="shared" si="14"/>
        <v>1.5234640133496846E-3</v>
      </c>
      <c r="I194" s="248">
        <v>1364.16</v>
      </c>
      <c r="J194" s="255">
        <f t="shared" si="15"/>
        <v>-4.7204570161166748E-3</v>
      </c>
      <c r="K194" s="248">
        <v>1167.53</v>
      </c>
      <c r="L194" s="255">
        <f t="shared" si="16"/>
        <v>2.3682180058218982E-2</v>
      </c>
      <c r="M194" s="248">
        <v>5107.3500000000004</v>
      </c>
      <c r="N194" s="255">
        <f t="shared" si="17"/>
        <v>3.3688194458499687E-2</v>
      </c>
      <c r="O194" s="248">
        <v>1220.45</v>
      </c>
      <c r="P194" s="255">
        <f t="shared" si="18"/>
        <v>3.8504084411164152E-2</v>
      </c>
      <c r="Q194" s="248">
        <v>2446.27</v>
      </c>
      <c r="R194" s="255">
        <f t="shared" si="19"/>
        <v>2.2312025676172631E-2</v>
      </c>
    </row>
    <row r="195" spans="2:18" x14ac:dyDescent="0.25">
      <c r="B195" s="254" t="s">
        <v>365</v>
      </c>
      <c r="C195" s="249">
        <v>204.43</v>
      </c>
      <c r="D195" s="255">
        <f t="shared" si="12"/>
        <v>2.5328518407061962E-2</v>
      </c>
      <c r="E195" s="248">
        <v>19517</v>
      </c>
      <c r="F195" s="255">
        <f t="shared" si="13"/>
        <v>-6.568750461288575E-3</v>
      </c>
      <c r="G195" s="248">
        <v>3373.89</v>
      </c>
      <c r="H195" s="255">
        <f t="shared" si="14"/>
        <v>2.6272083515841649E-2</v>
      </c>
      <c r="I195" s="248">
        <v>1370.63</v>
      </c>
      <c r="J195" s="255">
        <f t="shared" si="15"/>
        <v>2.8237271097307559E-2</v>
      </c>
      <c r="K195" s="248">
        <v>1140.52</v>
      </c>
      <c r="L195" s="255">
        <f t="shared" si="16"/>
        <v>3.6977769695867746E-2</v>
      </c>
      <c r="M195" s="248">
        <v>4940.8999999999996</v>
      </c>
      <c r="N195" s="255">
        <f t="shared" si="17"/>
        <v>1.9993600396362332E-2</v>
      </c>
      <c r="O195" s="248">
        <v>1175.2</v>
      </c>
      <c r="P195" s="255">
        <f t="shared" si="18"/>
        <v>7.7127537693048032E-2</v>
      </c>
      <c r="Q195" s="248">
        <v>2392.88</v>
      </c>
      <c r="R195" s="255">
        <f t="shared" si="19"/>
        <v>1.8940555271674375E-2</v>
      </c>
    </row>
    <row r="196" spans="2:18" x14ac:dyDescent="0.25">
      <c r="B196" s="254" t="s">
        <v>366</v>
      </c>
      <c r="C196" s="249">
        <v>199.38</v>
      </c>
      <c r="D196" s="255">
        <f t="shared" si="12"/>
        <v>-1.4677538917716837E-2</v>
      </c>
      <c r="E196" s="248">
        <v>19646.05</v>
      </c>
      <c r="F196" s="255">
        <f t="shared" si="13"/>
        <v>-5.0113952899468739E-3</v>
      </c>
      <c r="G196" s="248">
        <v>3287.52</v>
      </c>
      <c r="H196" s="255">
        <f t="shared" si="14"/>
        <v>-3.8301173276447109E-3</v>
      </c>
      <c r="I196" s="248">
        <v>1332.99</v>
      </c>
      <c r="J196" s="255">
        <f t="shared" si="15"/>
        <v>6.6835833069009976E-3</v>
      </c>
      <c r="K196" s="248">
        <v>1099.8499999999999</v>
      </c>
      <c r="L196" s="255">
        <f t="shared" si="16"/>
        <v>-1.0668249813350683E-2</v>
      </c>
      <c r="M196" s="248">
        <v>4844.05</v>
      </c>
      <c r="N196" s="255">
        <f t="shared" si="17"/>
        <v>-1.5986999136661351E-2</v>
      </c>
      <c r="O196" s="248">
        <v>1091.05</v>
      </c>
      <c r="P196" s="255">
        <f t="shared" si="18"/>
        <v>-8.7063844029788284E-2</v>
      </c>
      <c r="Q196" s="248">
        <v>2348.4</v>
      </c>
      <c r="R196" s="255">
        <f t="shared" si="19"/>
        <v>-1.1116725618999568E-2</v>
      </c>
    </row>
    <row r="197" spans="2:18" x14ac:dyDescent="0.25">
      <c r="B197" s="254" t="s">
        <v>367</v>
      </c>
      <c r="C197" s="249">
        <v>202.35</v>
      </c>
      <c r="D197" s="255">
        <f t="shared" si="12"/>
        <v>-8.3942326683794644E-4</v>
      </c>
      <c r="E197" s="248">
        <v>19745</v>
      </c>
      <c r="F197" s="255">
        <f t="shared" si="13"/>
        <v>9.225893838329613E-3</v>
      </c>
      <c r="G197" s="248">
        <v>3300.16</v>
      </c>
      <c r="H197" s="255">
        <f t="shared" si="14"/>
        <v>-4.1640167850038545E-2</v>
      </c>
      <c r="I197" s="248">
        <v>1324.14</v>
      </c>
      <c r="J197" s="255">
        <f t="shared" si="15"/>
        <v>-6.6165477164376929E-2</v>
      </c>
      <c r="K197" s="248">
        <v>1111.71</v>
      </c>
      <c r="L197" s="255">
        <f t="shared" si="16"/>
        <v>-3.0851713015430104E-2</v>
      </c>
      <c r="M197" s="248">
        <v>4922.75</v>
      </c>
      <c r="N197" s="255">
        <f t="shared" si="17"/>
        <v>-3.344721289587882E-2</v>
      </c>
      <c r="O197" s="248">
        <v>1195.0999999999999</v>
      </c>
      <c r="P197" s="255">
        <f t="shared" si="18"/>
        <v>-2.7306393195784096E-2</v>
      </c>
      <c r="Q197" s="248">
        <v>2374.8000000000002</v>
      </c>
      <c r="R197" s="255">
        <f t="shared" si="19"/>
        <v>-3.5418359057676652E-2</v>
      </c>
    </row>
    <row r="198" spans="2:18" x14ac:dyDescent="0.25">
      <c r="B198" s="254">
        <v>45176</v>
      </c>
      <c r="C198" s="249">
        <v>202.52</v>
      </c>
      <c r="D198" s="255">
        <f t="shared" si="12"/>
        <v>2.3190016672560931E-2</v>
      </c>
      <c r="E198" s="248">
        <v>19564.5</v>
      </c>
      <c r="F198" s="255">
        <f t="shared" si="13"/>
        <v>1.2037161567986399E-2</v>
      </c>
      <c r="G198" s="248">
        <v>3443.55</v>
      </c>
      <c r="H198" s="255">
        <f t="shared" si="14"/>
        <v>5.5688402464821207E-2</v>
      </c>
      <c r="I198" s="248">
        <v>1417.96</v>
      </c>
      <c r="J198" s="255">
        <f t="shared" si="15"/>
        <v>7.1978831978831925E-2</v>
      </c>
      <c r="K198" s="248">
        <v>1147.0999999999999</v>
      </c>
      <c r="L198" s="255">
        <f t="shared" si="16"/>
        <v>-5.7379606837014707E-3</v>
      </c>
      <c r="M198" s="248">
        <v>5093.1000000000004</v>
      </c>
      <c r="N198" s="255">
        <f t="shared" si="17"/>
        <v>-4.1939173534327745E-3</v>
      </c>
      <c r="O198" s="248">
        <v>1228.6500000000001</v>
      </c>
      <c r="P198" s="255">
        <f t="shared" si="18"/>
        <v>6.2846020761245791E-2</v>
      </c>
      <c r="Q198" s="248">
        <v>2462</v>
      </c>
      <c r="R198" s="255">
        <f t="shared" si="19"/>
        <v>2.1708186530217555E-2</v>
      </c>
    </row>
    <row r="199" spans="2:18" x14ac:dyDescent="0.25">
      <c r="B199" s="254">
        <v>44964</v>
      </c>
      <c r="C199" s="249">
        <v>197.93</v>
      </c>
      <c r="D199" s="255">
        <f t="shared" si="12"/>
        <v>1.7268849257336738E-2</v>
      </c>
      <c r="E199" s="248">
        <v>19331.8</v>
      </c>
      <c r="F199" s="255">
        <f t="shared" si="13"/>
        <v>7.4391384669902916E-3</v>
      </c>
      <c r="G199" s="248">
        <v>3261.9</v>
      </c>
      <c r="H199" s="255">
        <f t="shared" si="14"/>
        <v>8.1781766931237065E-3</v>
      </c>
      <c r="I199" s="248">
        <v>1322.75</v>
      </c>
      <c r="J199" s="255">
        <f t="shared" si="15"/>
        <v>-3.9683137302148896E-3</v>
      </c>
      <c r="K199" s="248">
        <v>1153.72</v>
      </c>
      <c r="L199" s="255">
        <f t="shared" si="16"/>
        <v>-2.5549633858966025E-2</v>
      </c>
      <c r="M199" s="248">
        <v>5114.55</v>
      </c>
      <c r="N199" s="255">
        <f t="shared" si="17"/>
        <v>-1.5902793812052618E-2</v>
      </c>
      <c r="O199" s="248">
        <v>1156</v>
      </c>
      <c r="P199" s="255">
        <f t="shared" si="18"/>
        <v>2.2239908033780065E-2</v>
      </c>
      <c r="Q199" s="248">
        <v>2409.69</v>
      </c>
      <c r="R199" s="255">
        <f t="shared" si="19"/>
        <v>-3.6220377962203787E-2</v>
      </c>
    </row>
    <row r="200" spans="2:18" x14ac:dyDescent="0.25">
      <c r="B200" s="254" t="s">
        <v>368</v>
      </c>
      <c r="C200" s="249">
        <v>194.57</v>
      </c>
      <c r="D200" s="255">
        <f t="shared" si="12"/>
        <v>2.4160437940835999E-2</v>
      </c>
      <c r="E200" s="248">
        <v>19189.05</v>
      </c>
      <c r="F200" s="255">
        <f t="shared" si="13"/>
        <v>2.8049074495727355E-2</v>
      </c>
      <c r="G200" s="248">
        <v>3235.44</v>
      </c>
      <c r="H200" s="255">
        <f t="shared" si="14"/>
        <v>2.6706608108451046E-2</v>
      </c>
      <c r="I200" s="248">
        <v>1328.02</v>
      </c>
      <c r="J200" s="255">
        <f t="shared" si="15"/>
        <v>5.5735306977446664E-2</v>
      </c>
      <c r="K200" s="248">
        <v>1183.97</v>
      </c>
      <c r="L200" s="255">
        <f t="shared" si="16"/>
        <v>1.9565123789020422E-2</v>
      </c>
      <c r="M200" s="248">
        <v>5197.2</v>
      </c>
      <c r="N200" s="255">
        <f t="shared" si="17"/>
        <v>4.8530761703973413E-2</v>
      </c>
      <c r="O200" s="248">
        <v>1130.8499999999999</v>
      </c>
      <c r="P200" s="255">
        <f t="shared" si="18"/>
        <v>1.3760645450470621E-2</v>
      </c>
      <c r="Q200" s="248">
        <v>2500.25</v>
      </c>
      <c r="R200" s="255">
        <f t="shared" si="19"/>
        <v>4.2918043180832255E-2</v>
      </c>
    </row>
    <row r="201" spans="2:18" x14ac:dyDescent="0.25">
      <c r="B201" s="254" t="s">
        <v>369</v>
      </c>
      <c r="C201" s="249">
        <v>189.98</v>
      </c>
      <c r="D201" s="255">
        <f t="shared" si="12"/>
        <v>-3.514293207448338E-3</v>
      </c>
      <c r="E201" s="248">
        <v>18665.5</v>
      </c>
      <c r="F201" s="255">
        <f t="shared" si="13"/>
        <v>-8.5254435355359703E-3</v>
      </c>
      <c r="G201" s="248">
        <v>3151.28</v>
      </c>
      <c r="H201" s="255">
        <f t="shared" si="14"/>
        <v>1.3055065307473912E-2</v>
      </c>
      <c r="I201" s="248">
        <v>1257.9100000000001</v>
      </c>
      <c r="J201" s="255">
        <f t="shared" si="15"/>
        <v>-2.0632041170654203E-2</v>
      </c>
      <c r="K201" s="248">
        <v>1161.25</v>
      </c>
      <c r="L201" s="255">
        <f t="shared" si="16"/>
        <v>1.4759341465972353E-2</v>
      </c>
      <c r="M201" s="248">
        <v>4956.6499999999996</v>
      </c>
      <c r="N201" s="255">
        <f t="shared" si="17"/>
        <v>-1.0767173591985091E-2</v>
      </c>
      <c r="O201" s="248">
        <v>1115.5</v>
      </c>
      <c r="P201" s="255">
        <f t="shared" si="18"/>
        <v>3.5555142963237918E-2</v>
      </c>
      <c r="Q201" s="248">
        <v>2397.36</v>
      </c>
      <c r="R201" s="255">
        <f t="shared" si="19"/>
        <v>-3.1036921771113279E-2</v>
      </c>
    </row>
    <row r="202" spans="2:18" x14ac:dyDescent="0.25">
      <c r="B202" s="254">
        <v>45236</v>
      </c>
      <c r="C202" s="249">
        <v>190.65</v>
      </c>
      <c r="D202" s="255">
        <f t="shared" si="12"/>
        <v>-4.027183488547692E-2</v>
      </c>
      <c r="E202" s="248">
        <v>18826</v>
      </c>
      <c r="F202" s="255">
        <f t="shared" si="13"/>
        <v>1.4146115474535925E-2</v>
      </c>
      <c r="G202" s="248">
        <v>3110.67</v>
      </c>
      <c r="H202" s="255">
        <f t="shared" si="14"/>
        <v>-1.0717568225113383E-2</v>
      </c>
      <c r="I202" s="248">
        <v>1284.4100000000001</v>
      </c>
      <c r="J202" s="255">
        <f t="shared" si="15"/>
        <v>2.0296140952925867E-2</v>
      </c>
      <c r="K202" s="248">
        <v>1144.3599999999999</v>
      </c>
      <c r="L202" s="255">
        <f t="shared" si="16"/>
        <v>3.4646124914107901E-2</v>
      </c>
      <c r="M202" s="248">
        <v>5010.6000000000004</v>
      </c>
      <c r="N202" s="255">
        <f t="shared" si="17"/>
        <v>3.8886181980282153E-2</v>
      </c>
      <c r="O202" s="248">
        <v>1077.2</v>
      </c>
      <c r="P202" s="255">
        <f t="shared" si="18"/>
        <v>1.3310756784723266E-2</v>
      </c>
      <c r="Q202" s="248">
        <v>2474.15</v>
      </c>
      <c r="R202" s="255">
        <f t="shared" si="19"/>
        <v>1.4731998211817698E-2</v>
      </c>
    </row>
    <row r="203" spans="2:18" x14ac:dyDescent="0.25">
      <c r="B203" s="254">
        <v>45022</v>
      </c>
      <c r="C203" s="249">
        <v>198.65</v>
      </c>
      <c r="D203" s="255">
        <f t="shared" si="12"/>
        <v>-1.8915448439352001E-2</v>
      </c>
      <c r="E203" s="248">
        <v>18563.400000000001</v>
      </c>
      <c r="F203" s="255">
        <f t="shared" si="13"/>
        <v>1.5808698561032841E-3</v>
      </c>
      <c r="G203" s="248">
        <v>3144.37</v>
      </c>
      <c r="H203" s="255">
        <f t="shared" si="14"/>
        <v>-2.9134876942505272E-2</v>
      </c>
      <c r="I203" s="248">
        <v>1258.8599999999999</v>
      </c>
      <c r="J203" s="255">
        <f t="shared" si="15"/>
        <v>-2.5438949617564321E-2</v>
      </c>
      <c r="K203" s="248">
        <v>1106.04</v>
      </c>
      <c r="L203" s="255">
        <f t="shared" si="16"/>
        <v>-2.4001976633369893E-2</v>
      </c>
      <c r="M203" s="248">
        <v>4823.05</v>
      </c>
      <c r="N203" s="255">
        <f t="shared" si="17"/>
        <v>-3.4260084298629256E-2</v>
      </c>
      <c r="O203" s="248">
        <v>1063.05</v>
      </c>
      <c r="P203" s="255">
        <f t="shared" si="18"/>
        <v>-5.3468079423025561E-2</v>
      </c>
      <c r="Q203" s="248">
        <v>2438.23</v>
      </c>
      <c r="R203" s="255">
        <f t="shared" si="19"/>
        <v>-6.5006231425558392E-2</v>
      </c>
    </row>
    <row r="204" spans="2:18" x14ac:dyDescent="0.25">
      <c r="B204" s="254" t="s">
        <v>370</v>
      </c>
      <c r="C204" s="249">
        <v>202.48</v>
      </c>
      <c r="D204" s="255">
        <f t="shared" si="12"/>
        <v>8.1155090863829216E-3</v>
      </c>
      <c r="E204" s="248">
        <v>18534.099999999999</v>
      </c>
      <c r="F204" s="255">
        <f t="shared" si="13"/>
        <v>1.8784443777755122E-3</v>
      </c>
      <c r="G204" s="248">
        <v>3238.73</v>
      </c>
      <c r="H204" s="255">
        <f t="shared" si="14"/>
        <v>-6.9966733608254339E-3</v>
      </c>
      <c r="I204" s="248">
        <v>1291.72</v>
      </c>
      <c r="J204" s="255">
        <f t="shared" si="15"/>
        <v>-1.4006885128275526E-2</v>
      </c>
      <c r="K204" s="248">
        <v>1133.24</v>
      </c>
      <c r="L204" s="255">
        <f t="shared" si="16"/>
        <v>-1.893622455720112E-3</v>
      </c>
      <c r="M204" s="248">
        <v>4994.1499999999996</v>
      </c>
      <c r="N204" s="255">
        <f t="shared" si="17"/>
        <v>-1.3896942672613211E-3</v>
      </c>
      <c r="O204" s="248">
        <v>1123.0999999999999</v>
      </c>
      <c r="P204" s="255">
        <f t="shared" si="18"/>
        <v>7.4904687149583982E-3</v>
      </c>
      <c r="Q204" s="248">
        <v>2607.75</v>
      </c>
      <c r="R204" s="255">
        <f t="shared" si="19"/>
        <v>2.7029049434449837E-2</v>
      </c>
    </row>
    <row r="205" spans="2:18" x14ac:dyDescent="0.25">
      <c r="B205" s="254" t="s">
        <v>371</v>
      </c>
      <c r="C205" s="249">
        <v>200.85</v>
      </c>
      <c r="D205" s="255">
        <f t="shared" si="12"/>
        <v>4.013464526152255E-2</v>
      </c>
      <c r="E205" s="248">
        <v>18499.349999999999</v>
      </c>
      <c r="F205" s="255">
        <f t="shared" si="13"/>
        <v>1.6257951811200044E-2</v>
      </c>
      <c r="G205" s="248">
        <v>3261.55</v>
      </c>
      <c r="H205" s="255">
        <f t="shared" si="14"/>
        <v>3.2904216743464332E-2</v>
      </c>
      <c r="I205" s="248">
        <v>1310.07</v>
      </c>
      <c r="J205" s="255">
        <f t="shared" si="15"/>
        <v>3.8263102417993355E-2</v>
      </c>
      <c r="K205" s="248">
        <v>1135.3900000000001</v>
      </c>
      <c r="L205" s="255">
        <f t="shared" si="16"/>
        <v>4.0039205628022989E-2</v>
      </c>
      <c r="M205" s="248">
        <v>5001.1000000000004</v>
      </c>
      <c r="N205" s="255">
        <f t="shared" si="17"/>
        <v>4.1245055173849687E-2</v>
      </c>
      <c r="O205" s="248">
        <v>1114.75</v>
      </c>
      <c r="P205" s="255">
        <f t="shared" si="18"/>
        <v>3.973324628083752E-2</v>
      </c>
      <c r="Q205" s="248">
        <v>2539.12</v>
      </c>
      <c r="R205" s="255">
        <f t="shared" si="19"/>
        <v>4.1070952664056248E-2</v>
      </c>
    </row>
    <row r="206" spans="2:18" x14ac:dyDescent="0.25">
      <c r="B206" s="254" t="s">
        <v>372</v>
      </c>
      <c r="C206" s="249">
        <v>193.1</v>
      </c>
      <c r="D206" s="255">
        <f t="shared" si="12"/>
        <v>7.6710327193028061E-3</v>
      </c>
      <c r="E206" s="248">
        <v>18203.400000000001</v>
      </c>
      <c r="F206" s="255">
        <f t="shared" si="13"/>
        <v>-6.0825125035489647E-3</v>
      </c>
      <c r="G206" s="248">
        <v>3157.65</v>
      </c>
      <c r="H206" s="255">
        <f t="shared" si="14"/>
        <v>-1.5713546504741105E-2</v>
      </c>
      <c r="I206" s="248">
        <v>1261.79</v>
      </c>
      <c r="J206" s="255">
        <f t="shared" si="15"/>
        <v>1.9035389510749345E-2</v>
      </c>
      <c r="K206" s="248">
        <v>1091.68</v>
      </c>
      <c r="L206" s="255">
        <f t="shared" si="16"/>
        <v>-1.3738402498542079E-4</v>
      </c>
      <c r="M206" s="248">
        <v>4803</v>
      </c>
      <c r="N206" s="255">
        <f t="shared" si="17"/>
        <v>2.4705581157194123E-2</v>
      </c>
      <c r="O206" s="248">
        <v>1072.1500000000001</v>
      </c>
      <c r="P206" s="255">
        <f t="shared" si="18"/>
        <v>2.465714149185283E-2</v>
      </c>
      <c r="Q206" s="248">
        <v>2438.9499999999998</v>
      </c>
      <c r="R206" s="255">
        <f t="shared" si="19"/>
        <v>5.0795975959156303E-2</v>
      </c>
    </row>
    <row r="207" spans="2:18" x14ac:dyDescent="0.25">
      <c r="B207" s="254">
        <v>45112</v>
      </c>
      <c r="C207" s="249">
        <v>191.63</v>
      </c>
      <c r="D207" s="255">
        <f t="shared" si="12"/>
        <v>1.0173958882446099E-2</v>
      </c>
      <c r="E207" s="248">
        <v>18314.8</v>
      </c>
      <c r="F207" s="255">
        <f t="shared" si="13"/>
        <v>1.3603409153799317E-2</v>
      </c>
      <c r="G207" s="248">
        <v>3208.06</v>
      </c>
      <c r="H207" s="255">
        <f t="shared" si="14"/>
        <v>1.3496180505095712E-2</v>
      </c>
      <c r="I207" s="248">
        <v>1238.22</v>
      </c>
      <c r="J207" s="255">
        <f t="shared" si="15"/>
        <v>-1.1037986006836809E-2</v>
      </c>
      <c r="K207" s="248">
        <v>1091.83</v>
      </c>
      <c r="L207" s="255">
        <f t="shared" si="16"/>
        <v>3.7841485903309824E-2</v>
      </c>
      <c r="M207" s="248">
        <v>4687.2</v>
      </c>
      <c r="N207" s="255">
        <f t="shared" si="17"/>
        <v>4.441993382131737E-2</v>
      </c>
      <c r="O207" s="248">
        <v>1046.3499999999999</v>
      </c>
      <c r="P207" s="255">
        <f t="shared" si="18"/>
        <v>9.6005403319179283E-3</v>
      </c>
      <c r="Q207" s="248">
        <v>2321.0500000000002</v>
      </c>
      <c r="R207" s="255">
        <f t="shared" si="19"/>
        <v>2.6177218908074451E-3</v>
      </c>
    </row>
    <row r="208" spans="2:18" x14ac:dyDescent="0.25">
      <c r="B208" s="254" t="s">
        <v>373</v>
      </c>
      <c r="C208" s="249">
        <v>189.7</v>
      </c>
      <c r="D208" s="255">
        <f t="shared" si="12"/>
        <v>-1.4545454545454639E-2</v>
      </c>
      <c r="E208" s="248">
        <v>18069</v>
      </c>
      <c r="F208" s="255">
        <f t="shared" si="13"/>
        <v>2.2142264046509652E-4</v>
      </c>
      <c r="G208" s="248">
        <v>3165.34</v>
      </c>
      <c r="H208" s="255">
        <f t="shared" si="14"/>
        <v>3.5572521020126313E-3</v>
      </c>
      <c r="I208" s="248">
        <v>1252.04</v>
      </c>
      <c r="J208" s="255">
        <f t="shared" si="15"/>
        <v>5.065303075305172E-3</v>
      </c>
      <c r="K208" s="248">
        <v>1052.02</v>
      </c>
      <c r="L208" s="255">
        <f t="shared" si="16"/>
        <v>-8.0336432383502077E-3</v>
      </c>
      <c r="M208" s="248">
        <v>4487.8500000000004</v>
      </c>
      <c r="N208" s="255">
        <f t="shared" si="17"/>
        <v>1.5477038998065407E-2</v>
      </c>
      <c r="O208" s="248">
        <v>1036.4000000000001</v>
      </c>
      <c r="P208" s="255">
        <f t="shared" si="18"/>
        <v>1.2405978313959176E-2</v>
      </c>
      <c r="Q208" s="248">
        <v>2314.9899999999998</v>
      </c>
      <c r="R208" s="255">
        <f t="shared" si="19"/>
        <v>-2.0582660642060602E-2</v>
      </c>
    </row>
    <row r="209" spans="2:18" x14ac:dyDescent="0.25">
      <c r="B209" s="254" t="s">
        <v>374</v>
      </c>
      <c r="C209" s="249">
        <v>192.5</v>
      </c>
      <c r="D209" s="255">
        <f t="shared" si="12"/>
        <v>4.6081947614389662E-2</v>
      </c>
      <c r="E209" s="248">
        <v>18065</v>
      </c>
      <c r="F209" s="255">
        <f t="shared" si="13"/>
        <v>2.5019788300645995E-2</v>
      </c>
      <c r="G209" s="248">
        <v>3154.12</v>
      </c>
      <c r="H209" s="255">
        <f t="shared" si="14"/>
        <v>1.8476541057186102E-2</v>
      </c>
      <c r="I209" s="248">
        <v>1245.73</v>
      </c>
      <c r="J209" s="255">
        <f t="shared" si="15"/>
        <v>2.0696944619695623E-2</v>
      </c>
      <c r="K209" s="248">
        <v>1060.54</v>
      </c>
      <c r="L209" s="255">
        <f t="shared" si="16"/>
        <v>1.4443679216406435E-2</v>
      </c>
      <c r="M209" s="248">
        <v>4419.45</v>
      </c>
      <c r="N209" s="255">
        <f t="shared" si="17"/>
        <v>5.9604157425944271E-2</v>
      </c>
      <c r="O209" s="248">
        <v>1023.7</v>
      </c>
      <c r="P209" s="255">
        <f t="shared" si="18"/>
        <v>2.4981226533166589E-2</v>
      </c>
      <c r="Q209" s="248">
        <v>2363.64</v>
      </c>
      <c r="R209" s="255">
        <f t="shared" si="19"/>
        <v>0.10133960813549825</v>
      </c>
    </row>
    <row r="210" spans="2:18" x14ac:dyDescent="0.25">
      <c r="B210" s="254" t="s">
        <v>375</v>
      </c>
      <c r="C210" s="249">
        <v>184.02</v>
      </c>
      <c r="D210" s="255">
        <f t="shared" si="12"/>
        <v>-7.0594623947861646E-4</v>
      </c>
      <c r="E210" s="248">
        <v>17624.05</v>
      </c>
      <c r="F210" s="255">
        <f t="shared" si="13"/>
        <v>-1.143986986762402E-2</v>
      </c>
      <c r="G210" s="248">
        <v>3096.9</v>
      </c>
      <c r="H210" s="255">
        <f t="shared" si="14"/>
        <v>-8.7826548967141482E-3</v>
      </c>
      <c r="I210" s="248">
        <v>1220.47</v>
      </c>
      <c r="J210" s="255">
        <f t="shared" si="15"/>
        <v>-0.11651054711818276</v>
      </c>
      <c r="K210" s="248">
        <v>1045.44</v>
      </c>
      <c r="L210" s="255">
        <f t="shared" si="16"/>
        <v>-2.1361840750379057E-2</v>
      </c>
      <c r="M210" s="248">
        <v>4170.8500000000004</v>
      </c>
      <c r="N210" s="255">
        <f t="shared" si="17"/>
        <v>-0.10234805440771333</v>
      </c>
      <c r="O210" s="249">
        <v>998.75</v>
      </c>
      <c r="P210" s="255">
        <f t="shared" si="18"/>
        <v>-8.1059943874499663E-2</v>
      </c>
      <c r="Q210" s="248">
        <v>2146.15</v>
      </c>
      <c r="R210" s="255">
        <f t="shared" si="19"/>
        <v>-2.0581859669138614E-2</v>
      </c>
    </row>
    <row r="211" spans="2:18" x14ac:dyDescent="0.25">
      <c r="B211" s="254">
        <v>45173</v>
      </c>
      <c r="C211" s="249">
        <v>184.15</v>
      </c>
      <c r="D211" s="255">
        <f t="shared" si="12"/>
        <v>4.5276020074187517E-3</v>
      </c>
      <c r="E211" s="248">
        <v>17828</v>
      </c>
      <c r="F211" s="255">
        <f t="shared" si="13"/>
        <v>1.3003468917532901E-2</v>
      </c>
      <c r="G211" s="248">
        <v>3124.34</v>
      </c>
      <c r="H211" s="255">
        <f t="shared" si="14"/>
        <v>-9.8873726842314547E-3</v>
      </c>
      <c r="I211" s="248">
        <v>1381.42</v>
      </c>
      <c r="J211" s="255">
        <f t="shared" si="15"/>
        <v>-2.2992651687141485E-2</v>
      </c>
      <c r="K211" s="248">
        <v>1068.26</v>
      </c>
      <c r="L211" s="255">
        <f t="shared" si="16"/>
        <v>-1.831481634641019E-2</v>
      </c>
      <c r="M211" s="248">
        <v>4646.3999999999996</v>
      </c>
      <c r="N211" s="255">
        <f t="shared" si="17"/>
        <v>-2.6575184622636638E-2</v>
      </c>
      <c r="O211" s="248">
        <v>1086.8499999999999</v>
      </c>
      <c r="P211" s="255">
        <f t="shared" si="18"/>
        <v>-5.3992221459621126E-3</v>
      </c>
      <c r="Q211" s="248">
        <v>2191.25</v>
      </c>
      <c r="R211" s="255">
        <f t="shared" si="19"/>
        <v>-3.4206605960702796E-2</v>
      </c>
    </row>
    <row r="212" spans="2:18" x14ac:dyDescent="0.25">
      <c r="B212" s="254">
        <v>44961</v>
      </c>
      <c r="C212" s="249">
        <v>183.32</v>
      </c>
      <c r="D212" s="241"/>
      <c r="E212" s="248">
        <v>17599.150000000001</v>
      </c>
      <c r="F212" s="241"/>
      <c r="G212" s="248">
        <v>3155.54</v>
      </c>
      <c r="H212" s="241"/>
      <c r="I212" s="248">
        <v>1413.93</v>
      </c>
      <c r="J212" s="241"/>
      <c r="K212" s="248">
        <v>1088.19</v>
      </c>
      <c r="L212" s="241"/>
      <c r="M212" s="248">
        <v>4773.25</v>
      </c>
      <c r="N212" s="241"/>
      <c r="O212" s="248">
        <v>1092.75</v>
      </c>
      <c r="P212" s="241"/>
      <c r="Q212" s="248">
        <v>2268.86</v>
      </c>
      <c r="R212" s="241"/>
    </row>
    <row r="216" spans="2:18" x14ac:dyDescent="0.25">
      <c r="B216" s="1" t="s">
        <v>288</v>
      </c>
    </row>
    <row r="218" spans="2:18" x14ac:dyDescent="0.25">
      <c r="B218" s="1" t="s">
        <v>406</v>
      </c>
      <c r="C218" s="1">
        <v>19000000</v>
      </c>
    </row>
    <row r="219" spans="2:18" x14ac:dyDescent="0.25">
      <c r="B219" s="1" t="s">
        <v>407</v>
      </c>
      <c r="C219" s="1">
        <f>'REGRESSION BETA'!$F$10*'PROFIT &amp; LOSS'!$H$41</f>
        <v>139447.671</v>
      </c>
    </row>
    <row r="223" spans="2:18" x14ac:dyDescent="0.25">
      <c r="B223" s="1" t="s">
        <v>465</v>
      </c>
    </row>
    <row r="225" spans="2:14" x14ac:dyDescent="0.25">
      <c r="B225" s="1" t="s">
        <v>479</v>
      </c>
      <c r="C225" s="292" t="s">
        <v>496</v>
      </c>
      <c r="D225" s="292" t="s">
        <v>497</v>
      </c>
      <c r="E225" s="292" t="s">
        <v>498</v>
      </c>
      <c r="F225" s="292" t="s">
        <v>499</v>
      </c>
      <c r="G225" s="292" t="s">
        <v>500</v>
      </c>
      <c r="H225" s="292" t="s">
        <v>95</v>
      </c>
      <c r="I225" s="292" t="s">
        <v>501</v>
      </c>
      <c r="J225" s="292" t="s">
        <v>474</v>
      </c>
      <c r="K225" s="292" t="s">
        <v>502</v>
      </c>
      <c r="L225" s="292" t="s">
        <v>503</v>
      </c>
      <c r="M225" s="292" t="s">
        <v>477</v>
      </c>
    </row>
    <row r="227" spans="2:14" x14ac:dyDescent="0.25">
      <c r="B227" s="1" t="str">
        <f>'RELATIVE VALUATION'!$B13</f>
        <v>TCS</v>
      </c>
      <c r="C227" s="304">
        <f>'COMPS. REGRESSION BETA'!$F$10</f>
        <v>3299.4</v>
      </c>
      <c r="D227" s="1">
        <v>362</v>
      </c>
      <c r="E227" s="1">
        <f>C227*D227</f>
        <v>1194382.8</v>
      </c>
      <c r="F227" s="1">
        <v>-1625</v>
      </c>
      <c r="G227" s="1">
        <f>E227+F227</f>
        <v>1192757.8</v>
      </c>
      <c r="H227" s="1">
        <v>255324</v>
      </c>
      <c r="I227" s="1">
        <v>71369</v>
      </c>
      <c r="J227" s="1">
        <v>48797</v>
      </c>
      <c r="K227" s="305">
        <f>G227/H227</f>
        <v>4.6715459572934783</v>
      </c>
      <c r="L227" s="305">
        <f>G227/I227</f>
        <v>16.712547464585466</v>
      </c>
      <c r="M227" s="305">
        <f>E227/J227</f>
        <v>24.476562083734656</v>
      </c>
    </row>
    <row r="228" spans="2:14" x14ac:dyDescent="0.25">
      <c r="B228" s="1" t="str">
        <f>'RELATIVE VALUATION'!$B14</f>
        <v>Infosys</v>
      </c>
      <c r="C228" s="304">
        <f>'COMPS. REGRESSION BETA'!$M$10</f>
        <v>1451.65</v>
      </c>
      <c r="D228" s="1">
        <v>405</v>
      </c>
      <c r="E228" s="1">
        <f t="shared" ref="E228:E232" si="20">C228*D228</f>
        <v>587918.25</v>
      </c>
      <c r="F228" s="1">
        <v>-11179</v>
      </c>
      <c r="G228" s="1">
        <f t="shared" ref="G228:G232" si="21">E228+F228</f>
        <v>576739.25</v>
      </c>
      <c r="H228" s="1">
        <v>162990</v>
      </c>
      <c r="I228" s="1">
        <v>42836</v>
      </c>
      <c r="J228" s="1">
        <v>26750</v>
      </c>
      <c r="K228" s="305">
        <f t="shared" ref="K228:K232" si="22">G228/H228</f>
        <v>3.5384946929259464</v>
      </c>
      <c r="L228" s="305">
        <f t="shared" ref="L228:L232" si="23">G228/I228</f>
        <v>13.463891353067513</v>
      </c>
      <c r="M228" s="305">
        <f t="shared" ref="M228:M232" si="24">E228/J228</f>
        <v>21.978252336448598</v>
      </c>
    </row>
    <row r="229" spans="2:14" x14ac:dyDescent="0.25">
      <c r="B229" s="1" t="str">
        <f>'RELATIVE VALUATION'!$B15</f>
        <v>HCL Technologies</v>
      </c>
      <c r="C229" s="304">
        <f>'COMPS. REGRESSION BETA'!$T$10</f>
        <v>1422.1</v>
      </c>
      <c r="D229" s="1">
        <v>271</v>
      </c>
      <c r="E229" s="1">
        <f t="shared" si="20"/>
        <v>385389.1</v>
      </c>
      <c r="F229" s="1">
        <v>-16968</v>
      </c>
      <c r="G229" s="1">
        <f t="shared" si="21"/>
        <v>368421.1</v>
      </c>
      <c r="H229" s="1">
        <v>117055</v>
      </c>
      <c r="I229" s="1">
        <v>27989</v>
      </c>
      <c r="J229" s="1">
        <v>17399</v>
      </c>
      <c r="K229" s="305">
        <f t="shared" si="22"/>
        <v>3.1474187347827942</v>
      </c>
      <c r="L229" s="305">
        <f t="shared" si="23"/>
        <v>13.163067633713244</v>
      </c>
      <c r="M229" s="305">
        <f t="shared" si="24"/>
        <v>22.150071843209378</v>
      </c>
    </row>
    <row r="230" spans="2:14" x14ac:dyDescent="0.25">
      <c r="B230" s="1" t="str">
        <f>'RELATIVE VALUATION'!$B16</f>
        <v>LTIMindtree</v>
      </c>
      <c r="C230" s="304">
        <f>'COMPS. REGRESSION BETA'!$AA$10</f>
        <v>4136.25</v>
      </c>
      <c r="D230" s="1">
        <v>30</v>
      </c>
      <c r="E230" s="1">
        <f t="shared" si="20"/>
        <v>124087.5</v>
      </c>
      <c r="F230" s="1">
        <v>-602</v>
      </c>
      <c r="G230" s="1">
        <f t="shared" si="21"/>
        <v>123485.5</v>
      </c>
      <c r="H230" s="1">
        <v>38008</v>
      </c>
      <c r="I230" s="1">
        <v>7485</v>
      </c>
      <c r="J230" s="1">
        <v>4602</v>
      </c>
      <c r="K230" s="305">
        <f t="shared" si="22"/>
        <v>3.24893443485582</v>
      </c>
      <c r="L230" s="305">
        <f t="shared" si="23"/>
        <v>16.497728790915165</v>
      </c>
      <c r="M230" s="305">
        <f t="shared" si="24"/>
        <v>26.963820078226856</v>
      </c>
    </row>
    <row r="231" spans="2:14" x14ac:dyDescent="0.25">
      <c r="B231" s="1" t="str">
        <f>'RELATIVE VALUATION'!$B17</f>
        <v>Tech Mahindra</v>
      </c>
      <c r="C231" s="304">
        <f>'COMPS. REGRESSION BETA'!$AH$10</f>
        <v>1320.95</v>
      </c>
      <c r="D231" s="1">
        <v>97</v>
      </c>
      <c r="E231" s="1">
        <f t="shared" si="20"/>
        <v>128132.15000000001</v>
      </c>
      <c r="F231" s="1">
        <v>-2333</v>
      </c>
      <c r="G231" s="1">
        <f t="shared" si="21"/>
        <v>125799.15000000001</v>
      </c>
      <c r="H231" s="1">
        <v>52988</v>
      </c>
      <c r="I231" s="1">
        <v>7828</v>
      </c>
      <c r="J231" s="1">
        <v>4253</v>
      </c>
      <c r="K231" s="305">
        <f t="shared" si="22"/>
        <v>2.3741064014493851</v>
      </c>
      <c r="L231" s="305">
        <f t="shared" si="23"/>
        <v>16.070407511497191</v>
      </c>
      <c r="M231" s="305">
        <f t="shared" si="24"/>
        <v>30.127474723724433</v>
      </c>
    </row>
    <row r="232" spans="2:14" x14ac:dyDescent="0.25">
      <c r="B232" s="1" t="str">
        <f>'RELATIVE VALUATION'!$B18</f>
        <v>Persistent Systems</v>
      </c>
      <c r="C232" s="304">
        <f>'COMPS. REGRESSION BETA'!$AO$10</f>
        <v>4609.95</v>
      </c>
      <c r="D232" s="1">
        <v>15</v>
      </c>
      <c r="E232" s="1">
        <f t="shared" si="20"/>
        <v>69149.25</v>
      </c>
      <c r="F232" s="1">
        <v>-799</v>
      </c>
      <c r="G232" s="1">
        <f t="shared" si="21"/>
        <v>68350.25</v>
      </c>
      <c r="H232" s="1">
        <v>11939</v>
      </c>
      <c r="I232" s="1">
        <v>2196</v>
      </c>
      <c r="J232" s="1">
        <v>1400</v>
      </c>
      <c r="K232" s="305">
        <f t="shared" si="22"/>
        <v>5.7249560264678783</v>
      </c>
      <c r="L232" s="305">
        <f t="shared" si="23"/>
        <v>31.124886156648451</v>
      </c>
      <c r="M232" s="305">
        <f t="shared" si="24"/>
        <v>49.392321428571428</v>
      </c>
    </row>
    <row r="235" spans="2:14" x14ac:dyDescent="0.25">
      <c r="C235" s="292" t="s">
        <v>542</v>
      </c>
      <c r="D235" s="292" t="s">
        <v>107</v>
      </c>
      <c r="E235" s="292" t="s">
        <v>477</v>
      </c>
      <c r="F235" s="292" t="s">
        <v>543</v>
      </c>
      <c r="G235" s="292" t="s">
        <v>544</v>
      </c>
      <c r="H235" s="292" t="s">
        <v>545</v>
      </c>
      <c r="I235" s="292" t="s">
        <v>546</v>
      </c>
      <c r="J235" s="292" t="s">
        <v>547</v>
      </c>
      <c r="K235" s="292" t="s">
        <v>548</v>
      </c>
      <c r="L235" s="292" t="s">
        <v>549</v>
      </c>
      <c r="M235" s="292"/>
      <c r="N235" s="292"/>
    </row>
    <row r="236" spans="2:14" x14ac:dyDescent="0.25">
      <c r="B236" s="338">
        <v>2021</v>
      </c>
      <c r="C236" s="292">
        <v>191</v>
      </c>
      <c r="D236" s="339">
        <f>'PROFIT &amp; LOSS'!D42</f>
        <v>19.07</v>
      </c>
      <c r="E236" s="340">
        <f>C236/D236</f>
        <v>10.015731515469323</v>
      </c>
      <c r="F236" s="292">
        <f>'PROFIT &amp; LOSS'!D41</f>
        <v>1048.8900000000001</v>
      </c>
      <c r="G236" s="292">
        <f>C236*F236</f>
        <v>200337.99000000002</v>
      </c>
      <c r="H236" s="292">
        <f>'BALANCE SHEET'!D45+'BALANCE SHEET'!D59-'BALANCE SHEET'!D15</f>
        <v>-9140</v>
      </c>
      <c r="I236" s="292">
        <f>G236+H236</f>
        <v>191197.99000000002</v>
      </c>
      <c r="J236" s="292">
        <f>'PROFIT &amp; LOSS'!D21</f>
        <v>17462</v>
      </c>
      <c r="K236" s="340">
        <f>I236/J236</f>
        <v>10.949375214752035</v>
      </c>
      <c r="L236" s="340">
        <f>I236/'PROFIT &amp; LOSS'!D27</f>
        <v>13.007550853799579</v>
      </c>
    </row>
    <row r="237" spans="2:14" x14ac:dyDescent="0.25">
      <c r="B237" s="338">
        <v>2022</v>
      </c>
      <c r="C237" s="292">
        <v>295.95</v>
      </c>
      <c r="D237" s="339">
        <f>'PROFIT &amp; LOSS'!E42</f>
        <v>22.31</v>
      </c>
      <c r="E237" s="340">
        <f t="shared" ref="E237:E240" si="25">C237/D237</f>
        <v>13.265351860152398</v>
      </c>
      <c r="F237" s="292">
        <f>'PROFIT &amp; LOSS'!E41</f>
        <v>1061.1400000000001</v>
      </c>
      <c r="G237" s="292">
        <f t="shared" ref="G237:G240" si="26">C237*F237</f>
        <v>314044.38300000003</v>
      </c>
      <c r="H237" s="292">
        <f>'BALANCE SHEET'!E45+'BALANCE SHEET'!E59-'BALANCE SHEET'!E15</f>
        <v>5167</v>
      </c>
      <c r="I237" s="292">
        <f t="shared" ref="I237:I240" si="27">G237+H237</f>
        <v>319211.38300000003</v>
      </c>
      <c r="J237" s="292">
        <f>'PROFIT &amp; LOSS'!E21</f>
        <v>17594</v>
      </c>
      <c r="K237" s="340">
        <f t="shared" ref="K237:K240" si="28">I237/J237</f>
        <v>18.143195578037968</v>
      </c>
      <c r="L237" s="340">
        <f>I237/'PROFIT &amp; LOSS'!E27</f>
        <v>21.990312965004136</v>
      </c>
    </row>
    <row r="238" spans="2:14" x14ac:dyDescent="0.25">
      <c r="B238" s="338">
        <v>2023</v>
      </c>
      <c r="C238" s="292">
        <f>'REGRESSION BETA'!$F$114</f>
        <v>183.32</v>
      </c>
      <c r="D238" s="339">
        <f>'PROFIT &amp; LOSS'!F42</f>
        <v>20.68</v>
      </c>
      <c r="E238" s="340">
        <f t="shared" si="25"/>
        <v>8.8646034816247585</v>
      </c>
      <c r="F238" s="292">
        <f>'PROFIT &amp; LOSS'!F41</f>
        <v>548.9</v>
      </c>
      <c r="G238" s="292">
        <f t="shared" si="26"/>
        <v>100624.348</v>
      </c>
      <c r="H238" s="292">
        <f>'BALANCE SHEET'!F45+'BALANCE SHEET'!F59-'BALANCE SHEET'!F15</f>
        <v>5762</v>
      </c>
      <c r="I238" s="292">
        <f t="shared" si="27"/>
        <v>106386.348</v>
      </c>
      <c r="J238" s="292">
        <f>'PROFIT &amp; LOSS'!F21</f>
        <v>19620</v>
      </c>
      <c r="K238" s="340">
        <f t="shared" si="28"/>
        <v>5.4223418960244647</v>
      </c>
      <c r="L238" s="340">
        <f>I238/'PROFIT &amp; LOSS'!F27</f>
        <v>6.5347879606879609</v>
      </c>
    </row>
    <row r="239" spans="2:14" x14ac:dyDescent="0.25">
      <c r="B239" s="338">
        <v>2024</v>
      </c>
      <c r="C239" s="292">
        <f>'REGRESSION BETA'!$F$62</f>
        <v>242.52</v>
      </c>
      <c r="D239" s="339">
        <f>'PROFIT &amp; LOSS'!G42</f>
        <v>10.41</v>
      </c>
      <c r="E239" s="340">
        <f t="shared" si="25"/>
        <v>23.296829971181555</v>
      </c>
      <c r="F239" s="292">
        <f>'PROFIT &amp; LOSS'!G41</f>
        <v>548.21</v>
      </c>
      <c r="G239" s="292">
        <f t="shared" si="26"/>
        <v>132951.88920000001</v>
      </c>
      <c r="H239" s="292">
        <f>'BALANCE SHEET'!G45+'BALANCE SHEET'!G59-'BALANCE SHEET'!G15</f>
        <v>4345</v>
      </c>
      <c r="I239" s="292">
        <f t="shared" si="27"/>
        <v>137296.88920000001</v>
      </c>
      <c r="J239" s="292">
        <f>'PROFIT &amp; LOSS'!G21</f>
        <v>19439</v>
      </c>
      <c r="K239" s="340">
        <f t="shared" si="28"/>
        <v>7.062960502083441</v>
      </c>
      <c r="L239" s="340">
        <f>I239/'PROFIT &amp; LOSS'!G27</f>
        <v>8.5639277195608781</v>
      </c>
    </row>
    <row r="240" spans="2:14" x14ac:dyDescent="0.25">
      <c r="B240" s="338">
        <v>2025</v>
      </c>
      <c r="C240" s="292">
        <f>'REGRESSION BETA'!$F$10</f>
        <v>246.3</v>
      </c>
      <c r="D240" s="339">
        <f>'PROFIT &amp; LOSS'!H42</f>
        <v>12.52</v>
      </c>
      <c r="E240" s="340">
        <f t="shared" si="25"/>
        <v>19.672523961661344</v>
      </c>
      <c r="F240" s="292">
        <f>'PROFIT &amp; LOSS'!H41</f>
        <v>566.16999999999996</v>
      </c>
      <c r="G240" s="292">
        <f t="shared" si="26"/>
        <v>139447.671</v>
      </c>
      <c r="H240" s="292">
        <f>'BALANCE SHEET'!H45+'BALANCE SHEET'!H59-'BALANCE SHEET'!H15</f>
        <v>3823</v>
      </c>
      <c r="I240" s="292">
        <f t="shared" si="27"/>
        <v>143270.671</v>
      </c>
      <c r="J240" s="292">
        <f>'PROFIT &amp; LOSS'!H21</f>
        <v>21904</v>
      </c>
      <c r="K240" s="340">
        <f t="shared" si="28"/>
        <v>6.5408450967859757</v>
      </c>
      <c r="L240" s="340">
        <f>I240/'PROFIT &amp; LOSS'!H27</f>
        <v>7.5620537844399873</v>
      </c>
    </row>
    <row r="242" spans="2:25" x14ac:dyDescent="0.25">
      <c r="B242" s="1" t="s">
        <v>551</v>
      </c>
      <c r="C242" s="242">
        <f>'BALANCE SHEET'!D77/'PROFIT &amp; LOSS'!D41</f>
        <v>52.485007960796644</v>
      </c>
      <c r="D242" s="242">
        <f>'BALANCE SHEET'!E77/'PROFIT &amp; LOSS'!E41</f>
        <v>61.683660968392481</v>
      </c>
      <c r="E242" s="242">
        <f>'BALANCE SHEET'!F77/'PROFIT &amp; LOSS'!F41</f>
        <v>141.60502823829478</v>
      </c>
      <c r="F242" s="242">
        <f>'BALANCE SHEET'!G77/'PROFIT &amp; LOSS'!G41</f>
        <v>136.2014556465588</v>
      </c>
      <c r="G242" s="242">
        <f>'BALANCE SHEET'!H77/'PROFIT &amp; LOSS'!H41</f>
        <v>145.85371884769594</v>
      </c>
    </row>
    <row r="243" spans="2:25" x14ac:dyDescent="0.25">
      <c r="B243" s="1" t="s">
        <v>456</v>
      </c>
      <c r="C243" s="1">
        <f>C236</f>
        <v>191</v>
      </c>
      <c r="D243" s="1">
        <f>C237</f>
        <v>295.95</v>
      </c>
      <c r="E243" s="1">
        <f>C238</f>
        <v>183.32</v>
      </c>
      <c r="F243" s="1">
        <f>C239</f>
        <v>242.52</v>
      </c>
      <c r="G243" s="1">
        <f>C240</f>
        <v>246.3</v>
      </c>
    </row>
    <row r="245" spans="2:25" x14ac:dyDescent="0.25">
      <c r="B245" s="1" t="s">
        <v>550</v>
      </c>
      <c r="C245" s="340">
        <f>C243/C242</f>
        <v>3.6391344389747693</v>
      </c>
      <c r="D245" s="340">
        <f t="shared" ref="D245:G245" si="29">D243/D242</f>
        <v>4.7978669773126574</v>
      </c>
      <c r="E245" s="340">
        <f t="shared" si="29"/>
        <v>1.2945867973805756</v>
      </c>
      <c r="F245" s="340">
        <f t="shared" si="29"/>
        <v>1.7805977098316526</v>
      </c>
      <c r="G245" s="340">
        <f t="shared" si="29"/>
        <v>1.6886782314902273</v>
      </c>
    </row>
    <row r="248" spans="2:25" x14ac:dyDescent="0.25">
      <c r="B248" s="206" t="s">
        <v>313</v>
      </c>
      <c r="C248" s="1">
        <v>246.3</v>
      </c>
      <c r="D248" s="1">
        <v>2025</v>
      </c>
      <c r="E248" s="1">
        <v>2025</v>
      </c>
      <c r="F248" s="304">
        <v>22904.45</v>
      </c>
      <c r="G248" s="1">
        <v>2025</v>
      </c>
      <c r="H248" s="242">
        <f t="shared" ref="H248:H311" si="30">(C248/$C$352)*100</f>
        <v>134.35522583460619</v>
      </c>
      <c r="I248" s="242">
        <f t="shared" ref="I248:I311" si="31">(F248/$F$352)*100</f>
        <v>130.14520587642016</v>
      </c>
      <c r="J248" s="710">
        <v>45717</v>
      </c>
      <c r="K248" s="1">
        <v>246.3</v>
      </c>
      <c r="L248" s="242">
        <v>3299.4</v>
      </c>
      <c r="M248" s="1">
        <v>1451.65</v>
      </c>
      <c r="N248" s="1">
        <v>1422.1</v>
      </c>
      <c r="O248" s="1">
        <v>4136.25</v>
      </c>
      <c r="P248" s="1">
        <v>1320.95</v>
      </c>
      <c r="Q248" s="1">
        <v>4609.95</v>
      </c>
      <c r="R248" s="710">
        <v>45717</v>
      </c>
      <c r="S248" s="242">
        <f t="shared" ref="S248:S299" si="32">(K248/$K$300)*100</f>
        <v>101.55863433943593</v>
      </c>
      <c r="T248" s="242">
        <f t="shared" ref="T248:T299" si="33">(L248/$L$300)*100</f>
        <v>84.236917287282253</v>
      </c>
      <c r="U248" s="242">
        <f t="shared" ref="U248:U299" si="34">(M248/$M$300)*100</f>
        <v>98.697316444680155</v>
      </c>
      <c r="V248" s="242">
        <f t="shared" ref="V248:V299" si="35">(N248/$N$300)*100</f>
        <v>92.339358994337957</v>
      </c>
      <c r="W248" s="242">
        <f t="shared" ref="W248:W299" si="36">(O248/$O$300)*100</f>
        <v>83.942161339421617</v>
      </c>
      <c r="X248" s="242">
        <f t="shared" ref="X248:X299" si="37">(P248/$P$300)*100</f>
        <v>104.55516859268639</v>
      </c>
      <c r="Y248" s="242">
        <f t="shared" ref="Y248:Y299" si="38">(Q248/$Q$300)*100</f>
        <v>115.34246575342466</v>
      </c>
    </row>
    <row r="249" spans="2:25" x14ac:dyDescent="0.25">
      <c r="B249" s="206" t="s">
        <v>314</v>
      </c>
      <c r="C249" s="1">
        <v>262.25</v>
      </c>
      <c r="D249" s="1">
        <v>2025</v>
      </c>
      <c r="F249" s="304">
        <v>23519.35</v>
      </c>
      <c r="H249" s="242">
        <f t="shared" si="30"/>
        <v>143.05585860789876</v>
      </c>
      <c r="I249" s="242">
        <f t="shared" si="31"/>
        <v>133.63912461681386</v>
      </c>
      <c r="K249" s="1">
        <v>262.25</v>
      </c>
      <c r="L249" s="242">
        <v>3606.15</v>
      </c>
      <c r="M249" s="1">
        <v>1570.65</v>
      </c>
      <c r="N249" s="1">
        <v>1592.5</v>
      </c>
      <c r="O249" s="1">
        <v>4491.3500000000004</v>
      </c>
      <c r="P249" s="1">
        <v>1418.25</v>
      </c>
      <c r="Q249" s="1">
        <v>5513.75</v>
      </c>
      <c r="S249" s="242">
        <f t="shared" si="32"/>
        <v>108.13541151245258</v>
      </c>
      <c r="T249" s="242">
        <f t="shared" si="33"/>
        <v>92.068545576629973</v>
      </c>
      <c r="U249" s="242">
        <f t="shared" si="34"/>
        <v>106.78809635506967</v>
      </c>
      <c r="V249" s="242">
        <f t="shared" si="35"/>
        <v>103.40371928730976</v>
      </c>
      <c r="W249" s="242">
        <f t="shared" si="36"/>
        <v>91.148655504819899</v>
      </c>
      <c r="X249" s="242">
        <f t="shared" si="37"/>
        <v>112.25660914991293</v>
      </c>
      <c r="Y249" s="242">
        <f t="shared" si="38"/>
        <v>137.95583911928441</v>
      </c>
    </row>
    <row r="250" spans="2:25" x14ac:dyDescent="0.25">
      <c r="B250" s="206" t="s">
        <v>315</v>
      </c>
      <c r="C250" s="1">
        <v>264.3</v>
      </c>
      <c r="D250" s="1">
        <v>2025</v>
      </c>
      <c r="F250" s="304">
        <v>23350.400000000001</v>
      </c>
      <c r="H250" s="242">
        <f t="shared" si="30"/>
        <v>144.17412175430943</v>
      </c>
      <c r="I250" s="242">
        <f t="shared" si="31"/>
        <v>132.67913507186427</v>
      </c>
      <c r="K250" s="1">
        <v>264.3</v>
      </c>
      <c r="L250" s="242">
        <v>3578.1</v>
      </c>
      <c r="M250" s="1">
        <v>1592.55</v>
      </c>
      <c r="N250" s="1">
        <v>1566.7</v>
      </c>
      <c r="O250" s="1">
        <v>4520.25</v>
      </c>
      <c r="P250" s="1">
        <v>1409.25</v>
      </c>
      <c r="Q250" s="1">
        <v>5275.55</v>
      </c>
      <c r="S250" s="242">
        <f t="shared" si="32"/>
        <v>108.98070262246414</v>
      </c>
      <c r="T250" s="242">
        <f t="shared" si="33"/>
        <v>91.352401571687153</v>
      </c>
      <c r="U250" s="242">
        <f t="shared" si="34"/>
        <v>108.27707181756992</v>
      </c>
      <c r="V250" s="242">
        <f t="shared" si="35"/>
        <v>101.72848163731756</v>
      </c>
      <c r="W250" s="242">
        <f t="shared" si="36"/>
        <v>91.735159817351601</v>
      </c>
      <c r="X250" s="242">
        <f t="shared" si="37"/>
        <v>111.54424568624346</v>
      </c>
      <c r="Y250" s="242">
        <f t="shared" si="38"/>
        <v>131.99599674735722</v>
      </c>
    </row>
    <row r="251" spans="2:25" x14ac:dyDescent="0.25">
      <c r="B251" s="206">
        <v>45903</v>
      </c>
      <c r="C251" s="1">
        <v>264</v>
      </c>
      <c r="D251" s="1">
        <v>2025</v>
      </c>
      <c r="F251" s="304">
        <v>22397.200000000001</v>
      </c>
      <c r="H251" s="242">
        <f t="shared" si="30"/>
        <v>144.01047348898101</v>
      </c>
      <c r="I251" s="242">
        <f t="shared" si="31"/>
        <v>127.26296440453089</v>
      </c>
      <c r="K251" s="1">
        <v>264</v>
      </c>
      <c r="L251" s="242">
        <v>3511.05</v>
      </c>
      <c r="M251" s="1">
        <v>1579.85</v>
      </c>
      <c r="N251" s="1">
        <v>1534.75</v>
      </c>
      <c r="O251" s="1">
        <v>4467.05</v>
      </c>
      <c r="P251" s="1">
        <v>1440.65</v>
      </c>
      <c r="Q251" s="1">
        <v>5125.75</v>
      </c>
      <c r="S251" s="242">
        <f t="shared" si="32"/>
        <v>108.85700148441366</v>
      </c>
      <c r="T251" s="242">
        <f t="shared" si="33"/>
        <v>89.640549324577918</v>
      </c>
      <c r="U251" s="242">
        <f t="shared" si="34"/>
        <v>107.41360202881405</v>
      </c>
      <c r="V251" s="242">
        <f t="shared" si="35"/>
        <v>99.653914082385327</v>
      </c>
      <c r="W251" s="242">
        <f t="shared" si="36"/>
        <v>90.655504819888392</v>
      </c>
      <c r="X251" s="242">
        <f t="shared" si="37"/>
        <v>114.02960265949027</v>
      </c>
      <c r="Y251" s="242">
        <f t="shared" si="38"/>
        <v>128.24795146056172</v>
      </c>
    </row>
    <row r="252" spans="2:25" x14ac:dyDescent="0.25">
      <c r="B252" s="206">
        <v>45691</v>
      </c>
      <c r="C252" s="1">
        <v>284.8</v>
      </c>
      <c r="D252" s="1">
        <v>2025</v>
      </c>
      <c r="F252" s="304">
        <v>22552.5</v>
      </c>
      <c r="H252" s="242">
        <f t="shared" si="30"/>
        <v>155.35675321841589</v>
      </c>
      <c r="I252" s="242">
        <f t="shared" si="31"/>
        <v>128.14539338547598</v>
      </c>
      <c r="K252" s="1">
        <v>284.8</v>
      </c>
      <c r="L252" s="242">
        <v>3611.2</v>
      </c>
      <c r="M252" s="1">
        <v>1686</v>
      </c>
      <c r="N252" s="1">
        <v>1557.95</v>
      </c>
      <c r="O252" s="1">
        <v>4721.95</v>
      </c>
      <c r="P252" s="1">
        <v>1492.35</v>
      </c>
      <c r="Q252" s="1">
        <v>5278.8</v>
      </c>
      <c r="S252" s="242">
        <f t="shared" si="32"/>
        <v>117.43361372257959</v>
      </c>
      <c r="T252" s="242">
        <f t="shared" si="33"/>
        <v>92.197477028500231</v>
      </c>
      <c r="U252" s="242">
        <f t="shared" si="34"/>
        <v>114.63071368837581</v>
      </c>
      <c r="V252" s="242">
        <f t="shared" si="35"/>
        <v>101.16032933354113</v>
      </c>
      <c r="W252" s="242">
        <f t="shared" si="36"/>
        <v>95.828513444951795</v>
      </c>
      <c r="X252" s="242">
        <f t="shared" si="37"/>
        <v>118.1217350007915</v>
      </c>
      <c r="Y252" s="242">
        <f t="shared" si="38"/>
        <v>132.07731281666355</v>
      </c>
    </row>
    <row r="253" spans="2:25" x14ac:dyDescent="0.25">
      <c r="B253" s="206" t="s">
        <v>316</v>
      </c>
      <c r="C253" s="1">
        <v>277.64999999999998</v>
      </c>
      <c r="D253" s="1">
        <v>2025</v>
      </c>
      <c r="F253" s="304">
        <v>22124.7</v>
      </c>
      <c r="H253" s="242">
        <f t="shared" si="30"/>
        <v>151.45646956142264</v>
      </c>
      <c r="I253" s="242">
        <f t="shared" si="31"/>
        <v>125.71459417074121</v>
      </c>
      <c r="K253" s="1">
        <v>277.64999999999998</v>
      </c>
      <c r="L253" s="242">
        <v>3483.25</v>
      </c>
      <c r="M253" s="1">
        <v>1687.7</v>
      </c>
      <c r="N253" s="1">
        <v>1575.05</v>
      </c>
      <c r="O253" s="1">
        <v>4665.95</v>
      </c>
      <c r="P253" s="1">
        <v>1487.85</v>
      </c>
      <c r="Q253" s="1">
        <v>5303.9</v>
      </c>
      <c r="S253" s="242">
        <f t="shared" si="32"/>
        <v>114.48540326571003</v>
      </c>
      <c r="T253" s="242">
        <f t="shared" si="33"/>
        <v>88.930788064777204</v>
      </c>
      <c r="U253" s="242">
        <f t="shared" si="34"/>
        <v>114.74629625852421</v>
      </c>
      <c r="V253" s="242">
        <f t="shared" si="35"/>
        <v>102.27066126434991</v>
      </c>
      <c r="W253" s="242">
        <f t="shared" si="36"/>
        <v>94.692034500253669</v>
      </c>
      <c r="X253" s="242">
        <f t="shared" si="37"/>
        <v>117.76555326895677</v>
      </c>
      <c r="Y253" s="242">
        <f t="shared" si="38"/>
        <v>132.70532307499843</v>
      </c>
    </row>
    <row r="254" spans="2:25" x14ac:dyDescent="0.25">
      <c r="B254" s="206" t="s">
        <v>317</v>
      </c>
      <c r="C254" s="1">
        <v>306.35000000000002</v>
      </c>
      <c r="D254" s="1">
        <v>2025</v>
      </c>
      <c r="F254" s="304">
        <v>22795.9</v>
      </c>
      <c r="H254" s="242">
        <f t="shared" si="30"/>
        <v>167.11215361117172</v>
      </c>
      <c r="I254" s="242">
        <f t="shared" si="31"/>
        <v>129.52841472457476</v>
      </c>
      <c r="K254" s="1">
        <v>306.35000000000002</v>
      </c>
      <c r="L254" s="242">
        <v>3786</v>
      </c>
      <c r="M254" s="1">
        <v>1815</v>
      </c>
      <c r="N254" s="1">
        <v>1700.7</v>
      </c>
      <c r="O254" s="1">
        <v>5298.5</v>
      </c>
      <c r="P254" s="1">
        <v>1649.5</v>
      </c>
      <c r="Q254" s="1">
        <v>5710.3</v>
      </c>
      <c r="S254" s="242">
        <f t="shared" si="32"/>
        <v>126.31947880587168</v>
      </c>
      <c r="T254" s="242">
        <f t="shared" si="33"/>
        <v>96.660292431851431</v>
      </c>
      <c r="U254" s="242">
        <f t="shared" si="34"/>
        <v>123.40139107022661</v>
      </c>
      <c r="V254" s="242">
        <f t="shared" si="35"/>
        <v>110.42932834657941</v>
      </c>
      <c r="W254" s="242">
        <f t="shared" si="36"/>
        <v>107.52917300862505</v>
      </c>
      <c r="X254" s="242">
        <f t="shared" si="37"/>
        <v>130.56039259141997</v>
      </c>
      <c r="Y254" s="242">
        <f t="shared" si="38"/>
        <v>142.87358478763997</v>
      </c>
    </row>
    <row r="255" spans="2:25" x14ac:dyDescent="0.25">
      <c r="B255" s="206">
        <v>45902</v>
      </c>
      <c r="C255" s="1">
        <v>308.10000000000002</v>
      </c>
      <c r="D255" s="1">
        <v>2025</v>
      </c>
      <c r="F255" s="304">
        <v>22929.25</v>
      </c>
      <c r="H255" s="242">
        <f t="shared" si="30"/>
        <v>168.066768492254</v>
      </c>
      <c r="I255" s="242">
        <f t="shared" si="31"/>
        <v>130.28612177292652</v>
      </c>
      <c r="K255" s="1">
        <v>308.10000000000002</v>
      </c>
      <c r="L255" s="242">
        <v>3934.85</v>
      </c>
      <c r="M255" s="1">
        <v>1856.4</v>
      </c>
      <c r="N255" s="1">
        <v>1711.25</v>
      </c>
      <c r="O255" s="1">
        <v>5511.6</v>
      </c>
      <c r="P255" s="1">
        <v>1659.1</v>
      </c>
      <c r="Q255" s="1">
        <v>5562.7</v>
      </c>
      <c r="S255" s="242">
        <f t="shared" si="32"/>
        <v>127.04106877783276</v>
      </c>
      <c r="T255" s="242">
        <f t="shared" si="33"/>
        <v>100.46057888945342</v>
      </c>
      <c r="U255" s="242">
        <f t="shared" si="34"/>
        <v>126.21616660207641</v>
      </c>
      <c r="V255" s="242">
        <f t="shared" si="35"/>
        <v>111.11435769570413</v>
      </c>
      <c r="W255" s="242">
        <f t="shared" si="36"/>
        <v>111.85388127853881</v>
      </c>
      <c r="X255" s="242">
        <f t="shared" si="37"/>
        <v>131.32024695266739</v>
      </c>
      <c r="Y255" s="242">
        <f t="shared" si="38"/>
        <v>139.18058422468255</v>
      </c>
    </row>
    <row r="256" spans="2:25" x14ac:dyDescent="0.25">
      <c r="B256" s="206">
        <v>45690</v>
      </c>
      <c r="C256" s="1">
        <v>318</v>
      </c>
      <c r="D256" s="1">
        <v>2025</v>
      </c>
      <c r="F256" s="304">
        <v>23559.95</v>
      </c>
      <c r="H256" s="242">
        <f t="shared" si="30"/>
        <v>173.46716124809078</v>
      </c>
      <c r="I256" s="242">
        <f t="shared" si="31"/>
        <v>133.86981757641703</v>
      </c>
      <c r="K256" s="1">
        <v>318</v>
      </c>
      <c r="L256" s="242">
        <v>4029.4</v>
      </c>
      <c r="M256" s="1">
        <v>1903.65</v>
      </c>
      <c r="N256" s="1">
        <v>1725.65</v>
      </c>
      <c r="O256" s="1">
        <v>5956.6</v>
      </c>
      <c r="P256" s="1">
        <v>1692.1</v>
      </c>
      <c r="Q256" s="1">
        <v>6254.1</v>
      </c>
      <c r="S256" s="242">
        <f t="shared" si="32"/>
        <v>131.12320633349825</v>
      </c>
      <c r="T256" s="242">
        <f t="shared" si="33"/>
        <v>102.87453310219286</v>
      </c>
      <c r="U256" s="242">
        <f t="shared" si="34"/>
        <v>129.42868215473106</v>
      </c>
      <c r="V256" s="242">
        <f t="shared" si="35"/>
        <v>112.04937405849047</v>
      </c>
      <c r="W256" s="242">
        <f t="shared" si="36"/>
        <v>120.88483003551498</v>
      </c>
      <c r="X256" s="242">
        <f t="shared" si="37"/>
        <v>133.93224631945543</v>
      </c>
      <c r="Y256" s="242">
        <f t="shared" si="38"/>
        <v>156.47963970726215</v>
      </c>
    </row>
    <row r="257" spans="2:25" x14ac:dyDescent="0.25">
      <c r="B257" s="206" t="s">
        <v>318</v>
      </c>
      <c r="C257" s="1">
        <v>311.89999999999998</v>
      </c>
      <c r="D257" s="1">
        <v>2025</v>
      </c>
      <c r="F257" s="304">
        <v>23508.400000000001</v>
      </c>
      <c r="H257" s="242">
        <f t="shared" si="30"/>
        <v>170.13964651974689</v>
      </c>
      <c r="I257" s="242">
        <f t="shared" si="31"/>
        <v>133.57690570283222</v>
      </c>
      <c r="K257" s="1">
        <v>311.89999999999998</v>
      </c>
      <c r="L257" s="242">
        <v>4112.3999999999996</v>
      </c>
      <c r="M257" s="1">
        <v>1879.8</v>
      </c>
      <c r="N257" s="1">
        <v>1725.45</v>
      </c>
      <c r="O257" s="1">
        <v>5914.15</v>
      </c>
      <c r="P257" s="1">
        <v>1674.45</v>
      </c>
      <c r="Q257" s="1">
        <v>6032.6</v>
      </c>
      <c r="S257" s="242">
        <f t="shared" si="32"/>
        <v>128.60794985980536</v>
      </c>
      <c r="T257" s="242">
        <f t="shared" si="33"/>
        <v>104.99360448936761</v>
      </c>
      <c r="U257" s="242">
        <f t="shared" si="34"/>
        <v>127.80712668529586</v>
      </c>
      <c r="V257" s="242">
        <f t="shared" si="35"/>
        <v>112.03638772011844</v>
      </c>
      <c r="W257" s="242">
        <f t="shared" si="36"/>
        <v>120.02333840690005</v>
      </c>
      <c r="X257" s="242">
        <f t="shared" si="37"/>
        <v>132.53522241570366</v>
      </c>
      <c r="Y257" s="242">
        <f t="shared" si="38"/>
        <v>150.93763682992432</v>
      </c>
    </row>
    <row r="258" spans="2:25" x14ac:dyDescent="0.25">
      <c r="B258" s="206" t="s">
        <v>319</v>
      </c>
      <c r="C258" s="1">
        <v>320.10000000000002</v>
      </c>
      <c r="D258" s="1">
        <v>2025</v>
      </c>
      <c r="F258" s="304">
        <v>23092.2</v>
      </c>
      <c r="H258" s="242">
        <f t="shared" si="30"/>
        <v>174.61269910538951</v>
      </c>
      <c r="I258" s="242">
        <f t="shared" si="31"/>
        <v>131.21201876226976</v>
      </c>
      <c r="K258" s="1">
        <v>320.10000000000002</v>
      </c>
      <c r="L258" s="242">
        <v>4152.3500000000004</v>
      </c>
      <c r="M258" s="1">
        <v>1875.45</v>
      </c>
      <c r="N258" s="1">
        <v>1792.85</v>
      </c>
      <c r="O258" s="1">
        <v>5998.15</v>
      </c>
      <c r="P258" s="1">
        <v>1723.05</v>
      </c>
      <c r="Q258" s="1">
        <v>6360.65</v>
      </c>
      <c r="S258" s="242">
        <f t="shared" si="32"/>
        <v>131.98911429985156</v>
      </c>
      <c r="T258" s="242">
        <f t="shared" si="33"/>
        <v>106.01356716307404</v>
      </c>
      <c r="U258" s="242">
        <f t="shared" si="34"/>
        <v>127.5113712852102</v>
      </c>
      <c r="V258" s="242">
        <f t="shared" si="35"/>
        <v>116.41278375149342</v>
      </c>
      <c r="W258" s="242">
        <f t="shared" si="36"/>
        <v>121.72805682394723</v>
      </c>
      <c r="X258" s="242">
        <f t="shared" si="37"/>
        <v>136.38198511951876</v>
      </c>
      <c r="Y258" s="242">
        <f t="shared" si="38"/>
        <v>159.14555576405829</v>
      </c>
    </row>
    <row r="259" spans="2:25" x14ac:dyDescent="0.25">
      <c r="B259" s="206">
        <v>45992</v>
      </c>
      <c r="C259" s="1">
        <v>281.95</v>
      </c>
      <c r="D259" s="1">
        <v>2025</v>
      </c>
      <c r="F259" s="304">
        <v>23203.200000000001</v>
      </c>
      <c r="H259" s="242">
        <f t="shared" si="30"/>
        <v>153.80209469779621</v>
      </c>
      <c r="I259" s="242">
        <f t="shared" si="31"/>
        <v>131.84273104098776</v>
      </c>
      <c r="K259" s="1">
        <v>281.95</v>
      </c>
      <c r="L259" s="242">
        <v>4124.3</v>
      </c>
      <c r="M259" s="1">
        <v>1815.45</v>
      </c>
      <c r="N259" s="1">
        <v>1788.9</v>
      </c>
      <c r="O259" s="1">
        <v>5890.3</v>
      </c>
      <c r="P259" s="1">
        <v>1660.3</v>
      </c>
      <c r="Q259" s="1">
        <v>5961.2</v>
      </c>
      <c r="S259" s="242">
        <f t="shared" si="32"/>
        <v>116.25845291110011</v>
      </c>
      <c r="T259" s="242">
        <f t="shared" si="33"/>
        <v>105.29742315813124</v>
      </c>
      <c r="U259" s="242">
        <f t="shared" si="34"/>
        <v>123.43198645644237</v>
      </c>
      <c r="V259" s="242">
        <f t="shared" si="35"/>
        <v>116.1563035686458</v>
      </c>
      <c r="W259" s="242">
        <f t="shared" si="36"/>
        <v>119.53932014205988</v>
      </c>
      <c r="X259" s="242">
        <f t="shared" si="37"/>
        <v>131.41522874782333</v>
      </c>
      <c r="Y259" s="242">
        <f t="shared" si="38"/>
        <v>149.1511853380872</v>
      </c>
    </row>
    <row r="260" spans="2:25" x14ac:dyDescent="0.25">
      <c r="B260" s="206">
        <v>45778</v>
      </c>
      <c r="C260" s="1">
        <v>300.55</v>
      </c>
      <c r="D260" s="1">
        <v>2025</v>
      </c>
      <c r="F260" s="304">
        <v>23431.5</v>
      </c>
      <c r="H260" s="242">
        <f t="shared" si="30"/>
        <v>163.94828714815623</v>
      </c>
      <c r="I260" s="242">
        <f t="shared" si="31"/>
        <v>133.13995278181048</v>
      </c>
      <c r="K260" s="1">
        <v>300.55</v>
      </c>
      <c r="L260" s="242">
        <v>4198.72</v>
      </c>
      <c r="M260" s="1">
        <v>1966.95</v>
      </c>
      <c r="N260" s="1">
        <v>1988.42</v>
      </c>
      <c r="O260" s="1">
        <v>6124.4</v>
      </c>
      <c r="P260" s="1">
        <v>1705.6</v>
      </c>
      <c r="Q260" s="1">
        <v>6319.65</v>
      </c>
      <c r="S260" s="242">
        <f t="shared" si="32"/>
        <v>123.92792347022925</v>
      </c>
      <c r="T260" s="242">
        <f t="shared" si="33"/>
        <v>107.19743873202938</v>
      </c>
      <c r="U260" s="242">
        <f t="shared" si="34"/>
        <v>133.73243314908112</v>
      </c>
      <c r="V260" s="242">
        <f t="shared" si="35"/>
        <v>129.11147472858553</v>
      </c>
      <c r="W260" s="242">
        <f t="shared" si="36"/>
        <v>124.2902080162354</v>
      </c>
      <c r="X260" s="242">
        <f t="shared" si="37"/>
        <v>135.00079151495962</v>
      </c>
      <c r="Y260" s="242">
        <f t="shared" si="38"/>
        <v>158.11972227434791</v>
      </c>
    </row>
    <row r="261" spans="2:25" x14ac:dyDescent="0.25">
      <c r="B261" s="206" t="s">
        <v>320</v>
      </c>
      <c r="C261" s="1">
        <v>294.45</v>
      </c>
      <c r="D261" s="1">
        <v>2024</v>
      </c>
      <c r="F261" s="304">
        <v>24004.75</v>
      </c>
      <c r="H261" s="242">
        <f t="shared" si="30"/>
        <v>160.62077241981234</v>
      </c>
      <c r="I261" s="242">
        <f t="shared" si="31"/>
        <v>136.39721236536991</v>
      </c>
      <c r="J261" s="710">
        <v>45627</v>
      </c>
      <c r="K261" s="1">
        <v>294.45</v>
      </c>
      <c r="L261" s="242">
        <v>4035.57</v>
      </c>
      <c r="M261" s="1">
        <v>1938.75</v>
      </c>
      <c r="N261" s="1">
        <v>1940.13</v>
      </c>
      <c r="O261" s="1">
        <v>5733.4</v>
      </c>
      <c r="P261" s="1">
        <v>1689.45</v>
      </c>
      <c r="Q261" s="1">
        <v>6405.95</v>
      </c>
      <c r="R261" s="710">
        <v>45627</v>
      </c>
      <c r="S261" s="242">
        <f t="shared" si="32"/>
        <v>121.41266699653637</v>
      </c>
      <c r="T261" s="242">
        <f t="shared" si="33"/>
        <v>103.0320592522997</v>
      </c>
      <c r="U261" s="242">
        <f t="shared" si="34"/>
        <v>131.81512227956026</v>
      </c>
      <c r="V261" s="242">
        <f t="shared" si="35"/>
        <v>125.97592332865825</v>
      </c>
      <c r="W261" s="242">
        <f t="shared" si="36"/>
        <v>116.35514967021817</v>
      </c>
      <c r="X261" s="242">
        <f t="shared" si="37"/>
        <v>133.72249485515275</v>
      </c>
      <c r="Y261" s="242">
        <f t="shared" si="38"/>
        <v>160.27897666854318</v>
      </c>
    </row>
    <row r="262" spans="2:25" x14ac:dyDescent="0.25">
      <c r="B262" s="206" t="s">
        <v>321</v>
      </c>
      <c r="C262" s="1">
        <v>309.10000000000002</v>
      </c>
      <c r="D262" s="1">
        <v>2024</v>
      </c>
      <c r="F262" s="304">
        <v>23813.4</v>
      </c>
      <c r="H262" s="242">
        <f t="shared" si="30"/>
        <v>168.61226271001527</v>
      </c>
      <c r="I262" s="242">
        <f t="shared" si="31"/>
        <v>135.30994394615649</v>
      </c>
      <c r="K262" s="1">
        <v>309.10000000000002</v>
      </c>
      <c r="L262" s="242">
        <v>4099.5</v>
      </c>
      <c r="M262" s="1">
        <v>1916.75</v>
      </c>
      <c r="N262" s="1">
        <v>1885.67</v>
      </c>
      <c r="O262" s="1">
        <v>5678</v>
      </c>
      <c r="P262" s="1">
        <v>1711.65</v>
      </c>
      <c r="Q262" s="1">
        <v>6393.6</v>
      </c>
      <c r="S262" s="242">
        <f t="shared" si="32"/>
        <v>127.45340590466765</v>
      </c>
      <c r="T262" s="242">
        <f t="shared" si="33"/>
        <v>104.66425484003565</v>
      </c>
      <c r="U262" s="242">
        <f t="shared" si="34"/>
        <v>130.31934784234537</v>
      </c>
      <c r="V262" s="242">
        <f t="shared" si="35"/>
        <v>122.43974338995378</v>
      </c>
      <c r="W262" s="242">
        <f t="shared" si="36"/>
        <v>115.23084728564181</v>
      </c>
      <c r="X262" s="242">
        <f t="shared" si="37"/>
        <v>135.47965806553742</v>
      </c>
      <c r="Y262" s="242">
        <f t="shared" si="38"/>
        <v>159.96997560517923</v>
      </c>
    </row>
    <row r="263" spans="2:25" x14ac:dyDescent="0.25">
      <c r="B263" s="206" t="s">
        <v>322</v>
      </c>
      <c r="C263" s="1">
        <v>305.2</v>
      </c>
      <c r="D263" s="1">
        <v>2024</v>
      </c>
      <c r="F263" s="304">
        <v>23587.5</v>
      </c>
      <c r="H263" s="242">
        <f t="shared" si="30"/>
        <v>166.48483526074625</v>
      </c>
      <c r="I263" s="242">
        <f t="shared" si="31"/>
        <v>134.02635922757634</v>
      </c>
      <c r="K263" s="1">
        <v>305.2</v>
      </c>
      <c r="L263" s="242">
        <v>4104.8599999999997</v>
      </c>
      <c r="M263" s="1">
        <v>1922.15</v>
      </c>
      <c r="N263" s="1">
        <v>1904.95</v>
      </c>
      <c r="O263" s="1">
        <v>5824.3</v>
      </c>
      <c r="P263" s="1">
        <v>1686.05</v>
      </c>
      <c r="Q263" s="1">
        <v>6368.7</v>
      </c>
      <c r="S263" s="242">
        <f t="shared" si="32"/>
        <v>125.84529111001153</v>
      </c>
      <c r="T263" s="242">
        <f t="shared" si="33"/>
        <v>104.8011008958821</v>
      </c>
      <c r="U263" s="242">
        <f t="shared" si="34"/>
        <v>130.68649247693449</v>
      </c>
      <c r="V263" s="242">
        <f t="shared" si="35"/>
        <v>123.69162640901772</v>
      </c>
      <c r="W263" s="242">
        <f t="shared" si="36"/>
        <v>118.19989852866566</v>
      </c>
      <c r="X263" s="242">
        <f t="shared" si="37"/>
        <v>133.45337976887762</v>
      </c>
      <c r="Y263" s="242">
        <f t="shared" si="38"/>
        <v>159.34696941264775</v>
      </c>
    </row>
    <row r="264" spans="2:25" x14ac:dyDescent="0.25">
      <c r="B264" s="206">
        <v>45516</v>
      </c>
      <c r="C264" s="1">
        <v>309.95</v>
      </c>
      <c r="D264" s="1">
        <v>2024</v>
      </c>
      <c r="F264" s="304">
        <v>24768.3</v>
      </c>
      <c r="H264" s="242">
        <f t="shared" si="30"/>
        <v>169.07593279511238</v>
      </c>
      <c r="I264" s="242">
        <f t="shared" si="31"/>
        <v>140.73577417091167</v>
      </c>
      <c r="K264" s="1">
        <v>309.95</v>
      </c>
      <c r="L264" s="242">
        <v>4403.7</v>
      </c>
      <c r="M264" s="1">
        <v>1999.7</v>
      </c>
      <c r="N264" s="1">
        <v>1962.21</v>
      </c>
      <c r="O264" s="1">
        <v>6714.45</v>
      </c>
      <c r="P264" s="1">
        <v>1796.4</v>
      </c>
      <c r="Q264" s="1">
        <v>6477.65</v>
      </c>
      <c r="S264" s="242">
        <f t="shared" si="32"/>
        <v>127.80389246247732</v>
      </c>
      <c r="T264" s="242">
        <f t="shared" si="33"/>
        <v>112.43077912893401</v>
      </c>
      <c r="U264" s="242">
        <f t="shared" si="34"/>
        <v>135.95909736811689</v>
      </c>
      <c r="V264" s="242">
        <f t="shared" si="35"/>
        <v>127.40961508493068</v>
      </c>
      <c r="W264" s="242">
        <f t="shared" si="36"/>
        <v>136.26484018264838</v>
      </c>
      <c r="X264" s="242">
        <f t="shared" si="37"/>
        <v>142.18774734842486</v>
      </c>
      <c r="Y264" s="242">
        <f t="shared" si="38"/>
        <v>162.07293425908549</v>
      </c>
    </row>
    <row r="265" spans="2:25" x14ac:dyDescent="0.25">
      <c r="B265" s="206">
        <v>45303</v>
      </c>
      <c r="C265" s="1">
        <v>297.35000000000002</v>
      </c>
      <c r="D265" s="1">
        <v>2024</v>
      </c>
      <c r="F265" s="304">
        <v>24677.8</v>
      </c>
      <c r="H265" s="242">
        <f t="shared" si="30"/>
        <v>162.20270565132012</v>
      </c>
      <c r="I265" s="242">
        <f t="shared" si="31"/>
        <v>140.22154479051542</v>
      </c>
      <c r="K265" s="1">
        <v>297.35000000000002</v>
      </c>
      <c r="L265" s="242">
        <v>4375.75</v>
      </c>
      <c r="M265" s="1">
        <v>1922.4</v>
      </c>
      <c r="N265" s="1">
        <v>1916.26</v>
      </c>
      <c r="O265" s="1">
        <v>6378.9</v>
      </c>
      <c r="P265" s="1">
        <v>1782.8</v>
      </c>
      <c r="Q265" s="1">
        <v>6174.25</v>
      </c>
      <c r="S265" s="242">
        <f t="shared" si="32"/>
        <v>122.60844466435759</v>
      </c>
      <c r="T265" s="242">
        <f t="shared" si="33"/>
        <v>111.71718822204804</v>
      </c>
      <c r="U265" s="242">
        <f t="shared" si="34"/>
        <v>130.70348991372103</v>
      </c>
      <c r="V265" s="242">
        <f t="shared" si="35"/>
        <v>124.42600384395617</v>
      </c>
      <c r="W265" s="242">
        <f t="shared" si="36"/>
        <v>129.45509893455099</v>
      </c>
      <c r="X265" s="242">
        <f t="shared" si="37"/>
        <v>141.11128700332435</v>
      </c>
      <c r="Y265" s="242">
        <f t="shared" si="38"/>
        <v>154.48176643522862</v>
      </c>
    </row>
    <row r="266" spans="2:25" x14ac:dyDescent="0.25">
      <c r="B266" s="206" t="s">
        <v>323</v>
      </c>
      <c r="C266" s="1">
        <v>288.92</v>
      </c>
      <c r="D266" s="1">
        <v>2024</v>
      </c>
      <c r="F266" s="304">
        <v>24131.1</v>
      </c>
      <c r="H266" s="242">
        <f t="shared" si="30"/>
        <v>157.60418939559241</v>
      </c>
      <c r="I266" s="242">
        <f t="shared" si="31"/>
        <v>137.11514476551423</v>
      </c>
      <c r="K266" s="1">
        <v>288.92</v>
      </c>
      <c r="L266" s="242">
        <v>4203.84</v>
      </c>
      <c r="M266" s="1">
        <v>1857.85</v>
      </c>
      <c r="N266" s="1">
        <v>1841.86</v>
      </c>
      <c r="O266" s="1">
        <v>6172.4</v>
      </c>
      <c r="P266" s="1">
        <v>1712.3</v>
      </c>
      <c r="Q266" s="1">
        <v>5905.65</v>
      </c>
      <c r="S266" s="242">
        <f t="shared" si="32"/>
        <v>119.13244268513937</v>
      </c>
      <c r="T266" s="242">
        <f t="shared" si="33"/>
        <v>107.32815735253945</v>
      </c>
      <c r="U266" s="242">
        <f t="shared" si="34"/>
        <v>126.31475173543829</v>
      </c>
      <c r="V266" s="242">
        <f t="shared" si="35"/>
        <v>119.59508596956002</v>
      </c>
      <c r="W266" s="242">
        <f t="shared" si="36"/>
        <v>125.26433282597667</v>
      </c>
      <c r="X266" s="242">
        <f t="shared" si="37"/>
        <v>135.53110653791356</v>
      </c>
      <c r="Y266" s="242">
        <f t="shared" si="38"/>
        <v>147.76130606117471</v>
      </c>
    </row>
    <row r="267" spans="2:25" x14ac:dyDescent="0.25">
      <c r="B267" s="206" t="s">
        <v>324</v>
      </c>
      <c r="C267" s="1">
        <v>285.83</v>
      </c>
      <c r="D267" s="1">
        <v>2024</v>
      </c>
      <c r="F267" s="304">
        <v>23907.25</v>
      </c>
      <c r="H267" s="242">
        <f t="shared" si="30"/>
        <v>155.91861226271001</v>
      </c>
      <c r="I267" s="242">
        <f t="shared" si="31"/>
        <v>135.84320833676625</v>
      </c>
      <c r="K267" s="1">
        <v>285.83</v>
      </c>
      <c r="L267" s="242">
        <v>4178</v>
      </c>
      <c r="M267" s="1">
        <v>1902.25</v>
      </c>
      <c r="N267" s="1">
        <v>1892.04</v>
      </c>
      <c r="O267" s="1">
        <v>6133.7</v>
      </c>
      <c r="P267" s="1">
        <v>1747.45</v>
      </c>
      <c r="Q267" s="1">
        <v>5796.25</v>
      </c>
      <c r="S267" s="242">
        <f t="shared" si="32"/>
        <v>117.85832096321951</v>
      </c>
      <c r="T267" s="242">
        <f t="shared" si="33"/>
        <v>106.66843681465275</v>
      </c>
      <c r="U267" s="242">
        <f t="shared" si="34"/>
        <v>129.33349650872651</v>
      </c>
      <c r="V267" s="242">
        <f t="shared" si="35"/>
        <v>122.85335826710302</v>
      </c>
      <c r="W267" s="242">
        <f t="shared" si="36"/>
        <v>124.47894469812277</v>
      </c>
      <c r="X267" s="242">
        <f t="shared" si="37"/>
        <v>138.31328162102264</v>
      </c>
      <c r="Y267" s="242">
        <f t="shared" si="38"/>
        <v>145.02408206667917</v>
      </c>
    </row>
    <row r="268" spans="2:25" x14ac:dyDescent="0.25">
      <c r="B268" s="206">
        <v>45576</v>
      </c>
      <c r="C268" s="1">
        <v>283.35000000000002</v>
      </c>
      <c r="D268" s="1">
        <v>2024</v>
      </c>
      <c r="F268" s="304">
        <v>23532.7</v>
      </c>
      <c r="H268" s="242">
        <f t="shared" si="30"/>
        <v>154.56578660266203</v>
      </c>
      <c r="I268" s="242">
        <f t="shared" si="31"/>
        <v>133.71498055303809</v>
      </c>
      <c r="K268" s="1">
        <v>283.35000000000002</v>
      </c>
      <c r="L268" s="242">
        <v>4080.85</v>
      </c>
      <c r="M268" s="1">
        <v>1864.55</v>
      </c>
      <c r="N268" s="1">
        <v>1852.73</v>
      </c>
      <c r="O268" s="1">
        <v>5994.65</v>
      </c>
      <c r="P268" s="1">
        <v>1687.5</v>
      </c>
      <c r="Q268" s="1">
        <v>5713.8</v>
      </c>
      <c r="S268" s="242">
        <f t="shared" si="32"/>
        <v>116.83572488866898</v>
      </c>
      <c r="T268" s="242">
        <f t="shared" si="33"/>
        <v>104.18810205243551</v>
      </c>
      <c r="U268" s="242">
        <f t="shared" si="34"/>
        <v>126.77028304131737</v>
      </c>
      <c r="V268" s="242">
        <f t="shared" si="35"/>
        <v>120.30089346007999</v>
      </c>
      <c r="W268" s="242">
        <f t="shared" si="36"/>
        <v>121.65702688990359</v>
      </c>
      <c r="X268" s="242">
        <f t="shared" si="37"/>
        <v>133.56814943802436</v>
      </c>
      <c r="Y268" s="242">
        <f t="shared" si="38"/>
        <v>142.96115593920061</v>
      </c>
    </row>
    <row r="269" spans="2:25" x14ac:dyDescent="0.25">
      <c r="B269" s="206">
        <v>45362</v>
      </c>
      <c r="C269" s="1">
        <v>284.5</v>
      </c>
      <c r="D269" s="1">
        <v>2024</v>
      </c>
      <c r="F269" s="304">
        <v>24148.2</v>
      </c>
      <c r="H269" s="242">
        <f t="shared" si="30"/>
        <v>155.19310495308753</v>
      </c>
      <c r="I269" s="242">
        <f t="shared" si="31"/>
        <v>137.21230854899241</v>
      </c>
      <c r="K269" s="1">
        <v>284.5</v>
      </c>
      <c r="L269" s="242">
        <v>4081.93</v>
      </c>
      <c r="M269" s="1">
        <v>1829.95</v>
      </c>
      <c r="N269" s="1">
        <v>1831.35</v>
      </c>
      <c r="O269" s="1">
        <v>5926.95</v>
      </c>
      <c r="P269" s="1">
        <v>1681.35</v>
      </c>
      <c r="Q269" s="1">
        <v>5668.7</v>
      </c>
      <c r="S269" s="242">
        <f t="shared" si="32"/>
        <v>117.3099125845291</v>
      </c>
      <c r="T269" s="242">
        <f t="shared" si="33"/>
        <v>104.21567551144936</v>
      </c>
      <c r="U269" s="242">
        <f t="shared" si="34"/>
        <v>124.41783779006126</v>
      </c>
      <c r="V269" s="242">
        <f t="shared" si="35"/>
        <v>118.9126538881097</v>
      </c>
      <c r="W269" s="242">
        <f t="shared" si="36"/>
        <v>120.28310502283104</v>
      </c>
      <c r="X269" s="242">
        <f t="shared" si="37"/>
        <v>133.08136773785023</v>
      </c>
      <c r="Y269" s="242">
        <f t="shared" si="38"/>
        <v>141.83273910051918</v>
      </c>
    </row>
    <row r="270" spans="2:25" x14ac:dyDescent="0.25">
      <c r="B270" s="206" t="s">
        <v>325</v>
      </c>
      <c r="C270" s="1">
        <v>275.67</v>
      </c>
      <c r="D270" s="1">
        <v>2024</v>
      </c>
      <c r="F270" s="304">
        <v>24304.35</v>
      </c>
      <c r="H270" s="242">
        <f t="shared" si="30"/>
        <v>150.3763910102553</v>
      </c>
      <c r="I270" s="242">
        <f t="shared" si="31"/>
        <v>138.0995673086484</v>
      </c>
      <c r="K270" s="1">
        <v>275.67</v>
      </c>
      <c r="L270" s="242">
        <v>3921.68</v>
      </c>
      <c r="M270" s="1">
        <v>1760.85</v>
      </c>
      <c r="N270" s="1">
        <v>1751.52</v>
      </c>
      <c r="O270" s="1">
        <v>5731.6</v>
      </c>
      <c r="P270" s="1">
        <v>1603.65</v>
      </c>
      <c r="Q270" s="1">
        <v>5389</v>
      </c>
      <c r="S270" s="242">
        <f t="shared" si="32"/>
        <v>113.66897575457695</v>
      </c>
      <c r="T270" s="242">
        <f t="shared" si="33"/>
        <v>100.12433587536795</v>
      </c>
      <c r="U270" s="242">
        <f t="shared" si="34"/>
        <v>119.71974626226366</v>
      </c>
      <c r="V270" s="242">
        <f t="shared" si="35"/>
        <v>113.72915692691291</v>
      </c>
      <c r="W270" s="242">
        <f t="shared" si="36"/>
        <v>116.31861998985286</v>
      </c>
      <c r="X270" s="242">
        <f t="shared" si="37"/>
        <v>126.93129650150388</v>
      </c>
      <c r="Y270" s="242">
        <f t="shared" si="38"/>
        <v>134.83455307437293</v>
      </c>
    </row>
    <row r="271" spans="2:25" x14ac:dyDescent="0.25">
      <c r="B271" s="206" t="s">
        <v>326</v>
      </c>
      <c r="C271" s="1">
        <v>271.73</v>
      </c>
      <c r="D271" s="1">
        <v>2024</v>
      </c>
      <c r="F271" s="304">
        <v>24180.799999999999</v>
      </c>
      <c r="H271" s="242">
        <f t="shared" si="30"/>
        <v>148.22714379227583</v>
      </c>
      <c r="I271" s="242">
        <f t="shared" si="31"/>
        <v>137.39754476778708</v>
      </c>
      <c r="K271" s="1">
        <v>271.73</v>
      </c>
      <c r="L271" s="242">
        <v>3993.88</v>
      </c>
      <c r="M271" s="1">
        <v>1862.05</v>
      </c>
      <c r="N271" s="1">
        <v>1846.15</v>
      </c>
      <c r="O271" s="1">
        <v>5903.2</v>
      </c>
      <c r="P271" s="1">
        <v>1716.45</v>
      </c>
      <c r="Q271" s="1">
        <v>5670.9</v>
      </c>
      <c r="S271" s="242">
        <f t="shared" si="32"/>
        <v>112.04436747484743</v>
      </c>
      <c r="T271" s="242">
        <f t="shared" si="33"/>
        <v>101.96767267240435</v>
      </c>
      <c r="U271" s="242">
        <f t="shared" si="34"/>
        <v>126.60030867345205</v>
      </c>
      <c r="V271" s="242">
        <f t="shared" si="35"/>
        <v>119.87364292764013</v>
      </c>
      <c r="W271" s="242">
        <f t="shared" si="36"/>
        <v>119.80111618467781</v>
      </c>
      <c r="X271" s="242">
        <f t="shared" si="37"/>
        <v>135.85958524616115</v>
      </c>
      <c r="Y271" s="242">
        <f t="shared" si="38"/>
        <v>141.88778382435729</v>
      </c>
    </row>
    <row r="272" spans="2:25" x14ac:dyDescent="0.25">
      <c r="B272" s="206" t="s">
        <v>327</v>
      </c>
      <c r="C272" s="1">
        <v>274.33</v>
      </c>
      <c r="D272" s="1">
        <v>2024</v>
      </c>
      <c r="F272" s="304">
        <v>24854.05</v>
      </c>
      <c r="H272" s="242">
        <f t="shared" si="30"/>
        <v>149.64542875845518</v>
      </c>
      <c r="I272" s="242">
        <f t="shared" si="31"/>
        <v>141.22301361145281</v>
      </c>
      <c r="K272" s="1">
        <v>274.33</v>
      </c>
      <c r="L272" s="242">
        <v>4058.35</v>
      </c>
      <c r="M272" s="1">
        <v>1879.6</v>
      </c>
      <c r="N272" s="1">
        <v>1851.48</v>
      </c>
      <c r="O272" s="1">
        <v>5991.7</v>
      </c>
      <c r="P272" s="1">
        <v>1687.9</v>
      </c>
      <c r="Q272" s="1">
        <v>5506.15</v>
      </c>
      <c r="S272" s="242">
        <f t="shared" si="32"/>
        <v>113.11644400461816</v>
      </c>
      <c r="T272" s="242">
        <f t="shared" si="33"/>
        <v>103.61365498964719</v>
      </c>
      <c r="U272" s="242">
        <f t="shared" si="34"/>
        <v>127.79352873586663</v>
      </c>
      <c r="V272" s="242">
        <f t="shared" si="35"/>
        <v>120.21972884525481</v>
      </c>
      <c r="W272" s="242">
        <f t="shared" si="36"/>
        <v>121.59715880263826</v>
      </c>
      <c r="X272" s="242">
        <f t="shared" si="37"/>
        <v>133.59981003640968</v>
      </c>
      <c r="Y272" s="242">
        <f t="shared" si="38"/>
        <v>137.76568461875274</v>
      </c>
    </row>
    <row r="273" spans="2:25" x14ac:dyDescent="0.25">
      <c r="B273" s="206">
        <v>45453</v>
      </c>
      <c r="C273" s="1">
        <v>264.14999999999998</v>
      </c>
      <c r="D273" s="1">
        <v>2024</v>
      </c>
      <c r="F273" s="304">
        <v>24964.25</v>
      </c>
      <c r="H273" s="242">
        <f t="shared" si="30"/>
        <v>144.0922976216452</v>
      </c>
      <c r="I273" s="242">
        <f t="shared" si="31"/>
        <v>141.84918021608996</v>
      </c>
      <c r="K273" s="1">
        <v>264.14999999999998</v>
      </c>
      <c r="L273" s="242">
        <v>4084.09</v>
      </c>
      <c r="M273" s="1">
        <v>1935.1</v>
      </c>
      <c r="N273" s="1">
        <v>1833.49</v>
      </c>
      <c r="O273" s="1">
        <v>6410.95</v>
      </c>
      <c r="P273" s="1">
        <v>1647.05</v>
      </c>
      <c r="Q273" s="1">
        <v>5469.55</v>
      </c>
      <c r="S273" s="242">
        <f t="shared" si="32"/>
        <v>108.91885205343887</v>
      </c>
      <c r="T273" s="242">
        <f t="shared" si="33"/>
        <v>104.27082242947705</v>
      </c>
      <c r="U273" s="242">
        <f t="shared" si="34"/>
        <v>131.56695970247688</v>
      </c>
      <c r="V273" s="242">
        <f t="shared" si="35"/>
        <v>119.05160770869045</v>
      </c>
      <c r="W273" s="242">
        <f t="shared" si="36"/>
        <v>130.10553018772197</v>
      </c>
      <c r="X273" s="242">
        <f t="shared" si="37"/>
        <v>130.36647142630994</v>
      </c>
      <c r="Y273" s="242">
        <f t="shared" si="38"/>
        <v>136.84994057671861</v>
      </c>
    </row>
    <row r="274" spans="2:25" x14ac:dyDescent="0.25">
      <c r="B274" s="206" t="s">
        <v>328</v>
      </c>
      <c r="C274" s="1">
        <v>266.77</v>
      </c>
      <c r="D274" s="1">
        <v>2024</v>
      </c>
      <c r="F274" s="304">
        <v>25014.6</v>
      </c>
      <c r="H274" s="242">
        <f t="shared" si="30"/>
        <v>145.52149247217977</v>
      </c>
      <c r="I274" s="242">
        <f t="shared" si="31"/>
        <v>142.13527357855349</v>
      </c>
      <c r="J274" s="710">
        <v>45536</v>
      </c>
      <c r="K274" s="1">
        <v>266.77</v>
      </c>
      <c r="L274" s="242">
        <v>4185.53</v>
      </c>
      <c r="M274" s="1">
        <v>1918.15</v>
      </c>
      <c r="N274" s="1">
        <v>1770.65</v>
      </c>
      <c r="O274" s="1">
        <v>6114.1</v>
      </c>
      <c r="P274" s="1">
        <v>1616.45</v>
      </c>
      <c r="Q274" s="1">
        <v>5141.3</v>
      </c>
      <c r="R274" s="710">
        <v>45536</v>
      </c>
      <c r="S274" s="242">
        <f t="shared" si="32"/>
        <v>109.99917532574632</v>
      </c>
      <c r="T274" s="242">
        <f t="shared" si="33"/>
        <v>106.86068509833258</v>
      </c>
      <c r="U274" s="242">
        <f t="shared" si="34"/>
        <v>130.41453348834997</v>
      </c>
      <c r="V274" s="242">
        <f t="shared" si="35"/>
        <v>114.97130019219782</v>
      </c>
      <c r="W274" s="242">
        <f t="shared" si="36"/>
        <v>124.08117706747845</v>
      </c>
      <c r="X274" s="242">
        <f t="shared" si="37"/>
        <v>127.94443564983378</v>
      </c>
      <c r="Y274" s="242">
        <f t="shared" si="38"/>
        <v>128.63701757678115</v>
      </c>
    </row>
    <row r="275" spans="2:25" x14ac:dyDescent="0.25">
      <c r="B275" s="206" t="s">
        <v>329</v>
      </c>
      <c r="C275" s="1">
        <v>270.89999999999998</v>
      </c>
      <c r="D275" s="1">
        <v>2024</v>
      </c>
      <c r="F275" s="304">
        <v>26178.95</v>
      </c>
      <c r="H275" s="242">
        <f t="shared" si="30"/>
        <v>147.77438359153393</v>
      </c>
      <c r="I275" s="242">
        <f t="shared" si="31"/>
        <v>148.75121809860136</v>
      </c>
      <c r="K275" s="1">
        <v>270.89999999999998</v>
      </c>
      <c r="L275" s="242">
        <v>4241.09</v>
      </c>
      <c r="M275" s="1">
        <v>1906.75</v>
      </c>
      <c r="N275" s="1">
        <v>1802.34</v>
      </c>
      <c r="O275" s="1">
        <v>6136.1</v>
      </c>
      <c r="P275" s="1">
        <v>1609.25</v>
      </c>
      <c r="Q275" s="1">
        <v>5437</v>
      </c>
      <c r="S275" s="242">
        <f t="shared" si="32"/>
        <v>111.70212765957446</v>
      </c>
      <c r="T275" s="242">
        <f t="shared" si="33"/>
        <v>108.27918637871126</v>
      </c>
      <c r="U275" s="242">
        <f t="shared" si="34"/>
        <v>129.63945037088408</v>
      </c>
      <c r="V275" s="242">
        <f t="shared" si="35"/>
        <v>117.02898550724639</v>
      </c>
      <c r="W275" s="242">
        <f t="shared" si="36"/>
        <v>124.52765093860985</v>
      </c>
      <c r="X275" s="242">
        <f t="shared" si="37"/>
        <v>127.37454487889821</v>
      </c>
      <c r="Y275" s="242">
        <f t="shared" si="38"/>
        <v>136.03552886720459</v>
      </c>
    </row>
    <row r="276" spans="2:25" x14ac:dyDescent="0.25">
      <c r="B276" s="206" t="s">
        <v>330</v>
      </c>
      <c r="C276" s="1">
        <v>269.55</v>
      </c>
      <c r="D276" s="1">
        <v>2024</v>
      </c>
      <c r="F276" s="304">
        <v>25790.95</v>
      </c>
      <c r="H276" s="242">
        <f t="shared" si="30"/>
        <v>147.0379663975562</v>
      </c>
      <c r="I276" s="242">
        <f t="shared" si="31"/>
        <v>146.54656616938885</v>
      </c>
      <c r="K276" s="1">
        <v>269.55</v>
      </c>
      <c r="L276" s="242">
        <v>4217.67</v>
      </c>
      <c r="M276" s="1">
        <v>1905.75</v>
      </c>
      <c r="N276" s="1">
        <v>1754.16</v>
      </c>
      <c r="O276" s="1">
        <v>6373.1</v>
      </c>
      <c r="P276" s="1">
        <v>1622.05</v>
      </c>
      <c r="Q276" s="1">
        <v>5355.05</v>
      </c>
      <c r="S276" s="242">
        <f t="shared" si="32"/>
        <v>111.14547253834735</v>
      </c>
      <c r="T276" s="242">
        <f t="shared" si="33"/>
        <v>107.68125081380001</v>
      </c>
      <c r="U276" s="242">
        <f t="shared" si="34"/>
        <v>129.57146062373795</v>
      </c>
      <c r="V276" s="242">
        <f t="shared" si="35"/>
        <v>113.90057659342372</v>
      </c>
      <c r="W276" s="242">
        <f t="shared" si="36"/>
        <v>129.33739218670726</v>
      </c>
      <c r="X276" s="242">
        <f t="shared" si="37"/>
        <v>128.38768402722812</v>
      </c>
      <c r="Y276" s="242">
        <f t="shared" si="38"/>
        <v>133.98511290423468</v>
      </c>
    </row>
    <row r="277" spans="2:25" x14ac:dyDescent="0.25">
      <c r="B277" s="206">
        <v>45513</v>
      </c>
      <c r="C277" s="1">
        <v>275.3</v>
      </c>
      <c r="D277" s="1">
        <v>2024</v>
      </c>
      <c r="F277" s="304">
        <v>25356.5</v>
      </c>
      <c r="H277" s="242">
        <f t="shared" si="30"/>
        <v>150.17455814968363</v>
      </c>
      <c r="I277" s="242">
        <f t="shared" si="31"/>
        <v>144.07798103885699</v>
      </c>
      <c r="K277" s="1">
        <v>275.3</v>
      </c>
      <c r="L277" s="242">
        <v>4451.6400000000003</v>
      </c>
      <c r="M277" s="1">
        <v>1944.1</v>
      </c>
      <c r="N277" s="1">
        <v>1806.73</v>
      </c>
      <c r="O277" s="1">
        <v>6416.2</v>
      </c>
      <c r="P277" s="1">
        <v>1656.05</v>
      </c>
      <c r="Q277" s="1">
        <v>5359.9</v>
      </c>
      <c r="S277" s="242">
        <f t="shared" si="32"/>
        <v>113.51641101764802</v>
      </c>
      <c r="T277" s="242">
        <f t="shared" si="33"/>
        <v>113.65473433738171</v>
      </c>
      <c r="U277" s="242">
        <f t="shared" si="34"/>
        <v>132.17886742679204</v>
      </c>
      <c r="V277" s="242">
        <f t="shared" si="35"/>
        <v>117.31403563451251</v>
      </c>
      <c r="W277" s="242">
        <f t="shared" si="36"/>
        <v>130.2120750887874</v>
      </c>
      <c r="X277" s="242">
        <f t="shared" si="37"/>
        <v>131.07883488997939</v>
      </c>
      <c r="Y277" s="242">
        <f t="shared" si="38"/>
        <v>134.10646149996873</v>
      </c>
    </row>
    <row r="278" spans="2:25" x14ac:dyDescent="0.25">
      <c r="B278" s="206">
        <v>45300</v>
      </c>
      <c r="C278" s="1">
        <v>260.3</v>
      </c>
      <c r="D278" s="1">
        <v>2024</v>
      </c>
      <c r="F278" s="304">
        <v>24852.15</v>
      </c>
      <c r="H278" s="242">
        <f t="shared" si="30"/>
        <v>141.99214488326425</v>
      </c>
      <c r="I278" s="242">
        <f t="shared" si="31"/>
        <v>141.2122176355108</v>
      </c>
      <c r="K278" s="1">
        <v>260.3</v>
      </c>
      <c r="L278" s="242">
        <v>4386.82</v>
      </c>
      <c r="M278" s="1">
        <v>1901.85</v>
      </c>
      <c r="N278" s="1">
        <v>1750.22</v>
      </c>
      <c r="O278" s="1">
        <v>6165.4</v>
      </c>
      <c r="P278" s="1">
        <v>1623.25</v>
      </c>
      <c r="Q278" s="1">
        <v>5189.95</v>
      </c>
      <c r="S278" s="242">
        <f t="shared" si="32"/>
        <v>107.33135411512453</v>
      </c>
      <c r="T278" s="242">
        <f t="shared" si="33"/>
        <v>111.9998161769399</v>
      </c>
      <c r="U278" s="242">
        <f t="shared" si="34"/>
        <v>129.30630060986803</v>
      </c>
      <c r="V278" s="242">
        <f t="shared" si="35"/>
        <v>113.64474572749468</v>
      </c>
      <c r="W278" s="242">
        <f t="shared" si="36"/>
        <v>125.12227295788938</v>
      </c>
      <c r="X278" s="242">
        <f t="shared" si="37"/>
        <v>128.48266582238404</v>
      </c>
      <c r="Y278" s="242">
        <f t="shared" si="38"/>
        <v>129.85425658347407</v>
      </c>
    </row>
    <row r="279" spans="2:25" x14ac:dyDescent="0.25">
      <c r="B279" s="206" t="s">
        <v>331</v>
      </c>
      <c r="C279" s="1">
        <v>269.2</v>
      </c>
      <c r="D279" s="1">
        <v>2024</v>
      </c>
      <c r="F279" s="304">
        <v>25235.9</v>
      </c>
      <c r="H279" s="242">
        <f t="shared" si="30"/>
        <v>146.84704342133975</v>
      </c>
      <c r="I279" s="242">
        <f t="shared" si="31"/>
        <v>143.39272067116877</v>
      </c>
      <c r="K279" s="1">
        <v>269.2</v>
      </c>
      <c r="L279" s="242">
        <v>4482.3</v>
      </c>
      <c r="M279" s="1">
        <v>1943.7</v>
      </c>
      <c r="N279" s="1">
        <v>1747.38</v>
      </c>
      <c r="O279" s="1">
        <v>6156.05</v>
      </c>
      <c r="P279" s="1">
        <v>1636.5</v>
      </c>
      <c r="Q279" s="1">
        <v>5170.8500000000004</v>
      </c>
      <c r="S279" s="242">
        <f t="shared" si="32"/>
        <v>111.00115454395514</v>
      </c>
      <c r="T279" s="242">
        <f t="shared" si="33"/>
        <v>114.43751420160795</v>
      </c>
      <c r="U279" s="242">
        <f t="shared" si="34"/>
        <v>132.15167152793359</v>
      </c>
      <c r="V279" s="242">
        <f t="shared" si="35"/>
        <v>113.46033972261182</v>
      </c>
      <c r="W279" s="242">
        <f t="shared" si="36"/>
        <v>124.93252156265855</v>
      </c>
      <c r="X279" s="242">
        <f t="shared" si="37"/>
        <v>129.5314231438974</v>
      </c>
      <c r="Y279" s="242">
        <f t="shared" si="38"/>
        <v>129.37636829924315</v>
      </c>
    </row>
    <row r="280" spans="2:25" x14ac:dyDescent="0.25">
      <c r="B280" s="206" t="s">
        <v>332</v>
      </c>
      <c r="C280" s="1">
        <v>256.2</v>
      </c>
      <c r="D280" s="1">
        <v>2024</v>
      </c>
      <c r="F280" s="304">
        <v>24823.15</v>
      </c>
      <c r="H280" s="242">
        <f t="shared" si="30"/>
        <v>139.75561859044294</v>
      </c>
      <c r="I280" s="242">
        <f t="shared" si="31"/>
        <v>141.04743695007997</v>
      </c>
      <c r="K280" s="1">
        <v>256.2</v>
      </c>
      <c r="L280" s="242">
        <v>4393.8599999999997</v>
      </c>
      <c r="M280" s="1">
        <v>1862.1</v>
      </c>
      <c r="N280" s="1">
        <v>1655.89</v>
      </c>
      <c r="O280" s="1">
        <v>5641.6</v>
      </c>
      <c r="P280" s="1">
        <v>1598.4</v>
      </c>
      <c r="Q280" s="1">
        <v>4882.5</v>
      </c>
      <c r="S280" s="242">
        <f t="shared" si="32"/>
        <v>105.64077189510141</v>
      </c>
      <c r="T280" s="242">
        <f t="shared" si="33"/>
        <v>112.17955428014123</v>
      </c>
      <c r="U280" s="242">
        <f t="shared" si="34"/>
        <v>126.60370816080935</v>
      </c>
      <c r="V280" s="242">
        <f t="shared" si="35"/>
        <v>107.5197392343255</v>
      </c>
      <c r="W280" s="242">
        <f t="shared" si="36"/>
        <v>114.49213597158803</v>
      </c>
      <c r="X280" s="242">
        <f t="shared" si="37"/>
        <v>126.51575114769669</v>
      </c>
      <c r="Y280" s="242">
        <f t="shared" si="38"/>
        <v>122.16175642709702</v>
      </c>
    </row>
    <row r="281" spans="2:25" x14ac:dyDescent="0.25">
      <c r="B281" s="206">
        <v>45604</v>
      </c>
      <c r="C281" s="1">
        <v>258.13</v>
      </c>
      <c r="D281" s="1">
        <v>2024</v>
      </c>
      <c r="F281" s="304">
        <v>24541.15</v>
      </c>
      <c r="H281" s="242">
        <f t="shared" si="30"/>
        <v>140.80842243072226</v>
      </c>
      <c r="I281" s="242">
        <f t="shared" si="31"/>
        <v>139.44508683658017</v>
      </c>
      <c r="K281" s="1">
        <v>258.13</v>
      </c>
      <c r="L281" s="242">
        <v>4346.76</v>
      </c>
      <c r="M281" s="1">
        <v>1858.95</v>
      </c>
      <c r="N281" s="1">
        <v>1662.67</v>
      </c>
      <c r="O281" s="1">
        <v>5563.75</v>
      </c>
      <c r="P281" s="1">
        <v>1585.3</v>
      </c>
      <c r="Q281" s="1">
        <v>4857.1499999999996</v>
      </c>
      <c r="S281" s="242">
        <f t="shared" si="32"/>
        <v>106.43658254989279</v>
      </c>
      <c r="T281" s="242">
        <f t="shared" si="33"/>
        <v>110.97704509537098</v>
      </c>
      <c r="U281" s="242">
        <f t="shared" si="34"/>
        <v>126.38954045729905</v>
      </c>
      <c r="V281" s="242">
        <f t="shared" si="35"/>
        <v>107.95997610513741</v>
      </c>
      <c r="W281" s="242">
        <f t="shared" si="36"/>
        <v>112.91222729578894</v>
      </c>
      <c r="X281" s="242">
        <f t="shared" si="37"/>
        <v>125.47886655057778</v>
      </c>
      <c r="Y281" s="242">
        <f t="shared" si="38"/>
        <v>121.52749108650778</v>
      </c>
    </row>
    <row r="282" spans="2:25" x14ac:dyDescent="0.25">
      <c r="B282" s="206">
        <v>45390</v>
      </c>
      <c r="C282" s="1">
        <v>245.65</v>
      </c>
      <c r="D282" s="1">
        <v>2024</v>
      </c>
      <c r="F282" s="304">
        <v>24367.5</v>
      </c>
      <c r="H282" s="242">
        <f t="shared" si="30"/>
        <v>134.00065459306131</v>
      </c>
      <c r="I282" s="242">
        <f t="shared" si="31"/>
        <v>138.45839145640554</v>
      </c>
      <c r="K282" s="1">
        <v>245.65</v>
      </c>
      <c r="L282" s="242">
        <v>4162.3999999999996</v>
      </c>
      <c r="M282" s="1">
        <v>1770.75</v>
      </c>
      <c r="N282" s="1">
        <v>1584.63</v>
      </c>
      <c r="O282" s="1">
        <v>5373.55</v>
      </c>
      <c r="P282" s="1">
        <v>1506.7</v>
      </c>
      <c r="Q282" s="1">
        <v>4699.05</v>
      </c>
      <c r="S282" s="242">
        <f t="shared" si="32"/>
        <v>101.29061520699322</v>
      </c>
      <c r="T282" s="242">
        <f t="shared" si="33"/>
        <v>106.27015351778614</v>
      </c>
      <c r="U282" s="242">
        <f t="shared" si="34"/>
        <v>120.39284475901036</v>
      </c>
      <c r="V282" s="242">
        <f t="shared" si="35"/>
        <v>102.89270687237028</v>
      </c>
      <c r="W282" s="242">
        <f t="shared" si="36"/>
        <v>109.05225773718925</v>
      </c>
      <c r="X282" s="242">
        <f t="shared" si="37"/>
        <v>119.2575589678645</v>
      </c>
      <c r="Y282" s="242">
        <f t="shared" si="38"/>
        <v>117.57177706886846</v>
      </c>
    </row>
    <row r="283" spans="2:25" x14ac:dyDescent="0.25">
      <c r="B283" s="206" t="s">
        <v>333</v>
      </c>
      <c r="C283" s="1">
        <v>251.07</v>
      </c>
      <c r="D283" s="1">
        <v>2024</v>
      </c>
      <c r="F283" s="304">
        <v>24717.7</v>
      </c>
      <c r="H283" s="242">
        <f t="shared" si="30"/>
        <v>136.9572332533275</v>
      </c>
      <c r="I283" s="242">
        <f t="shared" si="31"/>
        <v>140.44826028529786</v>
      </c>
      <c r="K283" s="1">
        <v>251.07</v>
      </c>
      <c r="L283" s="242">
        <v>4215.8500000000004</v>
      </c>
      <c r="M283" s="1">
        <v>1821.2</v>
      </c>
      <c r="N283" s="1">
        <v>1603.91</v>
      </c>
      <c r="O283" s="1">
        <v>5509.9</v>
      </c>
      <c r="P283" s="1">
        <v>1507.7</v>
      </c>
      <c r="Q283" s="1">
        <v>4636.3500000000004</v>
      </c>
      <c r="S283" s="242">
        <f t="shared" si="32"/>
        <v>103.5254824344384</v>
      </c>
      <c r="T283" s="242">
        <f t="shared" si="33"/>
        <v>107.63478442916559</v>
      </c>
      <c r="U283" s="242">
        <f t="shared" si="34"/>
        <v>123.82292750253264</v>
      </c>
      <c r="V283" s="242">
        <f t="shared" si="35"/>
        <v>104.14458989143422</v>
      </c>
      <c r="W283" s="242">
        <f t="shared" si="36"/>
        <v>111.81938102486046</v>
      </c>
      <c r="X283" s="242">
        <f t="shared" si="37"/>
        <v>119.33671046382777</v>
      </c>
      <c r="Y283" s="242">
        <f t="shared" si="38"/>
        <v>116.00300243948209</v>
      </c>
    </row>
    <row r="284" spans="2:25" x14ac:dyDescent="0.25">
      <c r="B284" s="206" t="s">
        <v>334</v>
      </c>
      <c r="C284" s="1">
        <v>262.39999999999998</v>
      </c>
      <c r="D284" s="1">
        <v>2024</v>
      </c>
      <c r="F284" s="304">
        <v>24834.85</v>
      </c>
      <c r="H284" s="242">
        <f t="shared" si="30"/>
        <v>143.13768274056292</v>
      </c>
      <c r="I284" s="242">
        <f t="shared" si="31"/>
        <v>141.1139174335124</v>
      </c>
      <c r="K284" s="1">
        <v>262.39999999999998</v>
      </c>
      <c r="L284" s="242">
        <v>4319</v>
      </c>
      <c r="M284" s="1">
        <v>1878.9</v>
      </c>
      <c r="N284" s="1">
        <v>1629.88</v>
      </c>
      <c r="O284" s="1">
        <v>5788.45</v>
      </c>
      <c r="P284" s="1">
        <v>1541.15</v>
      </c>
      <c r="Q284" s="1">
        <v>4772.95</v>
      </c>
      <c r="S284" s="242">
        <f t="shared" si="32"/>
        <v>108.1972620814778</v>
      </c>
      <c r="T284" s="242">
        <f t="shared" si="33"/>
        <v>110.26830507479302</v>
      </c>
      <c r="U284" s="242">
        <f t="shared" si="34"/>
        <v>127.74593591286435</v>
      </c>
      <c r="V284" s="242">
        <f t="shared" si="35"/>
        <v>105.83086592904264</v>
      </c>
      <c r="W284" s="242">
        <f t="shared" si="36"/>
        <v>117.47234906139015</v>
      </c>
      <c r="X284" s="242">
        <f t="shared" si="37"/>
        <v>121.98432800379928</v>
      </c>
      <c r="Y284" s="242">
        <f t="shared" si="38"/>
        <v>119.42077938324888</v>
      </c>
    </row>
    <row r="285" spans="2:25" x14ac:dyDescent="0.25">
      <c r="B285" s="206" t="s">
        <v>335</v>
      </c>
      <c r="C285" s="1">
        <v>278.60000000000002</v>
      </c>
      <c r="D285" s="1">
        <v>2024</v>
      </c>
      <c r="F285" s="304">
        <v>24530.9</v>
      </c>
      <c r="H285" s="242">
        <f t="shared" si="30"/>
        <v>151.9746890682959</v>
      </c>
      <c r="I285" s="242">
        <f t="shared" si="31"/>
        <v>139.38684538741927</v>
      </c>
      <c r="K285" s="1">
        <v>278.60000000000002</v>
      </c>
      <c r="L285" s="242">
        <v>4234.8900000000003</v>
      </c>
      <c r="M285" s="1">
        <v>1792.95</v>
      </c>
      <c r="N285" s="1">
        <v>1589.21</v>
      </c>
      <c r="O285" s="1">
        <v>5762.75</v>
      </c>
      <c r="P285" s="1">
        <v>1491.4</v>
      </c>
      <c r="Q285" s="1">
        <v>4583.45</v>
      </c>
      <c r="S285" s="242">
        <f t="shared" si="32"/>
        <v>114.87712353620321</v>
      </c>
      <c r="T285" s="242">
        <f t="shared" si="33"/>
        <v>108.12089429918737</v>
      </c>
      <c r="U285" s="242">
        <f t="shared" si="34"/>
        <v>121.90221714565443</v>
      </c>
      <c r="V285" s="242">
        <f t="shared" si="35"/>
        <v>103.19009402108983</v>
      </c>
      <c r="W285" s="242">
        <f t="shared" si="36"/>
        <v>116.9507864028412</v>
      </c>
      <c r="X285" s="242">
        <f t="shared" si="37"/>
        <v>118.04654107962639</v>
      </c>
      <c r="Y285" s="242">
        <f t="shared" si="38"/>
        <v>114.6794270344655</v>
      </c>
    </row>
    <row r="286" spans="2:25" x14ac:dyDescent="0.25">
      <c r="B286" s="206">
        <v>45480</v>
      </c>
      <c r="C286" s="1">
        <v>280.08</v>
      </c>
      <c r="D286" s="1">
        <v>2024</v>
      </c>
      <c r="F286" s="304">
        <v>24502.15</v>
      </c>
      <c r="H286" s="242">
        <f t="shared" si="30"/>
        <v>152.78202051058258</v>
      </c>
      <c r="I286" s="242">
        <f t="shared" si="31"/>
        <v>139.22348522513872</v>
      </c>
      <c r="K286" s="1">
        <v>280.08</v>
      </c>
      <c r="L286" s="242">
        <v>4118.3</v>
      </c>
      <c r="M286" s="1">
        <v>1711.75</v>
      </c>
      <c r="N286" s="1">
        <v>1554.98</v>
      </c>
      <c r="O286" s="1">
        <v>5572.65</v>
      </c>
      <c r="P286" s="1">
        <v>1505.05</v>
      </c>
      <c r="Q286" s="1">
        <v>4808.5</v>
      </c>
      <c r="S286" s="242">
        <f t="shared" si="32"/>
        <v>115.48738248391884</v>
      </c>
      <c r="T286" s="242">
        <f t="shared" si="33"/>
        <v>105.14423727472102</v>
      </c>
      <c r="U286" s="242">
        <f t="shared" si="34"/>
        <v>116.38144967738866</v>
      </c>
      <c r="V286" s="242">
        <f t="shared" si="35"/>
        <v>100.96748220871643</v>
      </c>
      <c r="W286" s="242">
        <f t="shared" si="36"/>
        <v>113.09284627092846</v>
      </c>
      <c r="X286" s="242">
        <f t="shared" si="37"/>
        <v>119.12695899952507</v>
      </c>
      <c r="Y286" s="242">
        <f t="shared" si="38"/>
        <v>120.31025207981484</v>
      </c>
    </row>
    <row r="287" spans="2:25" x14ac:dyDescent="0.25">
      <c r="B287" s="206" t="s">
        <v>336</v>
      </c>
      <c r="C287" s="1">
        <v>267.55</v>
      </c>
      <c r="D287" s="1">
        <v>2024</v>
      </c>
      <c r="F287" s="304">
        <v>24323.85</v>
      </c>
      <c r="H287" s="242">
        <f t="shared" si="30"/>
        <v>145.94697796203363</v>
      </c>
      <c r="I287" s="242">
        <f t="shared" si="31"/>
        <v>138.21036811436912</v>
      </c>
      <c r="J287" s="710">
        <v>45444</v>
      </c>
      <c r="K287" s="1">
        <v>267.55</v>
      </c>
      <c r="L287" s="242">
        <v>3948.85</v>
      </c>
      <c r="M287" s="1">
        <v>1647.45</v>
      </c>
      <c r="N287" s="1">
        <v>1514.31</v>
      </c>
      <c r="O287" s="1">
        <v>5421.7</v>
      </c>
      <c r="P287" s="1">
        <v>1461.35</v>
      </c>
      <c r="Q287" s="1">
        <v>4771.25</v>
      </c>
      <c r="R287" s="710">
        <v>45444</v>
      </c>
      <c r="S287" s="242">
        <f t="shared" si="32"/>
        <v>110.32079828467755</v>
      </c>
      <c r="T287" s="242">
        <f t="shared" si="33"/>
        <v>100.81801261741059</v>
      </c>
      <c r="U287" s="242">
        <f t="shared" si="34"/>
        <v>112.00970893589248</v>
      </c>
      <c r="V287" s="242">
        <f t="shared" si="35"/>
        <v>98.326710300763594</v>
      </c>
      <c r="W287" s="242">
        <f t="shared" si="36"/>
        <v>110.02942668696095</v>
      </c>
      <c r="X287" s="242">
        <f t="shared" si="37"/>
        <v>115.66803862593002</v>
      </c>
      <c r="Y287" s="242">
        <f t="shared" si="38"/>
        <v>119.37824482391943</v>
      </c>
    </row>
    <row r="288" spans="2:25" x14ac:dyDescent="0.25">
      <c r="B288" s="206" t="s">
        <v>337</v>
      </c>
      <c r="C288" s="1">
        <v>257.42</v>
      </c>
      <c r="D288" s="1">
        <v>2024</v>
      </c>
      <c r="F288" s="304">
        <v>24010.6</v>
      </c>
      <c r="H288" s="242">
        <f t="shared" si="30"/>
        <v>140.42112153611171</v>
      </c>
      <c r="I288" s="242">
        <f t="shared" si="31"/>
        <v>136.43045260708612</v>
      </c>
      <c r="K288" s="1">
        <v>257.42</v>
      </c>
      <c r="L288" s="242">
        <v>3842.89</v>
      </c>
      <c r="M288" s="1">
        <v>1566.75</v>
      </c>
      <c r="N288" s="1">
        <v>1454.71</v>
      </c>
      <c r="O288" s="1">
        <v>5385.05</v>
      </c>
      <c r="P288" s="1">
        <v>1430.35</v>
      </c>
      <c r="Q288" s="1">
        <v>4241.45</v>
      </c>
      <c r="S288" s="242">
        <f t="shared" si="32"/>
        <v>106.14382318984002</v>
      </c>
      <c r="T288" s="242">
        <f t="shared" si="33"/>
        <v>98.112749916386036</v>
      </c>
      <c r="U288" s="242">
        <f t="shared" si="34"/>
        <v>106.52293634119975</v>
      </c>
      <c r="V288" s="242">
        <f t="shared" si="35"/>
        <v>94.45678146589789</v>
      </c>
      <c r="W288" s="242">
        <f t="shared" si="36"/>
        <v>109.28564180618976</v>
      </c>
      <c r="X288" s="242">
        <f t="shared" si="37"/>
        <v>113.21434225106853</v>
      </c>
      <c r="Y288" s="242">
        <f t="shared" si="38"/>
        <v>106.1224745105398</v>
      </c>
    </row>
    <row r="289" spans="2:25" x14ac:dyDescent="0.25">
      <c r="B289" s="206" t="s">
        <v>338</v>
      </c>
      <c r="C289" s="1">
        <v>245.27</v>
      </c>
      <c r="D289" s="1">
        <v>2024</v>
      </c>
      <c r="F289" s="304">
        <v>23501.1</v>
      </c>
      <c r="H289" s="242">
        <f t="shared" si="30"/>
        <v>133.79336679031204</v>
      </c>
      <c r="I289" s="242">
        <f t="shared" si="31"/>
        <v>133.53542642684445</v>
      </c>
      <c r="K289" s="1">
        <v>245.27</v>
      </c>
      <c r="L289" s="242">
        <v>3750.96</v>
      </c>
      <c r="M289" s="1">
        <v>1532.7</v>
      </c>
      <c r="N289" s="1">
        <v>1443</v>
      </c>
      <c r="O289" s="1">
        <v>5125.45</v>
      </c>
      <c r="P289" s="1">
        <v>1399.8</v>
      </c>
      <c r="Q289" s="1">
        <v>3944.45</v>
      </c>
      <c r="S289" s="242">
        <f t="shared" si="32"/>
        <v>101.13392709879598</v>
      </c>
      <c r="T289" s="242">
        <f t="shared" si="33"/>
        <v>95.765686872735728</v>
      </c>
      <c r="U289" s="242">
        <f t="shared" si="34"/>
        <v>104.207885450874</v>
      </c>
      <c r="V289" s="242">
        <f t="shared" si="35"/>
        <v>93.696431354215377</v>
      </c>
      <c r="W289" s="242">
        <f t="shared" si="36"/>
        <v>104.01725012683916</v>
      </c>
      <c r="X289" s="242">
        <f t="shared" si="37"/>
        <v>110.79626404939052</v>
      </c>
      <c r="Y289" s="242">
        <f t="shared" si="38"/>
        <v>98.691436792393816</v>
      </c>
    </row>
    <row r="290" spans="2:25" x14ac:dyDescent="0.25">
      <c r="B290" s="206">
        <v>45541</v>
      </c>
      <c r="C290" s="1">
        <v>238.75</v>
      </c>
      <c r="D290" s="1">
        <v>2024</v>
      </c>
      <c r="F290" s="304">
        <v>23465.599999999999</v>
      </c>
      <c r="H290" s="242">
        <f t="shared" si="30"/>
        <v>130.23674449050841</v>
      </c>
      <c r="I290" s="242">
        <f t="shared" si="31"/>
        <v>133.3337121395067</v>
      </c>
      <c r="K290" s="1">
        <v>238.75</v>
      </c>
      <c r="L290" s="242">
        <v>3771.92</v>
      </c>
      <c r="M290" s="1">
        <v>1488.9</v>
      </c>
      <c r="N290" s="1">
        <v>1426.26</v>
      </c>
      <c r="O290" s="1">
        <v>5032.55</v>
      </c>
      <c r="P290" s="1">
        <v>1371.45</v>
      </c>
      <c r="Q290" s="1">
        <v>3772.8</v>
      </c>
      <c r="S290" s="242">
        <f t="shared" si="32"/>
        <v>98.445489031832423</v>
      </c>
      <c r="T290" s="242">
        <f t="shared" si="33"/>
        <v>96.30081622544877</v>
      </c>
      <c r="U290" s="242">
        <f t="shared" si="34"/>
        <v>101.2299345258735</v>
      </c>
      <c r="V290" s="242">
        <f t="shared" si="35"/>
        <v>92.609474832476238</v>
      </c>
      <c r="W290" s="242">
        <f t="shared" si="36"/>
        <v>102.13191273465247</v>
      </c>
      <c r="X290" s="242">
        <f t="shared" si="37"/>
        <v>108.55231913883172</v>
      </c>
      <c r="Y290" s="242">
        <f t="shared" si="38"/>
        <v>94.396697316569728</v>
      </c>
    </row>
    <row r="291" spans="2:25" x14ac:dyDescent="0.25">
      <c r="B291" s="206">
        <v>45328</v>
      </c>
      <c r="C291" s="1">
        <v>242.27</v>
      </c>
      <c r="D291" s="1">
        <v>2024</v>
      </c>
      <c r="F291" s="304">
        <v>23290.15</v>
      </c>
      <c r="H291" s="242">
        <f t="shared" si="30"/>
        <v>132.15688413702816</v>
      </c>
      <c r="I291" s="242">
        <f t="shared" si="31"/>
        <v>132.33678899265021</v>
      </c>
      <c r="K291" s="1">
        <v>242.27</v>
      </c>
      <c r="L291" s="242">
        <v>3832.85</v>
      </c>
      <c r="M291" s="1">
        <v>1533.6</v>
      </c>
      <c r="N291" s="1">
        <v>1426.71</v>
      </c>
      <c r="O291" s="1">
        <v>4977.2</v>
      </c>
      <c r="P291" s="1">
        <v>1377.6</v>
      </c>
      <c r="Q291" s="1">
        <v>3850.25</v>
      </c>
      <c r="S291" s="242">
        <f t="shared" si="32"/>
        <v>99.896915718291282</v>
      </c>
      <c r="T291" s="242">
        <f t="shared" si="33"/>
        <v>97.856418871479605</v>
      </c>
      <c r="U291" s="242">
        <f t="shared" si="34"/>
        <v>104.26907622330552</v>
      </c>
      <c r="V291" s="242">
        <f t="shared" si="35"/>
        <v>92.638694093813314</v>
      </c>
      <c r="W291" s="242">
        <f t="shared" si="36"/>
        <v>101.00862506341959</v>
      </c>
      <c r="X291" s="242">
        <f t="shared" si="37"/>
        <v>109.03910083900583</v>
      </c>
      <c r="Y291" s="242">
        <f t="shared" si="38"/>
        <v>96.33452179896166</v>
      </c>
    </row>
    <row r="292" spans="2:25" x14ac:dyDescent="0.25">
      <c r="B292" s="206" t="s">
        <v>339</v>
      </c>
      <c r="C292" s="1">
        <v>219.1</v>
      </c>
      <c r="D292" s="1">
        <v>2024</v>
      </c>
      <c r="F292" s="304">
        <v>22530.7</v>
      </c>
      <c r="H292" s="242">
        <f t="shared" si="30"/>
        <v>119.51778311149901</v>
      </c>
      <c r="I292" s="242">
        <f t="shared" si="31"/>
        <v>128.02152376677282</v>
      </c>
      <c r="K292" s="1">
        <v>219.1</v>
      </c>
      <c r="L292" s="242">
        <v>3613.35</v>
      </c>
      <c r="M292" s="1">
        <v>1406.9</v>
      </c>
      <c r="N292" s="1">
        <v>1319.67</v>
      </c>
      <c r="O292" s="1">
        <v>4701.8999999999996</v>
      </c>
      <c r="P292" s="1">
        <v>1228.45</v>
      </c>
      <c r="Q292" s="1">
        <v>3410.5</v>
      </c>
      <c r="S292" s="242">
        <f t="shared" si="32"/>
        <v>90.343064489526625</v>
      </c>
      <c r="T292" s="242">
        <f t="shared" si="33"/>
        <v>92.252368636722224</v>
      </c>
      <c r="U292" s="242">
        <f t="shared" si="34"/>
        <v>95.654775259890826</v>
      </c>
      <c r="V292" s="242">
        <f t="shared" si="35"/>
        <v>85.688405797101467</v>
      </c>
      <c r="W292" s="242">
        <f t="shared" si="36"/>
        <v>95.421613394216138</v>
      </c>
      <c r="X292" s="242">
        <f t="shared" si="37"/>
        <v>97.233655216083577</v>
      </c>
      <c r="Y292" s="242">
        <f t="shared" si="38"/>
        <v>85.331832113592299</v>
      </c>
    </row>
    <row r="293" spans="2:25" x14ac:dyDescent="0.25">
      <c r="B293" s="206" t="s">
        <v>340</v>
      </c>
      <c r="C293" s="1">
        <v>231.82</v>
      </c>
      <c r="D293" s="1">
        <v>2024</v>
      </c>
      <c r="F293" s="304">
        <v>22957.1</v>
      </c>
      <c r="H293" s="242">
        <f t="shared" si="30"/>
        <v>126.45646956142265</v>
      </c>
      <c r="I293" s="242">
        <f t="shared" si="31"/>
        <v>130.44436805186612</v>
      </c>
      <c r="K293" s="1">
        <v>231.82</v>
      </c>
      <c r="L293" s="242">
        <v>3789.1</v>
      </c>
      <c r="M293" s="1">
        <v>1456.89</v>
      </c>
      <c r="N293" s="1">
        <v>1340.7</v>
      </c>
      <c r="O293" s="1">
        <v>4839.75</v>
      </c>
      <c r="P293" s="1">
        <v>1321.75</v>
      </c>
      <c r="Q293" s="1">
        <v>3555.2</v>
      </c>
      <c r="S293" s="242">
        <f t="shared" si="32"/>
        <v>95.587992742866561</v>
      </c>
      <c r="T293" s="242">
        <f t="shared" si="33"/>
        <v>96.739438471613383</v>
      </c>
      <c r="U293" s="242">
        <f t="shared" si="34"/>
        <v>99.053582719725881</v>
      </c>
      <c r="V293" s="242">
        <f t="shared" si="35"/>
        <v>87.053919276920695</v>
      </c>
      <c r="W293" s="242">
        <f t="shared" si="36"/>
        <v>98.219178082191789</v>
      </c>
      <c r="X293" s="242">
        <f t="shared" si="37"/>
        <v>104.618489789457</v>
      </c>
      <c r="Y293" s="242">
        <f t="shared" si="38"/>
        <v>88.95227372239944</v>
      </c>
    </row>
    <row r="294" spans="2:25" x14ac:dyDescent="0.25">
      <c r="B294" s="206">
        <v>45631</v>
      </c>
      <c r="C294" s="1">
        <v>230.5</v>
      </c>
      <c r="D294" s="1">
        <v>2024</v>
      </c>
      <c r="F294" s="304">
        <v>22466.1</v>
      </c>
      <c r="H294" s="242">
        <f t="shared" si="30"/>
        <v>125.73641719397774</v>
      </c>
      <c r="I294" s="242">
        <f t="shared" si="31"/>
        <v>127.65446058474413</v>
      </c>
      <c r="K294" s="1">
        <v>230.5</v>
      </c>
      <c r="L294" s="242">
        <v>3773.94</v>
      </c>
      <c r="M294" s="1">
        <v>1436.21</v>
      </c>
      <c r="N294" s="1">
        <v>1328.74</v>
      </c>
      <c r="O294" s="1">
        <v>4764.3</v>
      </c>
      <c r="P294" s="1">
        <v>1305.4000000000001</v>
      </c>
      <c r="Q294" s="1">
        <v>3540.15</v>
      </c>
      <c r="S294" s="242">
        <f t="shared" si="32"/>
        <v>95.043707735444499</v>
      </c>
      <c r="T294" s="242">
        <f t="shared" si="33"/>
        <v>96.352388806196885</v>
      </c>
      <c r="U294" s="242">
        <f t="shared" si="34"/>
        <v>97.647554748743886</v>
      </c>
      <c r="V294" s="242">
        <f t="shared" si="35"/>
        <v>86.277336242273122</v>
      </c>
      <c r="W294" s="242">
        <f t="shared" si="36"/>
        <v>96.687975646879764</v>
      </c>
      <c r="X294" s="242">
        <f t="shared" si="37"/>
        <v>103.32436283045749</v>
      </c>
      <c r="Y294" s="242">
        <f t="shared" si="38"/>
        <v>88.575717770688684</v>
      </c>
    </row>
    <row r="295" spans="2:25" x14ac:dyDescent="0.25">
      <c r="B295" s="206">
        <v>45417</v>
      </c>
      <c r="C295" s="1">
        <v>225.93</v>
      </c>
      <c r="D295" s="1">
        <v>2024</v>
      </c>
      <c r="F295" s="304">
        <v>22055.200000000001</v>
      </c>
      <c r="H295" s="242">
        <f t="shared" si="30"/>
        <v>123.24350861880863</v>
      </c>
      <c r="I295" s="242">
        <f t="shared" si="31"/>
        <v>125.3196887349673</v>
      </c>
      <c r="K295" s="1">
        <v>225.93</v>
      </c>
      <c r="L295" s="242">
        <v>3832.8</v>
      </c>
      <c r="M295" s="1">
        <v>1416.92</v>
      </c>
      <c r="N295" s="1">
        <v>1311.79</v>
      </c>
      <c r="O295" s="1">
        <v>4607.6499999999996</v>
      </c>
      <c r="P295" s="1">
        <v>1264.4000000000001</v>
      </c>
      <c r="Q295" s="1">
        <v>3367.5</v>
      </c>
      <c r="S295" s="242">
        <f t="shared" si="32"/>
        <v>93.159327065809009</v>
      </c>
      <c r="T295" s="242">
        <f t="shared" si="33"/>
        <v>97.855142322451186</v>
      </c>
      <c r="U295" s="242">
        <f t="shared" si="34"/>
        <v>96.336032526295043</v>
      </c>
      <c r="V295" s="242">
        <f t="shared" si="35"/>
        <v>85.176744065243369</v>
      </c>
      <c r="W295" s="242">
        <f t="shared" si="36"/>
        <v>93.508878741755439</v>
      </c>
      <c r="X295" s="242">
        <f t="shared" si="37"/>
        <v>100.07915149596327</v>
      </c>
      <c r="Y295" s="242">
        <f t="shared" si="38"/>
        <v>84.255957965847244</v>
      </c>
    </row>
    <row r="296" spans="2:25" x14ac:dyDescent="0.25">
      <c r="B296" s="206" t="s">
        <v>341</v>
      </c>
      <c r="C296" s="1">
        <v>228.68</v>
      </c>
      <c r="D296" s="1">
        <v>2024</v>
      </c>
      <c r="F296" s="304">
        <v>22475.85</v>
      </c>
      <c r="H296" s="242">
        <f t="shared" si="30"/>
        <v>124.74361771765221</v>
      </c>
      <c r="I296" s="242">
        <f t="shared" si="31"/>
        <v>127.7098609876045</v>
      </c>
      <c r="K296" s="1">
        <v>228.68</v>
      </c>
      <c r="L296" s="242">
        <v>3783.09</v>
      </c>
      <c r="M296" s="1">
        <v>1408.36</v>
      </c>
      <c r="N296" s="1">
        <v>1343.54</v>
      </c>
      <c r="O296" s="1">
        <v>4651.95</v>
      </c>
      <c r="P296" s="1">
        <v>1250.45</v>
      </c>
      <c r="Q296" s="1">
        <v>3366.85</v>
      </c>
      <c r="S296" s="242">
        <f t="shared" si="32"/>
        <v>94.293254164604974</v>
      </c>
      <c r="T296" s="242">
        <f t="shared" si="33"/>
        <v>96.585997278397471</v>
      </c>
      <c r="U296" s="242">
        <f t="shared" si="34"/>
        <v>95.754040290724149</v>
      </c>
      <c r="V296" s="242">
        <f t="shared" si="35"/>
        <v>87.23832528180354</v>
      </c>
      <c r="W296" s="242">
        <f t="shared" si="36"/>
        <v>94.407914764079152</v>
      </c>
      <c r="X296" s="242">
        <f t="shared" si="37"/>
        <v>98.974988127275594</v>
      </c>
      <c r="Y296" s="242">
        <f t="shared" si="38"/>
        <v>84.239694751985979</v>
      </c>
    </row>
    <row r="297" spans="2:25" x14ac:dyDescent="0.25">
      <c r="B297" s="206" t="s">
        <v>342</v>
      </c>
      <c r="C297" s="1">
        <v>232.3</v>
      </c>
      <c r="D297" s="1">
        <v>2024</v>
      </c>
      <c r="F297" s="304">
        <v>22419.95</v>
      </c>
      <c r="H297" s="242">
        <f t="shared" si="30"/>
        <v>126.71830678594809</v>
      </c>
      <c r="I297" s="242">
        <f t="shared" si="31"/>
        <v>127.39223201120508</v>
      </c>
      <c r="K297" s="1">
        <v>232.3</v>
      </c>
      <c r="L297" s="242">
        <v>3761.39</v>
      </c>
      <c r="M297" s="1">
        <v>1422.23</v>
      </c>
      <c r="N297" s="1">
        <v>1468.92</v>
      </c>
      <c r="O297" s="1">
        <v>4788.05</v>
      </c>
      <c r="P297" s="1">
        <v>1278.75</v>
      </c>
      <c r="Q297" s="1">
        <v>3397.45</v>
      </c>
      <c r="S297" s="242">
        <f t="shared" si="32"/>
        <v>95.785914563747326</v>
      </c>
      <c r="T297" s="242">
        <f t="shared" si="33"/>
        <v>96.031975000063824</v>
      </c>
      <c r="U297" s="242">
        <f t="shared" si="34"/>
        <v>96.697058083640997</v>
      </c>
      <c r="V297" s="242">
        <f t="shared" si="35"/>
        <v>95.379460807230799</v>
      </c>
      <c r="W297" s="242">
        <f t="shared" si="36"/>
        <v>97.169964485032978</v>
      </c>
      <c r="X297" s="242">
        <f t="shared" si="37"/>
        <v>101.21497546303624</v>
      </c>
      <c r="Y297" s="242">
        <f t="shared" si="38"/>
        <v>85.005316819916175</v>
      </c>
    </row>
    <row r="298" spans="2:25" x14ac:dyDescent="0.25">
      <c r="B298" s="206" t="s">
        <v>343</v>
      </c>
      <c r="C298" s="1">
        <v>226.38</v>
      </c>
      <c r="D298" s="1">
        <v>2024</v>
      </c>
      <c r="F298" s="304">
        <v>22147</v>
      </c>
      <c r="H298" s="242">
        <f t="shared" si="30"/>
        <v>123.48898101680122</v>
      </c>
      <c r="I298" s="242">
        <f t="shared" si="31"/>
        <v>125.84130483574489</v>
      </c>
      <c r="K298" s="1">
        <v>226.38</v>
      </c>
      <c r="L298" s="242">
        <v>3766.16</v>
      </c>
      <c r="M298" s="1">
        <v>1403.34</v>
      </c>
      <c r="N298" s="1">
        <v>1442.65</v>
      </c>
      <c r="O298" s="1">
        <v>4660.55</v>
      </c>
      <c r="P298" s="1">
        <v>1193.6500000000001</v>
      </c>
      <c r="Q298" s="1">
        <v>3884.7</v>
      </c>
      <c r="S298" s="242">
        <f t="shared" si="32"/>
        <v>93.344878772884712</v>
      </c>
      <c r="T298" s="242">
        <f t="shared" si="33"/>
        <v>96.153757777374949</v>
      </c>
      <c r="U298" s="242">
        <f t="shared" si="34"/>
        <v>95.41273176005059</v>
      </c>
      <c r="V298" s="242">
        <f t="shared" si="35"/>
        <v>93.673705262064317</v>
      </c>
      <c r="W298" s="242">
        <f t="shared" si="36"/>
        <v>94.582445459157796</v>
      </c>
      <c r="X298" s="242">
        <f t="shared" si="37"/>
        <v>94.47918315656166</v>
      </c>
      <c r="Y298" s="242">
        <f t="shared" si="38"/>
        <v>97.196472133608552</v>
      </c>
    </row>
    <row r="299" spans="2:25" x14ac:dyDescent="0.25">
      <c r="B299" s="206">
        <v>45477</v>
      </c>
      <c r="C299" s="1">
        <v>235.38</v>
      </c>
      <c r="D299" s="1">
        <v>2024</v>
      </c>
      <c r="F299" s="304">
        <v>22519.4</v>
      </c>
      <c r="H299" s="242">
        <f t="shared" si="30"/>
        <v>128.39842897665287</v>
      </c>
      <c r="I299" s="242">
        <f t="shared" si="31"/>
        <v>127.95731612038081</v>
      </c>
      <c r="K299" s="1">
        <v>235.38</v>
      </c>
      <c r="L299" s="242">
        <v>3938.61</v>
      </c>
      <c r="M299" s="1">
        <v>1476.43</v>
      </c>
      <c r="N299" s="1">
        <v>1516.41</v>
      </c>
      <c r="O299" s="1">
        <v>4888.8999999999996</v>
      </c>
      <c r="P299" s="1">
        <v>1242.0999999999999</v>
      </c>
      <c r="Q299" s="1">
        <v>3977.95</v>
      </c>
      <c r="S299" s="242">
        <f t="shared" si="32"/>
        <v>97.055912914398817</v>
      </c>
      <c r="T299" s="242">
        <f t="shared" si="33"/>
        <v>100.55657537639048</v>
      </c>
      <c r="U299" s="242">
        <f t="shared" si="34"/>
        <v>100.38210237896126</v>
      </c>
      <c r="V299" s="242">
        <f t="shared" si="35"/>
        <v>98.463066853669943</v>
      </c>
      <c r="W299" s="242">
        <f t="shared" si="36"/>
        <v>99.216641298833082</v>
      </c>
      <c r="X299" s="242">
        <f t="shared" si="37"/>
        <v>98.314073135982255</v>
      </c>
      <c r="Y299" s="242">
        <f t="shared" si="38"/>
        <v>99.529617814474264</v>
      </c>
    </row>
    <row r="300" spans="2:25" x14ac:dyDescent="0.25">
      <c r="B300" s="206" t="s">
        <v>344</v>
      </c>
      <c r="C300" s="1">
        <v>242.52</v>
      </c>
      <c r="D300" s="1">
        <v>2024</v>
      </c>
      <c r="E300" s="1">
        <v>2024</v>
      </c>
      <c r="F300" s="304">
        <v>22513.7</v>
      </c>
      <c r="G300" s="1">
        <v>2024</v>
      </c>
      <c r="H300" s="242">
        <f t="shared" si="30"/>
        <v>132.29325769146848</v>
      </c>
      <c r="I300" s="242">
        <f t="shared" si="31"/>
        <v>127.92492819255475</v>
      </c>
      <c r="J300" s="710">
        <v>45352</v>
      </c>
      <c r="K300" s="1">
        <v>242.52</v>
      </c>
      <c r="L300" s="242">
        <v>3916.81</v>
      </c>
      <c r="M300" s="1">
        <v>1470.81</v>
      </c>
      <c r="N300" s="1">
        <v>1540.08</v>
      </c>
      <c r="O300" s="1">
        <v>4927.5</v>
      </c>
      <c r="P300" s="1">
        <v>1263.4000000000001</v>
      </c>
      <c r="Q300" s="1">
        <v>3996.75</v>
      </c>
      <c r="R300" s="710">
        <v>45352</v>
      </c>
      <c r="S300" s="242">
        <f>(K300/$K$300)*100</f>
        <v>100</v>
      </c>
      <c r="T300" s="242">
        <f>(L300/$L$300)*100</f>
        <v>100</v>
      </c>
      <c r="U300" s="242">
        <f>(M300/$M$300)*100</f>
        <v>100</v>
      </c>
      <c r="V300" s="242">
        <f>(N300/$N$300)*100</f>
        <v>100</v>
      </c>
      <c r="W300" s="242">
        <f>(O300/$O$300)*100</f>
        <v>100</v>
      </c>
      <c r="X300" s="242">
        <f>(P300/$P$300)*100</f>
        <v>100</v>
      </c>
      <c r="Y300" s="242">
        <f>(Q300/$Q$300)*100</f>
        <v>100</v>
      </c>
    </row>
    <row r="301" spans="2:25" x14ac:dyDescent="0.25">
      <c r="B301" s="206" t="s">
        <v>345</v>
      </c>
      <c r="C301" s="1">
        <v>240.05</v>
      </c>
      <c r="D301" s="1">
        <v>2024</v>
      </c>
      <c r="F301" s="304">
        <v>22326.9</v>
      </c>
      <c r="H301" s="242">
        <f t="shared" si="30"/>
        <v>130.94588697359808</v>
      </c>
      <c r="I301" s="242">
        <f t="shared" si="31"/>
        <v>126.86351329467615</v>
      </c>
      <c r="K301" s="242"/>
      <c r="L301" s="242"/>
    </row>
    <row r="302" spans="2:25" x14ac:dyDescent="0.25">
      <c r="B302" s="206" t="s">
        <v>346</v>
      </c>
      <c r="C302" s="1">
        <v>243.55</v>
      </c>
      <c r="D302" s="1">
        <v>2024</v>
      </c>
      <c r="F302" s="304">
        <v>22096.75</v>
      </c>
      <c r="H302" s="242">
        <f t="shared" si="30"/>
        <v>132.85511673576261</v>
      </c>
      <c r="I302" s="242">
        <f t="shared" si="31"/>
        <v>125.55577968254148</v>
      </c>
      <c r="K302" s="242"/>
      <c r="L302" s="242"/>
    </row>
    <row r="303" spans="2:25" x14ac:dyDescent="0.25">
      <c r="B303" s="206">
        <v>45568</v>
      </c>
      <c r="C303" s="1">
        <v>258.5</v>
      </c>
      <c r="D303" s="1">
        <v>2024</v>
      </c>
      <c r="F303" s="304">
        <v>22023.35</v>
      </c>
      <c r="H303" s="242">
        <f t="shared" si="30"/>
        <v>141.01025529129393</v>
      </c>
      <c r="I303" s="242">
        <f t="shared" si="31"/>
        <v>125.13871408562342</v>
      </c>
      <c r="K303" s="242"/>
      <c r="L303" s="242"/>
    </row>
    <row r="304" spans="2:25" x14ac:dyDescent="0.25">
      <c r="B304" s="206">
        <v>45354</v>
      </c>
      <c r="C304" s="1">
        <v>257.75</v>
      </c>
      <c r="D304" s="1">
        <v>2024</v>
      </c>
      <c r="F304" s="304">
        <v>22493.55</v>
      </c>
      <c r="H304" s="242">
        <f t="shared" si="30"/>
        <v>140.60113462797295</v>
      </c>
      <c r="I304" s="242">
        <f t="shared" si="31"/>
        <v>127.81043402664332</v>
      </c>
      <c r="K304" s="242"/>
      <c r="L304" s="242"/>
    </row>
    <row r="305" spans="2:12" x14ac:dyDescent="0.25">
      <c r="B305" s="206" t="s">
        <v>347</v>
      </c>
      <c r="C305" s="1">
        <v>259.55</v>
      </c>
      <c r="D305" s="1">
        <v>2024</v>
      </c>
      <c r="F305" s="304">
        <v>22338.75</v>
      </c>
      <c r="H305" s="242">
        <f t="shared" si="30"/>
        <v>141.5830242199433</v>
      </c>
      <c r="I305" s="242">
        <f t="shared" si="31"/>
        <v>126.93084609199876</v>
      </c>
      <c r="K305" s="242"/>
      <c r="L305" s="242"/>
    </row>
    <row r="306" spans="2:12" x14ac:dyDescent="0.25">
      <c r="B306" s="206" t="s">
        <v>348</v>
      </c>
      <c r="C306" s="1">
        <v>268.08</v>
      </c>
      <c r="D306" s="1">
        <v>2024</v>
      </c>
      <c r="F306" s="304">
        <v>22212.7</v>
      </c>
      <c r="H306" s="242">
        <f t="shared" si="30"/>
        <v>146.23608989744707</v>
      </c>
      <c r="I306" s="242">
        <f t="shared" si="31"/>
        <v>126.21461831963474</v>
      </c>
      <c r="K306" s="242"/>
      <c r="L306" s="242"/>
    </row>
    <row r="307" spans="2:12" x14ac:dyDescent="0.25">
      <c r="B307" s="206">
        <v>45598</v>
      </c>
      <c r="C307" s="1">
        <v>271.5</v>
      </c>
      <c r="D307" s="1">
        <v>2024</v>
      </c>
      <c r="F307" s="304">
        <v>22040.7</v>
      </c>
      <c r="H307" s="242">
        <f t="shared" si="30"/>
        <v>148.10168012219071</v>
      </c>
      <c r="I307" s="242">
        <f t="shared" si="31"/>
        <v>125.23729839225189</v>
      </c>
      <c r="K307" s="242"/>
      <c r="L307" s="242"/>
    </row>
    <row r="308" spans="2:12" x14ac:dyDescent="0.25">
      <c r="B308" s="206">
        <v>45384</v>
      </c>
      <c r="C308" s="1">
        <v>245.23</v>
      </c>
      <c r="D308" s="1">
        <v>2024</v>
      </c>
      <c r="F308" s="304">
        <v>21782.5</v>
      </c>
      <c r="H308" s="242">
        <f t="shared" si="30"/>
        <v>133.77154702160158</v>
      </c>
      <c r="I308" s="242">
        <f t="shared" si="31"/>
        <v>123.7701820826574</v>
      </c>
      <c r="K308" s="242"/>
      <c r="L308" s="242"/>
    </row>
    <row r="309" spans="2:12" x14ac:dyDescent="0.25">
      <c r="B309" s="206" t="s">
        <v>349</v>
      </c>
      <c r="C309" s="1">
        <v>241.57</v>
      </c>
      <c r="D309" s="1">
        <v>2024</v>
      </c>
      <c r="F309" s="304">
        <v>21853.8</v>
      </c>
      <c r="H309" s="242">
        <f t="shared" si="30"/>
        <v>131.77503818459525</v>
      </c>
      <c r="I309" s="242">
        <f t="shared" si="31"/>
        <v>124.17531528511319</v>
      </c>
      <c r="K309" s="242"/>
      <c r="L309" s="242"/>
    </row>
    <row r="310" spans="2:12" x14ac:dyDescent="0.25">
      <c r="B310" s="206" t="s">
        <v>350</v>
      </c>
      <c r="C310" s="1">
        <v>235</v>
      </c>
      <c r="D310" s="1">
        <v>2024</v>
      </c>
      <c r="F310" s="304">
        <v>21352.6</v>
      </c>
      <c r="H310" s="242">
        <f t="shared" si="30"/>
        <v>128.19114117390356</v>
      </c>
      <c r="I310" s="242">
        <f t="shared" si="31"/>
        <v>121.32745047346035</v>
      </c>
      <c r="K310" s="242"/>
      <c r="L310" s="242"/>
    </row>
    <row r="311" spans="2:12" x14ac:dyDescent="0.25">
      <c r="B311" s="206" t="s">
        <v>351</v>
      </c>
      <c r="C311" s="1">
        <v>242.52</v>
      </c>
      <c r="D311" s="1">
        <v>2024</v>
      </c>
      <c r="F311" s="304">
        <v>21622.400000000001</v>
      </c>
      <c r="H311" s="242">
        <f t="shared" si="30"/>
        <v>132.29325769146848</v>
      </c>
      <c r="I311" s="242">
        <f t="shared" si="31"/>
        <v>122.8604790572272</v>
      </c>
      <c r="K311" s="242"/>
      <c r="L311" s="242"/>
    </row>
    <row r="312" spans="2:12" x14ac:dyDescent="0.25">
      <c r="B312" s="206">
        <v>45474</v>
      </c>
      <c r="C312" s="1">
        <v>232.73</v>
      </c>
      <c r="D312" s="1">
        <v>2024</v>
      </c>
      <c r="F312" s="304">
        <v>21894.55</v>
      </c>
      <c r="H312" s="242">
        <f t="shared" ref="H312:H351" si="39">(C312/$C$352)*100</f>
        <v>126.95286929958543</v>
      </c>
      <c r="I312" s="242">
        <f t="shared" ref="I312:I351" si="40">(F312/$F$352)*100</f>
        <v>124.4068605586065</v>
      </c>
      <c r="K312" s="242"/>
      <c r="L312" s="242"/>
    </row>
    <row r="313" spans="2:12" x14ac:dyDescent="0.25">
      <c r="B313" s="206" t="s">
        <v>352</v>
      </c>
      <c r="C313" s="1">
        <v>228.3</v>
      </c>
      <c r="D313" s="1">
        <v>2023</v>
      </c>
      <c r="F313" s="304">
        <v>21710.799999999999</v>
      </c>
      <c r="H313" s="242">
        <f t="shared" si="39"/>
        <v>124.53632991490291</v>
      </c>
      <c r="I313" s="242">
        <f t="shared" si="40"/>
        <v>123.36277604316118</v>
      </c>
      <c r="K313" s="242"/>
      <c r="L313" s="242"/>
    </row>
    <row r="314" spans="2:12" x14ac:dyDescent="0.25">
      <c r="B314" s="206" t="s">
        <v>353</v>
      </c>
      <c r="C314" s="1">
        <v>235.65</v>
      </c>
      <c r="D314" s="1">
        <v>2023</v>
      </c>
      <c r="F314" s="304">
        <v>21731.4</v>
      </c>
      <c r="H314" s="242">
        <f t="shared" si="39"/>
        <v>128.54571241544841</v>
      </c>
      <c r="I314" s="242">
        <f t="shared" si="40"/>
        <v>123.47982715074308</v>
      </c>
      <c r="K314" s="242"/>
      <c r="L314" s="242"/>
    </row>
    <row r="315" spans="2:12" x14ac:dyDescent="0.25">
      <c r="B315" s="206" t="s">
        <v>354</v>
      </c>
      <c r="C315" s="1">
        <v>231.32</v>
      </c>
      <c r="D315" s="1">
        <v>2023</v>
      </c>
      <c r="F315" s="304">
        <v>21349.4</v>
      </c>
      <c r="H315" s="242">
        <f t="shared" si="39"/>
        <v>126.18372245254201</v>
      </c>
      <c r="I315" s="242">
        <f t="shared" si="40"/>
        <v>121.30926777713695</v>
      </c>
      <c r="K315" s="242"/>
      <c r="L315" s="242"/>
    </row>
    <row r="316" spans="2:12" x14ac:dyDescent="0.25">
      <c r="B316" s="206">
        <v>45211</v>
      </c>
      <c r="C316" s="1">
        <v>223.27</v>
      </c>
      <c r="D316" s="1">
        <v>2023</v>
      </c>
      <c r="F316" s="304">
        <v>21456.65</v>
      </c>
      <c r="H316" s="242">
        <f t="shared" si="39"/>
        <v>121.79249399956362</v>
      </c>
      <c r="I316" s="242">
        <f t="shared" si="40"/>
        <v>121.91867220860098</v>
      </c>
      <c r="K316" s="242"/>
      <c r="L316" s="242"/>
    </row>
    <row r="317" spans="2:12" x14ac:dyDescent="0.25">
      <c r="B317" s="206">
        <v>44997</v>
      </c>
      <c r="C317" s="1">
        <v>211.3</v>
      </c>
      <c r="D317" s="1">
        <v>2023</v>
      </c>
      <c r="F317" s="304">
        <v>20969.400000000001</v>
      </c>
      <c r="H317" s="242">
        <f t="shared" si="39"/>
        <v>115.26292821296096</v>
      </c>
      <c r="I317" s="242">
        <f t="shared" si="40"/>
        <v>119.15007258873298</v>
      </c>
      <c r="K317" s="242"/>
      <c r="L317" s="242"/>
    </row>
    <row r="318" spans="2:12" x14ac:dyDescent="0.25">
      <c r="B318" s="206" t="s">
        <v>355</v>
      </c>
      <c r="C318" s="1">
        <v>203.82</v>
      </c>
      <c r="D318" s="1">
        <v>2023</v>
      </c>
      <c r="F318" s="304">
        <v>20267.900000000001</v>
      </c>
      <c r="H318" s="242">
        <f t="shared" si="39"/>
        <v>111.18263146410648</v>
      </c>
      <c r="I318" s="242">
        <f t="shared" si="40"/>
        <v>115.1640846290872</v>
      </c>
      <c r="K318" s="242"/>
      <c r="L318" s="242"/>
    </row>
    <row r="319" spans="2:12" x14ac:dyDescent="0.25">
      <c r="B319" s="206" t="s">
        <v>356</v>
      </c>
      <c r="C319" s="1">
        <v>198</v>
      </c>
      <c r="D319" s="1">
        <v>2023</v>
      </c>
      <c r="F319" s="304">
        <v>19794.7</v>
      </c>
      <c r="H319" s="242">
        <f t="shared" si="39"/>
        <v>108.00785511673577</v>
      </c>
      <c r="I319" s="242">
        <f t="shared" si="40"/>
        <v>112.47531841026412</v>
      </c>
      <c r="K319" s="242"/>
      <c r="L319" s="242"/>
    </row>
    <row r="320" spans="2:12" x14ac:dyDescent="0.25">
      <c r="B320" s="206">
        <v>45271</v>
      </c>
      <c r="C320" s="1">
        <v>197.7</v>
      </c>
      <c r="D320" s="1">
        <v>2023</v>
      </c>
      <c r="F320" s="304">
        <v>19731.8</v>
      </c>
      <c r="H320" s="242">
        <f t="shared" si="39"/>
        <v>107.84420685140736</v>
      </c>
      <c r="I320" s="242">
        <f t="shared" si="40"/>
        <v>112.11791478565725</v>
      </c>
      <c r="K320" s="242"/>
      <c r="L320" s="242"/>
    </row>
    <row r="321" spans="2:12" x14ac:dyDescent="0.25">
      <c r="B321" s="206">
        <v>45057</v>
      </c>
      <c r="C321" s="1">
        <v>189.65</v>
      </c>
      <c r="D321" s="1">
        <v>2023</v>
      </c>
      <c r="F321" s="304">
        <v>19425.349999999999</v>
      </c>
      <c r="H321" s="242">
        <f t="shared" si="39"/>
        <v>103.45297839842897</v>
      </c>
      <c r="I321" s="242">
        <f t="shared" si="40"/>
        <v>110.37663750806146</v>
      </c>
      <c r="K321" s="242"/>
      <c r="L321" s="242"/>
    </row>
    <row r="322" spans="2:12" x14ac:dyDescent="0.25">
      <c r="B322" s="206" t="s">
        <v>357</v>
      </c>
      <c r="C322" s="1">
        <v>191.77</v>
      </c>
      <c r="D322" s="1">
        <v>2023</v>
      </c>
      <c r="F322" s="304">
        <v>19230.599999999999</v>
      </c>
      <c r="H322" s="242">
        <f t="shared" si="39"/>
        <v>104.60942614008293</v>
      </c>
      <c r="I322" s="242">
        <f t="shared" si="40"/>
        <v>109.27004997400441</v>
      </c>
      <c r="K322" s="242"/>
      <c r="L322" s="242"/>
    </row>
    <row r="323" spans="2:12" x14ac:dyDescent="0.25">
      <c r="B323" s="206" t="s">
        <v>358</v>
      </c>
      <c r="C323" s="1">
        <v>191.18</v>
      </c>
      <c r="D323" s="1">
        <v>2023</v>
      </c>
      <c r="F323" s="304">
        <v>19047.25</v>
      </c>
      <c r="H323" s="242">
        <f t="shared" si="39"/>
        <v>104.28758455160376</v>
      </c>
      <c r="I323" s="242">
        <f t="shared" si="40"/>
        <v>108.22823829559948</v>
      </c>
      <c r="K323" s="242"/>
      <c r="L323" s="242"/>
    </row>
    <row r="324" spans="2:12" x14ac:dyDescent="0.25">
      <c r="B324" s="206" t="s">
        <v>359</v>
      </c>
      <c r="C324" s="1">
        <v>195.93</v>
      </c>
      <c r="D324" s="1">
        <v>2023</v>
      </c>
      <c r="F324" s="304">
        <v>19542.650000000001</v>
      </c>
      <c r="H324" s="242">
        <f t="shared" si="39"/>
        <v>106.87868208596988</v>
      </c>
      <c r="I324" s="242">
        <f t="shared" si="40"/>
        <v>111.04314697016618</v>
      </c>
      <c r="K324" s="242"/>
      <c r="L324" s="242"/>
    </row>
    <row r="325" spans="2:12" x14ac:dyDescent="0.25">
      <c r="B325" s="206">
        <v>45148</v>
      </c>
      <c r="C325" s="1">
        <v>205.52</v>
      </c>
      <c r="D325" s="1">
        <v>2023</v>
      </c>
      <c r="F325" s="304">
        <v>19751.05</v>
      </c>
      <c r="H325" s="242">
        <f t="shared" si="39"/>
        <v>112.10997163430068</v>
      </c>
      <c r="I325" s="242">
        <f t="shared" si="40"/>
        <v>112.2272950682277</v>
      </c>
      <c r="K325" s="242"/>
      <c r="L325" s="242"/>
    </row>
    <row r="326" spans="2:12" x14ac:dyDescent="0.25">
      <c r="B326" s="206">
        <v>44936</v>
      </c>
      <c r="C326" s="1">
        <v>203.93</v>
      </c>
      <c r="D326" s="1">
        <v>2023</v>
      </c>
      <c r="F326" s="304">
        <v>19653.5</v>
      </c>
      <c r="H326" s="242">
        <f t="shared" si="39"/>
        <v>111.24263582806022</v>
      </c>
      <c r="I326" s="242">
        <f t="shared" si="40"/>
        <v>111.67300693499401</v>
      </c>
      <c r="K326" s="242"/>
      <c r="L326" s="242"/>
    </row>
    <row r="327" spans="2:12" x14ac:dyDescent="0.25">
      <c r="B327" s="206" t="s">
        <v>360</v>
      </c>
      <c r="C327" s="1">
        <v>203.02</v>
      </c>
      <c r="D327" s="1">
        <v>2023</v>
      </c>
      <c r="F327" s="304">
        <v>19638.3</v>
      </c>
      <c r="H327" s="242">
        <f t="shared" si="39"/>
        <v>110.74623608989747</v>
      </c>
      <c r="I327" s="242">
        <f t="shared" si="40"/>
        <v>111.58663912745786</v>
      </c>
      <c r="K327" s="242"/>
      <c r="L327" s="242"/>
    </row>
    <row r="328" spans="2:12" x14ac:dyDescent="0.25">
      <c r="B328" s="206" t="s">
        <v>361</v>
      </c>
      <c r="C328" s="1">
        <v>209.25</v>
      </c>
      <c r="D328" s="1">
        <v>2023</v>
      </c>
      <c r="F328" s="304">
        <v>19674.25</v>
      </c>
      <c r="H328" s="242">
        <f t="shared" si="39"/>
        <v>114.1446650665503</v>
      </c>
      <c r="I328" s="242">
        <f t="shared" si="40"/>
        <v>111.79091035646607</v>
      </c>
      <c r="K328" s="242"/>
      <c r="L328" s="242"/>
    </row>
    <row r="329" spans="2:12" x14ac:dyDescent="0.25">
      <c r="B329" s="206">
        <v>45208</v>
      </c>
      <c r="C329" s="1">
        <v>220.52</v>
      </c>
      <c r="D329" s="1">
        <v>2023</v>
      </c>
      <c r="F329" s="304">
        <v>20192.349999999999</v>
      </c>
      <c r="H329" s="242">
        <f t="shared" si="39"/>
        <v>120.29238490072007</v>
      </c>
      <c r="I329" s="242">
        <f t="shared" si="40"/>
        <v>114.73480253307686</v>
      </c>
      <c r="K329" s="242"/>
      <c r="L329" s="242"/>
    </row>
    <row r="330" spans="2:12" x14ac:dyDescent="0.25">
      <c r="B330" s="206">
        <v>44994</v>
      </c>
      <c r="C330" s="1">
        <v>215</v>
      </c>
      <c r="D330" s="1">
        <v>2023</v>
      </c>
      <c r="F330" s="304">
        <v>19819.95</v>
      </c>
      <c r="H330" s="242">
        <f t="shared" si="39"/>
        <v>117.28125681867773</v>
      </c>
      <c r="I330" s="242">
        <f t="shared" si="40"/>
        <v>112.61879124844097</v>
      </c>
      <c r="K330" s="242"/>
      <c r="L330" s="242"/>
    </row>
    <row r="331" spans="2:12" x14ac:dyDescent="0.25">
      <c r="B331" s="206" t="s">
        <v>362</v>
      </c>
      <c r="C331" s="1">
        <v>208.18</v>
      </c>
      <c r="D331" s="1">
        <v>2023</v>
      </c>
      <c r="F331" s="304">
        <v>19435.3</v>
      </c>
      <c r="H331" s="242">
        <f t="shared" si="39"/>
        <v>113.56098625354572</v>
      </c>
      <c r="I331" s="242">
        <f t="shared" si="40"/>
        <v>110.43317432944204</v>
      </c>
      <c r="K331" s="242"/>
      <c r="L331" s="242"/>
    </row>
    <row r="332" spans="2:12" x14ac:dyDescent="0.25">
      <c r="B332" s="206" t="s">
        <v>363</v>
      </c>
      <c r="C332" s="1">
        <v>204.85</v>
      </c>
      <c r="D332" s="1">
        <v>2023</v>
      </c>
      <c r="F332" s="304">
        <v>19265.8</v>
      </c>
      <c r="H332" s="242">
        <f t="shared" si="39"/>
        <v>111.7444905084006</v>
      </c>
      <c r="I332" s="242">
        <f t="shared" si="40"/>
        <v>109.47005963356185</v>
      </c>
      <c r="K332" s="242"/>
      <c r="L332" s="242"/>
    </row>
    <row r="333" spans="2:12" x14ac:dyDescent="0.25">
      <c r="B333" s="206" t="s">
        <v>364</v>
      </c>
      <c r="C333" s="1">
        <v>205.85</v>
      </c>
      <c r="D333" s="1">
        <v>2023</v>
      </c>
      <c r="F333" s="304">
        <v>19310.150000000001</v>
      </c>
      <c r="H333" s="242">
        <f t="shared" si="39"/>
        <v>112.28998472616189</v>
      </c>
      <c r="I333" s="242">
        <f t="shared" si="40"/>
        <v>109.72206044041899</v>
      </c>
      <c r="K333" s="242"/>
      <c r="L333" s="242"/>
    </row>
    <row r="334" spans="2:12" x14ac:dyDescent="0.25">
      <c r="B334" s="206">
        <v>45085</v>
      </c>
      <c r="C334" s="1">
        <v>206.52</v>
      </c>
      <c r="D334" s="1">
        <v>2023</v>
      </c>
      <c r="F334" s="304">
        <v>19428.3</v>
      </c>
      <c r="H334" s="242">
        <f t="shared" si="39"/>
        <v>112.65546585206198</v>
      </c>
      <c r="I334" s="242">
        <f t="shared" si="40"/>
        <v>110.39339968123458</v>
      </c>
      <c r="K334" s="242"/>
      <c r="L334" s="242"/>
    </row>
    <row r="335" spans="2:12" x14ac:dyDescent="0.25">
      <c r="B335" s="206" t="s">
        <v>365</v>
      </c>
      <c r="C335" s="1">
        <v>204.43</v>
      </c>
      <c r="D335" s="1">
        <v>2023</v>
      </c>
      <c r="F335" s="304">
        <v>19517</v>
      </c>
      <c r="H335" s="242">
        <f t="shared" si="39"/>
        <v>111.51538293694088</v>
      </c>
      <c r="I335" s="242">
        <f t="shared" si="40"/>
        <v>110.89740129494889</v>
      </c>
      <c r="K335" s="242"/>
      <c r="L335" s="242"/>
    </row>
    <row r="336" spans="2:12" x14ac:dyDescent="0.25">
      <c r="B336" s="206" t="s">
        <v>366</v>
      </c>
      <c r="C336" s="1">
        <v>199.38</v>
      </c>
      <c r="D336" s="1">
        <v>2023</v>
      </c>
      <c r="F336" s="304">
        <v>19646.05</v>
      </c>
      <c r="H336" s="242">
        <f t="shared" si="39"/>
        <v>108.76063713724635</v>
      </c>
      <c r="I336" s="242">
        <f t="shared" si="40"/>
        <v>111.63067534511609</v>
      </c>
      <c r="K336" s="242"/>
      <c r="L336" s="242"/>
    </row>
    <row r="337" spans="2:12" x14ac:dyDescent="0.25">
      <c r="B337" s="206" t="s">
        <v>367</v>
      </c>
      <c r="C337" s="1">
        <v>202.35</v>
      </c>
      <c r="D337" s="1">
        <v>2023</v>
      </c>
      <c r="F337" s="304">
        <v>19745</v>
      </c>
      <c r="H337" s="242">
        <f t="shared" si="39"/>
        <v>110.38075496399738</v>
      </c>
      <c r="I337" s="242">
        <f t="shared" si="40"/>
        <v>112.19291840799129</v>
      </c>
      <c r="K337" s="242"/>
      <c r="L337" s="242"/>
    </row>
    <row r="338" spans="2:12" x14ac:dyDescent="0.25">
      <c r="B338" s="206">
        <v>45176</v>
      </c>
      <c r="C338" s="1">
        <v>202.52</v>
      </c>
      <c r="D338" s="1">
        <v>2023</v>
      </c>
      <c r="F338" s="304">
        <v>19564.5</v>
      </c>
      <c r="H338" s="242">
        <f t="shared" si="39"/>
        <v>110.47348898101681</v>
      </c>
      <c r="I338" s="242">
        <f t="shared" si="40"/>
        <v>111.16730069349939</v>
      </c>
      <c r="K338" s="242"/>
      <c r="L338" s="242"/>
    </row>
    <row r="339" spans="2:12" x14ac:dyDescent="0.25">
      <c r="B339" s="206">
        <v>44964</v>
      </c>
      <c r="C339" s="1">
        <v>197.93</v>
      </c>
      <c r="D339" s="1">
        <v>2023</v>
      </c>
      <c r="F339" s="304">
        <v>19331.8</v>
      </c>
      <c r="H339" s="242">
        <f t="shared" si="39"/>
        <v>107.96967052149249</v>
      </c>
      <c r="I339" s="242">
        <f t="shared" si="40"/>
        <v>109.845077745232</v>
      </c>
      <c r="K339" s="242"/>
      <c r="L339" s="242"/>
    </row>
    <row r="340" spans="2:12" x14ac:dyDescent="0.25">
      <c r="B340" s="206" t="s">
        <v>368</v>
      </c>
      <c r="C340" s="1">
        <v>194.57</v>
      </c>
      <c r="D340" s="1">
        <v>2023</v>
      </c>
      <c r="F340" s="304">
        <v>19189.05</v>
      </c>
      <c r="H340" s="242">
        <f t="shared" si="39"/>
        <v>106.13680994981453</v>
      </c>
      <c r="I340" s="242">
        <f t="shared" si="40"/>
        <v>109.03395902643025</v>
      </c>
      <c r="K340" s="242"/>
      <c r="L340" s="242"/>
    </row>
    <row r="341" spans="2:12" x14ac:dyDescent="0.25">
      <c r="B341" s="206" t="s">
        <v>369</v>
      </c>
      <c r="C341" s="1">
        <v>189.98</v>
      </c>
      <c r="D341" s="1">
        <v>2023</v>
      </c>
      <c r="F341" s="304">
        <v>18665.5</v>
      </c>
      <c r="H341" s="242">
        <f t="shared" si="39"/>
        <v>103.63299149029019</v>
      </c>
      <c r="I341" s="242">
        <f t="shared" si="40"/>
        <v>106.05909944514364</v>
      </c>
      <c r="K341" s="242"/>
      <c r="L341" s="242"/>
    </row>
    <row r="342" spans="2:12" x14ac:dyDescent="0.25">
      <c r="B342" s="206">
        <v>45236</v>
      </c>
      <c r="C342" s="1">
        <v>190.65</v>
      </c>
      <c r="D342" s="1">
        <v>2023</v>
      </c>
      <c r="F342" s="304">
        <v>18826</v>
      </c>
      <c r="H342" s="242">
        <f t="shared" si="39"/>
        <v>103.99847261619028</v>
      </c>
      <c r="I342" s="242">
        <f t="shared" si="40"/>
        <v>106.97107530761427</v>
      </c>
      <c r="K342" s="242"/>
      <c r="L342" s="242"/>
    </row>
    <row r="343" spans="2:12" x14ac:dyDescent="0.25">
      <c r="B343" s="206">
        <v>45022</v>
      </c>
      <c r="C343" s="1">
        <v>198.65</v>
      </c>
      <c r="D343" s="1">
        <v>2023</v>
      </c>
      <c r="F343" s="304">
        <v>18563.400000000001</v>
      </c>
      <c r="H343" s="242">
        <f t="shared" si="39"/>
        <v>108.36242635828062</v>
      </c>
      <c r="I343" s="242">
        <f t="shared" si="40"/>
        <v>105.47895779057512</v>
      </c>
      <c r="K343" s="242"/>
      <c r="L343" s="242"/>
    </row>
    <row r="344" spans="2:12" x14ac:dyDescent="0.25">
      <c r="B344" s="206" t="s">
        <v>370</v>
      </c>
      <c r="C344" s="1">
        <v>202.48</v>
      </c>
      <c r="D344" s="1">
        <v>2023</v>
      </c>
      <c r="F344" s="304">
        <v>18534.099999999999</v>
      </c>
      <c r="H344" s="242">
        <f t="shared" si="39"/>
        <v>110.45166921230636</v>
      </c>
      <c r="I344" s="242">
        <f t="shared" si="40"/>
        <v>105.31247247736395</v>
      </c>
      <c r="K344" s="242"/>
      <c r="L344" s="242"/>
    </row>
    <row r="345" spans="2:12" x14ac:dyDescent="0.25">
      <c r="B345" s="206" t="s">
        <v>371</v>
      </c>
      <c r="C345" s="1">
        <v>200.85</v>
      </c>
      <c r="D345" s="1">
        <v>2023</v>
      </c>
      <c r="F345" s="304">
        <v>18499.349999999999</v>
      </c>
      <c r="H345" s="242">
        <f t="shared" si="39"/>
        <v>109.56251363735545</v>
      </c>
      <c r="I345" s="242">
        <f t="shared" si="40"/>
        <v>105.11501975947701</v>
      </c>
      <c r="K345" s="242"/>
      <c r="L345" s="242"/>
    </row>
    <row r="346" spans="2:12" x14ac:dyDescent="0.25">
      <c r="B346" s="206" t="s">
        <v>372</v>
      </c>
      <c r="C346" s="1">
        <v>193.1</v>
      </c>
      <c r="D346" s="1">
        <v>2023</v>
      </c>
      <c r="F346" s="304">
        <v>18203.400000000001</v>
      </c>
      <c r="H346" s="242">
        <f t="shared" si="39"/>
        <v>105.33493344970543</v>
      </c>
      <c r="I346" s="242">
        <f t="shared" si="40"/>
        <v>103.43340445419238</v>
      </c>
      <c r="K346" s="242"/>
      <c r="L346" s="242"/>
    </row>
    <row r="347" spans="2:12" x14ac:dyDescent="0.25">
      <c r="B347" s="206">
        <v>45112</v>
      </c>
      <c r="C347" s="1">
        <v>191.63</v>
      </c>
      <c r="D347" s="1">
        <v>2023</v>
      </c>
      <c r="F347" s="304">
        <v>18314.8</v>
      </c>
      <c r="H347" s="242">
        <f t="shared" si="39"/>
        <v>104.53305694959634</v>
      </c>
      <c r="I347" s="242">
        <f t="shared" si="40"/>
        <v>104.0663895699508</v>
      </c>
      <c r="K347" s="242"/>
      <c r="L347" s="242"/>
    </row>
    <row r="348" spans="2:12" x14ac:dyDescent="0.25">
      <c r="B348" s="206" t="s">
        <v>373</v>
      </c>
      <c r="C348" s="1">
        <v>189.7</v>
      </c>
      <c r="D348" s="1">
        <v>2023</v>
      </c>
      <c r="F348" s="304">
        <v>18069</v>
      </c>
      <c r="H348" s="242">
        <f t="shared" si="39"/>
        <v>103.48025310931703</v>
      </c>
      <c r="I348" s="242">
        <f t="shared" si="40"/>
        <v>102.66973120860949</v>
      </c>
      <c r="K348" s="242"/>
      <c r="L348" s="242"/>
    </row>
    <row r="349" spans="2:12" x14ac:dyDescent="0.25">
      <c r="B349" s="206" t="s">
        <v>374</v>
      </c>
      <c r="C349" s="1">
        <v>192.5</v>
      </c>
      <c r="D349" s="1">
        <v>2023</v>
      </c>
      <c r="F349" s="304">
        <v>18065</v>
      </c>
      <c r="H349" s="242">
        <f t="shared" si="39"/>
        <v>105.00763691904866</v>
      </c>
      <c r="I349" s="242">
        <f t="shared" si="40"/>
        <v>102.64700283820525</v>
      </c>
      <c r="K349" s="242"/>
      <c r="L349" s="242"/>
    </row>
    <row r="350" spans="2:12" x14ac:dyDescent="0.25">
      <c r="B350" s="206" t="s">
        <v>375</v>
      </c>
      <c r="C350" s="1">
        <v>184.02</v>
      </c>
      <c r="D350" s="1">
        <v>2023</v>
      </c>
      <c r="F350" s="304">
        <v>17624.05</v>
      </c>
      <c r="H350" s="242">
        <f t="shared" si="39"/>
        <v>100.38184595243291</v>
      </c>
      <c r="I350" s="242">
        <f t="shared" si="40"/>
        <v>100.14148410576647</v>
      </c>
      <c r="K350" s="242"/>
      <c r="L350" s="242"/>
    </row>
    <row r="351" spans="2:12" x14ac:dyDescent="0.25">
      <c r="B351" s="206">
        <v>45173</v>
      </c>
      <c r="C351" s="1">
        <v>184.15</v>
      </c>
      <c r="D351" s="1">
        <v>2023</v>
      </c>
      <c r="F351" s="304">
        <v>17828</v>
      </c>
      <c r="H351" s="242">
        <f t="shared" si="39"/>
        <v>100.45276020074188</v>
      </c>
      <c r="I351" s="242">
        <f t="shared" si="40"/>
        <v>101.30034689175329</v>
      </c>
      <c r="K351" s="242"/>
      <c r="L351" s="242"/>
    </row>
    <row r="352" spans="2:12" x14ac:dyDescent="0.25">
      <c r="B352" s="206">
        <v>44961</v>
      </c>
      <c r="C352" s="1">
        <v>183.32</v>
      </c>
      <c r="D352" s="1">
        <v>2023</v>
      </c>
      <c r="E352" s="1">
        <v>2023</v>
      </c>
      <c r="F352" s="304">
        <v>17599.150000000001</v>
      </c>
      <c r="G352" s="1">
        <v>2023</v>
      </c>
      <c r="H352" s="1">
        <f>(C352/$C$352)*100</f>
        <v>100</v>
      </c>
      <c r="I352" s="1">
        <f>(F352/$F$352)*100</f>
        <v>100</v>
      </c>
      <c r="K352" s="242"/>
    </row>
    <row r="355" spans="2:5" x14ac:dyDescent="0.25">
      <c r="B355" s="670"/>
      <c r="C355" s="672"/>
      <c r="D355" s="672"/>
      <c r="E355" s="672"/>
    </row>
    <row r="356" spans="2:5" x14ac:dyDescent="0.25">
      <c r="B356" s="669" t="s">
        <v>3412</v>
      </c>
      <c r="C356" s="671" t="s">
        <v>3421</v>
      </c>
      <c r="D356" s="673">
        <v>0.21029999999999999</v>
      </c>
      <c r="E356" s="671" t="s">
        <v>3430</v>
      </c>
    </row>
    <row r="357" spans="2:5" x14ac:dyDescent="0.25">
      <c r="B357" s="669" t="s">
        <v>3413</v>
      </c>
      <c r="C357" s="671" t="s">
        <v>3422</v>
      </c>
      <c r="D357" s="673">
        <v>0.20599999999999999</v>
      </c>
      <c r="E357" s="671" t="s">
        <v>3431</v>
      </c>
    </row>
    <row r="358" spans="2:5" x14ac:dyDescent="0.25">
      <c r="B358" s="669" t="s">
        <v>3414</v>
      </c>
      <c r="C358" s="671" t="s">
        <v>3423</v>
      </c>
      <c r="D358" s="673">
        <v>0.1799</v>
      </c>
      <c r="E358" s="671" t="s">
        <v>3432</v>
      </c>
    </row>
    <row r="359" spans="2:5" x14ac:dyDescent="0.25">
      <c r="B359" s="669" t="s">
        <v>3415</v>
      </c>
      <c r="C359" s="671" t="s">
        <v>3424</v>
      </c>
      <c r="D359" s="673">
        <v>6.4899999999999999E-2</v>
      </c>
      <c r="E359" s="671" t="s">
        <v>3433</v>
      </c>
    </row>
    <row r="360" spans="2:5" x14ac:dyDescent="0.25">
      <c r="B360" s="669" t="s">
        <v>3416</v>
      </c>
      <c r="C360" s="671" t="s">
        <v>3425</v>
      </c>
      <c r="D360" s="673">
        <v>4.1099999999999998E-2</v>
      </c>
      <c r="E360" s="671" t="s">
        <v>3434</v>
      </c>
    </row>
    <row r="361" spans="2:5" x14ac:dyDescent="0.25">
      <c r="B361" s="669" t="s">
        <v>3417</v>
      </c>
      <c r="C361" s="671" t="s">
        <v>3426</v>
      </c>
      <c r="D361" s="673">
        <v>2.6700000000000002E-2</v>
      </c>
      <c r="E361" s="671" t="s">
        <v>3435</v>
      </c>
    </row>
    <row r="362" spans="2:5" x14ac:dyDescent="0.25">
      <c r="B362" s="669" t="s">
        <v>3418</v>
      </c>
      <c r="C362" s="671" t="s">
        <v>3427</v>
      </c>
      <c r="D362" s="673">
        <v>2.4799999999999999E-2</v>
      </c>
      <c r="E362" s="671" t="s">
        <v>3436</v>
      </c>
    </row>
    <row r="363" spans="2:5" x14ac:dyDescent="0.25">
      <c r="B363" s="669" t="s">
        <v>3419</v>
      </c>
      <c r="C363" s="671" t="s">
        <v>3428</v>
      </c>
      <c r="D363" s="673">
        <v>1.8499999999999999E-2</v>
      </c>
      <c r="E363" s="671" t="s">
        <v>3437</v>
      </c>
    </row>
    <row r="364" spans="2:5" x14ac:dyDescent="0.25">
      <c r="B364" s="669" t="s">
        <v>3420</v>
      </c>
      <c r="C364" s="671" t="s">
        <v>3429</v>
      </c>
      <c r="D364" s="673">
        <v>1.54E-2</v>
      </c>
      <c r="E364" s="671" t="s">
        <v>3438</v>
      </c>
    </row>
    <row r="366" spans="2:5" x14ac:dyDescent="0.25">
      <c r="B366" s="1" t="s">
        <v>3440</v>
      </c>
      <c r="C366" s="49">
        <v>0.72</v>
      </c>
    </row>
    <row r="367" spans="2:5" x14ac:dyDescent="0.25">
      <c r="B367" s="1" t="s">
        <v>3441</v>
      </c>
      <c r="C367" s="49">
        <v>0.08</v>
      </c>
    </row>
    <row r="368" spans="2:5" x14ac:dyDescent="0.25">
      <c r="B368" s="1" t="s">
        <v>3442</v>
      </c>
      <c r="C368" s="49">
        <v>0.1</v>
      </c>
    </row>
    <row r="369" spans="2:3" x14ac:dyDescent="0.25">
      <c r="B369" s="1" t="s">
        <v>3443</v>
      </c>
      <c r="C369" s="49">
        <v>0.1</v>
      </c>
    </row>
  </sheetData>
  <mergeCells count="8">
    <mergeCell ref="M105:N105"/>
    <mergeCell ref="O105:P105"/>
    <mergeCell ref="Q105:R105"/>
    <mergeCell ref="C105:D105"/>
    <mergeCell ref="E105:F105"/>
    <mergeCell ref="G105:H105"/>
    <mergeCell ref="I105:J105"/>
    <mergeCell ref="K105:L105"/>
  </mergeCells>
  <pageMargins left="0.7" right="0.7" top="0.75" bottom="0.75" header="0.3" footer="0.3"/>
  <pageSetup orientation="portrait" r:id="rId1"/>
  <ignoredErrors>
    <ignoredError sqref="J5:N5"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13DE-4816-4306-9AA0-A0D065A3109F}">
  <sheetPr>
    <pageSetUpPr fitToPage="1"/>
  </sheetPr>
  <dimension ref="B3:O125"/>
  <sheetViews>
    <sheetView topLeftCell="C55" workbookViewId="0">
      <selection activeCell="K83" sqref="K83"/>
    </sheetView>
  </sheetViews>
  <sheetFormatPr defaultColWidth="15.77734375" defaultRowHeight="15" x14ac:dyDescent="0.25"/>
  <cols>
    <col min="1" max="1" width="2" style="1" customWidth="1"/>
    <col min="2" max="2" width="44.77734375" style="1" customWidth="1"/>
    <col min="3" max="16384" width="15.77734375" style="1"/>
  </cols>
  <sheetData>
    <row r="3" spans="2:9" ht="15.6" x14ac:dyDescent="0.3">
      <c r="B3" s="945" t="s">
        <v>26</v>
      </c>
      <c r="C3" s="945"/>
      <c r="D3" s="945"/>
      <c r="E3" s="945"/>
      <c r="F3" s="945"/>
      <c r="G3" s="945"/>
    </row>
    <row r="5" spans="2:9" x14ac:dyDescent="0.25">
      <c r="B5" s="375" t="s">
        <v>3137</v>
      </c>
      <c r="C5" s="374" t="s">
        <v>3138</v>
      </c>
      <c r="D5" s="374" t="s">
        <v>3139</v>
      </c>
      <c r="E5" s="374" t="s">
        <v>3140</v>
      </c>
      <c r="F5" s="374" t="s">
        <v>3141</v>
      </c>
      <c r="G5" s="374" t="s">
        <v>3142</v>
      </c>
    </row>
    <row r="6" spans="2:9" x14ac:dyDescent="0.25">
      <c r="B6" s="369" t="s">
        <v>195</v>
      </c>
      <c r="C6" s="371"/>
      <c r="D6" s="371"/>
      <c r="E6" s="371"/>
      <c r="F6" s="371"/>
      <c r="G6" s="371"/>
    </row>
    <row r="7" spans="2:9" x14ac:dyDescent="0.25">
      <c r="B7" s="369" t="s">
        <v>3143</v>
      </c>
      <c r="C7" s="372">
        <v>6575</v>
      </c>
      <c r="D7" s="372">
        <v>7461</v>
      </c>
      <c r="E7" s="372">
        <v>8234</v>
      </c>
      <c r="F7" s="372">
        <v>7413</v>
      </c>
      <c r="G7" s="372">
        <v>7847</v>
      </c>
    </row>
    <row r="8" spans="2:9" x14ac:dyDescent="0.25">
      <c r="B8" s="369" t="s">
        <v>3144</v>
      </c>
      <c r="C8" s="372">
        <v>1642</v>
      </c>
      <c r="D8" s="372">
        <v>1887</v>
      </c>
      <c r="E8" s="372">
        <v>1870</v>
      </c>
      <c r="F8" s="372">
        <v>1796</v>
      </c>
      <c r="G8" s="372">
        <v>2560</v>
      </c>
    </row>
    <row r="9" spans="2:9" x14ac:dyDescent="0.25">
      <c r="B9" s="369" t="s">
        <v>3145</v>
      </c>
      <c r="C9" s="372">
        <v>1853</v>
      </c>
      <c r="D9" s="372">
        <v>1602</v>
      </c>
      <c r="E9" s="371">
        <v>617</v>
      </c>
      <c r="F9" s="371">
        <v>723</v>
      </c>
      <c r="G9" s="371">
        <v>196</v>
      </c>
      <c r="I9" s="172"/>
    </row>
    <row r="10" spans="2:9" x14ac:dyDescent="0.25">
      <c r="B10" s="369" t="s">
        <v>3146</v>
      </c>
      <c r="C10" s="372">
        <v>13515</v>
      </c>
      <c r="D10" s="372">
        <v>24286</v>
      </c>
      <c r="E10" s="372">
        <v>30349</v>
      </c>
      <c r="F10" s="372">
        <v>31145</v>
      </c>
      <c r="G10" s="372">
        <v>32035</v>
      </c>
    </row>
    <row r="11" spans="2:9" x14ac:dyDescent="0.25">
      <c r="B11" s="369" t="s">
        <v>3147</v>
      </c>
      <c r="C11" s="372">
        <v>1309</v>
      </c>
      <c r="D11" s="372">
        <v>4356</v>
      </c>
      <c r="E11" s="372">
        <v>4305</v>
      </c>
      <c r="F11" s="372">
        <v>3275</v>
      </c>
      <c r="G11" s="372">
        <v>2745</v>
      </c>
    </row>
    <row r="12" spans="2:9" x14ac:dyDescent="0.25">
      <c r="B12" s="369" t="s">
        <v>3148</v>
      </c>
      <c r="C12" s="372">
        <v>1058</v>
      </c>
      <c r="D12" s="372">
        <v>1911</v>
      </c>
      <c r="E12" s="372">
        <v>2072</v>
      </c>
      <c r="F12" s="372">
        <v>2163</v>
      </c>
      <c r="G12" s="372">
        <v>2646</v>
      </c>
    </row>
    <row r="13" spans="2:9" x14ac:dyDescent="0.25">
      <c r="B13" s="369" t="s">
        <v>3149</v>
      </c>
      <c r="C13" s="371">
        <v>436</v>
      </c>
      <c r="D13" s="371">
        <v>476</v>
      </c>
      <c r="E13" s="371">
        <v>86</v>
      </c>
      <c r="F13" s="371">
        <v>405</v>
      </c>
      <c r="G13" s="371">
        <v>30</v>
      </c>
    </row>
    <row r="14" spans="2:9" x14ac:dyDescent="0.25">
      <c r="B14" s="369" t="s">
        <v>3150</v>
      </c>
      <c r="C14" s="371">
        <v>609</v>
      </c>
      <c r="D14" s="371">
        <v>608</v>
      </c>
      <c r="E14" s="371">
        <v>633</v>
      </c>
      <c r="F14" s="371">
        <v>555</v>
      </c>
      <c r="G14" s="371">
        <v>466</v>
      </c>
    </row>
    <row r="15" spans="2:9" x14ac:dyDescent="0.25">
      <c r="B15" s="369" t="s">
        <v>3151</v>
      </c>
      <c r="C15" s="371">
        <v>166</v>
      </c>
      <c r="D15" s="371">
        <v>230</v>
      </c>
      <c r="E15" s="371">
        <v>210</v>
      </c>
      <c r="F15" s="371">
        <v>182</v>
      </c>
      <c r="G15" s="371">
        <v>256</v>
      </c>
    </row>
    <row r="16" spans="2:9" x14ac:dyDescent="0.25">
      <c r="B16" s="369" t="s">
        <v>3152</v>
      </c>
      <c r="C16" s="372">
        <v>1432</v>
      </c>
      <c r="D16" s="372">
        <v>1026</v>
      </c>
      <c r="E16" s="372">
        <v>1192</v>
      </c>
      <c r="F16" s="371">
        <v>904</v>
      </c>
      <c r="G16" s="371">
        <v>723</v>
      </c>
    </row>
    <row r="17" spans="2:7" x14ac:dyDescent="0.25">
      <c r="B17" s="369" t="s">
        <v>3153</v>
      </c>
      <c r="C17" s="372">
        <v>1671</v>
      </c>
      <c r="D17" s="372">
        <v>1510</v>
      </c>
      <c r="E17" s="372">
        <v>1376</v>
      </c>
      <c r="F17" s="372">
        <v>1058</v>
      </c>
      <c r="G17" s="371">
        <v>771</v>
      </c>
    </row>
    <row r="18" spans="2:7" x14ac:dyDescent="0.25">
      <c r="B18" s="369" t="s">
        <v>3154</v>
      </c>
      <c r="C18" s="372">
        <v>30414</v>
      </c>
      <c r="D18" s="372">
        <v>45430</v>
      </c>
      <c r="E18" s="372">
        <v>51024</v>
      </c>
      <c r="F18" s="372">
        <v>49724</v>
      </c>
      <c r="G18" s="372">
        <v>50408</v>
      </c>
    </row>
    <row r="19" spans="2:7" x14ac:dyDescent="0.25">
      <c r="B19" s="369" t="s">
        <v>49</v>
      </c>
      <c r="C19" s="371">
        <v>106</v>
      </c>
      <c r="D19" s="371">
        <v>133</v>
      </c>
      <c r="E19" s="371">
        <v>119</v>
      </c>
      <c r="F19" s="371">
        <v>91</v>
      </c>
      <c r="G19" s="371">
        <v>69</v>
      </c>
    </row>
    <row r="20" spans="2:7" x14ac:dyDescent="0.25">
      <c r="B20" s="369" t="s">
        <v>3155</v>
      </c>
      <c r="C20" s="372">
        <v>17571</v>
      </c>
      <c r="D20" s="372">
        <v>24166</v>
      </c>
      <c r="E20" s="372">
        <v>30923</v>
      </c>
      <c r="F20" s="372">
        <v>31117</v>
      </c>
      <c r="G20" s="372">
        <v>41147</v>
      </c>
    </row>
    <row r="21" spans="2:7" x14ac:dyDescent="0.25">
      <c r="B21" s="369" t="s">
        <v>3156</v>
      </c>
      <c r="C21" s="371">
        <v>41</v>
      </c>
      <c r="D21" s="371">
        <v>303</v>
      </c>
      <c r="E21" s="371">
        <v>184</v>
      </c>
      <c r="F21" s="371">
        <v>133</v>
      </c>
      <c r="G21" s="371">
        <v>182</v>
      </c>
    </row>
    <row r="22" spans="2:7" x14ac:dyDescent="0.25">
      <c r="B22" s="369" t="s">
        <v>197</v>
      </c>
      <c r="C22" s="372">
        <v>9430</v>
      </c>
      <c r="D22" s="372">
        <v>11522</v>
      </c>
      <c r="E22" s="372">
        <v>12635</v>
      </c>
      <c r="F22" s="372">
        <v>11548</v>
      </c>
      <c r="G22" s="372">
        <v>11745</v>
      </c>
    </row>
    <row r="23" spans="2:7" x14ac:dyDescent="0.25">
      <c r="B23" s="369" t="s">
        <v>3157</v>
      </c>
      <c r="C23" s="372">
        <v>2712</v>
      </c>
      <c r="D23" s="372">
        <v>6081</v>
      </c>
      <c r="E23" s="372">
        <v>6052</v>
      </c>
      <c r="F23" s="372">
        <v>5835</v>
      </c>
      <c r="G23" s="372">
        <v>6428</v>
      </c>
    </row>
    <row r="24" spans="2:7" x14ac:dyDescent="0.25">
      <c r="B24" s="369" t="s">
        <v>3158</v>
      </c>
      <c r="C24" s="372">
        <v>17473</v>
      </c>
      <c r="D24" s="372">
        <v>10002</v>
      </c>
      <c r="E24" s="372">
        <v>9247</v>
      </c>
      <c r="F24" s="372">
        <v>9802</v>
      </c>
      <c r="G24" s="372">
        <v>12358</v>
      </c>
    </row>
    <row r="25" spans="2:7" x14ac:dyDescent="0.25">
      <c r="B25" s="369" t="s">
        <v>3159</v>
      </c>
      <c r="C25" s="371">
        <v>745</v>
      </c>
      <c r="D25" s="372">
        <v>4291</v>
      </c>
      <c r="E25" s="371">
        <v>910</v>
      </c>
      <c r="F25" s="372">
        <v>1054</v>
      </c>
      <c r="G25" s="371">
        <v>845</v>
      </c>
    </row>
    <row r="26" spans="2:7" x14ac:dyDescent="0.25">
      <c r="B26" s="369" t="s">
        <v>3160</v>
      </c>
      <c r="C26" s="371">
        <v>246</v>
      </c>
      <c r="D26" s="371">
        <v>237</v>
      </c>
      <c r="E26" s="371">
        <v>509</v>
      </c>
      <c r="F26" s="371">
        <v>648</v>
      </c>
      <c r="G26" s="371">
        <v>642</v>
      </c>
    </row>
    <row r="27" spans="2:7" x14ac:dyDescent="0.25">
      <c r="B27" s="369" t="s">
        <v>3161</v>
      </c>
      <c r="C27" s="372">
        <v>1651</v>
      </c>
      <c r="D27" s="372">
        <v>2065</v>
      </c>
      <c r="E27" s="372">
        <v>2300</v>
      </c>
      <c r="F27" s="372">
        <v>1985</v>
      </c>
      <c r="G27" s="372">
        <v>1580</v>
      </c>
    </row>
    <row r="28" spans="2:7" x14ac:dyDescent="0.25">
      <c r="B28" s="369" t="s">
        <v>199</v>
      </c>
      <c r="C28" s="372">
        <v>2492</v>
      </c>
      <c r="D28" s="372">
        <v>2893</v>
      </c>
      <c r="E28" s="372">
        <v>3290</v>
      </c>
      <c r="F28" s="372">
        <v>2960</v>
      </c>
      <c r="G28" s="372">
        <v>2913</v>
      </c>
    </row>
    <row r="29" spans="2:7" x14ac:dyDescent="0.25">
      <c r="B29" s="369" t="s">
        <v>200</v>
      </c>
      <c r="C29" s="372">
        <v>52319</v>
      </c>
      <c r="D29" s="372">
        <v>62075</v>
      </c>
      <c r="E29" s="372">
        <v>66109</v>
      </c>
      <c r="F29" s="372">
        <v>65063</v>
      </c>
      <c r="G29" s="372">
        <v>77777</v>
      </c>
    </row>
    <row r="30" spans="2:7" x14ac:dyDescent="0.25">
      <c r="B30" s="369" t="s">
        <v>3162</v>
      </c>
      <c r="C30" s="372">
        <v>82732</v>
      </c>
      <c r="D30" s="371" t="s">
        <v>3163</v>
      </c>
      <c r="E30" s="371" t="s">
        <v>3164</v>
      </c>
      <c r="F30" s="371" t="s">
        <v>3165</v>
      </c>
      <c r="G30" s="371" t="s">
        <v>3166</v>
      </c>
    </row>
    <row r="31" spans="2:7" x14ac:dyDescent="0.25">
      <c r="B31" s="369" t="s">
        <v>3167</v>
      </c>
      <c r="C31" s="371"/>
      <c r="D31" s="371"/>
      <c r="E31" s="371"/>
      <c r="F31" s="371"/>
      <c r="G31" s="371"/>
    </row>
    <row r="32" spans="2:7" x14ac:dyDescent="0.25">
      <c r="B32" s="369" t="s">
        <v>3168</v>
      </c>
      <c r="C32" s="372">
        <v>1096</v>
      </c>
      <c r="D32" s="372">
        <v>1096</v>
      </c>
      <c r="E32" s="372">
        <v>1098</v>
      </c>
      <c r="F32" s="372">
        <v>1045</v>
      </c>
      <c r="G32" s="372">
        <v>2094</v>
      </c>
    </row>
    <row r="33" spans="2:7" x14ac:dyDescent="0.25">
      <c r="B33" s="369" t="s">
        <v>3169</v>
      </c>
      <c r="C33" s="372">
        <v>53805</v>
      </c>
      <c r="D33" s="372">
        <v>64307</v>
      </c>
      <c r="E33" s="372">
        <v>76570</v>
      </c>
      <c r="F33" s="372">
        <v>73488</v>
      </c>
      <c r="G33" s="372">
        <v>80270</v>
      </c>
    </row>
    <row r="34" spans="2:7" x14ac:dyDescent="0.25">
      <c r="B34" s="369" t="s">
        <v>3170</v>
      </c>
      <c r="C34" s="372">
        <v>54901</v>
      </c>
      <c r="D34" s="372">
        <v>65403</v>
      </c>
      <c r="E34" s="372">
        <v>77667</v>
      </c>
      <c r="F34" s="372">
        <v>74533</v>
      </c>
      <c r="G34" s="372">
        <v>82364</v>
      </c>
    </row>
    <row r="35" spans="2:7" x14ac:dyDescent="0.25">
      <c r="B35" s="369" t="s">
        <v>3171</v>
      </c>
      <c r="C35" s="371">
        <v>150</v>
      </c>
      <c r="D35" s="371">
        <v>52</v>
      </c>
      <c r="E35" s="371">
        <v>59</v>
      </c>
      <c r="F35" s="371">
        <v>134</v>
      </c>
      <c r="G35" s="371">
        <v>214</v>
      </c>
    </row>
    <row r="36" spans="2:7" x14ac:dyDescent="0.25">
      <c r="B36" s="369" t="s">
        <v>3172</v>
      </c>
      <c r="C36" s="372">
        <v>55051</v>
      </c>
      <c r="D36" s="372">
        <v>65455</v>
      </c>
      <c r="E36" s="372">
        <v>77726</v>
      </c>
      <c r="F36" s="372">
        <v>74667</v>
      </c>
      <c r="G36" s="372">
        <v>82578</v>
      </c>
    </row>
    <row r="37" spans="2:7" x14ac:dyDescent="0.25">
      <c r="B37" s="369" t="s">
        <v>3173</v>
      </c>
      <c r="C37" s="371">
        <v>746</v>
      </c>
      <c r="D37" s="372">
        <v>5646</v>
      </c>
      <c r="E37" s="372">
        <v>6127</v>
      </c>
      <c r="F37" s="372">
        <v>6230</v>
      </c>
      <c r="G37" s="372">
        <v>6395</v>
      </c>
    </row>
    <row r="38" spans="2:7" x14ac:dyDescent="0.25">
      <c r="B38" s="369" t="s">
        <v>3174</v>
      </c>
      <c r="C38" s="372">
        <v>1351</v>
      </c>
      <c r="D38" s="372">
        <v>1518</v>
      </c>
      <c r="E38" s="372">
        <v>1595</v>
      </c>
      <c r="F38" s="372">
        <v>1396</v>
      </c>
      <c r="G38" s="372">
        <v>2219</v>
      </c>
    </row>
    <row r="39" spans="2:7" x14ac:dyDescent="0.25">
      <c r="B39" s="369" t="s">
        <v>3175</v>
      </c>
      <c r="C39" s="371">
        <v>229</v>
      </c>
      <c r="D39" s="371">
        <v>296</v>
      </c>
      <c r="E39" s="371">
        <v>265</v>
      </c>
      <c r="F39" s="371">
        <v>499</v>
      </c>
      <c r="G39" s="371">
        <v>779</v>
      </c>
    </row>
    <row r="40" spans="2:7" x14ac:dyDescent="0.25">
      <c r="B40" s="369" t="s">
        <v>3176</v>
      </c>
      <c r="C40" s="371">
        <v>306</v>
      </c>
      <c r="D40" s="371">
        <v>272</v>
      </c>
      <c r="E40" s="371">
        <v>295</v>
      </c>
      <c r="F40" s="371">
        <v>422</v>
      </c>
      <c r="G40" s="371">
        <v>466</v>
      </c>
    </row>
    <row r="41" spans="2:7" x14ac:dyDescent="0.25">
      <c r="B41" s="369" t="s">
        <v>3177</v>
      </c>
      <c r="C41" s="371">
        <v>461</v>
      </c>
      <c r="D41" s="372">
        <v>1214</v>
      </c>
      <c r="E41" s="372">
        <v>1515</v>
      </c>
      <c r="F41" s="372">
        <v>1747</v>
      </c>
      <c r="G41" s="372">
        <v>1644</v>
      </c>
    </row>
    <row r="42" spans="2:7" x14ac:dyDescent="0.25">
      <c r="B42" s="369" t="s">
        <v>3178</v>
      </c>
      <c r="C42" s="372">
        <v>1107</v>
      </c>
      <c r="D42" s="372">
        <v>1782</v>
      </c>
      <c r="E42" s="372">
        <v>2178</v>
      </c>
      <c r="F42" s="372">
        <v>3709</v>
      </c>
      <c r="G42" s="372">
        <v>4202</v>
      </c>
    </row>
    <row r="43" spans="2:7" x14ac:dyDescent="0.25">
      <c r="B43" s="369" t="s">
        <v>3179</v>
      </c>
      <c r="C43" s="371">
        <v>478</v>
      </c>
      <c r="D43" s="371">
        <v>485</v>
      </c>
      <c r="E43" s="371">
        <v>639</v>
      </c>
      <c r="F43" s="371">
        <v>875</v>
      </c>
      <c r="G43" s="372">
        <v>1276</v>
      </c>
    </row>
    <row r="44" spans="2:7" x14ac:dyDescent="0.25">
      <c r="B44" s="369" t="s">
        <v>3180</v>
      </c>
      <c r="C44" s="372">
        <v>4677</v>
      </c>
      <c r="D44" s="372">
        <v>11218</v>
      </c>
      <c r="E44" s="372">
        <v>12632</v>
      </c>
      <c r="F44" s="372">
        <v>14878</v>
      </c>
      <c r="G44" s="372">
        <v>16982</v>
      </c>
    </row>
    <row r="45" spans="2:7" x14ac:dyDescent="0.25">
      <c r="B45" s="369" t="s">
        <v>3181</v>
      </c>
      <c r="C45" s="372">
        <v>7587</v>
      </c>
      <c r="D45" s="372">
        <v>9523</v>
      </c>
      <c r="E45" s="372">
        <v>8882</v>
      </c>
      <c r="F45" s="372">
        <v>7917</v>
      </c>
      <c r="G45" s="372">
        <v>9786</v>
      </c>
    </row>
    <row r="46" spans="2:7" x14ac:dyDescent="0.25">
      <c r="B46" s="369" t="s">
        <v>3182</v>
      </c>
      <c r="C46" s="371">
        <v>767</v>
      </c>
      <c r="D46" s="371">
        <v>906</v>
      </c>
      <c r="E46" s="371">
        <v>862</v>
      </c>
      <c r="F46" s="371">
        <v>922</v>
      </c>
      <c r="G46" s="371">
        <v>803</v>
      </c>
    </row>
    <row r="47" spans="2:7" x14ac:dyDescent="0.25">
      <c r="B47" s="369" t="s">
        <v>3183</v>
      </c>
      <c r="C47" s="371">
        <v>107</v>
      </c>
      <c r="D47" s="371">
        <v>59</v>
      </c>
      <c r="E47" s="371">
        <v>283</v>
      </c>
      <c r="F47" s="371">
        <v>56</v>
      </c>
      <c r="G47" s="371">
        <v>97</v>
      </c>
    </row>
    <row r="48" spans="2:7" x14ac:dyDescent="0.25">
      <c r="B48" s="369" t="s">
        <v>34</v>
      </c>
      <c r="C48" s="372">
        <v>5182</v>
      </c>
      <c r="D48" s="372">
        <v>6252</v>
      </c>
      <c r="E48" s="372">
        <v>5972</v>
      </c>
      <c r="F48" s="372">
        <v>5766</v>
      </c>
      <c r="G48" s="372">
        <v>5867</v>
      </c>
    </row>
    <row r="49" spans="2:7" x14ac:dyDescent="0.25">
      <c r="B49" s="369" t="s">
        <v>3175</v>
      </c>
      <c r="C49" s="372">
        <v>2617</v>
      </c>
      <c r="D49" s="372">
        <v>6507</v>
      </c>
      <c r="E49" s="372">
        <v>3347</v>
      </c>
      <c r="F49" s="372">
        <v>3318</v>
      </c>
      <c r="G49" s="372">
        <v>3346</v>
      </c>
    </row>
    <row r="50" spans="2:7" x14ac:dyDescent="0.25">
      <c r="B50" s="369" t="s">
        <v>3184</v>
      </c>
      <c r="C50" s="372">
        <v>2253</v>
      </c>
      <c r="D50" s="372">
        <v>2792</v>
      </c>
      <c r="E50" s="372">
        <v>2268</v>
      </c>
      <c r="F50" s="372">
        <v>1765</v>
      </c>
      <c r="G50" s="372">
        <v>2006</v>
      </c>
    </row>
    <row r="51" spans="2:7" x14ac:dyDescent="0.25">
      <c r="B51" s="369" t="s">
        <v>558</v>
      </c>
      <c r="C51" s="371">
        <v>975</v>
      </c>
      <c r="D51" s="372">
        <v>1208</v>
      </c>
      <c r="E51" s="372">
        <v>1430</v>
      </c>
      <c r="F51" s="372">
        <v>1524</v>
      </c>
      <c r="G51" s="372">
        <v>1508</v>
      </c>
    </row>
    <row r="52" spans="2:7" x14ac:dyDescent="0.25">
      <c r="B52" s="369" t="s">
        <v>3185</v>
      </c>
      <c r="C52" s="372">
        <v>1784</v>
      </c>
      <c r="D52" s="372">
        <v>1808</v>
      </c>
      <c r="E52" s="372">
        <v>1843</v>
      </c>
      <c r="F52" s="372">
        <v>1803</v>
      </c>
      <c r="G52" s="372">
        <v>1764</v>
      </c>
    </row>
    <row r="53" spans="2:7" x14ac:dyDescent="0.25">
      <c r="B53" s="369" t="s">
        <v>3186</v>
      </c>
      <c r="C53" s="372">
        <v>1732</v>
      </c>
      <c r="D53" s="372">
        <v>1323</v>
      </c>
      <c r="E53" s="372">
        <v>1885</v>
      </c>
      <c r="F53" s="372">
        <v>2176</v>
      </c>
      <c r="G53" s="372">
        <v>3448</v>
      </c>
    </row>
    <row r="54" spans="2:7" x14ac:dyDescent="0.25">
      <c r="B54" s="369" t="s">
        <v>210</v>
      </c>
      <c r="C54" s="372">
        <v>23004</v>
      </c>
      <c r="D54" s="372">
        <v>30829</v>
      </c>
      <c r="E54" s="372">
        <v>26775</v>
      </c>
      <c r="F54" s="372">
        <v>25246</v>
      </c>
      <c r="G54" s="372">
        <v>28625</v>
      </c>
    </row>
    <row r="55" spans="2:7" x14ac:dyDescent="0.25">
      <c r="B55" s="369" t="s">
        <v>3187</v>
      </c>
      <c r="C55" s="372">
        <v>27681</v>
      </c>
      <c r="D55" s="372">
        <v>42050</v>
      </c>
      <c r="E55" s="372">
        <v>39406</v>
      </c>
      <c r="F55" s="372">
        <v>40124</v>
      </c>
      <c r="G55" s="372">
        <v>45607</v>
      </c>
    </row>
    <row r="56" spans="2:7" x14ac:dyDescent="0.25">
      <c r="B56" s="369" t="s">
        <v>3188</v>
      </c>
      <c r="C56" s="372">
        <v>82732</v>
      </c>
      <c r="D56" s="371" t="s">
        <v>3163</v>
      </c>
      <c r="E56" s="371" t="s">
        <v>3164</v>
      </c>
      <c r="F56" s="371" t="s">
        <v>3165</v>
      </c>
      <c r="G56" s="371" t="s">
        <v>3166</v>
      </c>
    </row>
    <row r="59" spans="2:7" ht="15.6" x14ac:dyDescent="0.3">
      <c r="B59" s="945" t="s">
        <v>3242</v>
      </c>
      <c r="C59" s="945"/>
      <c r="D59" s="945"/>
      <c r="E59" s="945"/>
      <c r="F59" s="945"/>
      <c r="G59" s="945"/>
    </row>
    <row r="61" spans="2:7" x14ac:dyDescent="0.25">
      <c r="B61" s="375" t="s">
        <v>3137</v>
      </c>
      <c r="C61" s="374" t="s">
        <v>3138</v>
      </c>
      <c r="D61" s="374" t="s">
        <v>3139</v>
      </c>
      <c r="E61" s="374" t="s">
        <v>3140</v>
      </c>
      <c r="F61" s="374" t="s">
        <v>3141</v>
      </c>
      <c r="G61" s="374" t="s">
        <v>3142</v>
      </c>
    </row>
    <row r="62" spans="2:7" x14ac:dyDescent="0.25">
      <c r="B62" s="369" t="s">
        <v>3189</v>
      </c>
      <c r="C62" s="371"/>
      <c r="D62" s="371"/>
      <c r="E62" s="371"/>
      <c r="F62" s="371"/>
      <c r="G62" s="371"/>
    </row>
    <row r="63" spans="2:7" x14ac:dyDescent="0.25">
      <c r="B63" s="369" t="s">
        <v>3190</v>
      </c>
      <c r="C63" s="372">
        <v>62243</v>
      </c>
      <c r="D63" s="372">
        <v>79529</v>
      </c>
      <c r="E63" s="372">
        <v>90935</v>
      </c>
      <c r="F63" s="372">
        <v>89794</v>
      </c>
      <c r="G63" s="372">
        <v>89088</v>
      </c>
    </row>
    <row r="64" spans="2:7" x14ac:dyDescent="0.25">
      <c r="B64" s="369" t="s">
        <v>3191</v>
      </c>
      <c r="C64" s="372">
        <v>2382</v>
      </c>
      <c r="D64" s="372">
        <v>2061</v>
      </c>
      <c r="E64" s="372">
        <v>2266</v>
      </c>
      <c r="F64" s="372">
        <v>2631</v>
      </c>
      <c r="G64" s="372">
        <v>3884</v>
      </c>
    </row>
    <row r="65" spans="2:15" x14ac:dyDescent="0.25">
      <c r="B65" s="369" t="s">
        <v>3192</v>
      </c>
      <c r="C65" s="372">
        <f>SUM(C63:C64)</f>
        <v>64625</v>
      </c>
      <c r="D65" s="372">
        <f t="shared" ref="D65:G65" si="0">SUM(D63:D64)</f>
        <v>81590</v>
      </c>
      <c r="E65" s="372">
        <f t="shared" si="0"/>
        <v>93201</v>
      </c>
      <c r="F65" s="372">
        <f t="shared" si="0"/>
        <v>92425</v>
      </c>
      <c r="G65" s="372">
        <f t="shared" si="0"/>
        <v>92972</v>
      </c>
    </row>
    <row r="66" spans="2:15" x14ac:dyDescent="0.25">
      <c r="B66" s="369" t="s">
        <v>3193</v>
      </c>
      <c r="C66" s="371"/>
      <c r="D66" s="371"/>
      <c r="E66" s="371"/>
      <c r="F66" s="371"/>
      <c r="G66" s="371"/>
    </row>
    <row r="67" spans="2:15" x14ac:dyDescent="0.25">
      <c r="B67" s="369" t="s">
        <v>3194</v>
      </c>
      <c r="C67" s="371">
        <v>695</v>
      </c>
      <c r="D67" s="371">
        <v>674</v>
      </c>
      <c r="E67" s="371">
        <v>649</v>
      </c>
      <c r="F67" s="371">
        <v>383</v>
      </c>
      <c r="G67" s="371">
        <v>297</v>
      </c>
    </row>
    <row r="68" spans="2:15" x14ac:dyDescent="0.25">
      <c r="B68" s="369" t="s">
        <v>3195</v>
      </c>
      <c r="C68" s="371">
        <v>32</v>
      </c>
      <c r="D68" s="371">
        <v>-37</v>
      </c>
      <c r="E68" s="371">
        <v>15</v>
      </c>
      <c r="F68" s="371">
        <v>28</v>
      </c>
      <c r="G68" s="371">
        <v>20</v>
      </c>
    </row>
    <row r="69" spans="2:15" x14ac:dyDescent="0.25">
      <c r="B69" s="369" t="s">
        <v>3196</v>
      </c>
      <c r="C69" s="372">
        <v>33237</v>
      </c>
      <c r="D69" s="372">
        <v>45007</v>
      </c>
      <c r="E69" s="372">
        <v>53764</v>
      </c>
      <c r="F69" s="372">
        <v>54930</v>
      </c>
      <c r="G69" s="372">
        <v>53348</v>
      </c>
      <c r="I69" s="1" t="s">
        <v>3547</v>
      </c>
      <c r="K69" s="172">
        <f>Table2[[#This Row],[FY25]]+C72</f>
        <v>61709</v>
      </c>
      <c r="L69" s="172">
        <f>Table2[[#This Row],[FY25]]+D72</f>
        <v>64207</v>
      </c>
      <c r="M69" s="172">
        <f>Table2[[#This Row],[FY25]]+E72</f>
        <v>64873</v>
      </c>
      <c r="N69" s="172">
        <f>Table2[[#This Row],[FY25]]+F72</f>
        <v>63651</v>
      </c>
      <c r="O69" s="172">
        <f>Table2[[#This Row],[FY25]]+G72</f>
        <v>63363</v>
      </c>
    </row>
    <row r="70" spans="2:15" x14ac:dyDescent="0.25">
      <c r="B70" s="369" t="s">
        <v>3197</v>
      </c>
      <c r="C70" s="371">
        <v>509</v>
      </c>
      <c r="D70" s="371">
        <v>535</v>
      </c>
      <c r="E70" s="372">
        <v>1077</v>
      </c>
      <c r="F70" s="372">
        <v>1255</v>
      </c>
      <c r="G70" s="372">
        <v>1477</v>
      </c>
      <c r="I70" s="1" t="s">
        <v>3548</v>
      </c>
      <c r="K70" s="172">
        <f t="shared" ref="K70:N70" si="1">C73+C75+C76+C77+C80</f>
        <v>4587</v>
      </c>
      <c r="L70" s="172">
        <f t="shared" si="1"/>
        <v>6045</v>
      </c>
      <c r="M70" s="172">
        <f t="shared" si="1"/>
        <v>5575</v>
      </c>
      <c r="N70" s="172">
        <f t="shared" si="1"/>
        <v>5084</v>
      </c>
      <c r="O70" s="172">
        <f>G73+G75+G76+G77+G80</f>
        <v>5063</v>
      </c>
    </row>
    <row r="71" spans="2:15" x14ac:dyDescent="0.25">
      <c r="B71" s="369" t="s">
        <v>3198</v>
      </c>
      <c r="C71" s="372">
        <v>2763</v>
      </c>
      <c r="D71" s="372">
        <v>3078</v>
      </c>
      <c r="E71" s="372">
        <v>3340</v>
      </c>
      <c r="F71" s="372">
        <v>3407</v>
      </c>
      <c r="G71" s="372">
        <v>2958</v>
      </c>
      <c r="I71" s="1" t="s">
        <v>3549</v>
      </c>
      <c r="K71" s="172">
        <v>0</v>
      </c>
      <c r="L71" s="172">
        <f t="shared" ref="L71:N71" si="2">D74+D67+D79</f>
        <v>1921</v>
      </c>
      <c r="M71" s="172">
        <f t="shared" si="2"/>
        <v>2407</v>
      </c>
      <c r="N71" s="172">
        <f t="shared" si="2"/>
        <v>2285</v>
      </c>
      <c r="O71" s="172">
        <f>G74+G67+G79</f>
        <v>2263</v>
      </c>
    </row>
    <row r="72" spans="2:15" x14ac:dyDescent="0.25">
      <c r="B72" s="369" t="s">
        <v>3199</v>
      </c>
      <c r="C72" s="372">
        <v>8361</v>
      </c>
      <c r="D72" s="372">
        <v>10859</v>
      </c>
      <c r="E72" s="372">
        <v>11525</v>
      </c>
      <c r="F72" s="372">
        <v>10303</v>
      </c>
      <c r="G72" s="372">
        <v>10015</v>
      </c>
      <c r="I72" s="1" t="s">
        <v>3550</v>
      </c>
      <c r="K72" s="1">
        <f t="shared" ref="K72:N72" si="3">C78</f>
        <v>101</v>
      </c>
      <c r="L72" s="1">
        <f t="shared" si="3"/>
        <v>201</v>
      </c>
      <c r="M72" s="1">
        <f t="shared" si="3"/>
        <v>295</v>
      </c>
      <c r="N72" s="1">
        <f t="shared" si="3"/>
        <v>356</v>
      </c>
      <c r="O72" s="1">
        <f>G78</f>
        <v>359</v>
      </c>
    </row>
    <row r="73" spans="2:15" x14ac:dyDescent="0.25">
      <c r="B73" s="369" t="s">
        <v>3200</v>
      </c>
      <c r="C73" s="372">
        <v>2026</v>
      </c>
      <c r="D73" s="372">
        <v>2569</v>
      </c>
      <c r="E73" s="372">
        <v>1349</v>
      </c>
      <c r="F73" s="372">
        <v>1456</v>
      </c>
      <c r="G73" s="372">
        <v>1607</v>
      </c>
      <c r="I73" s="1" t="s">
        <v>101</v>
      </c>
      <c r="K73" s="172">
        <f t="shared" ref="K73:N73" si="4">C71</f>
        <v>2763</v>
      </c>
      <c r="L73" s="172">
        <f t="shared" si="4"/>
        <v>3078</v>
      </c>
      <c r="M73" s="172">
        <f t="shared" si="4"/>
        <v>3340</v>
      </c>
      <c r="N73" s="172">
        <f t="shared" si="4"/>
        <v>3407</v>
      </c>
      <c r="O73" s="172">
        <f>G71</f>
        <v>2958</v>
      </c>
    </row>
    <row r="74" spans="2:15" x14ac:dyDescent="0.25">
      <c r="B74" s="369" t="s">
        <v>3201</v>
      </c>
      <c r="C74" s="371" t="s">
        <v>3202</v>
      </c>
      <c r="D74" s="372">
        <v>1327</v>
      </c>
      <c r="E74" s="372">
        <v>1818</v>
      </c>
      <c r="F74" s="372">
        <v>1838</v>
      </c>
      <c r="G74" s="372">
        <v>1934</v>
      </c>
    </row>
    <row r="75" spans="2:15" x14ac:dyDescent="0.25">
      <c r="B75" s="369" t="s">
        <v>3203</v>
      </c>
      <c r="C75" s="371">
        <v>526</v>
      </c>
      <c r="D75" s="371">
        <v>732</v>
      </c>
      <c r="E75" s="372">
        <v>1445</v>
      </c>
      <c r="F75" s="372">
        <v>1510</v>
      </c>
      <c r="G75" s="372">
        <v>1409</v>
      </c>
      <c r="I75" s="1" t="s">
        <v>107</v>
      </c>
    </row>
    <row r="76" spans="2:15" x14ac:dyDescent="0.25">
      <c r="B76" s="369" t="s">
        <v>3204</v>
      </c>
      <c r="C76" s="371">
        <v>607</v>
      </c>
      <c r="D76" s="371">
        <v>576</v>
      </c>
      <c r="E76" s="371">
        <v>591</v>
      </c>
      <c r="F76" s="371">
        <v>488</v>
      </c>
      <c r="G76" s="371">
        <v>384</v>
      </c>
    </row>
    <row r="77" spans="2:15" x14ac:dyDescent="0.25">
      <c r="B77" s="369" t="s">
        <v>3205</v>
      </c>
      <c r="C77" s="371">
        <v>556</v>
      </c>
      <c r="D77" s="371">
        <v>756</v>
      </c>
      <c r="E77" s="372">
        <v>1329</v>
      </c>
      <c r="F77" s="371">
        <v>956</v>
      </c>
      <c r="G77" s="372">
        <v>1127</v>
      </c>
      <c r="I77" s="1" t="str">
        <f>'RELATIVE VALUATION'!B13</f>
        <v>TCS</v>
      </c>
      <c r="K77" s="1">
        <v>134.19</v>
      </c>
    </row>
    <row r="78" spans="2:15" x14ac:dyDescent="0.25">
      <c r="B78" s="369" t="s">
        <v>3206</v>
      </c>
      <c r="C78" s="371">
        <v>101</v>
      </c>
      <c r="D78" s="371">
        <v>201</v>
      </c>
      <c r="E78" s="371">
        <v>295</v>
      </c>
      <c r="F78" s="371">
        <v>356</v>
      </c>
      <c r="G78" s="371">
        <v>359</v>
      </c>
      <c r="I78" s="1" t="str">
        <f>'RELATIVE VALUATION'!B14</f>
        <v>Infosys</v>
      </c>
      <c r="K78" s="242">
        <v>64.5</v>
      </c>
    </row>
    <row r="79" spans="2:15" x14ac:dyDescent="0.25">
      <c r="B79" s="369" t="s">
        <v>3207</v>
      </c>
      <c r="C79" s="371">
        <v>150</v>
      </c>
      <c r="D79" s="371">
        <v>-80</v>
      </c>
      <c r="E79" s="371">
        <v>-60</v>
      </c>
      <c r="F79" s="371">
        <v>64</v>
      </c>
      <c r="G79" s="371">
        <v>32</v>
      </c>
      <c r="I79" s="1" t="str">
        <f>'RELATIVE VALUATION'!B15</f>
        <v>HCL Technologies</v>
      </c>
      <c r="K79" s="1">
        <v>64.16</v>
      </c>
    </row>
    <row r="80" spans="2:15" x14ac:dyDescent="0.25">
      <c r="B80" s="369" t="s">
        <v>3208</v>
      </c>
      <c r="C80" s="371">
        <v>872</v>
      </c>
      <c r="D80" s="372">
        <v>1412</v>
      </c>
      <c r="E80" s="371">
        <v>861</v>
      </c>
      <c r="F80" s="371">
        <v>674</v>
      </c>
      <c r="G80" s="371">
        <v>536</v>
      </c>
      <c r="I80" s="1" t="str">
        <f>'RELATIVE VALUATION'!B16</f>
        <v>LTIMindtree</v>
      </c>
      <c r="K80" s="1">
        <v>177</v>
      </c>
    </row>
    <row r="81" spans="2:11" x14ac:dyDescent="0.25">
      <c r="B81" s="369" t="s">
        <v>3209</v>
      </c>
      <c r="C81" s="372">
        <v>50436</v>
      </c>
      <c r="D81" s="372">
        <v>66238</v>
      </c>
      <c r="E81" s="372">
        <v>77982</v>
      </c>
      <c r="F81" s="372">
        <v>77647</v>
      </c>
      <c r="G81" s="372">
        <v>75502</v>
      </c>
      <c r="I81" s="1" t="str">
        <f>'RELATIVE VALUATION'!B17</f>
        <v>Tech Mahindra</v>
      </c>
      <c r="K81" s="1">
        <v>48</v>
      </c>
    </row>
    <row r="82" spans="2:11" x14ac:dyDescent="0.25">
      <c r="B82" s="369" t="s">
        <v>3210</v>
      </c>
      <c r="C82" s="372">
        <v>13890</v>
      </c>
      <c r="D82" s="372">
        <v>15135</v>
      </c>
      <c r="E82" s="372">
        <v>14771</v>
      </c>
      <c r="F82" s="372">
        <v>14744</v>
      </c>
      <c r="G82" s="372">
        <v>17470</v>
      </c>
      <c r="I82" s="1" t="str">
        <f>'RELATIVE VALUATION'!B18</f>
        <v>Persistent Systems</v>
      </c>
      <c r="K82" s="1">
        <v>90.54</v>
      </c>
    </row>
    <row r="83" spans="2:11" x14ac:dyDescent="0.25">
      <c r="B83" s="369" t="s">
        <v>3211</v>
      </c>
      <c r="C83" s="371">
        <v>13</v>
      </c>
      <c r="D83" s="371">
        <v>6</v>
      </c>
      <c r="E83" s="371">
        <v>-6</v>
      </c>
      <c r="F83" s="371">
        <v>-23</v>
      </c>
      <c r="G83" s="371">
        <v>25</v>
      </c>
    </row>
    <row r="84" spans="2:11" x14ac:dyDescent="0.25">
      <c r="B84" s="369" t="s">
        <v>3212</v>
      </c>
      <c r="C84" s="372">
        <v>13903</v>
      </c>
      <c r="D84" s="372">
        <v>15141</v>
      </c>
      <c r="E84" s="372">
        <v>14766</v>
      </c>
      <c r="F84" s="372">
        <v>14721</v>
      </c>
      <c r="G84" s="372">
        <v>17496</v>
      </c>
    </row>
    <row r="85" spans="2:11" x14ac:dyDescent="0.25">
      <c r="B85" s="369" t="s">
        <v>3213</v>
      </c>
      <c r="C85" s="372">
        <v>3035</v>
      </c>
      <c r="D85" s="372">
        <v>2897</v>
      </c>
      <c r="E85" s="372">
        <v>3399</v>
      </c>
      <c r="F85" s="372">
        <v>3609</v>
      </c>
      <c r="G85" s="372">
        <v>4278</v>
      </c>
    </row>
    <row r="86" spans="2:11" x14ac:dyDescent="0.25">
      <c r="B86" s="369" t="s">
        <v>3214</v>
      </c>
      <c r="C86" s="372">
        <v>10868</v>
      </c>
      <c r="D86" s="372">
        <v>12243</v>
      </c>
      <c r="E86" s="372">
        <v>11367</v>
      </c>
      <c r="F86" s="372">
        <v>11112</v>
      </c>
      <c r="G86" s="372">
        <v>13218</v>
      </c>
    </row>
    <row r="87" spans="2:11" x14ac:dyDescent="0.25">
      <c r="B87" s="369" t="s">
        <v>3215</v>
      </c>
      <c r="C87" s="372">
        <v>6817</v>
      </c>
      <c r="D87" s="372">
        <v>11452</v>
      </c>
      <c r="E87" s="372">
        <v>10738</v>
      </c>
      <c r="F87" s="372">
        <v>7059</v>
      </c>
      <c r="G87" s="372">
        <v>4148</v>
      </c>
    </row>
    <row r="88" spans="2:11" x14ac:dyDescent="0.25">
      <c r="B88" s="369" t="s">
        <v>3216</v>
      </c>
      <c r="C88" s="372">
        <v>11549</v>
      </c>
      <c r="D88" s="372">
        <v>13389</v>
      </c>
      <c r="E88" s="372">
        <v>12440</v>
      </c>
      <c r="F88" s="372">
        <v>11818</v>
      </c>
      <c r="G88" s="372">
        <v>13633</v>
      </c>
    </row>
    <row r="89" spans="2:11" x14ac:dyDescent="0.25">
      <c r="B89" s="369" t="s">
        <v>3217</v>
      </c>
      <c r="C89" s="371">
        <v>19.11</v>
      </c>
      <c r="D89" s="371">
        <v>22.37</v>
      </c>
      <c r="E89" s="371">
        <v>20.73</v>
      </c>
      <c r="F89" s="371">
        <v>10.44</v>
      </c>
      <c r="G89" s="371">
        <v>12.56</v>
      </c>
    </row>
    <row r="90" spans="2:11" x14ac:dyDescent="0.25">
      <c r="B90" s="369" t="s">
        <v>3218</v>
      </c>
      <c r="C90" s="371">
        <v>19.07</v>
      </c>
      <c r="D90" s="371">
        <v>22.31</v>
      </c>
      <c r="E90" s="371">
        <v>20.68</v>
      </c>
      <c r="F90" s="371">
        <v>10.41</v>
      </c>
      <c r="G90" s="371">
        <v>12.52</v>
      </c>
    </row>
    <row r="93" spans="2:11" ht="15.6" x14ac:dyDescent="0.3">
      <c r="B93" s="945" t="s">
        <v>53</v>
      </c>
      <c r="C93" s="945"/>
      <c r="D93" s="945"/>
      <c r="E93" s="945"/>
      <c r="F93" s="945"/>
      <c r="G93" s="945"/>
    </row>
    <row r="95" spans="2:11" ht="15.6" x14ac:dyDescent="0.25">
      <c r="B95" s="394" t="s">
        <v>3137</v>
      </c>
      <c r="C95" s="395" t="s">
        <v>3138</v>
      </c>
      <c r="D95" s="395" t="s">
        <v>3139</v>
      </c>
      <c r="E95" s="395" t="s">
        <v>3140</v>
      </c>
      <c r="F95" s="395" t="s">
        <v>3141</v>
      </c>
      <c r="G95" s="396" t="s">
        <v>3142</v>
      </c>
    </row>
    <row r="96" spans="2:11" ht="15.6" x14ac:dyDescent="0.25">
      <c r="B96" s="377" t="s">
        <v>233</v>
      </c>
      <c r="C96" s="378"/>
      <c r="D96" s="378"/>
      <c r="E96" s="378"/>
      <c r="F96" s="378"/>
      <c r="G96" s="379"/>
    </row>
    <row r="97" spans="2:9" x14ac:dyDescent="0.25">
      <c r="B97" s="380" t="s">
        <v>3219</v>
      </c>
      <c r="C97" s="381">
        <v>10868</v>
      </c>
      <c r="D97" s="381">
        <v>12243</v>
      </c>
      <c r="E97" s="381">
        <v>11367</v>
      </c>
      <c r="F97" s="381">
        <v>11112</v>
      </c>
      <c r="G97" s="382">
        <v>13218</v>
      </c>
    </row>
    <row r="98" spans="2:9" x14ac:dyDescent="0.25">
      <c r="B98" s="383" t="s">
        <v>3198</v>
      </c>
      <c r="C98" s="384">
        <v>2763</v>
      </c>
      <c r="D98" s="384">
        <v>3078</v>
      </c>
      <c r="E98" s="384">
        <v>3340</v>
      </c>
      <c r="F98" s="384">
        <v>3407</v>
      </c>
      <c r="G98" s="385">
        <v>2958</v>
      </c>
    </row>
    <row r="99" spans="2:9" x14ac:dyDescent="0.25">
      <c r="B99" s="380" t="s">
        <v>3220</v>
      </c>
      <c r="C99" s="386">
        <v>231</v>
      </c>
      <c r="D99" s="386">
        <v>411</v>
      </c>
      <c r="E99" s="386">
        <v>397</v>
      </c>
      <c r="F99" s="386">
        <v>558</v>
      </c>
      <c r="G99" s="387">
        <v>555</v>
      </c>
    </row>
    <row r="100" spans="2:9" x14ac:dyDescent="0.25">
      <c r="B100" s="383" t="s">
        <v>3221</v>
      </c>
      <c r="C100" s="384">
        <v>-1661</v>
      </c>
      <c r="D100" s="378">
        <v>-945</v>
      </c>
      <c r="E100" s="378">
        <v>-811</v>
      </c>
      <c r="F100" s="384">
        <v>-1134</v>
      </c>
      <c r="G100" s="385">
        <v>-2343</v>
      </c>
      <c r="H100" s="172"/>
    </row>
    <row r="101" spans="2:9" x14ac:dyDescent="0.25">
      <c r="B101" s="380" t="s">
        <v>3222</v>
      </c>
      <c r="C101" s="381">
        <v>3035</v>
      </c>
      <c r="D101" s="381">
        <v>2897</v>
      </c>
      <c r="E101" s="381">
        <v>3399</v>
      </c>
      <c r="F101" s="381">
        <v>3609</v>
      </c>
      <c r="G101" s="382">
        <v>4278</v>
      </c>
    </row>
    <row r="102" spans="2:9" x14ac:dyDescent="0.25">
      <c r="B102" s="383" t="s">
        <v>3223</v>
      </c>
      <c r="C102" s="384">
        <v>2493</v>
      </c>
      <c r="D102" s="384">
        <v>-2089</v>
      </c>
      <c r="E102" s="384">
        <v>-1228</v>
      </c>
      <c r="F102" s="384">
        <v>1823</v>
      </c>
      <c r="G102" s="385">
        <v>2527</v>
      </c>
    </row>
    <row r="103" spans="2:9" ht="15.6" x14ac:dyDescent="0.25">
      <c r="B103" s="388" t="s">
        <v>3224</v>
      </c>
      <c r="C103" s="389">
        <v>17265</v>
      </c>
      <c r="D103" s="389">
        <v>13648</v>
      </c>
      <c r="E103" s="389">
        <v>16082</v>
      </c>
      <c r="F103" s="389">
        <v>19158</v>
      </c>
      <c r="G103" s="390">
        <v>19560</v>
      </c>
    </row>
    <row r="104" spans="2:9" x14ac:dyDescent="0.25">
      <c r="B104" s="383" t="s">
        <v>3225</v>
      </c>
      <c r="C104" s="384">
        <v>-2492</v>
      </c>
      <c r="D104" s="384">
        <v>-2569</v>
      </c>
      <c r="E104" s="384">
        <v>-3022</v>
      </c>
      <c r="F104" s="384">
        <v>-1536</v>
      </c>
      <c r="G104" s="385">
        <v>-2618</v>
      </c>
    </row>
    <row r="105" spans="2:9" ht="15.6" x14ac:dyDescent="0.25">
      <c r="B105" s="391" t="s">
        <v>3226</v>
      </c>
      <c r="C105" s="392">
        <v>14755</v>
      </c>
      <c r="D105" s="392">
        <v>11079</v>
      </c>
      <c r="E105" s="392">
        <v>13060</v>
      </c>
      <c r="F105" s="392">
        <v>17622</v>
      </c>
      <c r="G105" s="393">
        <v>16943</v>
      </c>
      <c r="I105" s="172"/>
    </row>
    <row r="106" spans="2:9" ht="15.6" x14ac:dyDescent="0.25">
      <c r="B106" s="376" t="s">
        <v>234</v>
      </c>
      <c r="C106" s="372"/>
      <c r="D106" s="371"/>
      <c r="E106" s="371"/>
      <c r="F106" s="371"/>
      <c r="G106" s="371"/>
    </row>
    <row r="107" spans="2:9" x14ac:dyDescent="0.25">
      <c r="B107" s="375" t="s">
        <v>3227</v>
      </c>
      <c r="C107" s="372">
        <v>-1958</v>
      </c>
      <c r="D107" s="372">
        <v>-2015</v>
      </c>
      <c r="E107" s="372">
        <v>-1483</v>
      </c>
      <c r="F107" s="372">
        <v>-1051</v>
      </c>
      <c r="G107" s="372">
        <v>-1474</v>
      </c>
    </row>
    <row r="108" spans="2:9" x14ac:dyDescent="0.25">
      <c r="B108" s="375" t="s">
        <v>3228</v>
      </c>
      <c r="C108" s="372">
        <v>-11723</v>
      </c>
      <c r="D108" s="372">
        <v>-1015486</v>
      </c>
      <c r="E108" s="372">
        <v>-80683</v>
      </c>
      <c r="F108" s="372">
        <v>-97507</v>
      </c>
      <c r="G108" s="372">
        <v>-80158</v>
      </c>
    </row>
    <row r="109" spans="2:9" x14ac:dyDescent="0.25">
      <c r="B109" s="375" t="s">
        <v>3229</v>
      </c>
      <c r="C109" s="372">
        <v>11891</v>
      </c>
      <c r="D109" s="372">
        <v>95374</v>
      </c>
      <c r="E109" s="372">
        <v>74089</v>
      </c>
      <c r="F109" s="372">
        <v>97860</v>
      </c>
      <c r="G109" s="372">
        <v>70652</v>
      </c>
    </row>
    <row r="110" spans="2:9" x14ac:dyDescent="0.25">
      <c r="B110" s="375" t="s">
        <v>3230</v>
      </c>
      <c r="C110" s="371">
        <v>-987</v>
      </c>
      <c r="D110" s="372">
        <v>-12985</v>
      </c>
      <c r="E110" s="372">
        <v>-4556</v>
      </c>
      <c r="F110" s="372">
        <v>-5291</v>
      </c>
      <c r="G110" s="371">
        <v>-96</v>
      </c>
    </row>
    <row r="111" spans="2:9" x14ac:dyDescent="0.25">
      <c r="B111" s="375" t="s">
        <v>65</v>
      </c>
      <c r="C111" s="372">
        <v>1962</v>
      </c>
      <c r="D111" s="372">
        <v>1227</v>
      </c>
      <c r="E111" s="372">
        <v>1411</v>
      </c>
      <c r="F111" s="372">
        <v>2011</v>
      </c>
      <c r="G111" s="372">
        <v>2621</v>
      </c>
    </row>
    <row r="112" spans="2:9" x14ac:dyDescent="0.25">
      <c r="B112" s="375" t="s">
        <v>3231</v>
      </c>
      <c r="C112" s="371">
        <v>0.4</v>
      </c>
      <c r="D112" s="371">
        <v>0.2</v>
      </c>
      <c r="E112" s="371">
        <v>0.3</v>
      </c>
      <c r="F112" s="371">
        <v>0.3</v>
      </c>
      <c r="G112" s="371">
        <v>0.23</v>
      </c>
    </row>
    <row r="113" spans="2:7" ht="15.6" x14ac:dyDescent="0.25">
      <c r="B113" s="376" t="s">
        <v>3232</v>
      </c>
      <c r="C113" s="370">
        <v>774</v>
      </c>
      <c r="D113" s="373">
        <v>-22449</v>
      </c>
      <c r="E113" s="373">
        <v>-8406</v>
      </c>
      <c r="F113" s="373">
        <v>1168</v>
      </c>
      <c r="G113" s="373">
        <v>-8073</v>
      </c>
    </row>
    <row r="114" spans="2:7" ht="15.6" x14ac:dyDescent="0.25">
      <c r="B114" s="376" t="s">
        <v>235</v>
      </c>
      <c r="C114" s="371"/>
      <c r="D114" s="371"/>
      <c r="E114" s="371"/>
      <c r="F114" s="371"/>
      <c r="G114" s="371"/>
    </row>
    <row r="115" spans="2:7" x14ac:dyDescent="0.25">
      <c r="B115" s="375" t="s">
        <v>74</v>
      </c>
      <c r="C115" s="372">
        <v>10342</v>
      </c>
      <c r="D115" s="372">
        <v>26012</v>
      </c>
      <c r="E115" s="372">
        <v>16103</v>
      </c>
      <c r="F115" s="372">
        <v>12050</v>
      </c>
      <c r="G115" s="372">
        <v>19559</v>
      </c>
    </row>
    <row r="116" spans="2:7" x14ac:dyDescent="0.25">
      <c r="B116" s="375" t="s">
        <v>75</v>
      </c>
      <c r="C116" s="372">
        <v>-9721</v>
      </c>
      <c r="D116" s="372">
        <v>-19181</v>
      </c>
      <c r="E116" s="372">
        <v>-16891</v>
      </c>
      <c r="F116" s="372">
        <v>-13056</v>
      </c>
      <c r="G116" s="372">
        <v>-17763</v>
      </c>
    </row>
    <row r="117" spans="2:7" x14ac:dyDescent="0.25">
      <c r="B117" s="375" t="s">
        <v>3233</v>
      </c>
      <c r="C117" s="371">
        <v>-866</v>
      </c>
      <c r="D117" s="371">
        <v>-973</v>
      </c>
      <c r="E117" s="371">
        <v>-971</v>
      </c>
      <c r="F117" s="372">
        <v>-1006</v>
      </c>
      <c r="G117" s="372">
        <v>-1047</v>
      </c>
    </row>
    <row r="118" spans="2:7" x14ac:dyDescent="0.25">
      <c r="B118" s="375" t="s">
        <v>3234</v>
      </c>
      <c r="C118" s="371">
        <v>-333</v>
      </c>
      <c r="D118" s="371">
        <v>-509</v>
      </c>
      <c r="E118" s="371">
        <v>-870</v>
      </c>
      <c r="F118" s="372">
        <v>-1046</v>
      </c>
      <c r="G118" s="371">
        <v>-888</v>
      </c>
    </row>
    <row r="119" spans="2:7" x14ac:dyDescent="0.25">
      <c r="B119" s="375" t="s">
        <v>3235</v>
      </c>
      <c r="C119" s="371">
        <v>-546</v>
      </c>
      <c r="D119" s="371">
        <v>-547</v>
      </c>
      <c r="E119" s="372">
        <v>-3281</v>
      </c>
      <c r="F119" s="371">
        <v>-522</v>
      </c>
      <c r="G119" s="372">
        <v>-6275</v>
      </c>
    </row>
    <row r="120" spans="2:7" x14ac:dyDescent="0.25">
      <c r="B120" s="375" t="s">
        <v>3236</v>
      </c>
      <c r="C120" s="371" t="s">
        <v>3202</v>
      </c>
      <c r="D120" s="371" t="s">
        <v>3202</v>
      </c>
      <c r="E120" s="371" t="s">
        <v>3202</v>
      </c>
      <c r="F120" s="372">
        <v>-14517</v>
      </c>
      <c r="G120" s="371" t="s">
        <v>3202</v>
      </c>
    </row>
    <row r="121" spans="2:7" ht="15.6" x14ac:dyDescent="0.25">
      <c r="B121" s="376" t="s">
        <v>3237</v>
      </c>
      <c r="C121" s="373">
        <v>-1288</v>
      </c>
      <c r="D121" s="373">
        <v>4659</v>
      </c>
      <c r="E121" s="373">
        <v>-6088</v>
      </c>
      <c r="F121" s="373">
        <v>-18257</v>
      </c>
      <c r="G121" s="373">
        <v>-6396</v>
      </c>
    </row>
    <row r="122" spans="2:7" ht="15.6" x14ac:dyDescent="0.25">
      <c r="B122" s="376" t="s">
        <v>3238</v>
      </c>
      <c r="C122" s="372">
        <v>2645</v>
      </c>
      <c r="D122" s="372">
        <v>-6711</v>
      </c>
      <c r="E122" s="372">
        <v>-1435</v>
      </c>
      <c r="F122" s="371">
        <v>533</v>
      </c>
      <c r="G122" s="372">
        <v>2474</v>
      </c>
    </row>
    <row r="123" spans="2:7" x14ac:dyDescent="0.25">
      <c r="B123" s="375" t="s">
        <v>3239</v>
      </c>
      <c r="C123" s="372">
        <v>14410</v>
      </c>
      <c r="D123" s="372">
        <v>16966</v>
      </c>
      <c r="E123" s="372">
        <v>10383</v>
      </c>
      <c r="F123" s="372">
        <v>9186</v>
      </c>
      <c r="G123" s="372">
        <v>9695</v>
      </c>
    </row>
    <row r="124" spans="2:7" x14ac:dyDescent="0.25">
      <c r="B124" s="375" t="s">
        <v>3240</v>
      </c>
      <c r="C124" s="371">
        <v>-89</v>
      </c>
      <c r="D124" s="371">
        <v>128</v>
      </c>
      <c r="E124" s="371">
        <v>237</v>
      </c>
      <c r="F124" s="371">
        <v>-24</v>
      </c>
      <c r="G124" s="371">
        <v>29</v>
      </c>
    </row>
    <row r="125" spans="2:7" ht="15.6" x14ac:dyDescent="0.25">
      <c r="B125" s="376" t="s">
        <v>3241</v>
      </c>
      <c r="C125" s="373">
        <v>16966</v>
      </c>
      <c r="D125" s="373">
        <v>10383</v>
      </c>
      <c r="E125" s="373">
        <v>9186</v>
      </c>
      <c r="F125" s="373">
        <v>9695</v>
      </c>
      <c r="G125" s="373">
        <v>12197</v>
      </c>
    </row>
  </sheetData>
  <mergeCells count="3">
    <mergeCell ref="B93:G93"/>
    <mergeCell ref="B59:G59"/>
    <mergeCell ref="B3:G3"/>
  </mergeCells>
  <phoneticPr fontId="39" type="noConversion"/>
  <printOptions horizontalCentered="1"/>
  <pageMargins left="0" right="0" top="0" bottom="0" header="0" footer="0"/>
  <pageSetup scale="31" orientation="landscape" horizontalDpi="1200" verticalDpi="1200"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A7C0A-B725-4A8E-ACFB-BD1EAFC1AD1B}">
  <sheetPr>
    <pageSetUpPr fitToPage="1"/>
  </sheetPr>
  <dimension ref="B1:Q73"/>
  <sheetViews>
    <sheetView tabSelected="1" zoomScale="70" zoomScaleNormal="70" workbookViewId="0"/>
  </sheetViews>
  <sheetFormatPr defaultColWidth="15.77734375" defaultRowHeight="13.8" x14ac:dyDescent="0.25"/>
  <cols>
    <col min="1" max="1" width="2" style="241" customWidth="1"/>
    <col min="2" max="2" width="44.77734375" style="241" customWidth="1"/>
    <col min="3" max="7" width="15.77734375" style="241"/>
    <col min="8" max="9" width="2" style="241" customWidth="1"/>
    <col min="10" max="16384" width="15.77734375" style="241"/>
  </cols>
  <sheetData>
    <row r="1" spans="2:17" ht="13.8" customHeight="1" x14ac:dyDescent="0.25">
      <c r="B1" s="974" t="s">
        <v>3336</v>
      </c>
      <c r="C1" s="975" t="s">
        <v>3381</v>
      </c>
      <c r="D1" s="975"/>
      <c r="E1" s="975"/>
      <c r="F1" s="975"/>
      <c r="G1" s="975"/>
      <c r="H1" s="975"/>
      <c r="I1" s="975"/>
      <c r="J1" s="975"/>
      <c r="K1" s="975"/>
      <c r="L1" s="975"/>
      <c r="M1" s="187"/>
      <c r="N1" s="187"/>
      <c r="O1" s="187"/>
      <c r="P1" s="187"/>
      <c r="Q1" s="187"/>
    </row>
    <row r="2" spans="2:17" ht="15" customHeight="1" x14ac:dyDescent="0.25">
      <c r="B2" s="974"/>
      <c r="C2" s="975"/>
      <c r="D2" s="975"/>
      <c r="E2" s="975"/>
      <c r="F2" s="975"/>
      <c r="G2" s="975"/>
      <c r="H2" s="975"/>
      <c r="I2" s="975"/>
      <c r="J2" s="975"/>
      <c r="K2" s="975"/>
      <c r="L2" s="975"/>
      <c r="M2" s="187"/>
      <c r="N2" s="187"/>
      <c r="O2" s="187"/>
      <c r="P2" s="187"/>
      <c r="Q2" s="187"/>
    </row>
    <row r="3" spans="2:17" ht="24.6" customHeight="1" x14ac:dyDescent="0.25">
      <c r="B3" s="974"/>
      <c r="C3" s="975"/>
      <c r="D3" s="975"/>
      <c r="E3" s="975"/>
      <c r="F3" s="975"/>
      <c r="G3" s="975"/>
      <c r="H3" s="975"/>
      <c r="I3" s="975"/>
      <c r="J3" s="975"/>
      <c r="K3" s="975"/>
      <c r="L3" s="975"/>
      <c r="M3" s="187"/>
      <c r="N3" s="187"/>
      <c r="O3" s="187"/>
      <c r="P3" s="187"/>
      <c r="Q3" s="187"/>
    </row>
    <row r="5" spans="2:17" ht="13.8" customHeight="1" x14ac:dyDescent="0.25">
      <c r="B5" s="684"/>
      <c r="C5" s="976" t="s">
        <v>3382</v>
      </c>
      <c r="D5" s="976"/>
      <c r="E5" s="976"/>
      <c r="F5" s="976"/>
      <c r="G5" s="976"/>
      <c r="H5" s="976"/>
      <c r="I5" s="976"/>
      <c r="J5" s="976"/>
      <c r="K5" s="976"/>
      <c r="L5" s="977"/>
    </row>
    <row r="6" spans="2:17" ht="13.8" customHeight="1" x14ac:dyDescent="0.25">
      <c r="B6" s="675"/>
      <c r="C6" s="978"/>
      <c r="D6" s="978"/>
      <c r="E6" s="978"/>
      <c r="F6" s="978"/>
      <c r="G6" s="978"/>
      <c r="H6" s="978"/>
      <c r="I6" s="978"/>
      <c r="J6" s="978"/>
      <c r="K6" s="978"/>
      <c r="L6" s="979"/>
    </row>
    <row r="7" spans="2:17" ht="13.8" customHeight="1" x14ac:dyDescent="0.25">
      <c r="B7" s="675"/>
      <c r="C7" s="978"/>
      <c r="D7" s="978"/>
      <c r="E7" s="978"/>
      <c r="F7" s="978"/>
      <c r="G7" s="978"/>
      <c r="H7" s="978"/>
      <c r="I7" s="978"/>
      <c r="J7" s="978"/>
      <c r="K7" s="978"/>
      <c r="L7" s="979"/>
    </row>
    <row r="8" spans="2:17" ht="13.8" customHeight="1" x14ac:dyDescent="0.25">
      <c r="B8" s="675"/>
      <c r="C8" s="978"/>
      <c r="D8" s="978"/>
      <c r="E8" s="978"/>
      <c r="F8" s="978"/>
      <c r="G8" s="978"/>
      <c r="H8" s="978"/>
      <c r="I8" s="978"/>
      <c r="J8" s="978"/>
      <c r="K8" s="978"/>
      <c r="L8" s="979"/>
    </row>
    <row r="9" spans="2:17" ht="13.8" customHeight="1" x14ac:dyDescent="0.25">
      <c r="B9" s="675"/>
      <c r="C9" s="978"/>
      <c r="D9" s="978"/>
      <c r="E9" s="978"/>
      <c r="F9" s="978"/>
      <c r="G9" s="978"/>
      <c r="H9" s="978"/>
      <c r="I9" s="978"/>
      <c r="J9" s="978"/>
      <c r="K9" s="978"/>
      <c r="L9" s="979"/>
    </row>
    <row r="10" spans="2:17" ht="13.8" customHeight="1" x14ac:dyDescent="0.25">
      <c r="B10" s="675"/>
      <c r="C10" s="978"/>
      <c r="D10" s="978"/>
      <c r="E10" s="978"/>
      <c r="F10" s="978"/>
      <c r="G10" s="978"/>
      <c r="H10" s="978"/>
      <c r="I10" s="978"/>
      <c r="J10" s="978"/>
      <c r="K10" s="978"/>
      <c r="L10" s="979"/>
    </row>
    <row r="11" spans="2:17" ht="13.8" customHeight="1" x14ac:dyDescent="0.25">
      <c r="B11" s="675"/>
      <c r="C11" s="978"/>
      <c r="D11" s="978"/>
      <c r="E11" s="978"/>
      <c r="F11" s="978"/>
      <c r="G11" s="978"/>
      <c r="H11" s="978"/>
      <c r="I11" s="978"/>
      <c r="J11" s="978"/>
      <c r="K11" s="978"/>
      <c r="L11" s="979"/>
    </row>
    <row r="12" spans="2:17" ht="13.8" customHeight="1" x14ac:dyDescent="0.25">
      <c r="B12" s="675"/>
      <c r="C12" s="978"/>
      <c r="D12" s="978"/>
      <c r="E12" s="978"/>
      <c r="F12" s="978"/>
      <c r="G12" s="978"/>
      <c r="H12" s="978"/>
      <c r="I12" s="978"/>
      <c r="J12" s="978"/>
      <c r="K12" s="978"/>
      <c r="L12" s="979"/>
    </row>
    <row r="13" spans="2:17" x14ac:dyDescent="0.25">
      <c r="B13" s="685"/>
      <c r="C13" s="980"/>
      <c r="D13" s="980"/>
      <c r="E13" s="980"/>
      <c r="F13" s="980"/>
      <c r="G13" s="980"/>
      <c r="H13" s="980"/>
      <c r="I13" s="980"/>
      <c r="J13" s="980"/>
      <c r="K13" s="980"/>
      <c r="L13" s="981"/>
    </row>
    <row r="15" spans="2:17" ht="13.8" customHeight="1" x14ac:dyDescent="0.25">
      <c r="B15" s="971" t="s">
        <v>3383</v>
      </c>
      <c r="C15" s="946">
        <v>44276</v>
      </c>
      <c r="D15" s="946">
        <f>EDATE(C15,12)</f>
        <v>44641</v>
      </c>
      <c r="E15" s="946">
        <f t="shared" ref="E15:G15" si="0">EDATE(D15,12)</f>
        <v>45006</v>
      </c>
      <c r="F15" s="946">
        <f t="shared" si="0"/>
        <v>45372</v>
      </c>
      <c r="G15" s="946">
        <f t="shared" si="0"/>
        <v>45737</v>
      </c>
      <c r="H15" s="666"/>
      <c r="J15" s="947" t="s">
        <v>3401</v>
      </c>
      <c r="K15" s="947"/>
      <c r="L15" s="947"/>
    </row>
    <row r="16" spans="2:17" ht="13.8" customHeight="1" x14ac:dyDescent="0.25">
      <c r="B16" s="971"/>
      <c r="C16" s="946"/>
      <c r="D16" s="946"/>
      <c r="E16" s="946"/>
      <c r="F16" s="946"/>
      <c r="G16" s="946"/>
      <c r="H16" s="666"/>
      <c r="J16" s="947"/>
      <c r="K16" s="947"/>
      <c r="L16" s="947"/>
    </row>
    <row r="17" spans="2:12" x14ac:dyDescent="0.25">
      <c r="H17" s="666"/>
    </row>
    <row r="18" spans="2:12" ht="15" x14ac:dyDescent="0.25">
      <c r="B18" s="229" t="s">
        <v>3384</v>
      </c>
      <c r="C18" s="229">
        <f>'PROFIT &amp; LOSS'!D10</f>
        <v>64625</v>
      </c>
      <c r="D18" s="229">
        <f>'PROFIT &amp; LOSS'!E10</f>
        <v>81590</v>
      </c>
      <c r="E18" s="229">
        <f>'PROFIT &amp; LOSS'!F10</f>
        <v>93201</v>
      </c>
      <c r="F18" s="229">
        <f>'PROFIT &amp; LOSS'!G10</f>
        <v>92425</v>
      </c>
      <c r="G18" s="234">
        <f>'PROFIT &amp; LOSS'!H10</f>
        <v>92972</v>
      </c>
      <c r="H18" s="666"/>
      <c r="J18" s="684"/>
      <c r="K18" s="682"/>
      <c r="L18" s="683"/>
    </row>
    <row r="19" spans="2:12" ht="15" x14ac:dyDescent="0.25">
      <c r="B19" s="230" t="s">
        <v>3385</v>
      </c>
      <c r="C19" s="485" t="str">
        <f>'COMMON SIZE STATEMENT'!K9</f>
        <v>N/A</v>
      </c>
      <c r="D19" s="485">
        <f>'COMMON SIZE STATEMENT'!L9</f>
        <v>0.27771797631862216</v>
      </c>
      <c r="E19" s="485">
        <f>'COMMON SIZE STATEMENT'!M9</f>
        <v>0.14341938160922441</v>
      </c>
      <c r="F19" s="485">
        <f>'COMMON SIZE STATEMENT'!N9</f>
        <v>-1.254742398416453E-2</v>
      </c>
      <c r="G19" s="681">
        <f>'COMMON SIZE STATEMENT'!O9</f>
        <v>-7.8624406975966732E-3</v>
      </c>
      <c r="H19" s="666"/>
      <c r="J19" s="675"/>
      <c r="L19" s="666"/>
    </row>
    <row r="20" spans="2:12" ht="15" x14ac:dyDescent="0.25">
      <c r="B20" s="230" t="s">
        <v>3387</v>
      </c>
      <c r="C20" s="261">
        <f>'COMMON SIZE STATEMENT'!D12</f>
        <v>0.32572337451600986</v>
      </c>
      <c r="D20" s="261">
        <f>'COMMON SIZE STATEMENT'!E12</f>
        <v>0.28314199851626448</v>
      </c>
      <c r="E20" s="261">
        <f>'COMMON SIZE STATEMENT'!F12</f>
        <v>0.28480782976851599</v>
      </c>
      <c r="F20" s="261">
        <f>'COMMON SIZE STATEMENT'!G12</f>
        <v>0.28203443437200704</v>
      </c>
      <c r="G20" s="246">
        <f>'COMMON SIZE STATEMENT'!H12</f>
        <v>0.31076014727011492</v>
      </c>
      <c r="H20" s="666"/>
      <c r="J20" s="675"/>
      <c r="L20" s="666"/>
    </row>
    <row r="21" spans="2:12" ht="15" x14ac:dyDescent="0.25">
      <c r="B21" s="230" t="s">
        <v>3386</v>
      </c>
      <c r="C21" s="261">
        <f>'COMMON SIZE STATEMENT'!D16</f>
        <v>0.22745067698259189</v>
      </c>
      <c r="D21" s="261">
        <f>'COMMON SIZE STATEMENT'!E16</f>
        <v>0.17791396004412305</v>
      </c>
      <c r="E21" s="261">
        <f>'COMMON SIZE STATEMENT'!F16</f>
        <v>0.17467623737942725</v>
      </c>
      <c r="F21" s="261">
        <f>'COMMON SIZE STATEMENT'!G16</f>
        <v>0.17345956180687044</v>
      </c>
      <c r="G21" s="246">
        <f>'COMMON SIZE STATEMENT'!H16</f>
        <v>0.20378178376285333</v>
      </c>
      <c r="H21" s="666"/>
      <c r="J21" s="675"/>
      <c r="L21" s="666"/>
    </row>
    <row r="22" spans="2:12" ht="15" x14ac:dyDescent="0.25">
      <c r="B22" s="230" t="s">
        <v>3388</v>
      </c>
      <c r="C22" s="261">
        <f>'COMMON SIZE STATEMENT'!D20</f>
        <v>0.17261121856866538</v>
      </c>
      <c r="D22" s="261">
        <f>'COMMON SIZE STATEMENT'!E20</f>
        <v>0.13584998161539405</v>
      </c>
      <c r="E22" s="261">
        <f>'COMMON SIZE STATEMENT'!F20</f>
        <v>0.1266510015986953</v>
      </c>
      <c r="F22" s="261">
        <f>'COMMON SIZE STATEMENT'!G20</f>
        <v>0.12083310792534488</v>
      </c>
      <c r="G22" s="246">
        <f>'COMMON SIZE STATEMENT'!H20</f>
        <v>0.14188142666609302</v>
      </c>
      <c r="H22" s="666"/>
      <c r="J22" s="675"/>
      <c r="L22" s="666"/>
    </row>
    <row r="23" spans="2:12" ht="15" x14ac:dyDescent="0.25">
      <c r="B23" s="230" t="s">
        <v>107</v>
      </c>
      <c r="C23" s="288">
        <f>'PROFIT &amp; LOSS'!D42</f>
        <v>19.07</v>
      </c>
      <c r="D23" s="288">
        <f>'PROFIT &amp; LOSS'!E42</f>
        <v>22.31</v>
      </c>
      <c r="E23" s="288">
        <f>'PROFIT &amp; LOSS'!F42</f>
        <v>20.68</v>
      </c>
      <c r="F23" s="288">
        <f>'PROFIT &amp; LOSS'!G42</f>
        <v>10.41</v>
      </c>
      <c r="G23" s="263">
        <f>'PROFIT &amp; LOSS'!H42</f>
        <v>12.52</v>
      </c>
      <c r="H23" s="666"/>
      <c r="J23" s="675"/>
      <c r="L23" s="666"/>
    </row>
    <row r="24" spans="2:12" ht="15" x14ac:dyDescent="0.25">
      <c r="B24" s="230" t="s">
        <v>3389</v>
      </c>
      <c r="C24" s="294" t="s">
        <v>122</v>
      </c>
      <c r="D24" s="261">
        <f>'PROFIT &amp; LOSS'!E42/'PROFIT &amp; LOSS'!D42-1</f>
        <v>0.16990036706869427</v>
      </c>
      <c r="E24" s="261">
        <f>'PROFIT &amp; LOSS'!F42/'PROFIT &amp; LOSS'!E42-1</f>
        <v>-7.3061407440609516E-2</v>
      </c>
      <c r="F24" s="261">
        <f>'PROFIT &amp; LOSS'!G42/'PROFIT &amp; LOSS'!F42-1</f>
        <v>-0.49661508704061896</v>
      </c>
      <c r="G24" s="246">
        <f>'PROFIT &amp; LOSS'!H42/'PROFIT &amp; LOSS'!G42-1</f>
        <v>0.20268972142170982</v>
      </c>
      <c r="H24" s="666"/>
      <c r="J24" s="675"/>
      <c r="L24" s="666"/>
    </row>
    <row r="25" spans="2:12" ht="15" x14ac:dyDescent="0.25">
      <c r="B25" s="230" t="s">
        <v>3390</v>
      </c>
      <c r="C25" s="288">
        <f>'PROFIT &amp; LOSS'!D44/'PROFIT &amp; LOSS'!D41</f>
        <v>0.52055029602722869</v>
      </c>
      <c r="D25" s="288">
        <f>'PROFIT &amp; LOSS'!E44/'PROFIT &amp; LOSS'!E41</f>
        <v>0.51548334809732921</v>
      </c>
      <c r="E25" s="288">
        <f>'PROFIT &amp; LOSS'!F44/'PROFIT &amp; LOSS'!F41</f>
        <v>5.9774093641829111</v>
      </c>
      <c r="F25" s="288">
        <f>'PROFIT &amp; LOSS'!G44/'PROFIT &amp; LOSS'!G41</f>
        <v>0.95218985425293223</v>
      </c>
      <c r="G25" s="263">
        <f>'PROFIT &amp; LOSS'!H44/'PROFIT &amp; LOSS'!H41</f>
        <v>11.083243548757441</v>
      </c>
      <c r="H25" s="666"/>
      <c r="J25" s="675"/>
      <c r="L25" s="666"/>
    </row>
    <row r="26" spans="2:12" ht="15" x14ac:dyDescent="0.25">
      <c r="B26" s="231" t="s">
        <v>3391</v>
      </c>
      <c r="C26" s="295" t="s">
        <v>122</v>
      </c>
      <c r="D26" s="262">
        <f>D25/C25-1</f>
        <v>-9.7338296963228599E-3</v>
      </c>
      <c r="E26" s="262">
        <f t="shared" ref="E26:G26" si="1">E25/D25-1</f>
        <v>10.59573706162533</v>
      </c>
      <c r="F26" s="262">
        <f t="shared" si="1"/>
        <v>-0.84070191679383277</v>
      </c>
      <c r="G26" s="247">
        <f t="shared" si="1"/>
        <v>10.639741275602139</v>
      </c>
      <c r="H26" s="666"/>
      <c r="J26" s="685"/>
      <c r="K26" s="665"/>
      <c r="L26" s="674"/>
    </row>
    <row r="27" spans="2:12" ht="15" x14ac:dyDescent="0.25">
      <c r="B27" s="297"/>
      <c r="C27" s="297"/>
      <c r="D27" s="297"/>
      <c r="E27" s="297"/>
      <c r="F27" s="297"/>
      <c r="G27" s="297"/>
      <c r="H27" s="665"/>
      <c r="I27" s="665"/>
      <c r="J27" s="665"/>
      <c r="K27" s="665"/>
      <c r="L27" s="665"/>
    </row>
    <row r="28" spans="2:12" ht="15" x14ac:dyDescent="0.25">
      <c r="B28" s="1"/>
      <c r="C28" s="1"/>
      <c r="D28" s="1"/>
      <c r="E28" s="1"/>
      <c r="F28" s="1"/>
      <c r="G28" s="1"/>
    </row>
    <row r="29" spans="2:12" x14ac:dyDescent="0.25">
      <c r="B29" s="971" t="s">
        <v>3392</v>
      </c>
      <c r="C29" s="946">
        <v>44276</v>
      </c>
      <c r="D29" s="946">
        <f>EDATE(C29,12)</f>
        <v>44641</v>
      </c>
      <c r="E29" s="946">
        <f t="shared" ref="E29:G29" si="2">EDATE(D29,12)</f>
        <v>45006</v>
      </c>
      <c r="F29" s="946">
        <f t="shared" si="2"/>
        <v>45372</v>
      </c>
      <c r="G29" s="946">
        <f t="shared" si="2"/>
        <v>45737</v>
      </c>
      <c r="H29" s="666"/>
      <c r="I29" s="675"/>
      <c r="J29" s="947" t="s">
        <v>3396</v>
      </c>
      <c r="K29" s="947"/>
      <c r="L29" s="947"/>
    </row>
    <row r="30" spans="2:12" x14ac:dyDescent="0.25">
      <c r="B30" s="971"/>
      <c r="C30" s="946"/>
      <c r="D30" s="946"/>
      <c r="E30" s="946"/>
      <c r="F30" s="946"/>
      <c r="G30" s="946"/>
      <c r="H30" s="666"/>
      <c r="I30" s="675"/>
      <c r="J30" s="947"/>
      <c r="K30" s="947"/>
      <c r="L30" s="947"/>
    </row>
    <row r="31" spans="2:12" x14ac:dyDescent="0.25">
      <c r="C31" s="253"/>
      <c r="D31" s="253"/>
      <c r="E31" s="253"/>
      <c r="F31" s="253"/>
      <c r="G31" s="253"/>
      <c r="H31" s="666"/>
      <c r="I31" s="675"/>
    </row>
    <row r="32" spans="2:12" ht="15" x14ac:dyDescent="0.25">
      <c r="B32" s="229" t="s">
        <v>477</v>
      </c>
      <c r="C32" s="691">
        <f>'RATIO ANALYSIS'!C46</f>
        <v>10.015731515469323</v>
      </c>
      <c r="D32" s="691">
        <f>'RATIO ANALYSIS'!D46</f>
        <v>13.265351860152398</v>
      </c>
      <c r="E32" s="691">
        <f>'RATIO ANALYSIS'!E46</f>
        <v>8.8646034816247585</v>
      </c>
      <c r="F32" s="691">
        <f>'RATIO ANALYSIS'!F46</f>
        <v>23.296829971181555</v>
      </c>
      <c r="G32" s="691">
        <f>'RATIO ANALYSIS'!G46</f>
        <v>19.672523961661344</v>
      </c>
      <c r="H32" s="666"/>
      <c r="I32" s="675"/>
      <c r="J32" s="684"/>
      <c r="K32" s="682"/>
      <c r="L32" s="683"/>
    </row>
    <row r="33" spans="2:12" ht="15" x14ac:dyDescent="0.25">
      <c r="B33" s="230" t="s">
        <v>3359</v>
      </c>
      <c r="C33" s="692">
        <f>'RATIO ANALYSIS'!C47</f>
        <v>10.949375214752035</v>
      </c>
      <c r="D33" s="692">
        <f>'RATIO ANALYSIS'!D47</f>
        <v>18.143195578037968</v>
      </c>
      <c r="E33" s="692">
        <f>'RATIO ANALYSIS'!E47</f>
        <v>5.4223418960244647</v>
      </c>
      <c r="F33" s="692">
        <f>'RATIO ANALYSIS'!F47</f>
        <v>7.062960502083441</v>
      </c>
      <c r="G33" s="692">
        <f>'RATIO ANALYSIS'!G47</f>
        <v>6.5408450967859757</v>
      </c>
      <c r="H33" s="666"/>
      <c r="I33" s="675"/>
      <c r="J33" s="675"/>
      <c r="L33" s="666"/>
    </row>
    <row r="34" spans="2:12" ht="15" x14ac:dyDescent="0.25">
      <c r="B34" s="230" t="s">
        <v>3393</v>
      </c>
      <c r="C34" s="693">
        <f>'BALANCE SHEET'!D69/'BALANCE SHEET'!D77</f>
        <v>0.50284281847741186</v>
      </c>
      <c r="D34" s="693">
        <f>'BALANCE SHEET'!E69/'BALANCE SHEET'!E77</f>
        <v>0.63541364296081282</v>
      </c>
      <c r="E34" s="693">
        <f>'BALANCE SHEET'!F69/'BALANCE SHEET'!F77</f>
        <v>0.50672224580904968</v>
      </c>
      <c r="F34" s="693">
        <f>'BALANCE SHEET'!G69/'BALANCE SHEET'!G77</f>
        <v>0.53738599381252761</v>
      </c>
      <c r="G34" s="693">
        <f>'BALANCE SHEET'!H69/'BALANCE SHEET'!H77</f>
        <v>0.55227784639976751</v>
      </c>
      <c r="H34" s="666"/>
      <c r="I34" s="675"/>
      <c r="J34" s="675"/>
      <c r="L34" s="666"/>
    </row>
    <row r="35" spans="2:12" ht="15" x14ac:dyDescent="0.25">
      <c r="B35" s="230" t="s">
        <v>522</v>
      </c>
      <c r="C35" s="294" t="str">
        <f>'DUPONT ANALYSIS'!D12</f>
        <v>N/A</v>
      </c>
      <c r="D35" s="485">
        <f>'DUPONT ANALYSIS'!E12</f>
        <v>0.18395764526247654</v>
      </c>
      <c r="E35" s="485">
        <f>'DUPONT ANALYSIS'!F12</f>
        <v>0.16488106046849466</v>
      </c>
      <c r="F35" s="485">
        <f>'DUPONT ANALYSIS'!G12</f>
        <v>0.14656745016207987</v>
      </c>
      <c r="G35" s="485">
        <f>'DUPONT ANALYSIS'!H12</f>
        <v>0.16777639988552895</v>
      </c>
      <c r="H35" s="666"/>
      <c r="I35" s="675"/>
      <c r="J35" s="675"/>
      <c r="L35" s="666"/>
    </row>
    <row r="36" spans="2:12" ht="15" x14ac:dyDescent="0.25">
      <c r="B36" s="230" t="s">
        <v>425</v>
      </c>
      <c r="C36" s="485">
        <f>'INTRINSIC GROWTH'!D64</f>
        <v>0.31677513900262921</v>
      </c>
      <c r="D36" s="485">
        <f>'INTRINSIC GROWTH'!E64</f>
        <v>0.23163336950277655</v>
      </c>
      <c r="E36" s="485">
        <f>'INTRINSIC GROWTH'!F64</f>
        <v>0.21503103949280147</v>
      </c>
      <c r="F36" s="485">
        <f>'INTRINSIC GROWTH'!G64</f>
        <v>0.21317448075951387</v>
      </c>
      <c r="G36" s="485">
        <f>'INTRINSIC GROWTH'!H64</f>
        <v>0.22320134773747394</v>
      </c>
      <c r="H36" s="666"/>
      <c r="I36" s="675"/>
      <c r="J36" s="675"/>
      <c r="L36" s="666"/>
    </row>
    <row r="37" spans="2:12" ht="15" x14ac:dyDescent="0.25">
      <c r="B37" s="231" t="s">
        <v>535</v>
      </c>
      <c r="C37" s="336" t="str">
        <f>'RATIO ANALYSIS'!C21</f>
        <v>N/A</v>
      </c>
      <c r="D37" s="336">
        <f>'RATIO ANALYSIS'!D21</f>
        <v>0.11680955216330574</v>
      </c>
      <c r="E37" s="336">
        <f>'RATIO ANALYSIS'!E21</f>
        <v>0.10531810009859073</v>
      </c>
      <c r="F37" s="336">
        <f>'RATIO ANALYSIS'!F21</f>
        <v>9.6315301524331084E-2</v>
      </c>
      <c r="G37" s="336">
        <f>'RATIO ANALYSIS'!G21</f>
        <v>0.10857862504938759</v>
      </c>
      <c r="H37" s="666"/>
      <c r="I37" s="675"/>
      <c r="J37" s="685"/>
      <c r="K37" s="665"/>
      <c r="L37" s="674"/>
    </row>
    <row r="38" spans="2:12" x14ac:dyDescent="0.25">
      <c r="B38" s="665"/>
      <c r="C38" s="665"/>
      <c r="D38" s="665"/>
      <c r="E38" s="665"/>
      <c r="F38" s="665"/>
      <c r="G38" s="665"/>
      <c r="H38" s="665"/>
      <c r="I38" s="665"/>
      <c r="J38" s="665"/>
      <c r="K38" s="665"/>
      <c r="L38" s="665"/>
    </row>
    <row r="40" spans="2:12" ht="13.8" customHeight="1" x14ac:dyDescent="0.25">
      <c r="B40" s="971" t="s">
        <v>3439</v>
      </c>
      <c r="C40" s="946" t="s">
        <v>3410</v>
      </c>
      <c r="D40" s="946" t="s">
        <v>3395</v>
      </c>
      <c r="E40" s="973" t="s">
        <v>3394</v>
      </c>
      <c r="F40" s="973"/>
      <c r="G40" s="973"/>
      <c r="H40" s="666"/>
      <c r="J40" s="947" t="s">
        <v>3402</v>
      </c>
      <c r="K40" s="947"/>
      <c r="L40" s="947"/>
    </row>
    <row r="41" spans="2:12" ht="13.8" customHeight="1" x14ac:dyDescent="0.25">
      <c r="B41" s="971"/>
      <c r="C41" s="946"/>
      <c r="D41" s="946"/>
      <c r="E41" s="973"/>
      <c r="F41" s="973"/>
      <c r="G41" s="973"/>
      <c r="H41" s="666"/>
      <c r="J41" s="947"/>
      <c r="K41" s="947"/>
      <c r="L41" s="947"/>
    </row>
    <row r="42" spans="2:12" x14ac:dyDescent="0.25">
      <c r="C42" s="253"/>
      <c r="D42" s="253"/>
      <c r="E42" s="253"/>
      <c r="F42" s="253"/>
      <c r="G42" s="253"/>
      <c r="H42" s="666"/>
      <c r="I42" s="675"/>
    </row>
    <row r="43" spans="2:12" ht="15" x14ac:dyDescent="0.25">
      <c r="B43" s="694" t="str">
        <f>'DATA SHEET'!B356</f>
        <v>Mr. Azim Hasham Premji (Zash Traders)</v>
      </c>
      <c r="C43" s="337" t="str">
        <f>'DATA SHEET'!C356</f>
        <v>220.21 Cr</v>
      </c>
      <c r="D43" s="268">
        <f>'DATA SHEET'!D356</f>
        <v>0.21029999999999999</v>
      </c>
      <c r="E43" s="688"/>
      <c r="F43" s="687"/>
      <c r="G43" s="645"/>
      <c r="H43" s="666"/>
      <c r="I43" s="675"/>
      <c r="J43" s="684"/>
      <c r="K43" s="682"/>
      <c r="L43" s="683"/>
    </row>
    <row r="44" spans="2:12" ht="15" x14ac:dyDescent="0.25">
      <c r="B44" s="695" t="str">
        <f>'DATA SHEET'!B357</f>
        <v>Mr. Azim Hasham Premji (Prazim Traders)</v>
      </c>
      <c r="C44" s="294" t="str">
        <f>'DATA SHEET'!C357</f>
        <v>216.03 Cr</v>
      </c>
      <c r="D44" s="261">
        <f>'DATA SHEET'!D357</f>
        <v>0.20599999999999999</v>
      </c>
      <c r="E44" s="487"/>
      <c r="F44" s="292"/>
      <c r="G44" s="659"/>
      <c r="H44" s="666"/>
      <c r="I44" s="675"/>
      <c r="J44" s="675"/>
      <c r="L44" s="666"/>
    </row>
    <row r="45" spans="2:12" ht="15" x14ac:dyDescent="0.25">
      <c r="B45" s="695" t="str">
        <f>'DATA SHEET'!B358</f>
        <v>Mr. Azim Hasham Premji (Hasham Traders)</v>
      </c>
      <c r="C45" s="294" t="str">
        <f>'DATA SHEET'!C358</f>
        <v>188.68 Cr</v>
      </c>
      <c r="D45" s="261">
        <f>'DATA SHEET'!D358</f>
        <v>0.1799</v>
      </c>
      <c r="E45" s="487"/>
      <c r="F45" s="292"/>
      <c r="G45" s="659"/>
      <c r="H45" s="666"/>
      <c r="I45" s="675"/>
      <c r="J45" s="675"/>
      <c r="L45" s="666"/>
    </row>
    <row r="46" spans="2:12" ht="15" x14ac:dyDescent="0.25">
      <c r="B46" s="695" t="str">
        <f>'DATA SHEET'!B359</f>
        <v>Azim Premji Trust</v>
      </c>
      <c r="C46" s="294" t="str">
        <f>'DATA SHEET'!C359</f>
        <v>68.04 Cr</v>
      </c>
      <c r="D46" s="261">
        <f>'DATA SHEET'!D359</f>
        <v>6.4899999999999999E-2</v>
      </c>
      <c r="E46" s="487"/>
      <c r="F46" s="292"/>
      <c r="G46" s="659"/>
      <c r="H46" s="666"/>
      <c r="I46" s="675"/>
      <c r="J46" s="675"/>
      <c r="L46" s="666"/>
    </row>
    <row r="47" spans="2:12" ht="15" x14ac:dyDescent="0.25">
      <c r="B47" s="695" t="str">
        <f>'DATA SHEET'!B360</f>
        <v>Azim H. Premji</v>
      </c>
      <c r="C47" s="294" t="str">
        <f>'DATA SHEET'!C360</f>
        <v>43.12 Cr</v>
      </c>
      <c r="D47" s="261">
        <f>'DATA SHEET'!D360</f>
        <v>4.1099999999999998E-2</v>
      </c>
      <c r="E47" s="487"/>
      <c r="F47" s="292"/>
      <c r="G47" s="659"/>
      <c r="H47" s="666"/>
      <c r="I47" s="675"/>
      <c r="J47" s="675"/>
      <c r="L47" s="666"/>
    </row>
    <row r="48" spans="2:12" ht="15" x14ac:dyDescent="0.25">
      <c r="B48" s="230" t="str">
        <f>'DATA SHEET'!B361</f>
        <v>LIC ULIP Growth Fund</v>
      </c>
      <c r="C48" s="294" t="str">
        <f>'DATA SHEET'!C361</f>
        <v>28.02 Cr</v>
      </c>
      <c r="D48" s="261">
        <f>'DATA SHEET'!D361</f>
        <v>2.6700000000000002E-2</v>
      </c>
      <c r="E48" s="487"/>
      <c r="F48" s="292"/>
      <c r="G48" s="659"/>
      <c r="H48" s="666"/>
      <c r="I48" s="675"/>
      <c r="J48" s="675"/>
      <c r="L48" s="666"/>
    </row>
    <row r="49" spans="2:12" ht="15" x14ac:dyDescent="0.25">
      <c r="B49" s="230" t="str">
        <f>'DATA SHEET'!B362</f>
        <v>JP Morgan Chase Bank</v>
      </c>
      <c r="C49" s="294" t="str">
        <f>'DATA SHEET'!C362</f>
        <v>25.97 Cr</v>
      </c>
      <c r="D49" s="261">
        <f>'DATA SHEET'!D362</f>
        <v>2.4799999999999999E-2</v>
      </c>
      <c r="E49" s="487"/>
      <c r="F49" s="292"/>
      <c r="G49" s="659"/>
      <c r="H49" s="666"/>
      <c r="I49" s="675"/>
      <c r="J49" s="675"/>
      <c r="L49" s="666"/>
    </row>
    <row r="50" spans="2:12" ht="15" x14ac:dyDescent="0.25">
      <c r="B50" s="230" t="str">
        <f>'DATA SHEET'!B363</f>
        <v>Prazim Trading &amp; Investment Co. Pvt Ltd</v>
      </c>
      <c r="C50" s="294" t="str">
        <f>'DATA SHEET'!C363</f>
        <v>19.37 Cr</v>
      </c>
      <c r="D50" s="261">
        <f>'DATA SHEET'!D363</f>
        <v>1.8499999999999999E-2</v>
      </c>
      <c r="E50" s="487"/>
      <c r="F50" s="292"/>
      <c r="G50" s="659"/>
      <c r="H50" s="666"/>
      <c r="I50" s="675"/>
      <c r="J50" s="675"/>
      <c r="L50" s="666"/>
    </row>
    <row r="51" spans="2:12" ht="15" x14ac:dyDescent="0.25">
      <c r="B51" s="231" t="str">
        <f>'DATA SHEET'!B364</f>
        <v>ICICI Prudential Children’s Fund</v>
      </c>
      <c r="C51" s="295" t="str">
        <f>'DATA SHEET'!C364</f>
        <v>16.15 Cr</v>
      </c>
      <c r="D51" s="262">
        <f>'DATA SHEET'!D364</f>
        <v>1.54E-2</v>
      </c>
      <c r="E51" s="686"/>
      <c r="F51" s="680"/>
      <c r="G51" s="689"/>
      <c r="H51" s="666"/>
      <c r="I51" s="675"/>
      <c r="J51" s="685"/>
      <c r="K51" s="665"/>
      <c r="L51" s="674"/>
    </row>
    <row r="52" spans="2:12" x14ac:dyDescent="0.25">
      <c r="B52" s="665"/>
      <c r="C52" s="667"/>
      <c r="D52" s="667"/>
      <c r="E52" s="667"/>
      <c r="F52" s="667"/>
      <c r="G52" s="667"/>
      <c r="H52" s="665"/>
      <c r="I52" s="665"/>
      <c r="J52" s="665"/>
      <c r="K52" s="665"/>
      <c r="L52" s="665"/>
    </row>
    <row r="53" spans="2:12" x14ac:dyDescent="0.25">
      <c r="C53" s="253"/>
      <c r="D53" s="253"/>
      <c r="E53" s="253"/>
      <c r="F53" s="253"/>
      <c r="G53" s="253"/>
    </row>
    <row r="54" spans="2:12" ht="13.8" customHeight="1" x14ac:dyDescent="0.25">
      <c r="B54" s="971" t="s">
        <v>3411</v>
      </c>
      <c r="C54" s="946" t="s">
        <v>3397</v>
      </c>
      <c r="D54" s="946" t="s">
        <v>3398</v>
      </c>
      <c r="E54" s="946" t="s">
        <v>3456</v>
      </c>
      <c r="F54" s="972" t="s">
        <v>3399</v>
      </c>
      <c r="G54" s="972"/>
      <c r="H54" s="666"/>
      <c r="J54" s="947" t="s">
        <v>3400</v>
      </c>
      <c r="K54" s="947"/>
      <c r="L54" s="947"/>
    </row>
    <row r="55" spans="2:12" ht="13.8" customHeight="1" x14ac:dyDescent="0.25">
      <c r="B55" s="971"/>
      <c r="C55" s="946"/>
      <c r="D55" s="946"/>
      <c r="E55" s="946"/>
      <c r="F55" s="972"/>
      <c r="G55" s="972"/>
      <c r="H55" s="666"/>
      <c r="J55" s="947"/>
      <c r="K55" s="947"/>
      <c r="L55" s="947"/>
    </row>
    <row r="56" spans="2:12" x14ac:dyDescent="0.25">
      <c r="C56" s="253"/>
      <c r="D56" s="253"/>
      <c r="E56" s="253"/>
      <c r="F56" s="253"/>
      <c r="G56" s="253"/>
      <c r="H56" s="666"/>
    </row>
    <row r="57" spans="2:12" ht="15" x14ac:dyDescent="0.25">
      <c r="B57" s="229" t="s">
        <v>3444</v>
      </c>
      <c r="C57" s="337" t="s">
        <v>3448</v>
      </c>
      <c r="D57" s="337" t="s">
        <v>3450</v>
      </c>
      <c r="E57" s="337" t="s">
        <v>3457</v>
      </c>
      <c r="F57" s="965" t="s">
        <v>3455</v>
      </c>
      <c r="G57" s="966"/>
      <c r="H57" s="666"/>
      <c r="J57" s="957" t="s">
        <v>3354</v>
      </c>
      <c r="K57" s="958"/>
      <c r="L57" s="232">
        <f>'PV OF FCFF'!$C$45</f>
        <v>246.3</v>
      </c>
    </row>
    <row r="58" spans="2:12" ht="15" x14ac:dyDescent="0.25">
      <c r="B58" s="230" t="s">
        <v>3445</v>
      </c>
      <c r="C58" s="294" t="s">
        <v>3449</v>
      </c>
      <c r="D58" s="294" t="s">
        <v>3451</v>
      </c>
      <c r="E58" s="294" t="s">
        <v>3458</v>
      </c>
      <c r="F58" s="967" t="s">
        <v>3454</v>
      </c>
      <c r="G58" s="968"/>
      <c r="H58" s="666"/>
      <c r="J58" s="959" t="s">
        <v>3404</v>
      </c>
      <c r="K58" s="960"/>
      <c r="L58" s="263">
        <f>'PROFIT &amp; LOSS'!$H$41</f>
        <v>566.16999999999996</v>
      </c>
    </row>
    <row r="59" spans="2:12" ht="15.6" x14ac:dyDescent="0.3">
      <c r="B59" s="231" t="s">
        <v>3446</v>
      </c>
      <c r="C59" s="295" t="s">
        <v>3447</v>
      </c>
      <c r="D59" s="295" t="s">
        <v>3452</v>
      </c>
      <c r="E59" s="295" t="s">
        <v>3458</v>
      </c>
      <c r="F59" s="969" t="s">
        <v>3453</v>
      </c>
      <c r="G59" s="970"/>
      <c r="H59" s="666"/>
      <c r="J59" s="961" t="s">
        <v>3405</v>
      </c>
      <c r="K59" s="962"/>
      <c r="L59" s="690">
        <f>L57*L58</f>
        <v>139447.671</v>
      </c>
    </row>
    <row r="60" spans="2:12" x14ac:dyDescent="0.25">
      <c r="B60" s="665"/>
      <c r="C60" s="667"/>
      <c r="D60" s="667"/>
      <c r="E60" s="667"/>
      <c r="F60" s="667"/>
      <c r="G60" s="667"/>
      <c r="H60" s="665"/>
      <c r="I60" s="665"/>
      <c r="J60" s="665"/>
      <c r="K60" s="665"/>
      <c r="L60" s="665"/>
    </row>
    <row r="61" spans="2:12" x14ac:dyDescent="0.25">
      <c r="C61" s="253"/>
      <c r="D61" s="253"/>
      <c r="E61" s="253"/>
      <c r="F61" s="253"/>
      <c r="G61" s="253"/>
    </row>
    <row r="62" spans="2:12" ht="15" x14ac:dyDescent="0.25">
      <c r="B62" s="948" t="s">
        <v>3403</v>
      </c>
      <c r="C62" s="949"/>
      <c r="D62" s="949"/>
      <c r="E62" s="949"/>
      <c r="F62" s="949"/>
      <c r="G62" s="950"/>
      <c r="H62" s="666"/>
      <c r="J62" s="233" t="s">
        <v>3406</v>
      </c>
      <c r="K62" s="234"/>
      <c r="L62" s="234">
        <f>'BALANCE SHEET'!H15</f>
        <v>12358</v>
      </c>
    </row>
    <row r="63" spans="2:12" ht="15" x14ac:dyDescent="0.25">
      <c r="B63" s="951"/>
      <c r="C63" s="952"/>
      <c r="D63" s="952"/>
      <c r="E63" s="952"/>
      <c r="F63" s="952"/>
      <c r="G63" s="953"/>
      <c r="H63" s="666"/>
      <c r="J63" s="266" t="s">
        <v>3409</v>
      </c>
      <c r="K63" s="293"/>
      <c r="L63" s="293">
        <f>'BALANCE SHEET'!H45+'BALANCE SHEET'!H59</f>
        <v>16181</v>
      </c>
    </row>
    <row r="64" spans="2:12" ht="15" x14ac:dyDescent="0.25">
      <c r="B64" s="951"/>
      <c r="C64" s="952"/>
      <c r="D64" s="952"/>
      <c r="E64" s="952"/>
      <c r="F64" s="952"/>
      <c r="G64" s="953"/>
      <c r="H64" s="666"/>
      <c r="J64" s="266" t="s">
        <v>3407</v>
      </c>
      <c r="K64" s="293"/>
      <c r="L64" s="293">
        <f>'BALANCE SHEET'!H75</f>
        <v>214</v>
      </c>
    </row>
    <row r="65" spans="2:12" ht="15.6" x14ac:dyDescent="0.3">
      <c r="B65" s="954"/>
      <c r="C65" s="955"/>
      <c r="D65" s="955"/>
      <c r="E65" s="955"/>
      <c r="F65" s="955"/>
      <c r="G65" s="956"/>
      <c r="H65" s="666"/>
      <c r="J65" s="963" t="s">
        <v>3408</v>
      </c>
      <c r="K65" s="964"/>
      <c r="L65" s="690">
        <f>L59+L63-L62-L64</f>
        <v>143056.671</v>
      </c>
    </row>
    <row r="66" spans="2:12" x14ac:dyDescent="0.25">
      <c r="C66" s="253"/>
      <c r="D66" s="253"/>
      <c r="E66" s="253"/>
      <c r="F66" s="253"/>
      <c r="G66" s="253"/>
    </row>
    <row r="67" spans="2:12" x14ac:dyDescent="0.25">
      <c r="B67" s="664"/>
      <c r="C67" s="668"/>
      <c r="D67" s="668"/>
      <c r="E67" s="668"/>
      <c r="F67" s="668"/>
      <c r="G67" s="668"/>
      <c r="H67" s="664"/>
      <c r="I67" s="664"/>
      <c r="J67" s="664"/>
      <c r="K67" s="664"/>
      <c r="L67" s="664"/>
    </row>
    <row r="68" spans="2:12" x14ac:dyDescent="0.25">
      <c r="C68" s="253"/>
      <c r="D68" s="253"/>
      <c r="E68" s="253"/>
      <c r="F68" s="253"/>
      <c r="G68" s="253"/>
    </row>
    <row r="69" spans="2:12" x14ac:dyDescent="0.25">
      <c r="C69" s="253"/>
      <c r="D69" s="253"/>
      <c r="E69" s="253"/>
      <c r="F69" s="253"/>
      <c r="G69" s="253"/>
    </row>
    <row r="70" spans="2:12" x14ac:dyDescent="0.25">
      <c r="C70" s="253"/>
      <c r="D70" s="253"/>
      <c r="E70" s="253"/>
      <c r="F70" s="253"/>
      <c r="G70" s="253"/>
    </row>
    <row r="71" spans="2:12" x14ac:dyDescent="0.25">
      <c r="C71" s="253"/>
      <c r="D71" s="253"/>
      <c r="E71" s="253"/>
      <c r="F71" s="253"/>
      <c r="G71" s="253"/>
    </row>
    <row r="72" spans="2:12" x14ac:dyDescent="0.25">
      <c r="C72" s="253"/>
      <c r="D72" s="253"/>
      <c r="E72" s="253"/>
      <c r="F72" s="253"/>
      <c r="G72" s="253"/>
    </row>
    <row r="73" spans="2:12" x14ac:dyDescent="0.25">
      <c r="C73" s="253"/>
      <c r="D73" s="253"/>
      <c r="E73" s="253"/>
      <c r="F73" s="253"/>
      <c r="G73" s="253"/>
    </row>
  </sheetData>
  <mergeCells count="36">
    <mergeCell ref="B1:B3"/>
    <mergeCell ref="C1:L3"/>
    <mergeCell ref="B15:B16"/>
    <mergeCell ref="C15:C16"/>
    <mergeCell ref="D15:D16"/>
    <mergeCell ref="E15:E16"/>
    <mergeCell ref="F15:F16"/>
    <mergeCell ref="C5:L13"/>
    <mergeCell ref="J15:L16"/>
    <mergeCell ref="B29:B30"/>
    <mergeCell ref="C29:C30"/>
    <mergeCell ref="D29:D30"/>
    <mergeCell ref="E29:E30"/>
    <mergeCell ref="F29:F30"/>
    <mergeCell ref="C40:C41"/>
    <mergeCell ref="D40:D41"/>
    <mergeCell ref="E40:G41"/>
    <mergeCell ref="J40:L41"/>
    <mergeCell ref="D54:D55"/>
    <mergeCell ref="E54:E55"/>
    <mergeCell ref="G29:G30"/>
    <mergeCell ref="J29:L30"/>
    <mergeCell ref="G15:G16"/>
    <mergeCell ref="B62:G65"/>
    <mergeCell ref="J57:K57"/>
    <mergeCell ref="J58:K58"/>
    <mergeCell ref="J59:K59"/>
    <mergeCell ref="J65:K65"/>
    <mergeCell ref="F57:G57"/>
    <mergeCell ref="F58:G58"/>
    <mergeCell ref="F59:G59"/>
    <mergeCell ref="B54:B55"/>
    <mergeCell ref="C54:C55"/>
    <mergeCell ref="F54:G55"/>
    <mergeCell ref="J54:L55"/>
    <mergeCell ref="B40:B41"/>
  </mergeCells>
  <printOptions horizontalCentered="1" verticalCentered="1"/>
  <pageMargins left="0" right="0" top="0" bottom="0" header="0" footer="0"/>
  <pageSetup scale="60" orientation="landscape" horizontalDpi="1200" verticalDpi="1200" r:id="rId1"/>
  <colBreaks count="1" manualBreakCount="1">
    <brk id="12"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2BCC2-7C5A-4E1A-86B9-55A7174D3904}">
  <sheetPr>
    <pageSetUpPr fitToPage="1"/>
  </sheetPr>
  <dimension ref="B1:AD106"/>
  <sheetViews>
    <sheetView zoomScale="70" zoomScaleNormal="70" workbookViewId="0"/>
  </sheetViews>
  <sheetFormatPr defaultColWidth="15.77734375" defaultRowHeight="15" x14ac:dyDescent="0.25"/>
  <cols>
    <col min="1" max="1" width="2" style="29" customWidth="1"/>
    <col min="2" max="2" width="44.77734375" style="29" customWidth="1"/>
    <col min="3" max="3" width="8.88671875" style="29" customWidth="1"/>
    <col min="4" max="8" width="15.77734375" style="29"/>
    <col min="9" max="10" width="2" style="29" customWidth="1"/>
    <col min="11" max="15" width="15.77734375" style="29"/>
    <col min="16" max="17" width="2" style="29" customWidth="1"/>
    <col min="18" max="22" width="15.77734375" style="29"/>
    <col min="23" max="24" width="2" style="29" customWidth="1"/>
    <col min="25" max="16384" width="15.77734375" style="29"/>
  </cols>
  <sheetData>
    <row r="1" spans="2:30" ht="15" customHeight="1" x14ac:dyDescent="0.25">
      <c r="B1" s="974" t="s">
        <v>3336</v>
      </c>
      <c r="C1" s="30"/>
      <c r="D1" s="975" t="s">
        <v>189</v>
      </c>
      <c r="E1" s="975"/>
      <c r="F1" s="975"/>
      <c r="G1" s="975"/>
      <c r="H1" s="975"/>
      <c r="I1" s="66"/>
      <c r="J1" s="66"/>
      <c r="K1" s="975" t="s">
        <v>190</v>
      </c>
      <c r="L1" s="975"/>
      <c r="M1" s="975"/>
      <c r="N1" s="975"/>
      <c r="O1" s="975"/>
      <c r="P1" s="30"/>
      <c r="Q1" s="30"/>
      <c r="R1" s="975" t="s">
        <v>191</v>
      </c>
      <c r="S1" s="975"/>
      <c r="T1" s="975"/>
      <c r="U1" s="975"/>
      <c r="V1" s="975"/>
      <c r="W1" s="30"/>
      <c r="X1" s="30"/>
      <c r="Y1" s="975" t="s">
        <v>192</v>
      </c>
      <c r="Z1" s="975"/>
      <c r="AA1" s="975"/>
      <c r="AB1" s="975"/>
      <c r="AC1" s="975"/>
    </row>
    <row r="2" spans="2:30" ht="15" customHeight="1" x14ac:dyDescent="0.25">
      <c r="B2" s="974"/>
      <c r="C2" s="30"/>
      <c r="D2" s="975"/>
      <c r="E2" s="975"/>
      <c r="F2" s="975"/>
      <c r="G2" s="975"/>
      <c r="H2" s="975"/>
      <c r="I2" s="66"/>
      <c r="J2" s="66"/>
      <c r="K2" s="975"/>
      <c r="L2" s="975"/>
      <c r="M2" s="975"/>
      <c r="N2" s="975"/>
      <c r="O2" s="975"/>
      <c r="P2" s="30"/>
      <c r="Q2" s="30"/>
      <c r="R2" s="975"/>
      <c r="S2" s="975"/>
      <c r="T2" s="975"/>
      <c r="U2" s="975"/>
      <c r="V2" s="975"/>
      <c r="W2" s="30"/>
      <c r="X2" s="30"/>
      <c r="Y2" s="975"/>
      <c r="Z2" s="975"/>
      <c r="AA2" s="975"/>
      <c r="AB2" s="975"/>
      <c r="AC2" s="975"/>
    </row>
    <row r="3" spans="2:30" ht="24.6" customHeight="1" x14ac:dyDescent="0.4">
      <c r="B3" s="974"/>
      <c r="C3" s="34" t="s">
        <v>82</v>
      </c>
      <c r="D3" s="35" t="s">
        <v>83</v>
      </c>
      <c r="E3" s="35" t="s">
        <v>84</v>
      </c>
      <c r="F3" s="35" t="s">
        <v>85</v>
      </c>
      <c r="G3" s="35" t="s">
        <v>86</v>
      </c>
      <c r="H3" s="35" t="s">
        <v>87</v>
      </c>
      <c r="I3" s="35"/>
      <c r="J3" s="35"/>
      <c r="K3" s="35" t="s">
        <v>88</v>
      </c>
      <c r="L3" s="35" t="s">
        <v>89</v>
      </c>
      <c r="M3" s="35" t="s">
        <v>90</v>
      </c>
      <c r="N3" s="35" t="s">
        <v>91</v>
      </c>
      <c r="O3" s="35" t="s">
        <v>92</v>
      </c>
      <c r="P3" s="31"/>
      <c r="Q3" s="31"/>
      <c r="R3" s="35" t="s">
        <v>88</v>
      </c>
      <c r="S3" s="35" t="s">
        <v>89</v>
      </c>
      <c r="T3" s="35" t="s">
        <v>90</v>
      </c>
      <c r="U3" s="35" t="s">
        <v>91</v>
      </c>
      <c r="V3" s="35" t="s">
        <v>92</v>
      </c>
      <c r="W3" s="31"/>
      <c r="X3" s="31"/>
      <c r="Y3" s="35" t="s">
        <v>88</v>
      </c>
      <c r="Z3" s="35" t="s">
        <v>89</v>
      </c>
      <c r="AA3" s="35" t="s">
        <v>90</v>
      </c>
      <c r="AB3" s="35" t="s">
        <v>91</v>
      </c>
      <c r="AC3" s="35" t="s">
        <v>92</v>
      </c>
      <c r="AD3" s="32"/>
    </row>
    <row r="4" spans="2:30" ht="28.2" x14ac:dyDescent="0.5">
      <c r="B4" s="38" t="s">
        <v>94</v>
      </c>
      <c r="C4" s="33"/>
      <c r="D4" s="36">
        <f>'PROFIT &amp; LOSS'!D4</f>
        <v>44276</v>
      </c>
      <c r="E4" s="36">
        <f>'PROFIT &amp; LOSS'!E4</f>
        <v>44641</v>
      </c>
      <c r="F4" s="36">
        <f>'PROFIT &amp; LOSS'!F4</f>
        <v>45006</v>
      </c>
      <c r="G4" s="36">
        <f>'PROFIT &amp; LOSS'!G4</f>
        <v>45372</v>
      </c>
      <c r="H4" s="36">
        <f>'PROFIT &amp; LOSS'!H4</f>
        <v>45737</v>
      </c>
      <c r="I4" s="67"/>
      <c r="J4" s="67"/>
      <c r="K4" s="68">
        <f>'PROFIT &amp; LOSS'!K4</f>
        <v>46102</v>
      </c>
      <c r="L4" s="68">
        <f>'PROFIT &amp; LOSS'!L4</f>
        <v>46467</v>
      </c>
      <c r="M4" s="68">
        <f>'PROFIT &amp; LOSS'!M4</f>
        <v>46833</v>
      </c>
      <c r="N4" s="68">
        <f>'PROFIT &amp; LOSS'!N4</f>
        <v>47198</v>
      </c>
      <c r="O4" s="68">
        <f>'PROFIT &amp; LOSS'!O4</f>
        <v>47563</v>
      </c>
      <c r="P4" s="504"/>
      <c r="Q4" s="32"/>
      <c r="R4" s="68">
        <f>K$4</f>
        <v>46102</v>
      </c>
      <c r="S4" s="68">
        <f t="shared" ref="S4:V4" si="0">L$4</f>
        <v>46467</v>
      </c>
      <c r="T4" s="68">
        <f t="shared" si="0"/>
        <v>46833</v>
      </c>
      <c r="U4" s="68">
        <f t="shared" si="0"/>
        <v>47198</v>
      </c>
      <c r="V4" s="68">
        <f t="shared" si="0"/>
        <v>47563</v>
      </c>
      <c r="W4" s="504"/>
      <c r="X4" s="32"/>
      <c r="Y4" s="68">
        <f>R$4</f>
        <v>46102</v>
      </c>
      <c r="Z4" s="68">
        <f t="shared" ref="Z4" si="1">S$4</f>
        <v>46467</v>
      </c>
      <c r="AA4" s="68">
        <f t="shared" ref="AA4" si="2">T$4</f>
        <v>46833</v>
      </c>
      <c r="AB4" s="68">
        <f t="shared" ref="AB4" si="3">U$4</f>
        <v>47198</v>
      </c>
      <c r="AC4" s="68">
        <f t="shared" ref="AC4" si="4">V$4</f>
        <v>47563</v>
      </c>
      <c r="AD4" s="32"/>
    </row>
    <row r="5" spans="2:30" ht="15" customHeight="1" x14ac:dyDescent="0.5">
      <c r="B5" s="72"/>
      <c r="D5" s="73"/>
      <c r="E5" s="73"/>
      <c r="F5" s="73"/>
      <c r="G5" s="73"/>
      <c r="H5" s="73"/>
      <c r="I5" s="67"/>
      <c r="J5" s="67"/>
      <c r="K5" s="75"/>
      <c r="L5" s="75"/>
      <c r="M5" s="75"/>
      <c r="N5" s="75"/>
      <c r="O5" s="75"/>
      <c r="P5" s="75"/>
      <c r="Q5" s="74"/>
      <c r="R5" s="74"/>
      <c r="S5" s="74"/>
      <c r="T5" s="74"/>
      <c r="U5" s="74"/>
      <c r="V5" s="74"/>
      <c r="W5" s="75"/>
      <c r="X5" s="74"/>
      <c r="Y5" s="74"/>
      <c r="Z5" s="74"/>
      <c r="AA5" s="74"/>
      <c r="AB5" s="74"/>
      <c r="AC5" s="74"/>
    </row>
    <row r="6" spans="2:30" ht="15" customHeight="1" x14ac:dyDescent="0.5">
      <c r="B6" s="529" t="s">
        <v>3244</v>
      </c>
      <c r="C6" s="530" t="s">
        <v>112</v>
      </c>
      <c r="D6" s="531">
        <f>'PROFIT &amp; LOSS'!D10</f>
        <v>64625</v>
      </c>
      <c r="E6" s="531">
        <f>'PROFIT &amp; LOSS'!E10</f>
        <v>81590</v>
      </c>
      <c r="F6" s="531">
        <f>'PROFIT &amp; LOSS'!F10</f>
        <v>93201</v>
      </c>
      <c r="G6" s="531">
        <f>'PROFIT &amp; LOSS'!G10</f>
        <v>92425</v>
      </c>
      <c r="H6" s="531">
        <f>'PROFIT &amp; LOSS'!H10</f>
        <v>92972</v>
      </c>
      <c r="I6" s="501"/>
      <c r="J6" s="67"/>
      <c r="K6" s="531">
        <f>K11+K18+K28</f>
        <v>94095.92</v>
      </c>
      <c r="L6" s="531">
        <f t="shared" ref="L6:O6" si="5">L11+L18+L28</f>
        <v>95242.731199999995</v>
      </c>
      <c r="M6" s="531">
        <f t="shared" si="5"/>
        <v>97322.148319999993</v>
      </c>
      <c r="N6" s="531">
        <f t="shared" si="5"/>
        <v>99453.627532159997</v>
      </c>
      <c r="O6" s="531">
        <f t="shared" si="5"/>
        <v>102584.34017350401</v>
      </c>
      <c r="P6" s="505"/>
      <c r="Q6" s="75"/>
      <c r="R6" s="531">
        <f t="shared" ref="R6:V6" si="6">R11+R18+R28</f>
        <v>92275.319999999992</v>
      </c>
      <c r="S6" s="531">
        <f t="shared" si="6"/>
        <v>91597.258799999996</v>
      </c>
      <c r="T6" s="531">
        <f t="shared" si="6"/>
        <v>92684.515788000004</v>
      </c>
      <c r="U6" s="531">
        <f t="shared" si="6"/>
        <v>93791.209565879995</v>
      </c>
      <c r="V6" s="531">
        <f t="shared" si="6"/>
        <v>95808.664545447609</v>
      </c>
      <c r="W6" s="505"/>
      <c r="X6" s="75"/>
      <c r="Y6" s="531">
        <f t="shared" ref="Y6:AC6" si="7">Y11+Y18+Y28</f>
        <v>91791.039999999994</v>
      </c>
      <c r="Z6" s="531">
        <f t="shared" si="7"/>
        <v>90636.339199999988</v>
      </c>
      <c r="AA6" s="531">
        <f t="shared" si="7"/>
        <v>89940.022528000001</v>
      </c>
      <c r="AB6" s="531">
        <f t="shared" si="7"/>
        <v>89259.070891520008</v>
      </c>
      <c r="AC6" s="531">
        <f t="shared" si="7"/>
        <v>90287.973519846404</v>
      </c>
    </row>
    <row r="7" spans="2:30" ht="15" customHeight="1" x14ac:dyDescent="0.25">
      <c r="I7" s="181"/>
      <c r="K7" s="74"/>
      <c r="L7" s="74"/>
      <c r="M7" s="74"/>
      <c r="N7" s="74"/>
      <c r="O7" s="74"/>
      <c r="P7" s="539"/>
      <c r="Q7" s="74"/>
      <c r="R7" s="74"/>
      <c r="S7" s="74"/>
      <c r="T7" s="74"/>
      <c r="U7" s="74"/>
      <c r="V7" s="74"/>
      <c r="W7" s="539"/>
      <c r="X7" s="74"/>
      <c r="Y7" s="74"/>
      <c r="Z7" s="74"/>
      <c r="AA7" s="74"/>
      <c r="AB7" s="74"/>
      <c r="AC7" s="74"/>
    </row>
    <row r="8" spans="2:30" x14ac:dyDescent="0.25">
      <c r="B8" s="986" t="s">
        <v>115</v>
      </c>
      <c r="C8" s="986"/>
      <c r="D8" s="986"/>
      <c r="E8" s="986"/>
      <c r="F8" s="986"/>
      <c r="G8" s="986"/>
      <c r="H8" s="986"/>
      <c r="I8" s="181"/>
      <c r="K8" s="982" t="s">
        <v>130</v>
      </c>
      <c r="L8" s="982"/>
      <c r="M8" s="982"/>
      <c r="N8" s="982"/>
      <c r="O8" s="982"/>
      <c r="P8" s="181"/>
      <c r="R8" s="982" t="s">
        <v>131</v>
      </c>
      <c r="S8" s="982"/>
      <c r="T8" s="982"/>
      <c r="U8" s="982"/>
      <c r="V8" s="982"/>
      <c r="W8" s="181"/>
      <c r="Y8" s="982" t="s">
        <v>132</v>
      </c>
      <c r="Z8" s="982"/>
      <c r="AA8" s="982"/>
      <c r="AB8" s="982"/>
      <c r="AC8" s="982"/>
    </row>
    <row r="9" spans="2:30" x14ac:dyDescent="0.25">
      <c r="B9" s="986"/>
      <c r="C9" s="986"/>
      <c r="D9" s="986"/>
      <c r="E9" s="986"/>
      <c r="F9" s="986"/>
      <c r="G9" s="986"/>
      <c r="H9" s="986"/>
      <c r="I9" s="181"/>
      <c r="K9" s="982"/>
      <c r="L9" s="982"/>
      <c r="M9" s="982"/>
      <c r="N9" s="982"/>
      <c r="O9" s="982"/>
      <c r="P9" s="181"/>
      <c r="R9" s="982"/>
      <c r="S9" s="982"/>
      <c r="T9" s="982"/>
      <c r="U9" s="982"/>
      <c r="V9" s="982"/>
      <c r="W9" s="181"/>
      <c r="Y9" s="982"/>
      <c r="Z9" s="982"/>
      <c r="AA9" s="982"/>
      <c r="AB9" s="982"/>
      <c r="AC9" s="982"/>
    </row>
    <row r="10" spans="2:30" x14ac:dyDescent="0.25">
      <c r="I10" s="181"/>
      <c r="P10" s="181"/>
      <c r="W10" s="181"/>
    </row>
    <row r="11" spans="2:30" x14ac:dyDescent="0.25">
      <c r="B11" s="40" t="s">
        <v>116</v>
      </c>
      <c r="C11" s="60" t="s">
        <v>112</v>
      </c>
      <c r="D11" s="46">
        <v>61830</v>
      </c>
      <c r="E11" s="46">
        <v>79529</v>
      </c>
      <c r="F11" s="46">
        <v>90935</v>
      </c>
      <c r="G11" s="46">
        <v>89382</v>
      </c>
      <c r="H11" s="39">
        <v>89088</v>
      </c>
      <c r="I11" s="181"/>
      <c r="K11" s="46">
        <f>K$22*K$13</f>
        <v>89708.943360000005</v>
      </c>
      <c r="L11" s="46">
        <f t="shared" ref="L11:O11" si="8">L$22*L$13</f>
        <v>90606.032793599996</v>
      </c>
      <c r="M11" s="46">
        <f t="shared" si="8"/>
        <v>92418.153449471996</v>
      </c>
      <c r="N11" s="46">
        <f t="shared" si="8"/>
        <v>94266.516518461445</v>
      </c>
      <c r="O11" s="46">
        <f t="shared" si="8"/>
        <v>97094.512014015287</v>
      </c>
      <c r="P11" s="181"/>
      <c r="R11" s="46">
        <f>R$22*R$13</f>
        <v>88020.725760000001</v>
      </c>
      <c r="S11" s="46">
        <f t="shared" ref="S11:V11" si="9">S$22*S$13</f>
        <v>87140.518502399995</v>
      </c>
      <c r="T11" s="46">
        <f t="shared" si="9"/>
        <v>88011.923687424001</v>
      </c>
      <c r="U11" s="46">
        <f t="shared" si="9"/>
        <v>88892.042924298235</v>
      </c>
      <c r="V11" s="46">
        <f t="shared" si="9"/>
        <v>90669.883782784207</v>
      </c>
      <c r="W11" s="181"/>
      <c r="Y11" s="46">
        <f>Y$22*Y$13</f>
        <v>87663.928319999992</v>
      </c>
      <c r="Z11" s="46">
        <f t="shared" ref="Z11:AC11" si="10">Z$22*Z$13</f>
        <v>86348.969395199994</v>
      </c>
      <c r="AA11" s="46">
        <f t="shared" si="10"/>
        <v>85485.479701247998</v>
      </c>
      <c r="AB11" s="46">
        <f t="shared" si="10"/>
        <v>84630.624904235519</v>
      </c>
      <c r="AC11" s="46">
        <f t="shared" si="10"/>
        <v>85476.931153277881</v>
      </c>
    </row>
    <row r="12" spans="2:30" ht="15.6" x14ac:dyDescent="0.3">
      <c r="B12" s="70" t="s">
        <v>117</v>
      </c>
      <c r="C12" s="90" t="s">
        <v>113</v>
      </c>
      <c r="D12" s="78" t="s">
        <v>122</v>
      </c>
      <c r="E12" s="79">
        <f>E11/D11-1</f>
        <v>0.28625262817402564</v>
      </c>
      <c r="F12" s="79">
        <f t="shared" ref="F12:H12" si="11">F11/E11-1</f>
        <v>0.14341938160922441</v>
      </c>
      <c r="G12" s="79">
        <f t="shared" si="11"/>
        <v>-1.7078132732171292E-2</v>
      </c>
      <c r="H12" s="71">
        <f t="shared" si="11"/>
        <v>-3.2892528697052725E-3</v>
      </c>
      <c r="I12" s="181"/>
      <c r="K12" s="79">
        <f>$K$11/$H$11-1</f>
        <v>6.9700000000001427E-3</v>
      </c>
      <c r="L12" s="79">
        <f>L11/K11-1</f>
        <v>1.0000000000000009E-2</v>
      </c>
      <c r="M12" s="79">
        <f t="shared" ref="M12:O12" si="12">M11/L11-1</f>
        <v>2.0000000000000018E-2</v>
      </c>
      <c r="N12" s="79">
        <f t="shared" si="12"/>
        <v>2.0000000000000018E-2</v>
      </c>
      <c r="O12" s="79">
        <f t="shared" si="12"/>
        <v>3.0000000000000027E-2</v>
      </c>
      <c r="P12" s="181"/>
      <c r="R12" s="79">
        <f>$R$11/$H$11-1</f>
        <v>-1.1979999999999991E-2</v>
      </c>
      <c r="S12" s="79">
        <f>S11/R11-1</f>
        <v>-1.000000000000012E-2</v>
      </c>
      <c r="T12" s="79">
        <f t="shared" ref="T12:V12" si="13">T11/S11-1</f>
        <v>1.0000000000000009E-2</v>
      </c>
      <c r="U12" s="79">
        <f t="shared" si="13"/>
        <v>1.0000000000000009E-2</v>
      </c>
      <c r="V12" s="79">
        <f t="shared" si="13"/>
        <v>2.0000000000000018E-2</v>
      </c>
      <c r="W12" s="181"/>
      <c r="Y12" s="79">
        <f>$Y$11/$H$11-1</f>
        <v>-1.5985000000000138E-2</v>
      </c>
      <c r="Z12" s="79">
        <f>Z11/Y11-1</f>
        <v>-1.5000000000000013E-2</v>
      </c>
      <c r="AA12" s="79">
        <f t="shared" ref="AA12:AC12" si="14">AA11/Z11-1</f>
        <v>-1.0000000000000009E-2</v>
      </c>
      <c r="AB12" s="79">
        <f t="shared" si="14"/>
        <v>-1.0000000000000009E-2</v>
      </c>
      <c r="AC12" s="79">
        <f t="shared" si="14"/>
        <v>1.0000000000000009E-2</v>
      </c>
    </row>
    <row r="13" spans="2:30" ht="15.6" x14ac:dyDescent="0.3">
      <c r="B13" s="42" t="s">
        <v>97</v>
      </c>
      <c r="C13" s="91" t="s">
        <v>113</v>
      </c>
      <c r="D13" s="50">
        <f>D11/D22</f>
        <v>0.9933647157110036</v>
      </c>
      <c r="E13" s="50">
        <f t="shared" ref="E13:H13" si="15">E11/E22</f>
        <v>1</v>
      </c>
      <c r="F13" s="50">
        <f t="shared" si="15"/>
        <v>1</v>
      </c>
      <c r="G13" s="50">
        <f t="shared" si="15"/>
        <v>0.9954117201594761</v>
      </c>
      <c r="H13" s="50">
        <f t="shared" si="15"/>
        <v>1</v>
      </c>
      <c r="I13" s="181"/>
      <c r="K13" s="50">
        <f>D$43</f>
        <v>0.997</v>
      </c>
      <c r="L13" s="50">
        <f t="shared" ref="L13:O13" si="16">E$43</f>
        <v>0.997</v>
      </c>
      <c r="M13" s="50">
        <f t="shared" si="16"/>
        <v>0.997</v>
      </c>
      <c r="N13" s="50">
        <f t="shared" si="16"/>
        <v>0.997</v>
      </c>
      <c r="O13" s="50">
        <f t="shared" si="16"/>
        <v>0.997</v>
      </c>
      <c r="P13" s="420"/>
      <c r="Q13" s="69"/>
      <c r="R13" s="50">
        <f>D$44</f>
        <v>0.998</v>
      </c>
      <c r="S13" s="50">
        <f t="shared" ref="S13:V13" si="17">E$44</f>
        <v>0.998</v>
      </c>
      <c r="T13" s="50">
        <f t="shared" si="17"/>
        <v>0.998</v>
      </c>
      <c r="U13" s="50">
        <f t="shared" si="17"/>
        <v>0.998</v>
      </c>
      <c r="V13" s="50">
        <f t="shared" si="17"/>
        <v>0.998</v>
      </c>
      <c r="W13" s="420"/>
      <c r="X13" s="69"/>
      <c r="Y13" s="50">
        <f>D$45</f>
        <v>0.999</v>
      </c>
      <c r="Z13" s="50">
        <f t="shared" ref="Z13:AC13" si="18">E$45</f>
        <v>0.999</v>
      </c>
      <c r="AA13" s="50">
        <f t="shared" si="18"/>
        <v>0.999</v>
      </c>
      <c r="AB13" s="50">
        <f t="shared" si="18"/>
        <v>0.999</v>
      </c>
      <c r="AC13" s="50">
        <f t="shared" si="18"/>
        <v>0.999</v>
      </c>
    </row>
    <row r="14" spans="2:30" x14ac:dyDescent="0.25">
      <c r="I14" s="181"/>
      <c r="P14" s="181"/>
      <c r="W14" s="181"/>
    </row>
    <row r="15" spans="2:30" x14ac:dyDescent="0.25">
      <c r="B15" s="986" t="s">
        <v>118</v>
      </c>
      <c r="C15" s="986"/>
      <c r="D15" s="986"/>
      <c r="E15" s="986"/>
      <c r="F15" s="986"/>
      <c r="G15" s="986"/>
      <c r="H15" s="986"/>
      <c r="I15" s="181"/>
      <c r="K15" s="982" t="s">
        <v>133</v>
      </c>
      <c r="L15" s="982"/>
      <c r="M15" s="982"/>
      <c r="N15" s="982"/>
      <c r="O15" s="982"/>
      <c r="P15" s="181"/>
      <c r="R15" s="982" t="s">
        <v>134</v>
      </c>
      <c r="S15" s="982"/>
      <c r="T15" s="982"/>
      <c r="U15" s="982"/>
      <c r="V15" s="982"/>
      <c r="W15" s="181"/>
      <c r="Y15" s="982" t="s">
        <v>135</v>
      </c>
      <c r="Z15" s="982"/>
      <c r="AA15" s="982"/>
      <c r="AB15" s="982"/>
      <c r="AC15" s="982"/>
    </row>
    <row r="16" spans="2:30" x14ac:dyDescent="0.25">
      <c r="B16" s="986"/>
      <c r="C16" s="986"/>
      <c r="D16" s="986"/>
      <c r="E16" s="986"/>
      <c r="F16" s="986"/>
      <c r="G16" s="986"/>
      <c r="H16" s="986"/>
      <c r="I16" s="181"/>
      <c r="K16" s="982"/>
      <c r="L16" s="982"/>
      <c r="M16" s="982"/>
      <c r="N16" s="982"/>
      <c r="O16" s="982"/>
      <c r="P16" s="181"/>
      <c r="R16" s="982"/>
      <c r="S16" s="982"/>
      <c r="T16" s="982"/>
      <c r="U16" s="982"/>
      <c r="V16" s="982"/>
      <c r="W16" s="181"/>
      <c r="Y16" s="982"/>
      <c r="Z16" s="982"/>
      <c r="AA16" s="982"/>
      <c r="AB16" s="982"/>
      <c r="AC16" s="982"/>
    </row>
    <row r="17" spans="2:29" x14ac:dyDescent="0.25">
      <c r="I17" s="181"/>
      <c r="P17" s="181"/>
      <c r="W17" s="181"/>
    </row>
    <row r="18" spans="2:29" x14ac:dyDescent="0.25">
      <c r="B18" s="40" t="s">
        <v>119</v>
      </c>
      <c r="C18" s="60" t="s">
        <v>112</v>
      </c>
      <c r="D18" s="46">
        <f>D6-(D11+D28)</f>
        <v>413</v>
      </c>
      <c r="E18" s="46">
        <f>E6-(E11+E28)</f>
        <v>0</v>
      </c>
      <c r="F18" s="46">
        <f>F6-(F11+F28)</f>
        <v>0</v>
      </c>
      <c r="G18" s="46">
        <f>G6-(G11+G28)</f>
        <v>412</v>
      </c>
      <c r="H18" s="46">
        <f>H6-(H11+H28)</f>
        <v>0</v>
      </c>
      <c r="I18" s="181"/>
      <c r="K18" s="46">
        <f>K$22*K$20</f>
        <v>269.93664000000024</v>
      </c>
      <c r="L18" s="46">
        <f t="shared" ref="L18:O18" si="19">L$22*L$20</f>
        <v>272.63600640000021</v>
      </c>
      <c r="M18" s="46">
        <f t="shared" si="19"/>
        <v>278.08872652800022</v>
      </c>
      <c r="N18" s="46">
        <f t="shared" si="19"/>
        <v>283.65050105856022</v>
      </c>
      <c r="O18" s="46">
        <f t="shared" si="19"/>
        <v>292.16001609031707</v>
      </c>
      <c r="P18" s="181"/>
      <c r="R18" s="46">
        <f>R$22*R$20</f>
        <v>176.39424000000014</v>
      </c>
      <c r="S18" s="46">
        <f t="shared" ref="S18:V18" si="20">S$22*S$20</f>
        <v>174.63029760000015</v>
      </c>
      <c r="T18" s="46">
        <f t="shared" si="20"/>
        <v>176.37660057600016</v>
      </c>
      <c r="U18" s="46">
        <f t="shared" si="20"/>
        <v>178.14036658176016</v>
      </c>
      <c r="V18" s="46">
        <f t="shared" si="20"/>
        <v>181.70317391339537</v>
      </c>
      <c r="W18" s="181"/>
      <c r="Y18" s="46">
        <f>Y22*Y20</f>
        <v>87.751680000000064</v>
      </c>
      <c r="Z18" s="46">
        <f t="shared" ref="Z18:AC18" si="21">Z22*Z20</f>
        <v>86.435404800000072</v>
      </c>
      <c r="AA18" s="46">
        <f t="shared" si="21"/>
        <v>85.571050752000076</v>
      </c>
      <c r="AB18" s="46">
        <f t="shared" si="21"/>
        <v>84.715340244480075</v>
      </c>
      <c r="AC18" s="46">
        <f t="shared" si="21"/>
        <v>85.562493646924878</v>
      </c>
    </row>
    <row r="19" spans="2:29" ht="15.6" x14ac:dyDescent="0.3">
      <c r="B19" s="70" t="s">
        <v>120</v>
      </c>
      <c r="C19" s="90" t="s">
        <v>113</v>
      </c>
      <c r="D19" s="78" t="str">
        <f>D12</f>
        <v>N/A</v>
      </c>
      <c r="E19" s="80">
        <f>E18/D18-1</f>
        <v>-1</v>
      </c>
      <c r="F19" s="80" t="s">
        <v>122</v>
      </c>
      <c r="G19" s="80" t="s">
        <v>122</v>
      </c>
      <c r="H19" s="80">
        <f t="shared" ref="H19" si="22">H18/G18-1</f>
        <v>-1</v>
      </c>
      <c r="I19" s="181"/>
      <c r="K19" s="80" t="s">
        <v>122</v>
      </c>
      <c r="L19" s="80">
        <f>L$18/K$18-1</f>
        <v>9.9999999999997868E-3</v>
      </c>
      <c r="M19" s="80">
        <f t="shared" ref="M19:O19" si="23">M$18/L$18-1</f>
        <v>2.0000000000000018E-2</v>
      </c>
      <c r="N19" s="80">
        <f t="shared" si="23"/>
        <v>2.0000000000000018E-2</v>
      </c>
      <c r="O19" s="80">
        <f t="shared" si="23"/>
        <v>3.0000000000000249E-2</v>
      </c>
      <c r="P19" s="181"/>
      <c r="R19" s="80" t="s">
        <v>122</v>
      </c>
      <c r="S19" s="80">
        <f>S$18/R$18-1</f>
        <v>-9.9999999999998979E-3</v>
      </c>
      <c r="T19" s="80">
        <f t="shared" ref="T19:V19" si="24">T$18/S$18-1</f>
        <v>1.0000000000000009E-2</v>
      </c>
      <c r="U19" s="80">
        <f t="shared" si="24"/>
        <v>1.0000000000000009E-2</v>
      </c>
      <c r="V19" s="80">
        <f t="shared" si="24"/>
        <v>2.0000000000000018E-2</v>
      </c>
      <c r="W19" s="181"/>
      <c r="Y19" s="80" t="s">
        <v>122</v>
      </c>
      <c r="Z19" s="80">
        <f>Z18/Y18-1</f>
        <v>-1.4999999999999902E-2</v>
      </c>
      <c r="AA19" s="80">
        <f t="shared" ref="AA19:AC19" si="25">AA18/Z18-1</f>
        <v>-9.9999999999998979E-3</v>
      </c>
      <c r="AB19" s="80">
        <f t="shared" si="25"/>
        <v>-1.0000000000000009E-2</v>
      </c>
      <c r="AC19" s="80">
        <f t="shared" si="25"/>
        <v>1.0000000000000009E-2</v>
      </c>
    </row>
    <row r="20" spans="2:29" ht="15.6" x14ac:dyDescent="0.3">
      <c r="B20" s="42" t="s">
        <v>97</v>
      </c>
      <c r="C20" s="91" t="s">
        <v>113</v>
      </c>
      <c r="D20" s="50">
        <f>D18/D22</f>
        <v>6.6352842889963529E-3</v>
      </c>
      <c r="E20" s="50">
        <f t="shared" ref="E20:H20" si="26">E18/E22</f>
        <v>0</v>
      </c>
      <c r="F20" s="50">
        <f t="shared" si="26"/>
        <v>0</v>
      </c>
      <c r="G20" s="50">
        <f t="shared" si="26"/>
        <v>4.5882798405238656E-3</v>
      </c>
      <c r="H20" s="50">
        <f t="shared" si="26"/>
        <v>0</v>
      </c>
      <c r="I20" s="181"/>
      <c r="K20" s="50">
        <f>100%-K13</f>
        <v>3.0000000000000027E-3</v>
      </c>
      <c r="L20" s="50">
        <f t="shared" ref="L20:O20" si="27">100%-L13</f>
        <v>3.0000000000000027E-3</v>
      </c>
      <c r="M20" s="50">
        <f t="shared" si="27"/>
        <v>3.0000000000000027E-3</v>
      </c>
      <c r="N20" s="50">
        <f t="shared" si="27"/>
        <v>3.0000000000000027E-3</v>
      </c>
      <c r="O20" s="50">
        <f t="shared" si="27"/>
        <v>3.0000000000000027E-3</v>
      </c>
      <c r="P20" s="420"/>
      <c r="Q20" s="69"/>
      <c r="R20" s="50">
        <f>100%-R13</f>
        <v>2.0000000000000018E-3</v>
      </c>
      <c r="S20" s="50">
        <f t="shared" ref="S20:V20" si="28">100%-S13</f>
        <v>2.0000000000000018E-3</v>
      </c>
      <c r="T20" s="50">
        <f t="shared" si="28"/>
        <v>2.0000000000000018E-3</v>
      </c>
      <c r="U20" s="50">
        <f t="shared" si="28"/>
        <v>2.0000000000000018E-3</v>
      </c>
      <c r="V20" s="50">
        <f t="shared" si="28"/>
        <v>2.0000000000000018E-3</v>
      </c>
      <c r="W20" s="420"/>
      <c r="X20" s="69"/>
      <c r="Y20" s="50">
        <f>100%-Y13</f>
        <v>1.0000000000000009E-3</v>
      </c>
      <c r="Z20" s="50">
        <f t="shared" ref="Z20:AC20" si="29">100%-Z13</f>
        <v>1.0000000000000009E-3</v>
      </c>
      <c r="AA20" s="50">
        <f t="shared" si="29"/>
        <v>1.0000000000000009E-3</v>
      </c>
      <c r="AB20" s="50">
        <f t="shared" si="29"/>
        <v>1.0000000000000009E-3</v>
      </c>
      <c r="AC20" s="50">
        <f t="shared" si="29"/>
        <v>1.0000000000000009E-3</v>
      </c>
    </row>
    <row r="21" spans="2:29" x14ac:dyDescent="0.25">
      <c r="I21" s="181"/>
      <c r="P21" s="181"/>
      <c r="W21" s="181"/>
    </row>
    <row r="22" spans="2:29" x14ac:dyDescent="0.25">
      <c r="B22" s="40" t="s">
        <v>123</v>
      </c>
      <c r="C22" s="60" t="s">
        <v>112</v>
      </c>
      <c r="D22" s="46">
        <f>D11+D18</f>
        <v>62243</v>
      </c>
      <c r="E22" s="46">
        <f t="shared" ref="E22:H22" si="30">E11+E18</f>
        <v>79529</v>
      </c>
      <c r="F22" s="46">
        <f t="shared" si="30"/>
        <v>90935</v>
      </c>
      <c r="G22" s="46">
        <f t="shared" si="30"/>
        <v>89794</v>
      </c>
      <c r="H22" s="46">
        <f t="shared" si="30"/>
        <v>89088</v>
      </c>
      <c r="I22" s="181"/>
      <c r="K22" s="46">
        <f>$H$22+($H$22*$D$37)</f>
        <v>89978.880000000005</v>
      </c>
      <c r="L22" s="46">
        <f>K$22+(K$22*E$37)</f>
        <v>90878.668799999999</v>
      </c>
      <c r="M22" s="46">
        <f t="shared" ref="M22:O22" si="31">L$22+(L$22*F$37)</f>
        <v>92696.242176</v>
      </c>
      <c r="N22" s="46">
        <f t="shared" si="31"/>
        <v>94550.167019519999</v>
      </c>
      <c r="O22" s="46">
        <f t="shared" si="31"/>
        <v>97386.672030105605</v>
      </c>
      <c r="P22" s="181"/>
      <c r="R22" s="46">
        <f>$H$22+($H$22*$D$38)</f>
        <v>88197.119999999995</v>
      </c>
      <c r="S22" s="46">
        <f>R$22+(R$22*E$38)</f>
        <v>87315.148799999995</v>
      </c>
      <c r="T22" s="46">
        <f t="shared" ref="T22:V22" si="32">S$22+(S$22*F$38)</f>
        <v>88188.300287999999</v>
      </c>
      <c r="U22" s="46">
        <f t="shared" si="32"/>
        <v>89070.183290879999</v>
      </c>
      <c r="V22" s="46">
        <f t="shared" si="32"/>
        <v>90851.586956697603</v>
      </c>
      <c r="W22" s="181"/>
      <c r="Y22" s="46">
        <f>$H$22+($H$22*$D$39)</f>
        <v>87751.679999999993</v>
      </c>
      <c r="Z22" s="46">
        <f>Y$22+(Y$22*E$39)</f>
        <v>86435.404799999989</v>
      </c>
      <c r="AA22" s="46">
        <f t="shared" ref="AA22:AC22" si="33">Z$22+(Z$22*F$39)</f>
        <v>85571.050751999996</v>
      </c>
      <c r="AB22" s="46">
        <f t="shared" si="33"/>
        <v>84715.340244480001</v>
      </c>
      <c r="AC22" s="46">
        <f t="shared" si="33"/>
        <v>85562.493646924806</v>
      </c>
    </row>
    <row r="23" spans="2:29" ht="15.6" x14ac:dyDescent="0.3">
      <c r="B23" s="42" t="s">
        <v>3248</v>
      </c>
      <c r="C23" s="91" t="s">
        <v>113</v>
      </c>
      <c r="D23" s="50">
        <f>D22/D6</f>
        <v>0.96314119922630559</v>
      </c>
      <c r="E23" s="50">
        <f>E22/E6</f>
        <v>0.97473955141561464</v>
      </c>
      <c r="F23" s="50">
        <f>F22/F6</f>
        <v>0.97568695614853918</v>
      </c>
      <c r="G23" s="50">
        <f>G22/G6</f>
        <v>0.97153367595347584</v>
      </c>
      <c r="H23" s="50">
        <f>H22/H6</f>
        <v>0.95822398141375897</v>
      </c>
      <c r="I23" s="181"/>
      <c r="K23" s="50">
        <f>K22/K6</f>
        <v>0.95624634946977516</v>
      </c>
      <c r="L23" s="50">
        <f>L22/L6</f>
        <v>0.95417957522830887</v>
      </c>
      <c r="M23" s="50">
        <f>M22/M6</f>
        <v>0.95246810490876355</v>
      </c>
      <c r="N23" s="50">
        <f>N22/N6</f>
        <v>0.95069601145464122</v>
      </c>
      <c r="O23" s="50">
        <f>O22/O6</f>
        <v>0.94933273309934607</v>
      </c>
      <c r="P23" s="181"/>
      <c r="R23" s="50">
        <f>R22/R6</f>
        <v>0.95580400046296243</v>
      </c>
      <c r="S23" s="50">
        <f>S22/S6</f>
        <v>0.9532506752265385</v>
      </c>
      <c r="T23" s="50">
        <f>T22/T6</f>
        <v>0.95148903285760988</v>
      </c>
      <c r="U23" s="50">
        <f>U22/U6</f>
        <v>0.94966451230502691</v>
      </c>
      <c r="V23" s="50">
        <f>V22/V6</f>
        <v>0.94826065458413134</v>
      </c>
      <c r="W23" s="181"/>
      <c r="Y23" s="50">
        <f>Y22/Y6</f>
        <v>0.95599396193789721</v>
      </c>
      <c r="Z23" s="50">
        <f>Z22/Z6</f>
        <v>0.95365066112467178</v>
      </c>
      <c r="AA23" s="50">
        <f>AA22/AA6</f>
        <v>0.95142349697944695</v>
      </c>
      <c r="AB23" s="50">
        <f>AB22/AB6</f>
        <v>0.94909502640283838</v>
      </c>
      <c r="AC23" s="50">
        <f>AC22/AC6</f>
        <v>0.94766213385127218</v>
      </c>
    </row>
    <row r="24" spans="2:29" x14ac:dyDescent="0.25">
      <c r="I24" s="181"/>
      <c r="P24" s="181"/>
      <c r="W24" s="181"/>
    </row>
    <row r="25" spans="2:29" x14ac:dyDescent="0.25">
      <c r="B25" s="986" t="s">
        <v>124</v>
      </c>
      <c r="C25" s="986"/>
      <c r="D25" s="986"/>
      <c r="E25" s="986"/>
      <c r="F25" s="986"/>
      <c r="G25" s="986"/>
      <c r="H25" s="986"/>
      <c r="I25" s="181"/>
      <c r="K25" s="982" t="s">
        <v>136</v>
      </c>
      <c r="L25" s="982"/>
      <c r="M25" s="982"/>
      <c r="N25" s="982"/>
      <c r="O25" s="982"/>
      <c r="P25" s="181"/>
      <c r="R25" s="982" t="s">
        <v>137</v>
      </c>
      <c r="S25" s="982"/>
      <c r="T25" s="982"/>
      <c r="U25" s="982"/>
      <c r="V25" s="982"/>
      <c r="W25" s="181"/>
      <c r="Y25" s="982" t="s">
        <v>138</v>
      </c>
      <c r="Z25" s="982"/>
      <c r="AA25" s="982"/>
      <c r="AB25" s="982"/>
      <c r="AC25" s="982"/>
    </row>
    <row r="26" spans="2:29" x14ac:dyDescent="0.25">
      <c r="B26" s="986"/>
      <c r="C26" s="986"/>
      <c r="D26" s="986"/>
      <c r="E26" s="986"/>
      <c r="F26" s="986"/>
      <c r="G26" s="986"/>
      <c r="H26" s="986"/>
      <c r="I26" s="181"/>
      <c r="K26" s="982"/>
      <c r="L26" s="982"/>
      <c r="M26" s="982"/>
      <c r="N26" s="982"/>
      <c r="O26" s="982"/>
      <c r="P26" s="181"/>
      <c r="R26" s="982"/>
      <c r="S26" s="982"/>
      <c r="T26" s="982"/>
      <c r="U26" s="982"/>
      <c r="V26" s="982"/>
      <c r="W26" s="181"/>
      <c r="Y26" s="982"/>
      <c r="Z26" s="982"/>
      <c r="AA26" s="982"/>
      <c r="AB26" s="982"/>
      <c r="AC26" s="982"/>
    </row>
    <row r="27" spans="2:29" x14ac:dyDescent="0.25">
      <c r="I27" s="181"/>
      <c r="P27" s="181"/>
      <c r="W27" s="181"/>
    </row>
    <row r="28" spans="2:29" x14ac:dyDescent="0.25">
      <c r="B28" s="40" t="s">
        <v>125</v>
      </c>
      <c r="C28" s="60" t="s">
        <v>112</v>
      </c>
      <c r="D28" s="46">
        <f>'PROFIT &amp; LOSS'!D8</f>
        <v>2382</v>
      </c>
      <c r="E28" s="46">
        <f>'PROFIT &amp; LOSS'!E8</f>
        <v>2061</v>
      </c>
      <c r="F28" s="46">
        <f>'PROFIT &amp; LOSS'!F8</f>
        <v>2266</v>
      </c>
      <c r="G28" s="46">
        <f>'PROFIT &amp; LOSS'!G8</f>
        <v>2631</v>
      </c>
      <c r="H28" s="46">
        <f>'PROFIT &amp; LOSS'!H8</f>
        <v>3884</v>
      </c>
      <c r="I28" s="181"/>
      <c r="K28" s="46">
        <f>$H$28+($H$28*K29)</f>
        <v>4117.04</v>
      </c>
      <c r="L28" s="46">
        <f>K$28+(K$28*L$29)</f>
        <v>4364.0623999999998</v>
      </c>
      <c r="M28" s="46">
        <f t="shared" ref="M28:O28" si="34">L$28+(L$28*M$29)</f>
        <v>4625.9061439999996</v>
      </c>
      <c r="N28" s="46">
        <f t="shared" si="34"/>
        <v>4903.4605126399993</v>
      </c>
      <c r="O28" s="46">
        <f t="shared" si="34"/>
        <v>5197.6681433983995</v>
      </c>
      <c r="P28" s="181"/>
      <c r="R28" s="46">
        <f>$H$28+($H$28*$R$29)</f>
        <v>4078.2</v>
      </c>
      <c r="S28" s="46">
        <f>R$28+(R$28*S$29)</f>
        <v>4282.1099999999997</v>
      </c>
      <c r="T28" s="46">
        <f t="shared" ref="T28:V28" si="35">S$28+(S$28*T$29)</f>
        <v>4496.2154999999993</v>
      </c>
      <c r="U28" s="46">
        <f t="shared" si="35"/>
        <v>4721.0262749999993</v>
      </c>
      <c r="V28" s="46">
        <f t="shared" si="35"/>
        <v>4957.0775887499994</v>
      </c>
      <c r="W28" s="181"/>
      <c r="Y28" s="46">
        <f>$H$28+($H$28*$Y$29)</f>
        <v>4039.36</v>
      </c>
      <c r="Z28" s="46">
        <f>Y$28+(Y$28*Z$29)</f>
        <v>4200.9344000000001</v>
      </c>
      <c r="AA28" s="46">
        <f t="shared" ref="AA28:AC28" si="36">Z$28+(Z$28*AA$29)</f>
        <v>4368.9717760000003</v>
      </c>
      <c r="AB28" s="46">
        <f t="shared" si="36"/>
        <v>4543.7306470399999</v>
      </c>
      <c r="AC28" s="46">
        <f t="shared" si="36"/>
        <v>4725.4798729216</v>
      </c>
    </row>
    <row r="29" spans="2:29" ht="15.6" x14ac:dyDescent="0.3">
      <c r="B29" s="70" t="s">
        <v>126</v>
      </c>
      <c r="C29" s="90" t="s">
        <v>113</v>
      </c>
      <c r="D29" s="78" t="s">
        <v>122</v>
      </c>
      <c r="E29" s="79">
        <f>E28/D28-1</f>
        <v>-0.13476070528967254</v>
      </c>
      <c r="F29" s="79">
        <f t="shared" ref="F29:H29" si="37">F28/E28-1</f>
        <v>9.9466278505579764E-2</v>
      </c>
      <c r="G29" s="79">
        <f t="shared" si="37"/>
        <v>0.16107678729037955</v>
      </c>
      <c r="H29" s="79">
        <f t="shared" si="37"/>
        <v>0.47624477385024711</v>
      </c>
      <c r="I29" s="181"/>
      <c r="K29" s="79">
        <f>D$49</f>
        <v>0.06</v>
      </c>
      <c r="L29" s="79">
        <f t="shared" ref="L29:O29" si="38">E$49</f>
        <v>0.06</v>
      </c>
      <c r="M29" s="79">
        <f t="shared" si="38"/>
        <v>0.06</v>
      </c>
      <c r="N29" s="79">
        <f t="shared" si="38"/>
        <v>0.06</v>
      </c>
      <c r="O29" s="79">
        <f t="shared" si="38"/>
        <v>0.06</v>
      </c>
      <c r="P29" s="503"/>
      <c r="Q29" s="41"/>
      <c r="R29" s="79">
        <f>D$50</f>
        <v>0.05</v>
      </c>
      <c r="S29" s="79">
        <f t="shared" ref="S29:V29" si="39">E$50</f>
        <v>0.05</v>
      </c>
      <c r="T29" s="79">
        <f t="shared" si="39"/>
        <v>0.05</v>
      </c>
      <c r="U29" s="79">
        <f t="shared" si="39"/>
        <v>0.05</v>
      </c>
      <c r="V29" s="79">
        <f t="shared" si="39"/>
        <v>0.05</v>
      </c>
      <c r="W29" s="503"/>
      <c r="X29" s="41"/>
      <c r="Y29" s="79">
        <f>D$51</f>
        <v>0.04</v>
      </c>
      <c r="Z29" s="79">
        <f t="shared" ref="Z29:AC29" si="40">E$51</f>
        <v>0.04</v>
      </c>
      <c r="AA29" s="79">
        <f t="shared" si="40"/>
        <v>0.04</v>
      </c>
      <c r="AB29" s="79">
        <f t="shared" si="40"/>
        <v>0.04</v>
      </c>
      <c r="AC29" s="79">
        <f t="shared" si="40"/>
        <v>0.04</v>
      </c>
    </row>
    <row r="30" spans="2:29" ht="15.6" x14ac:dyDescent="0.3">
      <c r="B30" s="42" t="s">
        <v>3248</v>
      </c>
      <c r="C30" s="91" t="s">
        <v>113</v>
      </c>
      <c r="D30" s="50">
        <f>D28/D6</f>
        <v>3.685880077369439E-2</v>
      </c>
      <c r="E30" s="50">
        <f>E28/E6</f>
        <v>2.526044858438534E-2</v>
      </c>
      <c r="F30" s="50">
        <f>F28/F6</f>
        <v>2.4313043851460821E-2</v>
      </c>
      <c r="G30" s="50">
        <f>G28/G6</f>
        <v>2.8466324046524209E-2</v>
      </c>
      <c r="H30" s="50">
        <f>H28/H6</f>
        <v>4.1776018586241019E-2</v>
      </c>
      <c r="I30" s="181"/>
      <c r="K30" s="50">
        <f>K28/K6</f>
        <v>4.3753650530224904E-2</v>
      </c>
      <c r="L30" s="50">
        <f>L28/L6</f>
        <v>4.5820424771691133E-2</v>
      </c>
      <c r="M30" s="50">
        <f>M28/M6</f>
        <v>4.7531895091236516E-2</v>
      </c>
      <c r="N30" s="50">
        <f>N28/N6</f>
        <v>4.9303988545358821E-2</v>
      </c>
      <c r="O30" s="50">
        <f>O28/O6</f>
        <v>5.0667266900653894E-2</v>
      </c>
      <c r="P30" s="71"/>
      <c r="Q30" s="76"/>
      <c r="R30" s="50">
        <f>R28/R6</f>
        <v>4.4195999537037643E-2</v>
      </c>
      <c r="S30" s="50">
        <f>S28/S6</f>
        <v>4.6749324773461449E-2</v>
      </c>
      <c r="T30" s="50">
        <f>T28/T6</f>
        <v>4.8510967142390039E-2</v>
      </c>
      <c r="U30" s="50">
        <f>U28/U6</f>
        <v>5.033548769497314E-2</v>
      </c>
      <c r="V30" s="50">
        <f>V28/V6</f>
        <v>5.1739345415868623E-2</v>
      </c>
      <c r="W30" s="71"/>
      <c r="X30" s="76"/>
      <c r="Y30" s="50">
        <f>Y28/Y6</f>
        <v>4.4006038062102799E-2</v>
      </c>
      <c r="Z30" s="50">
        <f>Z28/Z6</f>
        <v>4.6349338875328279E-2</v>
      </c>
      <c r="AA30" s="50">
        <f>AA28/AA6</f>
        <v>4.8576503020553038E-2</v>
      </c>
      <c r="AB30" s="50">
        <f>AB28/AB6</f>
        <v>5.0904973597161583E-2</v>
      </c>
      <c r="AC30" s="50">
        <f>AC28/AC6</f>
        <v>5.2337866148727791E-2</v>
      </c>
    </row>
    <row r="31" spans="2:29" x14ac:dyDescent="0.25">
      <c r="D31" s="983" t="s">
        <v>139</v>
      </c>
      <c r="E31" s="983"/>
      <c r="F31" s="983"/>
      <c r="G31" s="983"/>
      <c r="H31" s="983"/>
      <c r="I31" s="181"/>
      <c r="K31" s="983" t="s">
        <v>172</v>
      </c>
      <c r="L31" s="983"/>
      <c r="M31" s="983"/>
      <c r="N31" s="983"/>
      <c r="O31" s="983"/>
      <c r="P31" s="181"/>
      <c r="R31" s="983" t="s">
        <v>173</v>
      </c>
      <c r="S31" s="983"/>
      <c r="T31" s="983"/>
      <c r="U31" s="983"/>
      <c r="V31" s="983"/>
      <c r="W31" s="181"/>
      <c r="Y31" s="983" t="s">
        <v>182</v>
      </c>
      <c r="Z31" s="983"/>
      <c r="AA31" s="983"/>
      <c r="AB31" s="983"/>
      <c r="AC31" s="983"/>
    </row>
    <row r="32" spans="2:29" x14ac:dyDescent="0.25">
      <c r="B32" s="985" t="s">
        <v>3459</v>
      </c>
      <c r="D32" s="984"/>
      <c r="E32" s="984"/>
      <c r="F32" s="984"/>
      <c r="G32" s="984"/>
      <c r="H32" s="984"/>
      <c r="I32" s="181"/>
      <c r="K32" s="984"/>
      <c r="L32" s="984"/>
      <c r="M32" s="984"/>
      <c r="N32" s="984"/>
      <c r="O32" s="984"/>
      <c r="P32" s="181"/>
      <c r="R32" s="984"/>
      <c r="S32" s="984"/>
      <c r="T32" s="984"/>
      <c r="U32" s="984"/>
      <c r="V32" s="984"/>
      <c r="W32" s="181"/>
      <c r="Y32" s="984"/>
      <c r="Z32" s="984"/>
      <c r="AA32" s="984"/>
      <c r="AB32" s="984"/>
      <c r="AC32" s="984"/>
    </row>
    <row r="33" spans="2:29" ht="15.6" x14ac:dyDescent="0.3">
      <c r="B33" s="985"/>
      <c r="D33" s="97" t="s">
        <v>83</v>
      </c>
      <c r="E33" s="97" t="s">
        <v>84</v>
      </c>
      <c r="F33" s="97" t="s">
        <v>85</v>
      </c>
      <c r="G33" s="97" t="s">
        <v>86</v>
      </c>
      <c r="H33" s="97" t="s">
        <v>87</v>
      </c>
      <c r="I33" s="181"/>
      <c r="K33" s="97" t="s">
        <v>83</v>
      </c>
      <c r="L33" s="97" t="s">
        <v>84</v>
      </c>
      <c r="M33" s="97" t="s">
        <v>85</v>
      </c>
      <c r="N33" s="97" t="s">
        <v>86</v>
      </c>
      <c r="O33" s="97" t="s">
        <v>87</v>
      </c>
      <c r="P33" s="181"/>
      <c r="R33" s="97" t="s">
        <v>83</v>
      </c>
      <c r="S33" s="97" t="s">
        <v>84</v>
      </c>
      <c r="T33" s="97" t="s">
        <v>85</v>
      </c>
      <c r="U33" s="97" t="s">
        <v>86</v>
      </c>
      <c r="V33" s="97" t="s">
        <v>87</v>
      </c>
      <c r="W33" s="181"/>
      <c r="Y33" s="97" t="s">
        <v>83</v>
      </c>
      <c r="Z33" s="97" t="s">
        <v>84</v>
      </c>
      <c r="AA33" s="97" t="s">
        <v>85</v>
      </c>
      <c r="AB33" s="97" t="s">
        <v>86</v>
      </c>
      <c r="AC33" s="97" t="s">
        <v>87</v>
      </c>
    </row>
    <row r="34" spans="2:29" x14ac:dyDescent="0.25">
      <c r="I34" s="181"/>
      <c r="P34" s="181"/>
      <c r="W34" s="181"/>
    </row>
    <row r="35" spans="2:29" x14ac:dyDescent="0.25">
      <c r="B35" s="82" t="s">
        <v>3245</v>
      </c>
      <c r="C35" s="85"/>
      <c r="D35" s="83"/>
      <c r="E35" s="83"/>
      <c r="F35" s="83"/>
      <c r="G35" s="83"/>
      <c r="H35" s="83"/>
      <c r="I35" s="181"/>
      <c r="K35" s="98" t="s">
        <v>142</v>
      </c>
      <c r="L35" s="83"/>
      <c r="M35" s="83"/>
      <c r="N35" s="83"/>
      <c r="O35" s="83"/>
      <c r="P35" s="181"/>
      <c r="R35" s="98" t="s">
        <v>3264</v>
      </c>
      <c r="S35" s="83"/>
      <c r="T35" s="83"/>
      <c r="U35" s="83"/>
      <c r="V35" s="83"/>
      <c r="W35" s="181"/>
      <c r="Y35" s="98" t="s">
        <v>183</v>
      </c>
      <c r="Z35" s="83"/>
      <c r="AA35" s="83"/>
      <c r="AB35" s="83"/>
      <c r="AC35" s="83"/>
    </row>
    <row r="36" spans="2:29" ht="7.05" customHeight="1" x14ac:dyDescent="0.25">
      <c r="B36" s="81"/>
      <c r="C36" s="86"/>
      <c r="D36" s="77"/>
      <c r="E36" s="77"/>
      <c r="F36" s="77"/>
      <c r="G36" s="77"/>
      <c r="H36" s="77"/>
      <c r="I36" s="181"/>
      <c r="K36" s="99"/>
      <c r="L36" s="77"/>
      <c r="M36" s="77"/>
      <c r="N36" s="77"/>
      <c r="O36" s="77"/>
      <c r="P36" s="181"/>
      <c r="R36" s="77"/>
      <c r="S36" s="77"/>
      <c r="T36" s="77"/>
      <c r="U36" s="77"/>
      <c r="V36" s="77"/>
      <c r="W36" s="181"/>
      <c r="Y36" s="77"/>
      <c r="Z36" s="77"/>
      <c r="AA36" s="77"/>
      <c r="AB36" s="77"/>
      <c r="AC36" s="77"/>
    </row>
    <row r="37" spans="2:29" x14ac:dyDescent="0.25">
      <c r="B37" s="81" t="s">
        <v>127</v>
      </c>
      <c r="C37" s="87" t="s">
        <v>113</v>
      </c>
      <c r="D37" s="92">
        <v>0.01</v>
      </c>
      <c r="E37" s="92">
        <v>0.01</v>
      </c>
      <c r="F37" s="92">
        <v>0.02</v>
      </c>
      <c r="G37" s="92">
        <v>0.02</v>
      </c>
      <c r="H37" s="92">
        <v>0.03</v>
      </c>
      <c r="I37" s="181"/>
      <c r="K37" s="92">
        <v>0.71</v>
      </c>
      <c r="L37" s="92">
        <v>0.71</v>
      </c>
      <c r="M37" s="92">
        <v>0.71</v>
      </c>
      <c r="N37" s="92">
        <v>0.71</v>
      </c>
      <c r="O37" s="92">
        <v>0.71</v>
      </c>
      <c r="P37" s="181"/>
      <c r="R37" s="92">
        <v>0.15</v>
      </c>
      <c r="S37" s="92">
        <v>0.151</v>
      </c>
      <c r="T37" s="92">
        <v>0.152</v>
      </c>
      <c r="U37" s="92">
        <v>0.153</v>
      </c>
      <c r="V37" s="92">
        <v>0.154</v>
      </c>
      <c r="W37" s="181"/>
      <c r="Y37" s="92">
        <v>0.23</v>
      </c>
      <c r="Z37" s="92">
        <v>0.23</v>
      </c>
      <c r="AA37" s="92">
        <v>0.23</v>
      </c>
      <c r="AB37" s="92">
        <v>0.23</v>
      </c>
      <c r="AC37" s="92">
        <v>0.23</v>
      </c>
    </row>
    <row r="38" spans="2:29" x14ac:dyDescent="0.25">
      <c r="B38" s="81" t="s">
        <v>128</v>
      </c>
      <c r="C38" s="87" t="s">
        <v>113</v>
      </c>
      <c r="D38" s="92">
        <v>-0.01</v>
      </c>
      <c r="E38" s="92">
        <v>-0.01</v>
      </c>
      <c r="F38" s="92">
        <v>0.01</v>
      </c>
      <c r="G38" s="92">
        <v>0.01</v>
      </c>
      <c r="H38" s="92">
        <v>0.02</v>
      </c>
      <c r="I38" s="181"/>
      <c r="K38" s="92">
        <v>0.72</v>
      </c>
      <c r="L38" s="92">
        <v>0.72</v>
      </c>
      <c r="M38" s="92">
        <v>0.72</v>
      </c>
      <c r="N38" s="92">
        <v>0.72</v>
      </c>
      <c r="O38" s="92">
        <v>0.72</v>
      </c>
      <c r="P38" s="181"/>
      <c r="R38" s="92">
        <v>0.14499999999999999</v>
      </c>
      <c r="S38" s="92">
        <v>0.14599999999999999</v>
      </c>
      <c r="T38" s="92">
        <v>0.14699999999999999</v>
      </c>
      <c r="U38" s="92">
        <v>0.14799999999999999</v>
      </c>
      <c r="V38" s="92">
        <v>0.14899999999999999</v>
      </c>
      <c r="W38" s="181"/>
      <c r="Y38" s="92">
        <v>0.24</v>
      </c>
      <c r="Z38" s="92">
        <v>0.24</v>
      </c>
      <c r="AA38" s="92">
        <v>0.24</v>
      </c>
      <c r="AB38" s="92">
        <v>0.24</v>
      </c>
      <c r="AC38" s="92">
        <v>0.24</v>
      </c>
    </row>
    <row r="39" spans="2:29" x14ac:dyDescent="0.25">
      <c r="B39" s="84" t="s">
        <v>129</v>
      </c>
      <c r="C39" s="88" t="s">
        <v>113</v>
      </c>
      <c r="D39" s="93">
        <v>-1.4999999999999999E-2</v>
      </c>
      <c r="E39" s="93">
        <v>-1.4999999999999999E-2</v>
      </c>
      <c r="F39" s="93">
        <v>-0.01</v>
      </c>
      <c r="G39" s="93">
        <v>-0.01</v>
      </c>
      <c r="H39" s="93">
        <v>0.01</v>
      </c>
      <c r="I39" s="181"/>
      <c r="K39" s="93">
        <v>0.73</v>
      </c>
      <c r="L39" s="93">
        <v>0.73</v>
      </c>
      <c r="M39" s="93">
        <v>0.73</v>
      </c>
      <c r="N39" s="93">
        <v>0.73</v>
      </c>
      <c r="O39" s="93">
        <v>0.73</v>
      </c>
      <c r="P39" s="181"/>
      <c r="R39" s="93">
        <v>0.13</v>
      </c>
      <c r="S39" s="93">
        <v>0.13100000000000001</v>
      </c>
      <c r="T39" s="93">
        <v>0.13200000000000001</v>
      </c>
      <c r="U39" s="93">
        <v>0.13300000000000001</v>
      </c>
      <c r="V39" s="93">
        <v>0.13400000000000001</v>
      </c>
      <c r="W39" s="181"/>
      <c r="Y39" s="93">
        <v>0.25</v>
      </c>
      <c r="Z39" s="93">
        <v>0.25</v>
      </c>
      <c r="AA39" s="93">
        <v>0.25</v>
      </c>
      <c r="AB39" s="93">
        <v>0.25</v>
      </c>
      <c r="AC39" s="93">
        <v>0.25</v>
      </c>
    </row>
    <row r="40" spans="2:29" x14ac:dyDescent="0.25">
      <c r="C40" s="89"/>
      <c r="D40" s="94"/>
      <c r="E40" s="94"/>
      <c r="F40" s="94"/>
      <c r="G40" s="94"/>
      <c r="H40" s="94"/>
      <c r="I40" s="181"/>
      <c r="P40" s="181"/>
      <c r="W40" s="181"/>
    </row>
    <row r="41" spans="2:29" x14ac:dyDescent="0.25">
      <c r="B41" s="82" t="s">
        <v>3246</v>
      </c>
      <c r="C41" s="85"/>
      <c r="D41" s="95"/>
      <c r="E41" s="95"/>
      <c r="F41" s="95"/>
      <c r="G41" s="95"/>
      <c r="H41" s="95"/>
      <c r="I41" s="181"/>
      <c r="K41" s="98" t="s">
        <v>3301</v>
      </c>
      <c r="L41" s="83"/>
      <c r="M41" s="83"/>
      <c r="N41" s="83"/>
      <c r="O41" s="83"/>
      <c r="P41" s="181"/>
      <c r="R41" s="98" t="s">
        <v>3302</v>
      </c>
      <c r="S41" s="83"/>
      <c r="T41" s="83"/>
      <c r="U41" s="83"/>
      <c r="V41" s="83"/>
      <c r="W41" s="181"/>
      <c r="Y41" s="98" t="s">
        <v>184</v>
      </c>
      <c r="Z41" s="83"/>
      <c r="AA41" s="83"/>
      <c r="AB41" s="83"/>
      <c r="AC41" s="83"/>
    </row>
    <row r="42" spans="2:29" x14ac:dyDescent="0.25">
      <c r="B42" s="81"/>
      <c r="C42" s="86"/>
      <c r="D42" s="96"/>
      <c r="E42" s="96"/>
      <c r="F42" s="96"/>
      <c r="G42" s="96"/>
      <c r="H42" s="96"/>
      <c r="I42" s="181"/>
      <c r="K42" s="99"/>
      <c r="L42" s="77"/>
      <c r="M42" s="77"/>
      <c r="N42" s="77"/>
      <c r="O42" s="77"/>
      <c r="P42" s="181"/>
      <c r="R42" s="77"/>
      <c r="S42" s="77"/>
      <c r="T42" s="77"/>
      <c r="U42" s="77"/>
      <c r="V42" s="77"/>
      <c r="W42" s="181"/>
      <c r="Y42" s="77"/>
      <c r="Z42" s="77"/>
      <c r="AA42" s="77"/>
      <c r="AB42" s="77"/>
      <c r="AC42" s="77"/>
    </row>
    <row r="43" spans="2:29" x14ac:dyDescent="0.25">
      <c r="B43" s="81" t="s">
        <v>127</v>
      </c>
      <c r="C43" s="87" t="s">
        <v>113</v>
      </c>
      <c r="D43" s="92">
        <v>0.997</v>
      </c>
      <c r="E43" s="92">
        <v>0.997</v>
      </c>
      <c r="F43" s="92">
        <v>0.997</v>
      </c>
      <c r="G43" s="92">
        <v>0.997</v>
      </c>
      <c r="H43" s="92">
        <v>0.997</v>
      </c>
      <c r="I43" s="181"/>
      <c r="K43" s="92">
        <v>0.06</v>
      </c>
      <c r="L43" s="92">
        <v>0.06</v>
      </c>
      <c r="M43" s="92">
        <v>0.06</v>
      </c>
      <c r="N43" s="92">
        <v>0.06</v>
      </c>
      <c r="O43" s="92">
        <v>0.06</v>
      </c>
      <c r="P43" s="181"/>
      <c r="R43" s="101" t="s">
        <v>122</v>
      </c>
      <c r="S43" s="92">
        <v>0.14899999999999999</v>
      </c>
      <c r="T43" s="92">
        <v>0.14799999999999999</v>
      </c>
      <c r="U43" s="92">
        <v>0.14699999999999999</v>
      </c>
      <c r="V43" s="92">
        <v>0.14599999999999999</v>
      </c>
      <c r="W43" s="181"/>
      <c r="Y43" s="101">
        <v>0.15</v>
      </c>
      <c r="Z43" s="101">
        <v>0.2</v>
      </c>
      <c r="AA43" s="101">
        <v>0.25</v>
      </c>
      <c r="AB43" s="101">
        <v>0.25</v>
      </c>
      <c r="AC43" s="101">
        <v>0.25</v>
      </c>
    </row>
    <row r="44" spans="2:29" x14ac:dyDescent="0.25">
      <c r="B44" s="81" t="s">
        <v>128</v>
      </c>
      <c r="C44" s="87" t="s">
        <v>113</v>
      </c>
      <c r="D44" s="92">
        <v>0.998</v>
      </c>
      <c r="E44" s="92">
        <v>0.998</v>
      </c>
      <c r="F44" s="92">
        <v>0.998</v>
      </c>
      <c r="G44" s="92">
        <v>0.998</v>
      </c>
      <c r="H44" s="92">
        <v>0.998</v>
      </c>
      <c r="I44" s="181"/>
      <c r="K44" s="92">
        <v>6.3E-2</v>
      </c>
      <c r="L44" s="92">
        <v>6.3E-2</v>
      </c>
      <c r="M44" s="92">
        <v>6.3E-2</v>
      </c>
      <c r="N44" s="92">
        <v>6.3E-2</v>
      </c>
      <c r="O44" s="92">
        <v>6.3E-2</v>
      </c>
      <c r="P44" s="181"/>
      <c r="R44" s="101" t="s">
        <v>122</v>
      </c>
      <c r="S44" s="92">
        <v>0.153</v>
      </c>
      <c r="T44" s="92">
        <v>0.152</v>
      </c>
      <c r="U44" s="92">
        <v>0.151</v>
      </c>
      <c r="V44" s="92">
        <v>0.15</v>
      </c>
      <c r="W44" s="181"/>
      <c r="Y44" s="101">
        <v>0.2</v>
      </c>
      <c r="Z44" s="101">
        <v>0.25</v>
      </c>
      <c r="AA44" s="101">
        <v>0.3</v>
      </c>
      <c r="AB44" s="101">
        <v>0.3</v>
      </c>
      <c r="AC44" s="101">
        <v>0.3</v>
      </c>
    </row>
    <row r="45" spans="2:29" x14ac:dyDescent="0.25">
      <c r="B45" s="84" t="s">
        <v>129</v>
      </c>
      <c r="C45" s="88" t="s">
        <v>113</v>
      </c>
      <c r="D45" s="93">
        <v>0.999</v>
      </c>
      <c r="E45" s="93">
        <v>0.999</v>
      </c>
      <c r="F45" s="93">
        <v>0.999</v>
      </c>
      <c r="G45" s="93">
        <v>0.999</v>
      </c>
      <c r="H45" s="93">
        <v>0.999</v>
      </c>
      <c r="I45" s="181"/>
      <c r="K45" s="93">
        <v>6.6000000000000003E-2</v>
      </c>
      <c r="L45" s="93">
        <v>6.6000000000000003E-2</v>
      </c>
      <c r="M45" s="93">
        <v>6.6000000000000003E-2</v>
      </c>
      <c r="N45" s="93">
        <v>6.6000000000000003E-2</v>
      </c>
      <c r="O45" s="93">
        <v>6.6000000000000003E-2</v>
      </c>
      <c r="P45" s="181"/>
      <c r="R45" s="109" t="s">
        <v>122</v>
      </c>
      <c r="S45" s="93">
        <v>0.159</v>
      </c>
      <c r="T45" s="93">
        <v>0.159</v>
      </c>
      <c r="U45" s="93">
        <v>0.159</v>
      </c>
      <c r="V45" s="93">
        <v>0.159</v>
      </c>
      <c r="W45" s="181"/>
      <c r="Y45" s="109">
        <v>0.3</v>
      </c>
      <c r="Z45" s="109">
        <v>0.35</v>
      </c>
      <c r="AA45" s="109">
        <v>0.4</v>
      </c>
      <c r="AB45" s="109">
        <v>0.45</v>
      </c>
      <c r="AC45" s="109">
        <v>0.5</v>
      </c>
    </row>
    <row r="46" spans="2:29" x14ac:dyDescent="0.25">
      <c r="C46" s="89"/>
      <c r="D46" s="94"/>
      <c r="E46" s="94"/>
      <c r="F46" s="94"/>
      <c r="G46" s="94"/>
      <c r="H46" s="94"/>
      <c r="I46" s="181"/>
      <c r="P46" s="181"/>
      <c r="W46" s="181"/>
    </row>
    <row r="47" spans="2:29" x14ac:dyDescent="0.25">
      <c r="B47" s="82" t="s">
        <v>3247</v>
      </c>
      <c r="C47" s="85"/>
      <c r="D47" s="95"/>
      <c r="E47" s="95"/>
      <c r="F47" s="95"/>
      <c r="G47" s="95"/>
      <c r="H47" s="95"/>
      <c r="I47" s="181"/>
      <c r="K47" s="98" t="s">
        <v>174</v>
      </c>
      <c r="L47" s="83"/>
      <c r="M47" s="83"/>
      <c r="N47" s="83"/>
      <c r="O47" s="83"/>
      <c r="P47" s="181"/>
      <c r="R47" s="98" t="s">
        <v>175</v>
      </c>
      <c r="S47" s="83"/>
      <c r="T47" s="83"/>
      <c r="U47" s="83"/>
      <c r="V47" s="83"/>
      <c r="W47" s="181"/>
      <c r="Y47" s="98" t="s">
        <v>193</v>
      </c>
      <c r="Z47" s="83"/>
      <c r="AA47" s="83"/>
      <c r="AB47" s="83"/>
      <c r="AC47" s="83"/>
    </row>
    <row r="48" spans="2:29" x14ac:dyDescent="0.25">
      <c r="B48" s="81"/>
      <c r="C48" s="86"/>
      <c r="D48" s="96"/>
      <c r="E48" s="96"/>
      <c r="F48" s="96"/>
      <c r="G48" s="96"/>
      <c r="H48" s="96"/>
      <c r="I48" s="181"/>
      <c r="K48" s="99"/>
      <c r="L48" s="77"/>
      <c r="M48" s="77"/>
      <c r="N48" s="77"/>
      <c r="O48" s="77"/>
      <c r="P48" s="181"/>
      <c r="R48" s="99"/>
      <c r="S48" s="77"/>
      <c r="T48" s="77"/>
      <c r="U48" s="77"/>
      <c r="V48" s="77"/>
      <c r="W48" s="181"/>
      <c r="Y48" s="99"/>
      <c r="Z48" s="77"/>
      <c r="AA48" s="77"/>
      <c r="AB48" s="77"/>
      <c r="AC48" s="77"/>
    </row>
    <row r="49" spans="2:29" x14ac:dyDescent="0.25">
      <c r="B49" s="81" t="s">
        <v>127</v>
      </c>
      <c r="C49" s="87" t="s">
        <v>113</v>
      </c>
      <c r="D49" s="92">
        <v>0.06</v>
      </c>
      <c r="E49" s="92">
        <v>0.06</v>
      </c>
      <c r="F49" s="92">
        <v>0.06</v>
      </c>
      <c r="G49" s="92">
        <v>0.06</v>
      </c>
      <c r="H49" s="92">
        <v>0.06</v>
      </c>
      <c r="I49" s="181"/>
      <c r="K49" s="92">
        <v>0.54</v>
      </c>
      <c r="L49" s="92">
        <v>0.52</v>
      </c>
      <c r="M49" s="92">
        <v>0.5</v>
      </c>
      <c r="N49" s="92">
        <v>0.48</v>
      </c>
      <c r="O49" s="92">
        <v>0.46</v>
      </c>
      <c r="P49" s="181"/>
      <c r="R49" s="92">
        <f>100%-K49</f>
        <v>0.45999999999999996</v>
      </c>
      <c r="S49" s="92">
        <f t="shared" ref="S49:V51" si="41">100%-L49</f>
        <v>0.48</v>
      </c>
      <c r="T49" s="92">
        <f t="shared" si="41"/>
        <v>0.5</v>
      </c>
      <c r="U49" s="92">
        <f t="shared" si="41"/>
        <v>0.52</v>
      </c>
      <c r="V49" s="92">
        <f t="shared" si="41"/>
        <v>0.54</v>
      </c>
      <c r="W49" s="181"/>
      <c r="Y49" s="92">
        <v>-3.0000000000000001E-3</v>
      </c>
      <c r="Z49" s="92">
        <v>-3.0000000000000001E-3</v>
      </c>
      <c r="AA49" s="92">
        <v>-3.0000000000000001E-3</v>
      </c>
      <c r="AB49" s="92">
        <v>-3.0000000000000001E-3</v>
      </c>
      <c r="AC49" s="92">
        <v>-3.0000000000000001E-3</v>
      </c>
    </row>
    <row r="50" spans="2:29" x14ac:dyDescent="0.25">
      <c r="B50" s="81" t="s">
        <v>128</v>
      </c>
      <c r="C50" s="87" t="s">
        <v>113</v>
      </c>
      <c r="D50" s="92">
        <v>0.05</v>
      </c>
      <c r="E50" s="92">
        <v>0.05</v>
      </c>
      <c r="F50" s="92">
        <v>0.05</v>
      </c>
      <c r="G50" s="92">
        <v>0.05</v>
      </c>
      <c r="H50" s="92">
        <v>0.05</v>
      </c>
      <c r="I50" s="181"/>
      <c r="K50" s="92">
        <v>0.57999999999999996</v>
      </c>
      <c r="L50" s="92">
        <v>0.56000000000000005</v>
      </c>
      <c r="M50" s="92">
        <v>0.54</v>
      </c>
      <c r="N50" s="92">
        <v>0.52</v>
      </c>
      <c r="O50" s="92">
        <v>0.5</v>
      </c>
      <c r="P50" s="181"/>
      <c r="R50" s="92">
        <f t="shared" ref="R50:R51" si="42">100%-K50</f>
        <v>0.42000000000000004</v>
      </c>
      <c r="S50" s="92">
        <f t="shared" si="41"/>
        <v>0.43999999999999995</v>
      </c>
      <c r="T50" s="92">
        <f t="shared" si="41"/>
        <v>0.45999999999999996</v>
      </c>
      <c r="U50" s="92">
        <f t="shared" si="41"/>
        <v>0.48</v>
      </c>
      <c r="V50" s="92">
        <f t="shared" si="41"/>
        <v>0.5</v>
      </c>
      <c r="W50" s="181"/>
      <c r="Y50" s="92">
        <v>0.03</v>
      </c>
      <c r="Z50" s="92">
        <v>0.03</v>
      </c>
      <c r="AA50" s="92">
        <v>0.03</v>
      </c>
      <c r="AB50" s="92">
        <v>0.03</v>
      </c>
      <c r="AC50" s="92">
        <v>0.03</v>
      </c>
    </row>
    <row r="51" spans="2:29" x14ac:dyDescent="0.25">
      <c r="B51" s="84" t="s">
        <v>129</v>
      </c>
      <c r="C51" s="88" t="s">
        <v>113</v>
      </c>
      <c r="D51" s="93">
        <v>0.04</v>
      </c>
      <c r="E51" s="93">
        <v>0.04</v>
      </c>
      <c r="F51" s="93">
        <v>0.04</v>
      </c>
      <c r="G51" s="93">
        <v>0.04</v>
      </c>
      <c r="H51" s="93">
        <v>0.04</v>
      </c>
      <c r="I51" s="181"/>
      <c r="K51" s="93">
        <v>0.59</v>
      </c>
      <c r="L51" s="93">
        <v>0.6</v>
      </c>
      <c r="M51" s="93">
        <v>0.6</v>
      </c>
      <c r="N51" s="93">
        <v>0.6</v>
      </c>
      <c r="O51" s="93">
        <v>0.6</v>
      </c>
      <c r="P51" s="181"/>
      <c r="R51" s="92">
        <f t="shared" si="42"/>
        <v>0.41000000000000003</v>
      </c>
      <c r="S51" s="92">
        <f t="shared" si="41"/>
        <v>0.4</v>
      </c>
      <c r="T51" s="92">
        <f t="shared" si="41"/>
        <v>0.4</v>
      </c>
      <c r="U51" s="92">
        <f t="shared" si="41"/>
        <v>0.4</v>
      </c>
      <c r="V51" s="92">
        <f t="shared" si="41"/>
        <v>0.4</v>
      </c>
      <c r="W51" s="181"/>
      <c r="Y51" s="93">
        <v>0.05</v>
      </c>
      <c r="Z51" s="93">
        <v>0.05</v>
      </c>
      <c r="AA51" s="93">
        <v>0.05</v>
      </c>
      <c r="AB51" s="93">
        <v>0.05</v>
      </c>
      <c r="AC51" s="93">
        <v>0.05</v>
      </c>
    </row>
    <row r="52" spans="2:29" x14ac:dyDescent="0.25">
      <c r="I52" s="181"/>
      <c r="P52" s="181"/>
      <c r="W52" s="181"/>
    </row>
    <row r="53" spans="2:29" x14ac:dyDescent="0.25">
      <c r="B53" s="986" t="s">
        <v>140</v>
      </c>
      <c r="C53" s="986"/>
      <c r="D53" s="986"/>
      <c r="E53" s="986"/>
      <c r="F53" s="986"/>
      <c r="G53" s="986"/>
      <c r="H53" s="986"/>
      <c r="I53" s="181"/>
      <c r="K53" s="982" t="s">
        <v>153</v>
      </c>
      <c r="L53" s="982"/>
      <c r="M53" s="982"/>
      <c r="N53" s="982"/>
      <c r="O53" s="982"/>
      <c r="P53" s="181"/>
      <c r="R53" s="982" t="s">
        <v>154</v>
      </c>
      <c r="S53" s="982"/>
      <c r="T53" s="982"/>
      <c r="U53" s="982"/>
      <c r="V53" s="982"/>
      <c r="W53" s="181"/>
      <c r="Y53" s="982" t="s">
        <v>155</v>
      </c>
      <c r="Z53" s="982"/>
      <c r="AA53" s="982"/>
      <c r="AB53" s="982"/>
      <c r="AC53" s="982"/>
    </row>
    <row r="54" spans="2:29" x14ac:dyDescent="0.25">
      <c r="B54" s="986"/>
      <c r="C54" s="986"/>
      <c r="D54" s="986"/>
      <c r="E54" s="986"/>
      <c r="F54" s="986"/>
      <c r="G54" s="986"/>
      <c r="H54" s="986"/>
      <c r="I54" s="181"/>
      <c r="K54" s="982"/>
      <c r="L54" s="982"/>
      <c r="M54" s="982"/>
      <c r="N54" s="982"/>
      <c r="O54" s="982"/>
      <c r="P54" s="181"/>
      <c r="R54" s="982"/>
      <c r="S54" s="982"/>
      <c r="T54" s="982"/>
      <c r="U54" s="982"/>
      <c r="V54" s="982"/>
      <c r="W54" s="181"/>
      <c r="Y54" s="982"/>
      <c r="Z54" s="982"/>
      <c r="AA54" s="982"/>
      <c r="AB54" s="982"/>
      <c r="AC54" s="982"/>
    </row>
    <row r="55" spans="2:29" x14ac:dyDescent="0.25">
      <c r="I55" s="181"/>
      <c r="P55" s="181"/>
      <c r="W55" s="181"/>
    </row>
    <row r="56" spans="2:29" x14ac:dyDescent="0.25">
      <c r="B56" s="40" t="s">
        <v>96</v>
      </c>
      <c r="C56" s="60" t="s">
        <v>112</v>
      </c>
      <c r="D56" s="46">
        <f>'PROFIT &amp; LOSS'!D$12</f>
        <v>44351</v>
      </c>
      <c r="E56" s="46">
        <f>'PROFIT &amp; LOSS'!E$12</f>
        <v>59072</v>
      </c>
      <c r="F56" s="46">
        <f>'PROFIT &amp; LOSS'!F$12</f>
        <v>67302</v>
      </c>
      <c r="G56" s="46">
        <f>'PROFIT &amp; LOSS'!G$12</f>
        <v>67100</v>
      </c>
      <c r="H56" s="46">
        <f>'PROFIT &amp; LOSS'!H$12</f>
        <v>65287</v>
      </c>
      <c r="I56" s="181"/>
      <c r="K56" s="46">
        <f>K58*K22</f>
        <v>63885.004800000002</v>
      </c>
      <c r="L56" s="46">
        <f t="shared" ref="L56:O56" si="43">L58*L22</f>
        <v>64523.854847999995</v>
      </c>
      <c r="M56" s="46">
        <f t="shared" si="43"/>
        <v>65814.331944959995</v>
      </c>
      <c r="N56" s="46">
        <f t="shared" si="43"/>
        <v>67130.618583859192</v>
      </c>
      <c r="O56" s="46">
        <f t="shared" si="43"/>
        <v>69144.537141374982</v>
      </c>
      <c r="P56" s="181"/>
      <c r="R56" s="46">
        <f t="shared" ref="R56:V56" si="44">R58*R22</f>
        <v>63501.926399999997</v>
      </c>
      <c r="S56" s="46">
        <f t="shared" si="44"/>
        <v>62866.907135999994</v>
      </c>
      <c r="T56" s="46">
        <f t="shared" si="44"/>
        <v>63495.576207359998</v>
      </c>
      <c r="U56" s="46">
        <f t="shared" si="44"/>
        <v>64130.531969433599</v>
      </c>
      <c r="V56" s="46">
        <f t="shared" si="44"/>
        <v>65413.142608822272</v>
      </c>
      <c r="W56" s="181"/>
      <c r="Y56" s="46">
        <f t="shared" ref="Y56:AC56" si="45">Y58*Y22</f>
        <v>64058.726399999992</v>
      </c>
      <c r="Z56" s="46">
        <f t="shared" si="45"/>
        <v>63097.84550399999</v>
      </c>
      <c r="AA56" s="46">
        <f t="shared" si="45"/>
        <v>62466.867048959997</v>
      </c>
      <c r="AB56" s="46">
        <f t="shared" si="45"/>
        <v>61842.198378470399</v>
      </c>
      <c r="AC56" s="46">
        <f t="shared" si="45"/>
        <v>62460.620362255104</v>
      </c>
    </row>
    <row r="57" spans="2:29" ht="15.6" x14ac:dyDescent="0.3">
      <c r="B57" s="70" t="s">
        <v>126</v>
      </c>
      <c r="C57" s="106" t="s">
        <v>113</v>
      </c>
      <c r="D57" s="78" t="s">
        <v>122</v>
      </c>
      <c r="E57" s="79">
        <f>E56/D56-1</f>
        <v>0.3319203625622873</v>
      </c>
      <c r="F57" s="79">
        <f t="shared" ref="F57:H57" si="46">F56/E56-1</f>
        <v>0.13932150595882997</v>
      </c>
      <c r="G57" s="79">
        <f t="shared" si="46"/>
        <v>-3.0013966895485744E-3</v>
      </c>
      <c r="H57" s="79">
        <f t="shared" si="46"/>
        <v>-2.7019374068554369E-2</v>
      </c>
      <c r="I57" s="181"/>
      <c r="K57" s="80">
        <f>$K$56/$H$56-1</f>
        <v>-2.147433945502164E-2</v>
      </c>
      <c r="L57" s="79">
        <f>L56/K56-1</f>
        <v>9.9999999999997868E-3</v>
      </c>
      <c r="M57" s="79">
        <f t="shared" ref="M57:O57" si="47">M56/L56-1</f>
        <v>2.0000000000000018E-2</v>
      </c>
      <c r="N57" s="79">
        <f t="shared" si="47"/>
        <v>2.0000000000000018E-2</v>
      </c>
      <c r="O57" s="79">
        <f t="shared" si="47"/>
        <v>3.0000000000000249E-2</v>
      </c>
      <c r="P57" s="420"/>
      <c r="Q57" s="69"/>
      <c r="R57" s="80">
        <f>$R$56/$H$56-1</f>
        <v>-2.7341945563435388E-2</v>
      </c>
      <c r="S57" s="79">
        <f>S56/R56-1</f>
        <v>-1.0000000000000009E-2</v>
      </c>
      <c r="T57" s="79">
        <f t="shared" ref="T57:V57" si="48">T56/S56-1</f>
        <v>1.0000000000000009E-2</v>
      </c>
      <c r="U57" s="79">
        <f t="shared" si="48"/>
        <v>1.0000000000000009E-2</v>
      </c>
      <c r="V57" s="79">
        <f t="shared" si="48"/>
        <v>2.0000000000000018E-2</v>
      </c>
      <c r="W57" s="420"/>
      <c r="X57" s="69"/>
      <c r="Y57" s="80">
        <f>$Y$56/$H$56-1</f>
        <v>-1.8813448312834269E-2</v>
      </c>
      <c r="Z57" s="79">
        <f>Z56/Y56-1</f>
        <v>-1.5000000000000013E-2</v>
      </c>
      <c r="AA57" s="79">
        <f t="shared" ref="AA57:AC57" si="49">AA56/Z56-1</f>
        <v>-9.9999999999998979E-3</v>
      </c>
      <c r="AB57" s="79">
        <f t="shared" si="49"/>
        <v>-1.0000000000000009E-2</v>
      </c>
      <c r="AC57" s="79">
        <f t="shared" si="49"/>
        <v>1.0000000000000009E-2</v>
      </c>
    </row>
    <row r="58" spans="2:29" ht="15.6" x14ac:dyDescent="0.3">
      <c r="B58" s="42" t="s">
        <v>97</v>
      </c>
      <c r="C58" s="107" t="s">
        <v>113</v>
      </c>
      <c r="D58" s="50">
        <f t="shared" ref="D58:H58" si="50">D56/D22</f>
        <v>0.71254598910720879</v>
      </c>
      <c r="E58" s="50">
        <f t="shared" si="50"/>
        <v>0.74277307648782209</v>
      </c>
      <c r="F58" s="50">
        <f t="shared" si="50"/>
        <v>0.74011106834552154</v>
      </c>
      <c r="G58" s="50">
        <f t="shared" si="50"/>
        <v>0.74726596431832859</v>
      </c>
      <c r="H58" s="50">
        <f t="shared" si="50"/>
        <v>0.73283719468390807</v>
      </c>
      <c r="I58" s="181"/>
      <c r="K58" s="50">
        <f>K$37</f>
        <v>0.71</v>
      </c>
      <c r="L58" s="50">
        <f t="shared" ref="L58:O58" si="51">L$37</f>
        <v>0.71</v>
      </c>
      <c r="M58" s="50">
        <f t="shared" si="51"/>
        <v>0.71</v>
      </c>
      <c r="N58" s="50">
        <f t="shared" si="51"/>
        <v>0.71</v>
      </c>
      <c r="O58" s="50">
        <f t="shared" si="51"/>
        <v>0.71</v>
      </c>
      <c r="P58" s="181"/>
      <c r="R58" s="50">
        <f>K$38</f>
        <v>0.72</v>
      </c>
      <c r="S58" s="50">
        <f t="shared" ref="S58:V58" si="52">L$38</f>
        <v>0.72</v>
      </c>
      <c r="T58" s="50">
        <f t="shared" si="52"/>
        <v>0.72</v>
      </c>
      <c r="U58" s="50">
        <f t="shared" si="52"/>
        <v>0.72</v>
      </c>
      <c r="V58" s="50">
        <f t="shared" si="52"/>
        <v>0.72</v>
      </c>
      <c r="W58" s="181"/>
      <c r="Y58" s="50">
        <f>K$39</f>
        <v>0.73</v>
      </c>
      <c r="Z58" s="50">
        <f t="shared" ref="Z58:AC58" si="53">L$39</f>
        <v>0.73</v>
      </c>
      <c r="AA58" s="50">
        <f t="shared" si="53"/>
        <v>0.73</v>
      </c>
      <c r="AB58" s="50">
        <f t="shared" si="53"/>
        <v>0.73</v>
      </c>
      <c r="AC58" s="50">
        <f t="shared" si="53"/>
        <v>0.73</v>
      </c>
    </row>
    <row r="59" spans="2:29" x14ac:dyDescent="0.25">
      <c r="I59" s="181"/>
      <c r="P59" s="181"/>
      <c r="W59" s="181"/>
    </row>
    <row r="60" spans="2:29" x14ac:dyDescent="0.25">
      <c r="B60" s="40" t="s">
        <v>141</v>
      </c>
      <c r="C60" s="60" t="s">
        <v>112</v>
      </c>
      <c r="D60" s="46">
        <f>'PROFIT &amp; LOSS'!D$18</f>
        <v>2812</v>
      </c>
      <c r="E60" s="46">
        <f>'PROFIT &amp; LOSS'!E$18</f>
        <v>4924</v>
      </c>
      <c r="F60" s="46">
        <f>'PROFIT &amp; LOSS'!F$18</f>
        <v>6279</v>
      </c>
      <c r="G60" s="46">
        <f>'PROFIT &amp; LOSS'!G$18</f>
        <v>5886</v>
      </c>
      <c r="H60" s="46">
        <f>'PROFIT &amp; LOSS'!H$18</f>
        <v>5781</v>
      </c>
      <c r="I60" s="181"/>
      <c r="K60" s="46">
        <f>K62*K6</f>
        <v>5645.7551999999996</v>
      </c>
      <c r="L60" s="46">
        <f t="shared" ref="L60:O60" si="54">L62*L6</f>
        <v>5714.5638719999997</v>
      </c>
      <c r="M60" s="46">
        <f t="shared" si="54"/>
        <v>5839.3288991999998</v>
      </c>
      <c r="N60" s="46">
        <f t="shared" si="54"/>
        <v>5967.2176519295999</v>
      </c>
      <c r="O60" s="46">
        <f t="shared" si="54"/>
        <v>6155.0604104102404</v>
      </c>
      <c r="P60" s="181"/>
      <c r="R60" s="46">
        <f t="shared" ref="R60:V60" si="55">R62*R6</f>
        <v>5813.3451599999999</v>
      </c>
      <c r="S60" s="46">
        <f t="shared" si="55"/>
        <v>5770.6273044</v>
      </c>
      <c r="T60" s="46">
        <f t="shared" si="55"/>
        <v>5839.1244946440002</v>
      </c>
      <c r="U60" s="46">
        <f t="shared" si="55"/>
        <v>5908.8462026504394</v>
      </c>
      <c r="V60" s="46">
        <f t="shared" si="55"/>
        <v>6035.9458663631995</v>
      </c>
      <c r="W60" s="181"/>
      <c r="Y60" s="46">
        <f t="shared" ref="Y60:AC60" si="56">Y62*Y6</f>
        <v>6058.2086399999998</v>
      </c>
      <c r="Z60" s="46">
        <f t="shared" si="56"/>
        <v>5981.9983871999993</v>
      </c>
      <c r="AA60" s="46">
        <f t="shared" si="56"/>
        <v>5936.0414868480002</v>
      </c>
      <c r="AB60" s="46">
        <f t="shared" si="56"/>
        <v>5891.0986788403206</v>
      </c>
      <c r="AC60" s="46">
        <f t="shared" si="56"/>
        <v>5959.0062523098632</v>
      </c>
    </row>
    <row r="61" spans="2:29" ht="15.6" x14ac:dyDescent="0.3">
      <c r="B61" s="70" t="s">
        <v>126</v>
      </c>
      <c r="C61" s="106" t="s">
        <v>113</v>
      </c>
      <c r="D61" s="78" t="s">
        <v>122</v>
      </c>
      <c r="E61" s="79">
        <f>E60/D60-1</f>
        <v>0.75106685633001424</v>
      </c>
      <c r="F61" s="79">
        <f t="shared" ref="F61" si="57">F60/E60-1</f>
        <v>0.2751827782290821</v>
      </c>
      <c r="G61" s="79">
        <f t="shared" ref="G61" si="58">G60/F60-1</f>
        <v>-6.2589584328714754E-2</v>
      </c>
      <c r="H61" s="79">
        <f t="shared" ref="H61" si="59">H60/G60-1</f>
        <v>-1.7838939857288461E-2</v>
      </c>
      <c r="I61" s="181"/>
      <c r="K61" s="80">
        <f>$K$60/$H$60-1</f>
        <v>-2.3394706798131826E-2</v>
      </c>
      <c r="L61" s="80">
        <f>L60/K60-1</f>
        <v>1.2187682526511256E-2</v>
      </c>
      <c r="M61" s="80">
        <f t="shared" ref="M61:O61" si="60">M60/L60-1</f>
        <v>2.1832816990867698E-2</v>
      </c>
      <c r="N61" s="80">
        <f t="shared" si="60"/>
        <v>2.1901275803649423E-2</v>
      </c>
      <c r="O61" s="80">
        <f t="shared" si="60"/>
        <v>3.1479119656360854E-2</v>
      </c>
      <c r="P61" s="181"/>
      <c r="Q61" s="69"/>
      <c r="R61" s="80">
        <f>$R$60/$H$60-1</f>
        <v>5.5950804359106154E-3</v>
      </c>
      <c r="S61" s="80">
        <f>S60/R60-1</f>
        <v>-7.3482400277776749E-3</v>
      </c>
      <c r="T61" s="80">
        <f t="shared" ref="T61:V61" si="61">T60/S60-1</f>
        <v>1.1869972990938393E-2</v>
      </c>
      <c r="U61" s="80">
        <f t="shared" si="61"/>
        <v>1.1940438685695387E-2</v>
      </c>
      <c r="V61" s="80">
        <f t="shared" si="61"/>
        <v>2.1510064630849479E-2</v>
      </c>
      <c r="W61" s="181"/>
      <c r="X61" s="69"/>
      <c r="Y61" s="80">
        <f>$Y$60/$H$60-1</f>
        <v>4.7951676180591596E-2</v>
      </c>
      <c r="Z61" s="80">
        <f>Z60/Y60-1</f>
        <v>-1.257966790658438E-2</v>
      </c>
      <c r="AA61" s="80">
        <f t="shared" ref="AA61:AC61" si="62">AA60/Z60-1</f>
        <v>-7.6825330562334537E-3</v>
      </c>
      <c r="AB61" s="80">
        <f t="shared" si="62"/>
        <v>-7.5711748489722952E-3</v>
      </c>
      <c r="AC61" s="80">
        <f t="shared" si="62"/>
        <v>1.1527149207914755E-2</v>
      </c>
    </row>
    <row r="62" spans="2:29" ht="15.6" x14ac:dyDescent="0.3">
      <c r="B62" s="42" t="s">
        <v>3248</v>
      </c>
      <c r="C62" s="107" t="s">
        <v>113</v>
      </c>
      <c r="D62" s="50">
        <f>D60/D6</f>
        <v>4.3512572533849131E-2</v>
      </c>
      <c r="E62" s="50">
        <f t="shared" ref="E62:H62" si="63">E60/E6</f>
        <v>6.0350533153572743E-2</v>
      </c>
      <c r="F62" s="50">
        <f t="shared" si="63"/>
        <v>6.7370521775517431E-2</v>
      </c>
      <c r="G62" s="50">
        <f t="shared" si="63"/>
        <v>6.3684068163375712E-2</v>
      </c>
      <c r="H62" s="50">
        <f t="shared" si="63"/>
        <v>6.2180011186163578E-2</v>
      </c>
      <c r="I62" s="181"/>
      <c r="K62" s="50">
        <f>K$43</f>
        <v>0.06</v>
      </c>
      <c r="L62" s="50">
        <f t="shared" ref="L62:O62" si="64">L$43</f>
        <v>0.06</v>
      </c>
      <c r="M62" s="50">
        <f t="shared" si="64"/>
        <v>0.06</v>
      </c>
      <c r="N62" s="50">
        <f t="shared" si="64"/>
        <v>0.06</v>
      </c>
      <c r="O62" s="50">
        <f t="shared" si="64"/>
        <v>0.06</v>
      </c>
      <c r="P62" s="181"/>
      <c r="R62" s="50">
        <f>K$44</f>
        <v>6.3E-2</v>
      </c>
      <c r="S62" s="50">
        <f t="shared" ref="S62:V62" si="65">L$44</f>
        <v>6.3E-2</v>
      </c>
      <c r="T62" s="50">
        <f t="shared" si="65"/>
        <v>6.3E-2</v>
      </c>
      <c r="U62" s="50">
        <f t="shared" si="65"/>
        <v>6.3E-2</v>
      </c>
      <c r="V62" s="50">
        <f t="shared" si="65"/>
        <v>6.3E-2</v>
      </c>
      <c r="W62" s="181"/>
      <c r="Y62" s="50">
        <f>K$45</f>
        <v>6.6000000000000003E-2</v>
      </c>
      <c r="Z62" s="50">
        <f t="shared" ref="Z62:AC62" si="66">L$45</f>
        <v>6.6000000000000003E-2</v>
      </c>
      <c r="AA62" s="50">
        <f t="shared" si="66"/>
        <v>6.6000000000000003E-2</v>
      </c>
      <c r="AB62" s="50">
        <f t="shared" si="66"/>
        <v>6.6000000000000003E-2</v>
      </c>
      <c r="AC62" s="50">
        <f t="shared" si="66"/>
        <v>6.6000000000000003E-2</v>
      </c>
    </row>
    <row r="63" spans="2:29" x14ac:dyDescent="0.25">
      <c r="I63" s="181"/>
      <c r="P63" s="181"/>
      <c r="W63" s="181"/>
    </row>
    <row r="64" spans="2:29" x14ac:dyDescent="0.25">
      <c r="B64" s="986" t="s">
        <v>143</v>
      </c>
      <c r="C64" s="986"/>
      <c r="D64" s="986"/>
      <c r="E64" s="986"/>
      <c r="F64" s="986"/>
      <c r="G64" s="986"/>
      <c r="H64" s="986"/>
      <c r="I64" s="181"/>
      <c r="K64" s="982" t="s">
        <v>156</v>
      </c>
      <c r="L64" s="982"/>
      <c r="M64" s="982"/>
      <c r="N64" s="982"/>
      <c r="O64" s="982"/>
      <c r="P64" s="181"/>
      <c r="R64" s="982" t="s">
        <v>157</v>
      </c>
      <c r="S64" s="982"/>
      <c r="T64" s="982"/>
      <c r="U64" s="982"/>
      <c r="V64" s="982"/>
      <c r="W64" s="181"/>
      <c r="Y64" s="982" t="s">
        <v>158</v>
      </c>
      <c r="Z64" s="982"/>
      <c r="AA64" s="982"/>
      <c r="AB64" s="982"/>
      <c r="AC64" s="982"/>
    </row>
    <row r="65" spans="2:29" x14ac:dyDescent="0.25">
      <c r="B65" s="986"/>
      <c r="C65" s="986"/>
      <c r="D65" s="986"/>
      <c r="E65" s="986"/>
      <c r="F65" s="986"/>
      <c r="G65" s="986"/>
      <c r="H65" s="986"/>
      <c r="I65" s="181"/>
      <c r="K65" s="982"/>
      <c r="L65" s="982"/>
      <c r="M65" s="982"/>
      <c r="N65" s="982"/>
      <c r="O65" s="982"/>
      <c r="P65" s="181"/>
      <c r="R65" s="982"/>
      <c r="S65" s="982"/>
      <c r="T65" s="982"/>
      <c r="U65" s="982"/>
      <c r="V65" s="982"/>
      <c r="W65" s="181"/>
      <c r="Y65" s="982"/>
      <c r="Z65" s="982"/>
      <c r="AA65" s="982"/>
      <c r="AB65" s="982"/>
      <c r="AC65" s="982"/>
    </row>
    <row r="66" spans="2:29" x14ac:dyDescent="0.25">
      <c r="I66" s="181"/>
      <c r="P66" s="181"/>
      <c r="W66" s="181"/>
    </row>
    <row r="67" spans="2:29" x14ac:dyDescent="0.25">
      <c r="B67" s="46" t="s">
        <v>144</v>
      </c>
      <c r="C67" s="60" t="s">
        <v>112</v>
      </c>
      <c r="D67" s="46">
        <f>'DATA SHEET'!I$57</f>
        <v>12942</v>
      </c>
      <c r="E67" s="46">
        <f>'DATA SHEET'!J$57</f>
        <v>13327</v>
      </c>
      <c r="F67" s="46">
        <f>'DATA SHEET'!K$57</f>
        <v>14000</v>
      </c>
      <c r="G67" s="46">
        <f>'DATA SHEET'!L$57</f>
        <v>14631</v>
      </c>
      <c r="H67" s="46">
        <f>'DATA SHEET'!M$57</f>
        <v>14339</v>
      </c>
      <c r="I67" s="181"/>
      <c r="K67" s="46">
        <f>$H$75</f>
        <v>14676</v>
      </c>
      <c r="L67" s="46">
        <f>L$6*L$68</f>
        <v>14191.166948799999</v>
      </c>
      <c r="M67" s="46">
        <f>M$6*M$68</f>
        <v>14403.677951359998</v>
      </c>
      <c r="N67" s="46">
        <f>N$6*N$68</f>
        <v>14619.683247227518</v>
      </c>
      <c r="O67" s="46">
        <f>O$6*O$68</f>
        <v>14977.313665331585</v>
      </c>
      <c r="P67" s="181"/>
      <c r="R67" s="46">
        <f>$H$75</f>
        <v>14676</v>
      </c>
      <c r="S67" s="46">
        <f>S$6*S$68</f>
        <v>14014.380596399998</v>
      </c>
      <c r="T67" s="46">
        <f>T$6*T$68</f>
        <v>14088.046399776</v>
      </c>
      <c r="U67" s="46">
        <f>U$6*U$68</f>
        <v>14162.472644447878</v>
      </c>
      <c r="V67" s="46">
        <f>V$6*V$68</f>
        <v>14371.299681817141</v>
      </c>
      <c r="W67" s="181"/>
      <c r="Y67" s="46">
        <f>$H$75</f>
        <v>14676</v>
      </c>
      <c r="Z67" s="46">
        <f>Z$6*Z$68</f>
        <v>14411.177932799998</v>
      </c>
      <c r="AA67" s="46">
        <f>AA$6*AA$68</f>
        <v>14300.463581952001</v>
      </c>
      <c r="AB67" s="46">
        <f>AB$6*AB$68</f>
        <v>14192.192271751681</v>
      </c>
      <c r="AC67" s="46">
        <f>AC$6*AC$68</f>
        <v>14355.787789655578</v>
      </c>
    </row>
    <row r="68" spans="2:29" ht="15.6" x14ac:dyDescent="0.3">
      <c r="B68" s="70" t="s">
        <v>3248</v>
      </c>
      <c r="C68" s="90" t="s">
        <v>113</v>
      </c>
      <c r="D68" s="79">
        <f>D67/D6</f>
        <v>0.20026305609284334</v>
      </c>
      <c r="E68" s="79">
        <f>E67/E6</f>
        <v>0.16334109572251501</v>
      </c>
      <c r="F68" s="79">
        <f>F67/F6</f>
        <v>0.15021298054741902</v>
      </c>
      <c r="G68" s="79">
        <f>G67/G6</f>
        <v>0.15830132539897213</v>
      </c>
      <c r="H68" s="79">
        <f>H67/H6</f>
        <v>0.15422923030589855</v>
      </c>
      <c r="I68" s="181"/>
      <c r="K68" s="79">
        <f>$K$67/$K$6</f>
        <v>0.1559685053294553</v>
      </c>
      <c r="L68" s="79">
        <f t="shared" ref="L68:O68" si="67">S$43</f>
        <v>0.14899999999999999</v>
      </c>
      <c r="M68" s="79">
        <f t="shared" si="67"/>
        <v>0.14799999999999999</v>
      </c>
      <c r="N68" s="79">
        <f t="shared" si="67"/>
        <v>0.14699999999999999</v>
      </c>
      <c r="O68" s="79">
        <f t="shared" si="67"/>
        <v>0.14599999999999999</v>
      </c>
      <c r="P68" s="181"/>
      <c r="R68" s="79">
        <f>$R$67/$R$6</f>
        <v>0.1590457773541181</v>
      </c>
      <c r="S68" s="79">
        <f>S$44</f>
        <v>0.153</v>
      </c>
      <c r="T68" s="79">
        <f t="shared" ref="T68:V68" si="68">T$44</f>
        <v>0.152</v>
      </c>
      <c r="U68" s="79">
        <f t="shared" si="68"/>
        <v>0.151</v>
      </c>
      <c r="V68" s="79">
        <f t="shared" si="68"/>
        <v>0.15</v>
      </c>
      <c r="W68" s="181"/>
      <c r="Y68" s="79">
        <f>$Y$67/$Y$6</f>
        <v>0.15988488636799411</v>
      </c>
      <c r="Z68" s="79">
        <f>S$45</f>
        <v>0.159</v>
      </c>
      <c r="AA68" s="79">
        <f t="shared" ref="AA68:AC68" si="69">T$45</f>
        <v>0.159</v>
      </c>
      <c r="AB68" s="79">
        <f t="shared" si="69"/>
        <v>0.159</v>
      </c>
      <c r="AC68" s="79">
        <f t="shared" si="69"/>
        <v>0.159</v>
      </c>
    </row>
    <row r="69" spans="2:29" x14ac:dyDescent="0.25">
      <c r="B69" s="104"/>
      <c r="C69" s="334"/>
      <c r="D69" s="104"/>
      <c r="E69" s="104"/>
      <c r="F69" s="104"/>
      <c r="G69" s="104"/>
      <c r="H69" s="104"/>
      <c r="I69" s="181"/>
      <c r="K69" s="104"/>
      <c r="L69" s="104"/>
      <c r="M69" s="104"/>
      <c r="N69" s="104"/>
      <c r="O69" s="104"/>
      <c r="P69" s="181"/>
      <c r="R69" s="104"/>
      <c r="S69" s="104"/>
      <c r="T69" s="104"/>
      <c r="U69" s="104"/>
      <c r="V69" s="104"/>
      <c r="W69" s="181"/>
      <c r="Y69" s="104"/>
      <c r="Z69" s="104"/>
      <c r="AA69" s="104"/>
      <c r="AB69" s="104"/>
      <c r="AC69" s="104"/>
    </row>
    <row r="70" spans="2:29" x14ac:dyDescent="0.25">
      <c r="B70" s="104" t="s">
        <v>145</v>
      </c>
      <c r="C70" s="100" t="s">
        <v>112</v>
      </c>
      <c r="D70" s="104">
        <f>'PROFIT &amp; LOSS'!D24</f>
        <v>2763</v>
      </c>
      <c r="E70" s="104">
        <f>'PROFIT &amp; LOSS'!E24</f>
        <v>3078</v>
      </c>
      <c r="F70" s="104">
        <f>'PROFIT &amp; LOSS'!F24</f>
        <v>3340</v>
      </c>
      <c r="G70" s="104">
        <f>'PROFIT &amp; LOSS'!G24</f>
        <v>3407</v>
      </c>
      <c r="H70" s="104">
        <f>'PROFIT &amp; LOSS'!H24</f>
        <v>2958</v>
      </c>
      <c r="I70" s="181"/>
      <c r="K70" s="104">
        <f>K71*'BALANCE SHEET ASSUMPTION'!K9</f>
        <v>3378.45</v>
      </c>
      <c r="L70" s="104">
        <f>L71*'BALANCE SHEET ASSUMPTION'!L9</f>
        <v>3485.3994857999996</v>
      </c>
      <c r="M70" s="104">
        <f>M71*'BALANCE SHEET ASSUMPTION'!M9</f>
        <v>3588.4807354319996</v>
      </c>
      <c r="N70" s="104">
        <f>N71*'BALANCE SHEET ASSUMPTION'!N9</f>
        <v>3693.0872846233351</v>
      </c>
      <c r="O70" s="104">
        <f>O71*'BALANCE SHEET ASSUMPTION'!O9</f>
        <v>3799.3696225967446</v>
      </c>
      <c r="P70" s="181"/>
      <c r="R70" s="104">
        <f>R71*'BALANCE SHEET ASSUMPTION'!R9</f>
        <v>3265.8349999999996</v>
      </c>
      <c r="S70" s="104">
        <f>S71*'BALANCE SHEET ASSUMPTION'!S9</f>
        <v>3323.839475968</v>
      </c>
      <c r="T70" s="104">
        <f>T71*'BALANCE SHEET ASSUMPTION'!T9</f>
        <v>3373.7127573811204</v>
      </c>
      <c r="U70" s="104">
        <f>U71*'BALANCE SHEET ASSUMPTION'!U9</f>
        <v>3424.9960081694721</v>
      </c>
      <c r="V70" s="104">
        <f>V71*'BALANCE SHEET ASSUMPTION'!V9</f>
        <v>3477.6280024841858</v>
      </c>
      <c r="W70" s="181"/>
      <c r="Y70" s="104">
        <f>Y71*'BALANCE SHEET ASSUMPTION'!Y9</f>
        <v>2927.9900000000002</v>
      </c>
      <c r="Z70" s="104">
        <f>Z71*'BALANCE SHEET ASSUMPTION'!Z9</f>
        <v>2949.5539175600002</v>
      </c>
      <c r="AA70" s="104">
        <f>AA71*'BALANCE SHEET ASSUMPTION'!AA9</f>
        <v>2965.6640466551999</v>
      </c>
      <c r="AB70" s="104">
        <f>AB71*'BALANCE SHEET ASSUMPTION'!AB9</f>
        <v>2978.805190708837</v>
      </c>
      <c r="AC70" s="104">
        <f>AC71*'BALANCE SHEET ASSUMPTION'!AC9</f>
        <v>2989.3113234090156</v>
      </c>
    </row>
    <row r="71" spans="2:29" ht="15.6" x14ac:dyDescent="0.3">
      <c r="B71" s="103" t="s">
        <v>3256</v>
      </c>
      <c r="C71" s="106" t="s">
        <v>113</v>
      </c>
      <c r="D71" s="79">
        <f>D70/'BALANCE SHEET ASSUMPTION'!D9</f>
        <v>0.15020385974449579</v>
      </c>
      <c r="E71" s="79">
        <f>E70/'BALANCE SHEET ASSUMPTION'!E9</f>
        <v>0.15465782333433825</v>
      </c>
      <c r="F71" s="79">
        <f>F70/'BALANCE SHEET ASSUMPTION'!F9</f>
        <v>0.15563114486743396</v>
      </c>
      <c r="G71" s="79">
        <f>G70/'BALANCE SHEET ASSUMPTION'!G9</f>
        <v>0.14900502952110212</v>
      </c>
      <c r="H71" s="79">
        <f>H70/'BALANCE SHEET ASSUMPTION'!H9</f>
        <v>0.13598749540272159</v>
      </c>
      <c r="I71" s="181"/>
      <c r="K71" s="79">
        <f>R$37</f>
        <v>0.15</v>
      </c>
      <c r="L71" s="79">
        <f t="shared" ref="L71:O71" si="70">S$37</f>
        <v>0.151</v>
      </c>
      <c r="M71" s="79">
        <f t="shared" si="70"/>
        <v>0.152</v>
      </c>
      <c r="N71" s="79">
        <f t="shared" si="70"/>
        <v>0.153</v>
      </c>
      <c r="O71" s="79">
        <f t="shared" si="70"/>
        <v>0.154</v>
      </c>
      <c r="P71" s="181"/>
      <c r="R71" s="79">
        <f>R$38</f>
        <v>0.14499999999999999</v>
      </c>
      <c r="S71" s="79">
        <f t="shared" ref="S71:V71" si="71">S$38</f>
        <v>0.14599999999999999</v>
      </c>
      <c r="T71" s="79">
        <f t="shared" si="71"/>
        <v>0.14699999999999999</v>
      </c>
      <c r="U71" s="79">
        <f t="shared" si="71"/>
        <v>0.14799999999999999</v>
      </c>
      <c r="V71" s="79">
        <f t="shared" si="71"/>
        <v>0.14899999999999999</v>
      </c>
      <c r="W71" s="181"/>
      <c r="Y71" s="79">
        <f>R$39</f>
        <v>0.13</v>
      </c>
      <c r="Z71" s="79">
        <f t="shared" ref="Z71:AC71" si="72">S$39</f>
        <v>0.13100000000000001</v>
      </c>
      <c r="AA71" s="79">
        <f t="shared" si="72"/>
        <v>0.13200000000000001</v>
      </c>
      <c r="AB71" s="79">
        <f t="shared" si="72"/>
        <v>0.13300000000000001</v>
      </c>
      <c r="AC71" s="79">
        <f t="shared" si="72"/>
        <v>0.13400000000000001</v>
      </c>
    </row>
    <row r="72" spans="2:29" x14ac:dyDescent="0.25">
      <c r="B72" s="104"/>
      <c r="C72" s="100"/>
      <c r="D72" s="104"/>
      <c r="E72" s="104"/>
      <c r="F72" s="104"/>
      <c r="G72" s="104"/>
      <c r="H72" s="104"/>
      <c r="I72" s="181"/>
      <c r="K72" s="104"/>
      <c r="L72" s="104"/>
      <c r="M72" s="104"/>
      <c r="N72" s="104"/>
      <c r="O72" s="104"/>
      <c r="P72" s="181"/>
      <c r="R72" s="104"/>
      <c r="S72" s="104"/>
      <c r="T72" s="104"/>
      <c r="U72" s="104"/>
      <c r="V72" s="104"/>
      <c r="W72" s="181"/>
      <c r="Y72" s="104"/>
      <c r="Z72" s="104"/>
      <c r="AA72" s="104"/>
      <c r="AB72" s="104"/>
      <c r="AC72" s="104"/>
    </row>
    <row r="73" spans="2:29" x14ac:dyDescent="0.25">
      <c r="B73" s="105" t="s">
        <v>146</v>
      </c>
      <c r="C73" s="58" t="s">
        <v>112</v>
      </c>
      <c r="D73" s="105">
        <f>(D67+D70-E67)*-1</f>
        <v>-2378</v>
      </c>
      <c r="E73" s="105">
        <f t="shared" ref="E73:G73" si="73">(E67+E70-F67)*-1</f>
        <v>-2405</v>
      </c>
      <c r="F73" s="105">
        <f t="shared" si="73"/>
        <v>-2709</v>
      </c>
      <c r="G73" s="105">
        <f t="shared" si="73"/>
        <v>-3699</v>
      </c>
      <c r="H73" s="105">
        <f>(H67+H70-H75)*-1</f>
        <v>-2621</v>
      </c>
      <c r="I73" s="181"/>
      <c r="K73" s="111">
        <v>-2762</v>
      </c>
      <c r="L73" s="111">
        <v>-2762</v>
      </c>
      <c r="M73" s="111">
        <v>-2762</v>
      </c>
      <c r="N73" s="111">
        <v>-2762</v>
      </c>
      <c r="O73" s="111">
        <v>-2762</v>
      </c>
      <c r="P73" s="213"/>
      <c r="Q73" s="94"/>
      <c r="R73" s="111">
        <v>-2762</v>
      </c>
      <c r="S73" s="111">
        <v>-2762</v>
      </c>
      <c r="T73" s="111">
        <v>-2762</v>
      </c>
      <c r="U73" s="111">
        <v>-2762</v>
      </c>
      <c r="V73" s="111">
        <v>-2762</v>
      </c>
      <c r="W73" s="213"/>
      <c r="X73" s="94"/>
      <c r="Y73" s="111">
        <v>-2762</v>
      </c>
      <c r="Z73" s="111">
        <v>-2762</v>
      </c>
      <c r="AA73" s="111">
        <v>-2762</v>
      </c>
      <c r="AB73" s="111">
        <v>-2762</v>
      </c>
      <c r="AC73" s="111">
        <v>-2762</v>
      </c>
    </row>
    <row r="74" spans="2:29" x14ac:dyDescent="0.25">
      <c r="I74" s="181"/>
      <c r="P74" s="181"/>
      <c r="W74" s="181"/>
    </row>
    <row r="75" spans="2:29" ht="15.6" x14ac:dyDescent="0.3">
      <c r="B75" s="483" t="s">
        <v>147</v>
      </c>
      <c r="C75" s="535" t="s">
        <v>112</v>
      </c>
      <c r="D75" s="500">
        <f>SUM(D67,D70,D73)</f>
        <v>13327</v>
      </c>
      <c r="E75" s="500">
        <f t="shared" ref="E75:G75" si="74">SUM(E67,E70,E73)</f>
        <v>14000</v>
      </c>
      <c r="F75" s="500">
        <f t="shared" si="74"/>
        <v>14631</v>
      </c>
      <c r="G75" s="500">
        <f t="shared" si="74"/>
        <v>14339</v>
      </c>
      <c r="H75" s="500">
        <f>'DATA SHEET'!$N$57</f>
        <v>14676</v>
      </c>
      <c r="I75" s="508"/>
      <c r="J75" s="272"/>
      <c r="K75" s="500">
        <f>K67+K70+K73</f>
        <v>15292.45</v>
      </c>
      <c r="L75" s="500">
        <f t="shared" ref="L75:O75" si="75">L67+L70+L73</f>
        <v>14914.566434599998</v>
      </c>
      <c r="M75" s="500">
        <f t="shared" si="75"/>
        <v>15230.158686791998</v>
      </c>
      <c r="N75" s="500">
        <f t="shared" si="75"/>
        <v>15550.770531850852</v>
      </c>
      <c r="O75" s="500">
        <f t="shared" si="75"/>
        <v>16014.683287928328</v>
      </c>
      <c r="P75" s="508"/>
      <c r="Q75" s="272"/>
      <c r="R75" s="500">
        <f t="shared" ref="R75:V75" si="76">R67+R70+R73</f>
        <v>15179.834999999999</v>
      </c>
      <c r="S75" s="500">
        <f t="shared" si="76"/>
        <v>14576.220072368</v>
      </c>
      <c r="T75" s="500">
        <f t="shared" si="76"/>
        <v>14699.759157157121</v>
      </c>
      <c r="U75" s="500">
        <f t="shared" si="76"/>
        <v>14825.46865261735</v>
      </c>
      <c r="V75" s="500">
        <f t="shared" si="76"/>
        <v>15086.927684301329</v>
      </c>
      <c r="W75" s="508"/>
      <c r="X75" s="272"/>
      <c r="Y75" s="500">
        <f t="shared" ref="Y75:AC75" si="77">Y67+Y70+Y73</f>
        <v>14841.990000000002</v>
      </c>
      <c r="Z75" s="500">
        <f t="shared" si="77"/>
        <v>14598.731850359996</v>
      </c>
      <c r="AA75" s="500">
        <f t="shared" si="77"/>
        <v>14504.127628607202</v>
      </c>
      <c r="AB75" s="500">
        <f t="shared" si="77"/>
        <v>14408.997462460517</v>
      </c>
      <c r="AC75" s="500">
        <f t="shared" si="77"/>
        <v>14583.099113064593</v>
      </c>
    </row>
    <row r="76" spans="2:29" x14ac:dyDescent="0.25">
      <c r="I76" s="181"/>
      <c r="P76" s="181"/>
      <c r="W76" s="181"/>
    </row>
    <row r="77" spans="2:29" x14ac:dyDescent="0.25">
      <c r="B77" s="986" t="s">
        <v>159</v>
      </c>
      <c r="C77" s="986"/>
      <c r="D77" s="986"/>
      <c r="E77" s="986"/>
      <c r="F77" s="986"/>
      <c r="G77" s="986"/>
      <c r="H77" s="986"/>
      <c r="I77" s="181"/>
      <c r="K77" s="982" t="s">
        <v>169</v>
      </c>
      <c r="L77" s="982"/>
      <c r="M77" s="982"/>
      <c r="N77" s="982"/>
      <c r="O77" s="982"/>
      <c r="P77" s="181"/>
      <c r="R77" s="982" t="s">
        <v>170</v>
      </c>
      <c r="S77" s="982"/>
      <c r="T77" s="982"/>
      <c r="U77" s="982"/>
      <c r="V77" s="982"/>
      <c r="W77" s="181"/>
      <c r="Y77" s="982" t="s">
        <v>171</v>
      </c>
      <c r="Z77" s="982"/>
      <c r="AA77" s="982"/>
      <c r="AB77" s="982"/>
      <c r="AC77" s="982"/>
    </row>
    <row r="78" spans="2:29" x14ac:dyDescent="0.25">
      <c r="B78" s="986"/>
      <c r="C78" s="986"/>
      <c r="D78" s="986"/>
      <c r="E78" s="986"/>
      <c r="F78" s="986"/>
      <c r="G78" s="986"/>
      <c r="H78" s="986"/>
      <c r="I78" s="181"/>
      <c r="K78" s="982"/>
      <c r="L78" s="982"/>
      <c r="M78" s="982"/>
      <c r="N78" s="982"/>
      <c r="O78" s="982"/>
      <c r="P78" s="181"/>
      <c r="R78" s="982"/>
      <c r="S78" s="982"/>
      <c r="T78" s="982"/>
      <c r="U78" s="982"/>
      <c r="V78" s="982"/>
      <c r="W78" s="181"/>
      <c r="Y78" s="982"/>
      <c r="Z78" s="982"/>
      <c r="AA78" s="982"/>
      <c r="AB78" s="982"/>
      <c r="AC78" s="982"/>
    </row>
    <row r="79" spans="2:29" x14ac:dyDescent="0.25">
      <c r="I79" s="181"/>
      <c r="P79" s="181"/>
      <c r="W79" s="181"/>
    </row>
    <row r="80" spans="2:29" x14ac:dyDescent="0.25">
      <c r="B80" s="40" t="s">
        <v>160</v>
      </c>
      <c r="C80" s="60" t="s">
        <v>112</v>
      </c>
      <c r="D80" s="62" t="s">
        <v>122</v>
      </c>
      <c r="E80" s="46">
        <f>D$86</f>
        <v>8333</v>
      </c>
      <c r="F80" s="46">
        <f t="shared" ref="F80:H80" si="78">E$86</f>
        <v>15169</v>
      </c>
      <c r="G80" s="46">
        <f t="shared" si="78"/>
        <v>15009</v>
      </c>
      <c r="H80" s="46">
        <f t="shared" si="78"/>
        <v>14147</v>
      </c>
      <c r="I80" s="181"/>
      <c r="K80" s="46">
        <f>$H$86</f>
        <v>16181</v>
      </c>
      <c r="L80" s="46">
        <f>K$86</f>
        <v>15981</v>
      </c>
      <c r="M80" s="46">
        <f t="shared" ref="M80:O80" si="79">L$86</f>
        <v>15781</v>
      </c>
      <c r="N80" s="46">
        <f t="shared" si="79"/>
        <v>15581</v>
      </c>
      <c r="O80" s="46">
        <f t="shared" si="79"/>
        <v>15481</v>
      </c>
      <c r="P80" s="181"/>
      <c r="R80" s="46">
        <f>$H$86</f>
        <v>16181</v>
      </c>
      <c r="S80" s="46">
        <f>R$86</f>
        <v>16281</v>
      </c>
      <c r="T80" s="46">
        <f t="shared" ref="T80:V80" si="80">S$86</f>
        <v>16401</v>
      </c>
      <c r="U80" s="46">
        <f t="shared" si="80"/>
        <v>16541</v>
      </c>
      <c r="V80" s="46">
        <f t="shared" si="80"/>
        <v>16701</v>
      </c>
      <c r="W80" s="181"/>
      <c r="Y80" s="46">
        <f>$H$86</f>
        <v>16181</v>
      </c>
      <c r="Z80" s="46">
        <f>Y86</f>
        <v>16381</v>
      </c>
      <c r="AA80" s="46">
        <f t="shared" ref="AA80:AC80" si="81">Z86</f>
        <v>16681</v>
      </c>
      <c r="AB80" s="46">
        <f t="shared" si="81"/>
        <v>17081</v>
      </c>
      <c r="AC80" s="46">
        <f t="shared" si="81"/>
        <v>17581</v>
      </c>
    </row>
    <row r="81" spans="2:29" x14ac:dyDescent="0.25">
      <c r="B81" s="102" t="s">
        <v>161</v>
      </c>
      <c r="C81" s="419" t="s">
        <v>113</v>
      </c>
      <c r="D81" s="179" t="s">
        <v>122</v>
      </c>
      <c r="E81" s="420">
        <f>E82/((E80+E86)/2)</f>
        <v>4.5528040166794313E-2</v>
      </c>
      <c r="F81" s="420">
        <f t="shared" ref="F81:H81" si="82">F82/((F80+F86)/2)</f>
        <v>7.1376499436675719E-2</v>
      </c>
      <c r="G81" s="420">
        <f t="shared" si="82"/>
        <v>8.6088626697763751E-2</v>
      </c>
      <c r="H81" s="420">
        <f t="shared" si="82"/>
        <v>9.7401740965444475E-2</v>
      </c>
      <c r="I81" s="181"/>
      <c r="K81" s="108">
        <v>0.107</v>
      </c>
      <c r="L81" s="108">
        <v>0.107</v>
      </c>
      <c r="M81" s="108">
        <v>0.107</v>
      </c>
      <c r="N81" s="108">
        <v>0.107</v>
      </c>
      <c r="O81" s="108">
        <v>0.107</v>
      </c>
      <c r="P81" s="213"/>
      <c r="Q81" s="94"/>
      <c r="R81" s="108">
        <v>0.11700000000000001</v>
      </c>
      <c r="S81" s="108">
        <v>0.11700000000000001</v>
      </c>
      <c r="T81" s="108">
        <v>0.11700000000000001</v>
      </c>
      <c r="U81" s="108">
        <v>0.11700000000000001</v>
      </c>
      <c r="V81" s="108">
        <v>0.11700000000000001</v>
      </c>
      <c r="W81" s="213"/>
      <c r="X81" s="94"/>
      <c r="Y81" s="108">
        <v>0.127</v>
      </c>
      <c r="Z81" s="108">
        <v>0.127</v>
      </c>
      <c r="AA81" s="108">
        <v>0.127</v>
      </c>
      <c r="AB81" s="108">
        <v>0.127</v>
      </c>
      <c r="AC81" s="108">
        <v>0.127</v>
      </c>
    </row>
    <row r="82" spans="2:29" x14ac:dyDescent="0.25">
      <c r="B82" s="102" t="s">
        <v>162</v>
      </c>
      <c r="C82" s="100" t="s">
        <v>112</v>
      </c>
      <c r="D82" s="104">
        <f>'PROFIT &amp; LOSS'!D30</f>
        <v>509</v>
      </c>
      <c r="E82" s="104">
        <f>'PROFIT &amp; LOSS'!E30</f>
        <v>535</v>
      </c>
      <c r="F82" s="104">
        <f>'PROFIT &amp; LOSS'!F30</f>
        <v>1077</v>
      </c>
      <c r="G82" s="104">
        <f>'PROFIT &amp; LOSS'!G30</f>
        <v>1255</v>
      </c>
      <c r="H82" s="104">
        <f>'PROFIT &amp; LOSS'!H30</f>
        <v>1477</v>
      </c>
      <c r="I82" s="181"/>
      <c r="K82" s="104">
        <f>K80*K81</f>
        <v>1731.367</v>
      </c>
      <c r="L82" s="104">
        <f>L80*L81</f>
        <v>1709.9669999999999</v>
      </c>
      <c r="M82" s="104">
        <f t="shared" ref="M82:O82" si="83">M80*M81</f>
        <v>1688.567</v>
      </c>
      <c r="N82" s="104">
        <f t="shared" si="83"/>
        <v>1667.1669999999999</v>
      </c>
      <c r="O82" s="104">
        <f t="shared" si="83"/>
        <v>1656.4669999999999</v>
      </c>
      <c r="P82" s="181"/>
      <c r="R82" s="104">
        <f>R80*R81</f>
        <v>1893.1770000000001</v>
      </c>
      <c r="S82" s="104">
        <f t="shared" ref="S82:V82" si="84">S80*S81</f>
        <v>1904.8770000000002</v>
      </c>
      <c r="T82" s="104">
        <f t="shared" si="84"/>
        <v>1918.9170000000001</v>
      </c>
      <c r="U82" s="104">
        <f t="shared" si="84"/>
        <v>1935.297</v>
      </c>
      <c r="V82" s="104">
        <f t="shared" si="84"/>
        <v>1954.0170000000001</v>
      </c>
      <c r="W82" s="181"/>
      <c r="Y82" s="104">
        <f>Y80*Y81</f>
        <v>2054.9870000000001</v>
      </c>
      <c r="Z82" s="104">
        <f t="shared" ref="Z82:AC82" si="85">Z80*Z81</f>
        <v>2080.3870000000002</v>
      </c>
      <c r="AA82" s="104">
        <f t="shared" si="85"/>
        <v>2118.4870000000001</v>
      </c>
      <c r="AB82" s="104">
        <f t="shared" si="85"/>
        <v>2169.2869999999998</v>
      </c>
      <c r="AC82" s="104">
        <f t="shared" si="85"/>
        <v>2232.7869999999998</v>
      </c>
    </row>
    <row r="83" spans="2:29" x14ac:dyDescent="0.25">
      <c r="B83" s="102" t="s">
        <v>163</v>
      </c>
      <c r="C83" s="100" t="s">
        <v>112</v>
      </c>
      <c r="D83" s="104">
        <v>0</v>
      </c>
      <c r="E83" s="104">
        <v>0</v>
      </c>
      <c r="F83" s="104">
        <f>F86-F80</f>
        <v>-160</v>
      </c>
      <c r="G83" s="104">
        <f>G86-G80</f>
        <v>-862</v>
      </c>
      <c r="H83" s="104">
        <v>0</v>
      </c>
      <c r="I83" s="181"/>
      <c r="K83" s="110">
        <v>0</v>
      </c>
      <c r="L83" s="110">
        <v>0</v>
      </c>
      <c r="M83" s="110">
        <v>0</v>
      </c>
      <c r="N83" s="110">
        <v>0</v>
      </c>
      <c r="O83" s="110">
        <v>0</v>
      </c>
      <c r="P83" s="213"/>
      <c r="Q83" s="94"/>
      <c r="R83" s="110">
        <v>0</v>
      </c>
      <c r="S83" s="110">
        <v>0</v>
      </c>
      <c r="T83" s="110">
        <v>0</v>
      </c>
      <c r="U83" s="110">
        <v>0</v>
      </c>
      <c r="V83" s="110">
        <v>0</v>
      </c>
      <c r="W83" s="213"/>
      <c r="X83" s="94"/>
      <c r="Y83" s="110">
        <v>0</v>
      </c>
      <c r="Z83" s="110">
        <v>0</v>
      </c>
      <c r="AA83" s="110">
        <v>0</v>
      </c>
      <c r="AB83" s="110">
        <v>0</v>
      </c>
      <c r="AC83" s="110">
        <v>0</v>
      </c>
    </row>
    <row r="84" spans="2:29" x14ac:dyDescent="0.25">
      <c r="B84" s="43" t="s">
        <v>164</v>
      </c>
      <c r="C84" s="58" t="s">
        <v>112</v>
      </c>
      <c r="D84" s="105">
        <f>('DATA SHEET'!J36+'DATA SHEET'!J37)-('DATA SHEET'!I36+'DATA SHEET'!I37)</f>
        <v>896</v>
      </c>
      <c r="E84" s="105">
        <f>E86-E80</f>
        <v>6836</v>
      </c>
      <c r="F84" s="105">
        <v>0</v>
      </c>
      <c r="G84" s="105">
        <v>0</v>
      </c>
      <c r="H84" s="105">
        <f>H86-H80</f>
        <v>2034</v>
      </c>
      <c r="I84" s="181"/>
      <c r="K84" s="111">
        <v>-200</v>
      </c>
      <c r="L84" s="111">
        <v>-200</v>
      </c>
      <c r="M84" s="111">
        <v>-200</v>
      </c>
      <c r="N84" s="111">
        <v>-100</v>
      </c>
      <c r="O84" s="111">
        <v>-100</v>
      </c>
      <c r="P84" s="213"/>
      <c r="Q84" s="94"/>
      <c r="R84" s="111">
        <v>100</v>
      </c>
      <c r="S84" s="111">
        <v>120</v>
      </c>
      <c r="T84" s="111">
        <v>140</v>
      </c>
      <c r="U84" s="111">
        <v>160</v>
      </c>
      <c r="V84" s="111">
        <v>180</v>
      </c>
      <c r="W84" s="213"/>
      <c r="X84" s="94"/>
      <c r="Y84" s="111">
        <v>200</v>
      </c>
      <c r="Z84" s="111">
        <v>300</v>
      </c>
      <c r="AA84" s="111">
        <v>400</v>
      </c>
      <c r="AB84" s="111">
        <v>500</v>
      </c>
      <c r="AC84" s="111">
        <v>500</v>
      </c>
    </row>
    <row r="85" spans="2:29" x14ac:dyDescent="0.25">
      <c r="C85" s="53"/>
      <c r="I85" s="181"/>
      <c r="P85" s="181"/>
      <c r="W85" s="181"/>
    </row>
    <row r="86" spans="2:29" ht="15.6" x14ac:dyDescent="0.3">
      <c r="B86" s="483" t="s">
        <v>165</v>
      </c>
      <c r="C86" s="535" t="s">
        <v>112</v>
      </c>
      <c r="D86" s="500">
        <f>'BALANCE SHEET'!D45+'BALANCE SHEET'!D59</f>
        <v>8333</v>
      </c>
      <c r="E86" s="500">
        <f>'BALANCE SHEET'!E45+'BALANCE SHEET'!E59</f>
        <v>15169</v>
      </c>
      <c r="F86" s="500">
        <f>'BALANCE SHEET'!F45+'BALANCE SHEET'!F59</f>
        <v>15009</v>
      </c>
      <c r="G86" s="500">
        <f>'BALANCE SHEET'!G45+'BALANCE SHEET'!G59</f>
        <v>14147</v>
      </c>
      <c r="H86" s="500">
        <f>'BALANCE SHEET'!H45+'BALANCE SHEET'!H59</f>
        <v>16181</v>
      </c>
      <c r="I86" s="508"/>
      <c r="J86" s="272"/>
      <c r="K86" s="500">
        <f>K80+K84</f>
        <v>15981</v>
      </c>
      <c r="L86" s="500">
        <f t="shared" ref="L86:O86" si="86">L80+L84</f>
        <v>15781</v>
      </c>
      <c r="M86" s="500">
        <f t="shared" si="86"/>
        <v>15581</v>
      </c>
      <c r="N86" s="500">
        <f t="shared" si="86"/>
        <v>15481</v>
      </c>
      <c r="O86" s="500">
        <f t="shared" si="86"/>
        <v>15381</v>
      </c>
      <c r="P86" s="508"/>
      <c r="Q86" s="272"/>
      <c r="R86" s="500">
        <f>R80+R84</f>
        <v>16281</v>
      </c>
      <c r="S86" s="500">
        <f t="shared" ref="S86:V86" si="87">S80+S84</f>
        <v>16401</v>
      </c>
      <c r="T86" s="500">
        <f t="shared" si="87"/>
        <v>16541</v>
      </c>
      <c r="U86" s="500">
        <f t="shared" si="87"/>
        <v>16701</v>
      </c>
      <c r="V86" s="500">
        <f t="shared" si="87"/>
        <v>16881</v>
      </c>
      <c r="W86" s="508"/>
      <c r="X86" s="272"/>
      <c r="Y86" s="500">
        <f>Y80+Y84</f>
        <v>16381</v>
      </c>
      <c r="Z86" s="500">
        <f t="shared" ref="Z86:AC86" si="88">Z80+Z84</f>
        <v>16681</v>
      </c>
      <c r="AA86" s="500">
        <f t="shared" si="88"/>
        <v>17081</v>
      </c>
      <c r="AB86" s="500">
        <f t="shared" si="88"/>
        <v>17581</v>
      </c>
      <c r="AC86" s="500">
        <f t="shared" si="88"/>
        <v>18081</v>
      </c>
    </row>
    <row r="87" spans="2:29" x14ac:dyDescent="0.25">
      <c r="C87" s="53"/>
      <c r="I87" s="181"/>
      <c r="P87" s="181"/>
      <c r="W87" s="181"/>
    </row>
    <row r="88" spans="2:29" x14ac:dyDescent="0.25">
      <c r="B88" s="40" t="s">
        <v>166</v>
      </c>
      <c r="C88" s="60" t="s">
        <v>112</v>
      </c>
      <c r="D88" s="46">
        <f>STATEMENTS!C45</f>
        <v>7587</v>
      </c>
      <c r="E88" s="46">
        <f>STATEMENTS!D45</f>
        <v>9523</v>
      </c>
      <c r="F88" s="46">
        <f>STATEMENTS!E45</f>
        <v>8882</v>
      </c>
      <c r="G88" s="46">
        <f>STATEMENTS!F45</f>
        <v>7917</v>
      </c>
      <c r="H88" s="46">
        <f>STATEMENTS!G45</f>
        <v>9786</v>
      </c>
      <c r="I88" s="181"/>
      <c r="K88" s="46">
        <f>K$86*K89</f>
        <v>8629.74</v>
      </c>
      <c r="L88" s="46">
        <f t="shared" ref="L88:O88" si="89">L$86*L89</f>
        <v>8206.1200000000008</v>
      </c>
      <c r="M88" s="46">
        <f t="shared" si="89"/>
        <v>7790.5</v>
      </c>
      <c r="N88" s="46">
        <f t="shared" si="89"/>
        <v>7430.88</v>
      </c>
      <c r="O88" s="46">
        <f t="shared" si="89"/>
        <v>7075.26</v>
      </c>
      <c r="P88" s="181"/>
      <c r="R88" s="46">
        <f t="shared" ref="R88" si="90">R$86*R89</f>
        <v>9442.98</v>
      </c>
      <c r="S88" s="46">
        <f t="shared" ref="S88" si="91">S$86*S89</f>
        <v>9184.5600000000013</v>
      </c>
      <c r="T88" s="46">
        <f t="shared" ref="T88" si="92">T$86*T89</f>
        <v>8932.1400000000012</v>
      </c>
      <c r="U88" s="46">
        <f t="shared" ref="U88" si="93">U$86*U89</f>
        <v>8684.52</v>
      </c>
      <c r="V88" s="46">
        <f t="shared" ref="V88" si="94">V$86*V89</f>
        <v>8440.5</v>
      </c>
      <c r="W88" s="181"/>
      <c r="Y88" s="46">
        <f t="shared" ref="Y88" si="95">Y$86*Y89</f>
        <v>9664.7899999999991</v>
      </c>
      <c r="Z88" s="46">
        <f t="shared" ref="Z88" si="96">Z$86*Z89</f>
        <v>10008.6</v>
      </c>
      <c r="AA88" s="46">
        <f t="shared" ref="AA88" si="97">AA$86*AA89</f>
        <v>10248.6</v>
      </c>
      <c r="AB88" s="46">
        <f t="shared" ref="AB88" si="98">AB$86*AB89</f>
        <v>10548.6</v>
      </c>
      <c r="AC88" s="46">
        <f t="shared" ref="AC88" si="99">AC$86*AC89</f>
        <v>10848.6</v>
      </c>
    </row>
    <row r="89" spans="2:29" ht="15.6" x14ac:dyDescent="0.3">
      <c r="B89" s="70" t="s">
        <v>168</v>
      </c>
      <c r="C89" s="90" t="s">
        <v>113</v>
      </c>
      <c r="D89" s="79">
        <f>D88/D86</f>
        <v>0.91047641905676224</v>
      </c>
      <c r="E89" s="79">
        <f t="shared" ref="E89:H89" si="100">E88/E86</f>
        <v>0.62779352627068363</v>
      </c>
      <c r="F89" s="79">
        <f t="shared" si="100"/>
        <v>0.59177826637350928</v>
      </c>
      <c r="G89" s="79">
        <f t="shared" si="100"/>
        <v>0.5596239485403266</v>
      </c>
      <c r="H89" s="79">
        <f t="shared" si="100"/>
        <v>0.60478338792410857</v>
      </c>
      <c r="I89" s="181"/>
      <c r="K89" s="79">
        <f>K$49</f>
        <v>0.54</v>
      </c>
      <c r="L89" s="79">
        <f t="shared" ref="L89:O89" si="101">L$49</f>
        <v>0.52</v>
      </c>
      <c r="M89" s="79">
        <f t="shared" si="101"/>
        <v>0.5</v>
      </c>
      <c r="N89" s="79">
        <f t="shared" si="101"/>
        <v>0.48</v>
      </c>
      <c r="O89" s="79">
        <f t="shared" si="101"/>
        <v>0.46</v>
      </c>
      <c r="P89" s="181"/>
      <c r="R89" s="79">
        <f>K$50</f>
        <v>0.57999999999999996</v>
      </c>
      <c r="S89" s="79">
        <f t="shared" ref="S89:V89" si="102">L$50</f>
        <v>0.56000000000000005</v>
      </c>
      <c r="T89" s="79">
        <f t="shared" si="102"/>
        <v>0.54</v>
      </c>
      <c r="U89" s="79">
        <f t="shared" si="102"/>
        <v>0.52</v>
      </c>
      <c r="V89" s="79">
        <f t="shared" si="102"/>
        <v>0.5</v>
      </c>
      <c r="W89" s="181"/>
      <c r="Y89" s="79">
        <f>K$51</f>
        <v>0.59</v>
      </c>
      <c r="Z89" s="79">
        <f t="shared" ref="Z89:AC89" si="103">L$51</f>
        <v>0.6</v>
      </c>
      <c r="AA89" s="79">
        <f t="shared" si="103"/>
        <v>0.6</v>
      </c>
      <c r="AB89" s="79">
        <f t="shared" si="103"/>
        <v>0.6</v>
      </c>
      <c r="AC89" s="79">
        <f t="shared" si="103"/>
        <v>0.6</v>
      </c>
    </row>
    <row r="90" spans="2:29" x14ac:dyDescent="0.25">
      <c r="B90" s="102" t="s">
        <v>167</v>
      </c>
      <c r="C90" s="100" t="s">
        <v>112</v>
      </c>
      <c r="D90" s="104">
        <f>STATEMENTS!C37</f>
        <v>746</v>
      </c>
      <c r="E90" s="104">
        <f>STATEMENTS!D37</f>
        <v>5646</v>
      </c>
      <c r="F90" s="104">
        <f>STATEMENTS!E37</f>
        <v>6127</v>
      </c>
      <c r="G90" s="104">
        <f>STATEMENTS!F37</f>
        <v>6230</v>
      </c>
      <c r="H90" s="104">
        <f>STATEMENTS!G37</f>
        <v>6395</v>
      </c>
      <c r="I90" s="181"/>
      <c r="K90" s="104">
        <f>K$86*K91</f>
        <v>7351.2599999999993</v>
      </c>
      <c r="L90" s="104">
        <f t="shared" ref="L90:O90" si="104">L$86*L91</f>
        <v>7574.88</v>
      </c>
      <c r="M90" s="104">
        <f t="shared" si="104"/>
        <v>7790.5</v>
      </c>
      <c r="N90" s="104">
        <f t="shared" si="104"/>
        <v>8050.12</v>
      </c>
      <c r="O90" s="104">
        <f t="shared" si="104"/>
        <v>8305.74</v>
      </c>
      <c r="P90" s="181"/>
      <c r="R90" s="104">
        <f t="shared" ref="R90" si="105">R$86*R91</f>
        <v>6838.02</v>
      </c>
      <c r="S90" s="104">
        <f t="shared" ref="S90" si="106">S$86*S91</f>
        <v>7216.4399999999987</v>
      </c>
      <c r="T90" s="104">
        <f t="shared" ref="T90" si="107">T$86*T91</f>
        <v>7608.86</v>
      </c>
      <c r="U90" s="104">
        <f t="shared" ref="U90" si="108">U$86*U91</f>
        <v>8016.48</v>
      </c>
      <c r="V90" s="104">
        <f t="shared" ref="V90" si="109">V$86*V91</f>
        <v>8440.5</v>
      </c>
      <c r="W90" s="181"/>
      <c r="Y90" s="104">
        <f t="shared" ref="Y90" si="110">Y$86*Y91</f>
        <v>6716.2100000000009</v>
      </c>
      <c r="Z90" s="104">
        <f t="shared" ref="Z90" si="111">Z$86*Z91</f>
        <v>6672.4000000000005</v>
      </c>
      <c r="AA90" s="104">
        <f t="shared" ref="AA90" si="112">AA$86*AA91</f>
        <v>6832.4000000000005</v>
      </c>
      <c r="AB90" s="104">
        <f t="shared" ref="AB90" si="113">AB$86*AB91</f>
        <v>7032.4000000000005</v>
      </c>
      <c r="AC90" s="104">
        <f t="shared" ref="AC90" si="114">AC$86*AC91</f>
        <v>7232.4000000000005</v>
      </c>
    </row>
    <row r="91" spans="2:29" ht="15.6" x14ac:dyDescent="0.3">
      <c r="B91" s="42" t="s">
        <v>168</v>
      </c>
      <c r="C91" s="91" t="s">
        <v>113</v>
      </c>
      <c r="D91" s="50">
        <f>D90/D86</f>
        <v>8.9523580943237729E-2</v>
      </c>
      <c r="E91" s="50">
        <f t="shared" ref="E91:H91" si="115">E90/E86</f>
        <v>0.37220647372931637</v>
      </c>
      <c r="F91" s="50">
        <f t="shared" si="115"/>
        <v>0.40822173362649078</v>
      </c>
      <c r="G91" s="50">
        <f t="shared" si="115"/>
        <v>0.44037605145967346</v>
      </c>
      <c r="H91" s="50">
        <f t="shared" si="115"/>
        <v>0.39521661207589148</v>
      </c>
      <c r="I91" s="181"/>
      <c r="K91" s="50">
        <f>R$49</f>
        <v>0.45999999999999996</v>
      </c>
      <c r="L91" s="50">
        <f t="shared" ref="L91:O91" si="116">S$49</f>
        <v>0.48</v>
      </c>
      <c r="M91" s="50">
        <f t="shared" si="116"/>
        <v>0.5</v>
      </c>
      <c r="N91" s="50">
        <f t="shared" si="116"/>
        <v>0.52</v>
      </c>
      <c r="O91" s="50">
        <f t="shared" si="116"/>
        <v>0.54</v>
      </c>
      <c r="P91" s="181"/>
      <c r="R91" s="50">
        <f>R$50</f>
        <v>0.42000000000000004</v>
      </c>
      <c r="S91" s="50">
        <f t="shared" ref="S91:V91" si="117">S$50</f>
        <v>0.43999999999999995</v>
      </c>
      <c r="T91" s="50">
        <f t="shared" si="117"/>
        <v>0.45999999999999996</v>
      </c>
      <c r="U91" s="50">
        <f t="shared" si="117"/>
        <v>0.48</v>
      </c>
      <c r="V91" s="50">
        <f t="shared" si="117"/>
        <v>0.5</v>
      </c>
      <c r="W91" s="181"/>
      <c r="Y91" s="50">
        <f>R$51</f>
        <v>0.41000000000000003</v>
      </c>
      <c r="Z91" s="50">
        <f t="shared" ref="Z91:AC91" si="118">S$51</f>
        <v>0.4</v>
      </c>
      <c r="AA91" s="50">
        <f t="shared" si="118"/>
        <v>0.4</v>
      </c>
      <c r="AB91" s="50">
        <f t="shared" si="118"/>
        <v>0.4</v>
      </c>
      <c r="AC91" s="50">
        <f t="shared" si="118"/>
        <v>0.4</v>
      </c>
    </row>
    <row r="92" spans="2:29" x14ac:dyDescent="0.25">
      <c r="I92" s="181"/>
      <c r="P92" s="181"/>
      <c r="W92" s="181"/>
    </row>
    <row r="93" spans="2:29" x14ac:dyDescent="0.25">
      <c r="B93" s="986" t="s">
        <v>176</v>
      </c>
      <c r="C93" s="986"/>
      <c r="D93" s="986"/>
      <c r="E93" s="986"/>
      <c r="F93" s="986"/>
      <c r="G93" s="986"/>
      <c r="H93" s="986"/>
      <c r="I93" s="181"/>
      <c r="K93" s="982" t="s">
        <v>177</v>
      </c>
      <c r="L93" s="982"/>
      <c r="M93" s="982"/>
      <c r="N93" s="982"/>
      <c r="O93" s="982"/>
      <c r="P93" s="181"/>
      <c r="R93" s="982" t="s">
        <v>178</v>
      </c>
      <c r="S93" s="982"/>
      <c r="T93" s="982"/>
      <c r="U93" s="982"/>
      <c r="V93" s="982"/>
      <c r="W93" s="181"/>
      <c r="Y93" s="982" t="s">
        <v>179</v>
      </c>
      <c r="Z93" s="982"/>
      <c r="AA93" s="982"/>
      <c r="AB93" s="982"/>
      <c r="AC93" s="982"/>
    </row>
    <row r="94" spans="2:29" x14ac:dyDescent="0.25">
      <c r="B94" s="986"/>
      <c r="C94" s="986"/>
      <c r="D94" s="986"/>
      <c r="E94" s="986"/>
      <c r="F94" s="986"/>
      <c r="G94" s="986"/>
      <c r="H94" s="986"/>
      <c r="I94" s="181"/>
      <c r="K94" s="982"/>
      <c r="L94" s="982"/>
      <c r="M94" s="982"/>
      <c r="N94" s="982"/>
      <c r="O94" s="982"/>
      <c r="P94" s="181"/>
      <c r="R94" s="982"/>
      <c r="S94" s="982"/>
      <c r="T94" s="982"/>
      <c r="U94" s="982"/>
      <c r="V94" s="982"/>
      <c r="W94" s="181"/>
      <c r="Y94" s="982"/>
      <c r="Z94" s="982"/>
      <c r="AA94" s="982"/>
      <c r="AB94" s="982"/>
      <c r="AC94" s="982"/>
    </row>
    <row r="95" spans="2:29" x14ac:dyDescent="0.25">
      <c r="I95" s="181"/>
      <c r="P95" s="181"/>
      <c r="W95" s="181"/>
    </row>
    <row r="96" spans="2:29" x14ac:dyDescent="0.25">
      <c r="B96" s="40" t="s">
        <v>103</v>
      </c>
      <c r="C96" s="60" t="s">
        <v>112</v>
      </c>
      <c r="D96" s="46">
        <f>'PROFIT &amp; LOSS'!D32</f>
        <v>14190</v>
      </c>
      <c r="E96" s="46">
        <f>'PROFIT &amp; LOSS'!E32</f>
        <v>13981</v>
      </c>
      <c r="F96" s="46">
        <f>'PROFIT &amp; LOSS'!F32</f>
        <v>15203</v>
      </c>
      <c r="G96" s="46">
        <f>'PROFIT &amp; LOSS'!G32</f>
        <v>14777</v>
      </c>
      <c r="H96" s="46">
        <f>'PROFIT &amp; LOSS'!H32</f>
        <v>17469</v>
      </c>
      <c r="I96" s="181"/>
      <c r="K96" s="46">
        <f>K6-K56-K60-K70-K82</f>
        <v>19455.342999999997</v>
      </c>
      <c r="L96" s="46">
        <f t="shared" ref="L96:O96" si="119">L6-L56-L60-L70-L82</f>
        <v>19808.945994199999</v>
      </c>
      <c r="M96" s="46">
        <f t="shared" si="119"/>
        <v>20391.439740407997</v>
      </c>
      <c r="N96" s="46">
        <f t="shared" si="119"/>
        <v>20995.537011747867</v>
      </c>
      <c r="O96" s="46">
        <f t="shared" si="119"/>
        <v>21828.905999122046</v>
      </c>
      <c r="P96" s="181"/>
      <c r="R96" s="46">
        <f t="shared" ref="R96:V96" si="120">R6-R56-R60-R70-R82</f>
        <v>17801.036439999996</v>
      </c>
      <c r="S96" s="46">
        <f t="shared" si="120"/>
        <v>17731.007883631999</v>
      </c>
      <c r="T96" s="46">
        <f t="shared" si="120"/>
        <v>18057.185328614887</v>
      </c>
      <c r="U96" s="46">
        <f t="shared" si="120"/>
        <v>18391.538385626485</v>
      </c>
      <c r="V96" s="46">
        <f t="shared" si="120"/>
        <v>18927.93106777795</v>
      </c>
      <c r="W96" s="181"/>
      <c r="Y96" s="46">
        <f t="shared" ref="Y96:AC96" si="121">Y6-Y56-Y60-Y70-Y82</f>
        <v>16691.127959999998</v>
      </c>
      <c r="Z96" s="46">
        <f t="shared" si="121"/>
        <v>16526.554391239999</v>
      </c>
      <c r="AA96" s="46">
        <f t="shared" si="121"/>
        <v>16452.962945536805</v>
      </c>
      <c r="AB96" s="46">
        <f t="shared" si="121"/>
        <v>16377.681643500451</v>
      </c>
      <c r="AC96" s="46">
        <f t="shared" si="121"/>
        <v>16646.24858187242</v>
      </c>
    </row>
    <row r="97" spans="2:29" ht="15.6" x14ac:dyDescent="0.3">
      <c r="B97" s="42" t="s">
        <v>180</v>
      </c>
      <c r="C97" s="91" t="s">
        <v>113</v>
      </c>
      <c r="D97" s="50">
        <f>D99/D96</f>
        <v>0.21388301620859759</v>
      </c>
      <c r="E97" s="50">
        <f t="shared" ref="E97:H97" si="122">E99/E96</f>
        <v>0.20720978470781776</v>
      </c>
      <c r="F97" s="50">
        <f t="shared" si="122"/>
        <v>0.22357429454712885</v>
      </c>
      <c r="G97" s="50">
        <f t="shared" si="122"/>
        <v>0.24423089937064357</v>
      </c>
      <c r="H97" s="50">
        <f t="shared" si="122"/>
        <v>0.24489094968229436</v>
      </c>
      <c r="I97" s="503"/>
      <c r="J97" s="41"/>
      <c r="K97" s="50">
        <f>Y$37</f>
        <v>0.23</v>
      </c>
      <c r="L97" s="50">
        <f t="shared" ref="L97:O97" si="123">Z$37</f>
        <v>0.23</v>
      </c>
      <c r="M97" s="50">
        <f t="shared" si="123"/>
        <v>0.23</v>
      </c>
      <c r="N97" s="50">
        <f t="shared" si="123"/>
        <v>0.23</v>
      </c>
      <c r="O97" s="50">
        <f t="shared" si="123"/>
        <v>0.23</v>
      </c>
      <c r="P97" s="503"/>
      <c r="Q97" s="41"/>
      <c r="R97" s="50">
        <f>Y$38</f>
        <v>0.24</v>
      </c>
      <c r="S97" s="50">
        <f t="shared" ref="S97:V97" si="124">Z$38</f>
        <v>0.24</v>
      </c>
      <c r="T97" s="50">
        <f t="shared" si="124"/>
        <v>0.24</v>
      </c>
      <c r="U97" s="50">
        <f t="shared" si="124"/>
        <v>0.24</v>
      </c>
      <c r="V97" s="50">
        <f t="shared" si="124"/>
        <v>0.24</v>
      </c>
      <c r="W97" s="503"/>
      <c r="X97" s="41"/>
      <c r="Y97" s="50">
        <f>Y$39</f>
        <v>0.25</v>
      </c>
      <c r="Z97" s="50">
        <f t="shared" ref="Z97:AC97" si="125">Z$39</f>
        <v>0.25</v>
      </c>
      <c r="AA97" s="50">
        <f t="shared" si="125"/>
        <v>0.25</v>
      </c>
      <c r="AB97" s="50">
        <f t="shared" si="125"/>
        <v>0.25</v>
      </c>
      <c r="AC97" s="50">
        <f t="shared" si="125"/>
        <v>0.25</v>
      </c>
    </row>
    <row r="98" spans="2:29" x14ac:dyDescent="0.25">
      <c r="C98" s="53"/>
      <c r="I98" s="181"/>
      <c r="P98" s="181"/>
      <c r="W98" s="181"/>
    </row>
    <row r="99" spans="2:29" x14ac:dyDescent="0.25">
      <c r="B99" s="45" t="s">
        <v>181</v>
      </c>
      <c r="C99" s="112" t="s">
        <v>112</v>
      </c>
      <c r="D99" s="47">
        <f>'PROFIT &amp; LOSS'!D35</f>
        <v>3035</v>
      </c>
      <c r="E99" s="47">
        <f>'PROFIT &amp; LOSS'!E35</f>
        <v>2897</v>
      </c>
      <c r="F99" s="47">
        <f>'PROFIT &amp; LOSS'!F35</f>
        <v>3399</v>
      </c>
      <c r="G99" s="47">
        <f>'PROFIT &amp; LOSS'!G35</f>
        <v>3609</v>
      </c>
      <c r="H99" s="47">
        <f>'PROFIT &amp; LOSS'!H35</f>
        <v>4278</v>
      </c>
      <c r="I99" s="181"/>
      <c r="K99" s="47">
        <f>K96*K97</f>
        <v>4474.7288899999994</v>
      </c>
      <c r="L99" s="47">
        <f t="shared" ref="L99:O99" si="126">L96*L97</f>
        <v>4556.0575786660002</v>
      </c>
      <c r="M99" s="47">
        <f t="shared" si="126"/>
        <v>4690.0311402938396</v>
      </c>
      <c r="N99" s="47">
        <f t="shared" si="126"/>
        <v>4828.9735127020094</v>
      </c>
      <c r="O99" s="47">
        <f t="shared" si="126"/>
        <v>5020.6483797980709</v>
      </c>
      <c r="P99" s="181"/>
      <c r="R99" s="47">
        <f t="shared" ref="R99:V99" si="127">R96*R97</f>
        <v>4272.248745599999</v>
      </c>
      <c r="S99" s="47">
        <f t="shared" si="127"/>
        <v>4255.4418920716798</v>
      </c>
      <c r="T99" s="47">
        <f t="shared" si="127"/>
        <v>4333.7244788675725</v>
      </c>
      <c r="U99" s="47">
        <f t="shared" si="127"/>
        <v>4413.9692125503561</v>
      </c>
      <c r="V99" s="47">
        <f t="shared" si="127"/>
        <v>4542.7034562667077</v>
      </c>
      <c r="W99" s="181"/>
      <c r="Y99" s="47">
        <f t="shared" ref="Y99:AC99" si="128">Y96*Y97</f>
        <v>4172.7819899999995</v>
      </c>
      <c r="Z99" s="47">
        <f t="shared" si="128"/>
        <v>4131.6385978099997</v>
      </c>
      <c r="AA99" s="47">
        <f t="shared" si="128"/>
        <v>4113.2407363842012</v>
      </c>
      <c r="AB99" s="47">
        <f t="shared" si="128"/>
        <v>4094.4204108751128</v>
      </c>
      <c r="AC99" s="47">
        <f t="shared" si="128"/>
        <v>4161.562145468105</v>
      </c>
    </row>
    <row r="100" spans="2:29" x14ac:dyDescent="0.25">
      <c r="C100" s="53"/>
      <c r="I100" s="181"/>
      <c r="P100" s="181"/>
      <c r="W100" s="181"/>
    </row>
    <row r="101" spans="2:29" ht="15.6" x14ac:dyDescent="0.3">
      <c r="B101" s="536" t="s">
        <v>106</v>
      </c>
      <c r="C101" s="537" t="s">
        <v>112</v>
      </c>
      <c r="D101" s="538">
        <f>D96-D99</f>
        <v>11155</v>
      </c>
      <c r="E101" s="538">
        <f t="shared" ref="E101:H101" si="129">E96-E99</f>
        <v>11084</v>
      </c>
      <c r="F101" s="538">
        <f t="shared" si="129"/>
        <v>11804</v>
      </c>
      <c r="G101" s="538">
        <f t="shared" si="129"/>
        <v>11168</v>
      </c>
      <c r="H101" s="538">
        <f t="shared" si="129"/>
        <v>13191</v>
      </c>
      <c r="I101" s="508"/>
      <c r="J101" s="272"/>
      <c r="K101" s="538">
        <f t="shared" ref="K101:O101" si="130">K96-K99</f>
        <v>14980.614109999999</v>
      </c>
      <c r="L101" s="538">
        <f t="shared" si="130"/>
        <v>15252.888415533998</v>
      </c>
      <c r="M101" s="538">
        <f t="shared" si="130"/>
        <v>15701.408600114159</v>
      </c>
      <c r="N101" s="538">
        <f t="shared" si="130"/>
        <v>16166.563499045857</v>
      </c>
      <c r="O101" s="538">
        <f t="shared" si="130"/>
        <v>16808.257619323973</v>
      </c>
      <c r="P101" s="508"/>
      <c r="Q101" s="272"/>
      <c r="R101" s="538">
        <f t="shared" ref="R101:V101" si="131">R96-R99</f>
        <v>13528.787694399998</v>
      </c>
      <c r="S101" s="538">
        <f t="shared" si="131"/>
        <v>13475.565991560319</v>
      </c>
      <c r="T101" s="538">
        <f t="shared" si="131"/>
        <v>13723.460849747315</v>
      </c>
      <c r="U101" s="538">
        <f t="shared" si="131"/>
        <v>13977.569173076128</v>
      </c>
      <c r="V101" s="538">
        <f t="shared" si="131"/>
        <v>14385.227611511244</v>
      </c>
      <c r="W101" s="508"/>
      <c r="X101" s="272"/>
      <c r="Y101" s="538">
        <f t="shared" ref="Y101:AC101" si="132">Y96-Y99</f>
        <v>12518.345969999998</v>
      </c>
      <c r="Z101" s="538">
        <f t="shared" si="132"/>
        <v>12394.915793429998</v>
      </c>
      <c r="AA101" s="538">
        <f t="shared" si="132"/>
        <v>12339.722209152604</v>
      </c>
      <c r="AB101" s="538">
        <f t="shared" si="132"/>
        <v>12283.261232625338</v>
      </c>
      <c r="AC101" s="538">
        <f t="shared" si="132"/>
        <v>12484.686436404314</v>
      </c>
    </row>
    <row r="102" spans="2:29" x14ac:dyDescent="0.25">
      <c r="C102" s="53"/>
      <c r="I102" s="181"/>
      <c r="P102" s="181"/>
      <c r="W102" s="181"/>
    </row>
    <row r="103" spans="2:29" x14ac:dyDescent="0.25">
      <c r="B103" s="40" t="s">
        <v>3305</v>
      </c>
      <c r="C103" s="60" t="s">
        <v>112</v>
      </c>
      <c r="D103" s="46">
        <f>'PROFIT &amp; LOSS'!D44</f>
        <v>546</v>
      </c>
      <c r="E103" s="46">
        <f>'PROFIT &amp; LOSS'!E44</f>
        <v>547</v>
      </c>
      <c r="F103" s="46">
        <f>'PROFIT &amp; LOSS'!F44</f>
        <v>3281</v>
      </c>
      <c r="G103" s="46">
        <f>'PROFIT &amp; LOSS'!G44</f>
        <v>522</v>
      </c>
      <c r="H103" s="46">
        <f>'PROFIT &amp; LOSS'!H44</f>
        <v>6275</v>
      </c>
      <c r="I103" s="181"/>
      <c r="K103" s="46">
        <f>K101*Y43</f>
        <v>2247.0921164999995</v>
      </c>
      <c r="L103" s="46">
        <f t="shared" ref="L103:O103" si="133">L101*Z43</f>
        <v>3050.5776831067997</v>
      </c>
      <c r="M103" s="46">
        <f t="shared" si="133"/>
        <v>3925.3521500285397</v>
      </c>
      <c r="N103" s="46">
        <f t="shared" si="133"/>
        <v>4041.6408747614641</v>
      </c>
      <c r="O103" s="46">
        <f t="shared" si="133"/>
        <v>4202.0644048309932</v>
      </c>
      <c r="P103" s="181"/>
      <c r="R103" s="46">
        <f>R101*Y44</f>
        <v>2705.7575388799996</v>
      </c>
      <c r="S103" s="46">
        <f t="shared" ref="S103:V103" si="134">S101*Z44</f>
        <v>3368.8914978900798</v>
      </c>
      <c r="T103" s="46">
        <f t="shared" si="134"/>
        <v>4117.038254924194</v>
      </c>
      <c r="U103" s="46">
        <f t="shared" si="134"/>
        <v>4193.2707519228379</v>
      </c>
      <c r="V103" s="46">
        <f t="shared" si="134"/>
        <v>4315.5682834533727</v>
      </c>
      <c r="W103" s="181"/>
      <c r="Y103" s="46">
        <f>Y101*Y45</f>
        <v>3755.5037909999992</v>
      </c>
      <c r="Z103" s="46">
        <f t="shared" ref="Z103:AC103" si="135">Z101*Z45</f>
        <v>4338.2205277004987</v>
      </c>
      <c r="AA103" s="46">
        <f t="shared" si="135"/>
        <v>4935.8888836610422</v>
      </c>
      <c r="AB103" s="46">
        <f t="shared" si="135"/>
        <v>5527.4675546814024</v>
      </c>
      <c r="AC103" s="46">
        <f t="shared" si="135"/>
        <v>6242.343218202157</v>
      </c>
    </row>
    <row r="104" spans="2:29" x14ac:dyDescent="0.25">
      <c r="B104" s="43" t="s">
        <v>110</v>
      </c>
      <c r="C104" s="58" t="s">
        <v>112</v>
      </c>
      <c r="D104" s="105">
        <f>'PROFIT &amp; LOSS'!D47</f>
        <v>10609</v>
      </c>
      <c r="E104" s="105">
        <f>'PROFIT &amp; LOSS'!E47</f>
        <v>10537</v>
      </c>
      <c r="F104" s="105">
        <f>'PROFIT &amp; LOSS'!F47</f>
        <v>8523</v>
      </c>
      <c r="G104" s="105">
        <f>'PROFIT &amp; LOSS'!G47</f>
        <v>10646</v>
      </c>
      <c r="H104" s="105">
        <f>'PROFIT &amp; LOSS'!H47</f>
        <v>6916</v>
      </c>
      <c r="I104" s="181"/>
      <c r="K104" s="105">
        <f>K101-K103</f>
        <v>12733.521993499999</v>
      </c>
      <c r="L104" s="105">
        <f t="shared" ref="L104:O104" si="136">L101-L103</f>
        <v>12202.310732427199</v>
      </c>
      <c r="M104" s="105">
        <f t="shared" si="136"/>
        <v>11776.05645008562</v>
      </c>
      <c r="N104" s="105">
        <f t="shared" si="136"/>
        <v>12124.922624284392</v>
      </c>
      <c r="O104" s="105">
        <f t="shared" si="136"/>
        <v>12606.19321449298</v>
      </c>
      <c r="P104" s="181"/>
      <c r="R104" s="105">
        <f t="shared" ref="R104:V104" si="137">R101-R103</f>
        <v>10823.030155519999</v>
      </c>
      <c r="S104" s="105">
        <f t="shared" si="137"/>
        <v>10106.67449367024</v>
      </c>
      <c r="T104" s="105">
        <f t="shared" si="137"/>
        <v>9606.4225948231215</v>
      </c>
      <c r="U104" s="105">
        <f t="shared" si="137"/>
        <v>9784.2984211532894</v>
      </c>
      <c r="V104" s="105">
        <f t="shared" si="137"/>
        <v>10069.659328057871</v>
      </c>
      <c r="W104" s="181"/>
      <c r="Y104" s="105">
        <f t="shared" ref="Y104:AC104" si="138">Y101-Y103</f>
        <v>8762.8421789999993</v>
      </c>
      <c r="Z104" s="105">
        <f t="shared" si="138"/>
        <v>8056.6952657294996</v>
      </c>
      <c r="AA104" s="105">
        <f t="shared" si="138"/>
        <v>7403.8333254915615</v>
      </c>
      <c r="AB104" s="105">
        <f t="shared" si="138"/>
        <v>6755.793677943936</v>
      </c>
      <c r="AC104" s="105">
        <f t="shared" si="138"/>
        <v>6242.343218202157</v>
      </c>
    </row>
    <row r="106" spans="2:29" x14ac:dyDescent="0.25">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row>
  </sheetData>
  <mergeCells count="38">
    <mergeCell ref="B53:H54"/>
    <mergeCell ref="K53:O54"/>
    <mergeCell ref="R53:V54"/>
    <mergeCell ref="Y53:AC54"/>
    <mergeCell ref="B93:H94"/>
    <mergeCell ref="K93:O94"/>
    <mergeCell ref="R93:V94"/>
    <mergeCell ref="Y93:AC94"/>
    <mergeCell ref="K64:O65"/>
    <mergeCell ref="R64:V65"/>
    <mergeCell ref="Y64:AC65"/>
    <mergeCell ref="B77:H78"/>
    <mergeCell ref="K77:O78"/>
    <mergeCell ref="R77:V78"/>
    <mergeCell ref="Y77:AC78"/>
    <mergeCell ref="B64:H65"/>
    <mergeCell ref="R1:V2"/>
    <mergeCell ref="Y1:AC2"/>
    <mergeCell ref="K8:O9"/>
    <mergeCell ref="R8:V9"/>
    <mergeCell ref="Y8:AC9"/>
    <mergeCell ref="B1:B3"/>
    <mergeCell ref="D1:H2"/>
    <mergeCell ref="K1:O2"/>
    <mergeCell ref="B8:H9"/>
    <mergeCell ref="B15:H16"/>
    <mergeCell ref="Y15:AC16"/>
    <mergeCell ref="K31:O32"/>
    <mergeCell ref="R31:V32"/>
    <mergeCell ref="Y31:AC32"/>
    <mergeCell ref="B32:B33"/>
    <mergeCell ref="D31:H32"/>
    <mergeCell ref="K15:O16"/>
    <mergeCell ref="K25:O26"/>
    <mergeCell ref="R15:V16"/>
    <mergeCell ref="R25:V26"/>
    <mergeCell ref="B25:H26"/>
    <mergeCell ref="Y25:AC26"/>
  </mergeCells>
  <printOptions horizontalCentered="1" verticalCentered="1"/>
  <pageMargins left="0" right="0" top="0" bottom="0" header="0" footer="0"/>
  <pageSetup scale="35" orientation="landscape" horizontalDpi="1200" verticalDpi="1200" r:id="rId1"/>
  <ignoredErrors>
    <ignoredError sqref="K89:O89 R89:V89 Y89:AC89"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3336E-AC5F-4C7F-B9F0-AA15C54DA379}">
  <sheetPr>
    <pageSetUpPr fitToPage="1"/>
  </sheetPr>
  <dimension ref="B1:S50"/>
  <sheetViews>
    <sheetView zoomScale="70" zoomScaleNormal="70" workbookViewId="0"/>
  </sheetViews>
  <sheetFormatPr defaultColWidth="15.77734375" defaultRowHeight="15" x14ac:dyDescent="0.25"/>
  <cols>
    <col min="1" max="1" width="2" style="29" customWidth="1"/>
    <col min="2" max="2" width="44.77734375" style="29" customWidth="1"/>
    <col min="3" max="3" width="8.88671875" style="29" customWidth="1"/>
    <col min="4" max="8" width="15.77734375" style="29"/>
    <col min="9" max="10" width="2" style="29" customWidth="1"/>
    <col min="11" max="16384" width="15.77734375" style="29"/>
  </cols>
  <sheetData>
    <row r="1" spans="2:15" ht="15" customHeight="1" x14ac:dyDescent="0.25">
      <c r="B1" s="974" t="s">
        <v>3336</v>
      </c>
      <c r="C1" s="30"/>
      <c r="D1" s="975" t="s">
        <v>81</v>
      </c>
      <c r="E1" s="975"/>
      <c r="F1" s="975"/>
      <c r="G1" s="975"/>
      <c r="H1" s="975"/>
      <c r="I1" s="987">
        <v>2</v>
      </c>
      <c r="J1" s="987"/>
      <c r="K1" s="975" t="s">
        <v>93</v>
      </c>
      <c r="L1" s="975"/>
      <c r="M1" s="975"/>
      <c r="N1" s="975"/>
      <c r="O1" s="975"/>
    </row>
    <row r="2" spans="2:15" ht="15" customHeight="1" x14ac:dyDescent="0.25">
      <c r="B2" s="974"/>
      <c r="C2" s="30"/>
      <c r="D2" s="975"/>
      <c r="E2" s="975"/>
      <c r="F2" s="975"/>
      <c r="G2" s="975"/>
      <c r="H2" s="975"/>
      <c r="I2" s="987"/>
      <c r="J2" s="987"/>
      <c r="K2" s="975"/>
      <c r="L2" s="975"/>
      <c r="M2" s="975"/>
      <c r="N2" s="975"/>
      <c r="O2" s="975"/>
    </row>
    <row r="3" spans="2:15" ht="24.6" customHeight="1" x14ac:dyDescent="0.4">
      <c r="B3" s="974"/>
      <c r="C3" s="34" t="s">
        <v>82</v>
      </c>
      <c r="D3" s="35" t="s">
        <v>83</v>
      </c>
      <c r="E3" s="35" t="s">
        <v>84</v>
      </c>
      <c r="F3" s="35" t="s">
        <v>85</v>
      </c>
      <c r="G3" s="35" t="s">
        <v>86</v>
      </c>
      <c r="H3" s="35" t="s">
        <v>87</v>
      </c>
      <c r="I3" s="35"/>
      <c r="J3" s="35"/>
      <c r="K3" s="35" t="s">
        <v>88</v>
      </c>
      <c r="L3" s="35" t="s">
        <v>89</v>
      </c>
      <c r="M3" s="35" t="s">
        <v>90</v>
      </c>
      <c r="N3" s="35" t="s">
        <v>91</v>
      </c>
      <c r="O3" s="35" t="s">
        <v>92</v>
      </c>
    </row>
    <row r="4" spans="2:15" ht="28.2" customHeight="1" x14ac:dyDescent="0.5">
      <c r="B4" s="38" t="s">
        <v>121</v>
      </c>
      <c r="C4" s="33"/>
      <c r="D4" s="36">
        <v>44276</v>
      </c>
      <c r="E4" s="36">
        <f>EDATE(D4,12)</f>
        <v>44641</v>
      </c>
      <c r="F4" s="36">
        <f t="shared" ref="F4:H4" si="0">EDATE(E4,12)</f>
        <v>45006</v>
      </c>
      <c r="G4" s="36">
        <f t="shared" si="0"/>
        <v>45372</v>
      </c>
      <c r="H4" s="36">
        <f t="shared" si="0"/>
        <v>45737</v>
      </c>
      <c r="I4" s="37"/>
      <c r="J4" s="37"/>
      <c r="K4" s="68">
        <f>EDATE(H4,12)</f>
        <v>46102</v>
      </c>
      <c r="L4" s="68">
        <f>EDATE(K4,12)</f>
        <v>46467</v>
      </c>
      <c r="M4" s="68">
        <f t="shared" ref="M4:O4" si="1">EDATE(L4,12)</f>
        <v>46833</v>
      </c>
      <c r="N4" s="68">
        <f t="shared" si="1"/>
        <v>47198</v>
      </c>
      <c r="O4" s="68">
        <f t="shared" si="1"/>
        <v>47563</v>
      </c>
    </row>
    <row r="6" spans="2:15" x14ac:dyDescent="0.25">
      <c r="B6" s="400" t="s">
        <v>3243</v>
      </c>
      <c r="C6" s="401" t="s">
        <v>112</v>
      </c>
      <c r="D6" s="402">
        <f>STATEMENTS!C63</f>
        <v>62243</v>
      </c>
      <c r="E6" s="402">
        <f>STATEMENTS!D63</f>
        <v>79529</v>
      </c>
      <c r="F6" s="402">
        <f>STATEMENTS!E63</f>
        <v>90935</v>
      </c>
      <c r="G6" s="402">
        <f>STATEMENTS!F63</f>
        <v>89794</v>
      </c>
      <c r="H6" s="402">
        <f>STATEMENTS!G63</f>
        <v>89088</v>
      </c>
      <c r="I6" s="181"/>
      <c r="K6" s="403">
        <f>CHOOSE($I$1,'P &amp; L ASSUMPTIONS'!K$22,'P &amp; L ASSUMPTIONS'!R$22,'P &amp; L ASSUMPTIONS'!Y$22)</f>
        <v>88197.119999999995</v>
      </c>
      <c r="L6" s="403">
        <f>CHOOSE($I$1,'P &amp; L ASSUMPTIONS'!L$22,'P &amp; L ASSUMPTIONS'!S$22,'P &amp; L ASSUMPTIONS'!Z$22)</f>
        <v>87315.148799999995</v>
      </c>
      <c r="M6" s="403">
        <f>CHOOSE($I$1,'P &amp; L ASSUMPTIONS'!M$22,'P &amp; L ASSUMPTIONS'!T$22,'P &amp; L ASSUMPTIONS'!AA$22)</f>
        <v>88188.300287999999</v>
      </c>
      <c r="N6" s="403">
        <f>CHOOSE($I$1,'P &amp; L ASSUMPTIONS'!N$22,'P &amp; L ASSUMPTIONS'!U$22,'P &amp; L ASSUMPTIONS'!AB$22)</f>
        <v>89070.183290879999</v>
      </c>
      <c r="O6" s="403">
        <f>CHOOSE($I$1,'P &amp; L ASSUMPTIONS'!O$22,'P &amp; L ASSUMPTIONS'!V$22,'P &amp; L ASSUMPTIONS'!AC$22)</f>
        <v>90851.586956697603</v>
      </c>
    </row>
    <row r="7" spans="2:15" ht="7.05" customHeight="1" x14ac:dyDescent="0.25">
      <c r="B7" s="404"/>
      <c r="C7" s="405"/>
      <c r="D7" s="406"/>
      <c r="E7" s="406"/>
      <c r="F7" s="406"/>
      <c r="G7" s="406"/>
      <c r="H7" s="406"/>
      <c r="I7" s="181"/>
      <c r="K7" s="407"/>
      <c r="L7" s="406"/>
      <c r="M7" s="406"/>
      <c r="N7" s="406"/>
      <c r="O7" s="406"/>
    </row>
    <row r="8" spans="2:15" x14ac:dyDescent="0.25">
      <c r="B8" s="414" t="s">
        <v>125</v>
      </c>
      <c r="C8" s="408" t="s">
        <v>112</v>
      </c>
      <c r="D8" s="415">
        <f>STATEMENTS!C64</f>
        <v>2382</v>
      </c>
      <c r="E8" s="415">
        <f>STATEMENTS!D64</f>
        <v>2061</v>
      </c>
      <c r="F8" s="415">
        <f>STATEMENTS!E64</f>
        <v>2266</v>
      </c>
      <c r="G8" s="415">
        <f>STATEMENTS!F64</f>
        <v>2631</v>
      </c>
      <c r="H8" s="415">
        <f>STATEMENTS!G64</f>
        <v>3884</v>
      </c>
      <c r="I8" s="181"/>
      <c r="K8" s="418">
        <f>CHOOSE($I$1,'P &amp; L ASSUMPTIONS'!K$28,'P &amp; L ASSUMPTIONS'!R$28,'P &amp; L ASSUMPTIONS'!Y$28)</f>
        <v>4078.2</v>
      </c>
      <c r="L8" s="418">
        <f>CHOOSE($I$1,'P &amp; L ASSUMPTIONS'!L$28,'P &amp; L ASSUMPTIONS'!S$28,'P &amp; L ASSUMPTIONS'!Z$28)</f>
        <v>4282.1099999999997</v>
      </c>
      <c r="M8" s="418">
        <f>CHOOSE($I$1,'P &amp; L ASSUMPTIONS'!M$28,'P &amp; L ASSUMPTIONS'!T$28,'P &amp; L ASSUMPTIONS'!AA$28)</f>
        <v>4496.2154999999993</v>
      </c>
      <c r="N8" s="418">
        <f>CHOOSE($I$1,'P &amp; L ASSUMPTIONS'!N$28,'P &amp; L ASSUMPTIONS'!U$28,'P &amp; L ASSUMPTIONS'!AB$28)</f>
        <v>4721.0262749999993</v>
      </c>
      <c r="O8" s="418">
        <f>CHOOSE($I$1,'P &amp; L ASSUMPTIONS'!O$28,'P &amp; L ASSUMPTIONS'!V$28,'P &amp; L ASSUMPTIONS'!AC$28)</f>
        <v>4957.0775887499994</v>
      </c>
    </row>
    <row r="9" spans="2:15" ht="15.6" x14ac:dyDescent="0.3">
      <c r="B9" s="397"/>
      <c r="C9" s="398"/>
      <c r="D9" s="399"/>
      <c r="E9" s="399"/>
      <c r="F9" s="399"/>
      <c r="G9" s="399"/>
      <c r="H9" s="399"/>
      <c r="I9" s="181"/>
      <c r="K9" s="399"/>
      <c r="L9" s="399"/>
      <c r="M9" s="399"/>
      <c r="N9" s="399"/>
      <c r="O9" s="399"/>
    </row>
    <row r="10" spans="2:15" ht="15.6" x14ac:dyDescent="0.3">
      <c r="B10" s="410" t="s">
        <v>3244</v>
      </c>
      <c r="C10" s="411" t="s">
        <v>112</v>
      </c>
      <c r="D10" s="409">
        <f>D6+D8</f>
        <v>64625</v>
      </c>
      <c r="E10" s="409">
        <f t="shared" ref="E10:H10" si="2">E6+E8</f>
        <v>81590</v>
      </c>
      <c r="F10" s="409">
        <f t="shared" si="2"/>
        <v>93201</v>
      </c>
      <c r="G10" s="409">
        <f t="shared" si="2"/>
        <v>92425</v>
      </c>
      <c r="H10" s="409">
        <f t="shared" si="2"/>
        <v>92972</v>
      </c>
      <c r="I10" s="181"/>
      <c r="K10" s="409">
        <f>K6+K8</f>
        <v>92275.319999999992</v>
      </c>
      <c r="L10" s="409">
        <f t="shared" ref="L10:O10" si="3">L6+L8</f>
        <v>91597.258799999996</v>
      </c>
      <c r="M10" s="409">
        <f t="shared" si="3"/>
        <v>92684.515788000004</v>
      </c>
      <c r="N10" s="409">
        <f t="shared" si="3"/>
        <v>93791.209565879995</v>
      </c>
      <c r="O10" s="409">
        <f t="shared" si="3"/>
        <v>95808.664545447609</v>
      </c>
    </row>
    <row r="11" spans="2:15" x14ac:dyDescent="0.25">
      <c r="C11" s="53"/>
      <c r="I11" s="181"/>
    </row>
    <row r="12" spans="2:15" x14ac:dyDescent="0.25">
      <c r="B12" s="40" t="s">
        <v>96</v>
      </c>
      <c r="C12" s="56" t="s">
        <v>112</v>
      </c>
      <c r="D12" s="39">
        <f>STATEMENTS!C67+STATEMENTS!C68+STATEMENTS!C72+STATEMENTS!C73+STATEMENTS!C69</f>
        <v>44351</v>
      </c>
      <c r="E12" s="39">
        <f>STATEMENTS!D67+STATEMENTS!D68+STATEMENTS!D72+STATEMENTS!D73+STATEMENTS!D69</f>
        <v>59072</v>
      </c>
      <c r="F12" s="39">
        <f>STATEMENTS!E67+STATEMENTS!E68+STATEMENTS!E72+STATEMENTS!E73+STATEMENTS!E69</f>
        <v>67302</v>
      </c>
      <c r="G12" s="39">
        <f>STATEMENTS!F67+STATEMENTS!F68+STATEMENTS!F72+STATEMENTS!F73+STATEMENTS!F69</f>
        <v>67100</v>
      </c>
      <c r="H12" s="39">
        <f>STATEMENTS!G67+STATEMENTS!G68+STATEMENTS!G72+STATEMENTS!G73+STATEMENTS!G69</f>
        <v>65287</v>
      </c>
      <c r="I12" s="181"/>
      <c r="K12" s="46">
        <f>CHOOSE($I$1,'P &amp; L ASSUMPTIONS'!K56,'P &amp; L ASSUMPTIONS'!R56,'P &amp; L ASSUMPTIONS'!Y56)</f>
        <v>63501.926399999997</v>
      </c>
      <c r="L12" s="46">
        <f>CHOOSE($I$1,'P &amp; L ASSUMPTIONS'!L56,'P &amp; L ASSUMPTIONS'!S56,'P &amp; L ASSUMPTIONS'!Z56)</f>
        <v>62866.907135999994</v>
      </c>
      <c r="M12" s="46">
        <f>CHOOSE($I$1,'P &amp; L ASSUMPTIONS'!M56,'P &amp; L ASSUMPTIONS'!T56,'P &amp; L ASSUMPTIONS'!AA56)</f>
        <v>63495.576207359998</v>
      </c>
      <c r="N12" s="46">
        <f>CHOOSE($I$1,'P &amp; L ASSUMPTIONS'!N56,'P &amp; L ASSUMPTIONS'!U56,'P &amp; L ASSUMPTIONS'!AB56)</f>
        <v>64130.531969433599</v>
      </c>
      <c r="O12" s="46">
        <f>CHOOSE($I$1,'P &amp; L ASSUMPTIONS'!O56,'P &amp; L ASSUMPTIONS'!V56,'P &amp; L ASSUMPTIONS'!AC56)</f>
        <v>65413.142608822272</v>
      </c>
    </row>
    <row r="13" spans="2:15" ht="15.6" x14ac:dyDescent="0.3">
      <c r="B13" s="42" t="s">
        <v>97</v>
      </c>
      <c r="C13" s="57" t="s">
        <v>113</v>
      </c>
      <c r="D13" s="416">
        <f>D12/D6</f>
        <v>0.71254598910720879</v>
      </c>
      <c r="E13" s="416">
        <f t="shared" ref="E13:H13" si="4">E12/E6</f>
        <v>0.74277307648782209</v>
      </c>
      <c r="F13" s="416">
        <f t="shared" si="4"/>
        <v>0.74011106834552154</v>
      </c>
      <c r="G13" s="416">
        <f t="shared" si="4"/>
        <v>0.74726596431832859</v>
      </c>
      <c r="H13" s="416">
        <f t="shared" si="4"/>
        <v>0.73283719468390807</v>
      </c>
      <c r="I13" s="181"/>
      <c r="K13" s="421">
        <f t="shared" ref="K13" si="5">K12/K6</f>
        <v>0.72</v>
      </c>
      <c r="L13" s="416">
        <f t="shared" ref="L13" si="6">L12/L6</f>
        <v>0.72</v>
      </c>
      <c r="M13" s="416">
        <f t="shared" ref="M13" si="7">M12/M6</f>
        <v>0.72</v>
      </c>
      <c r="N13" s="416">
        <f t="shared" ref="N13" si="8">N12/N6</f>
        <v>0.72</v>
      </c>
      <c r="O13" s="416">
        <f t="shared" ref="O13" si="9">O12/O6</f>
        <v>0.72</v>
      </c>
    </row>
    <row r="14" spans="2:15" x14ac:dyDescent="0.25">
      <c r="C14" s="53"/>
      <c r="I14" s="181"/>
    </row>
    <row r="15" spans="2:15" x14ac:dyDescent="0.25">
      <c r="B15" s="40" t="s">
        <v>98</v>
      </c>
      <c r="C15" s="56" t="s">
        <v>112</v>
      </c>
      <c r="D15" s="39">
        <f>D10-D12</f>
        <v>20274</v>
      </c>
      <c r="E15" s="39">
        <f t="shared" ref="E15:H15" si="10">E10-E12</f>
        <v>22518</v>
      </c>
      <c r="F15" s="39">
        <f t="shared" si="10"/>
        <v>25899</v>
      </c>
      <c r="G15" s="39">
        <f t="shared" si="10"/>
        <v>25325</v>
      </c>
      <c r="H15" s="39">
        <f t="shared" si="10"/>
        <v>27685</v>
      </c>
      <c r="I15" s="181"/>
      <c r="K15" s="46">
        <f t="shared" ref="K15:O15" si="11">K10-K12</f>
        <v>28773.393599999996</v>
      </c>
      <c r="L15" s="39">
        <f t="shared" si="11"/>
        <v>28730.351664000002</v>
      </c>
      <c r="M15" s="39">
        <f t="shared" si="11"/>
        <v>29188.939580640006</v>
      </c>
      <c r="N15" s="39">
        <f t="shared" si="11"/>
        <v>29660.677596446396</v>
      </c>
      <c r="O15" s="39">
        <f t="shared" si="11"/>
        <v>30395.521936625337</v>
      </c>
    </row>
    <row r="16" spans="2:15" ht="15.6" x14ac:dyDescent="0.3">
      <c r="B16" s="42" t="s">
        <v>97</v>
      </c>
      <c r="C16" s="57" t="s">
        <v>113</v>
      </c>
      <c r="D16" s="416">
        <f>D15/D6</f>
        <v>0.32572337451600986</v>
      </c>
      <c r="E16" s="416">
        <f t="shared" ref="E16:H16" si="12">E15/E6</f>
        <v>0.28314199851626448</v>
      </c>
      <c r="F16" s="416">
        <f t="shared" si="12"/>
        <v>0.28480782976851599</v>
      </c>
      <c r="G16" s="416">
        <f t="shared" si="12"/>
        <v>0.28203443437200704</v>
      </c>
      <c r="H16" s="416">
        <f t="shared" si="12"/>
        <v>0.31076014727011492</v>
      </c>
      <c r="I16" s="181"/>
      <c r="K16" s="421">
        <f>K15/K6</f>
        <v>0.32623960510275163</v>
      </c>
      <c r="L16" s="421">
        <f t="shared" ref="L16:O16" si="13">L15/L6</f>
        <v>0.32904200541200934</v>
      </c>
      <c r="M16" s="421">
        <f t="shared" si="13"/>
        <v>0.330984263052089</v>
      </c>
      <c r="N16" s="421">
        <f t="shared" si="13"/>
        <v>0.33300344178682506</v>
      </c>
      <c r="O16" s="421">
        <f t="shared" si="13"/>
        <v>0.33456236654526122</v>
      </c>
    </row>
    <row r="17" spans="2:15" x14ac:dyDescent="0.25">
      <c r="C17" s="53"/>
      <c r="I17" s="181"/>
    </row>
    <row r="18" spans="2:15" x14ac:dyDescent="0.25">
      <c r="B18" s="40" t="s">
        <v>99</v>
      </c>
      <c r="C18" s="56" t="s">
        <v>112</v>
      </c>
      <c r="D18" s="39">
        <f>SUM(STATEMENTS!C74:C80)</f>
        <v>2812</v>
      </c>
      <c r="E18" s="39">
        <f>SUM(STATEMENTS!D74:D80)</f>
        <v>4924</v>
      </c>
      <c r="F18" s="39">
        <f>SUM(STATEMENTS!E74:E80)</f>
        <v>6279</v>
      </c>
      <c r="G18" s="39">
        <f>SUM(STATEMENTS!F74:F80)</f>
        <v>5886</v>
      </c>
      <c r="H18" s="39">
        <f>SUM(STATEMENTS!G74:G80)</f>
        <v>5781</v>
      </c>
      <c r="I18" s="181"/>
      <c r="K18" s="46">
        <f>CHOOSE($I$1,'P &amp; L ASSUMPTIONS'!K60,'P &amp; L ASSUMPTIONS'!R60,'P &amp; L ASSUMPTIONS'!Y60)</f>
        <v>5813.3451599999999</v>
      </c>
      <c r="L18" s="46">
        <f>CHOOSE($I$1,'P &amp; L ASSUMPTIONS'!L60,'P &amp; L ASSUMPTIONS'!S60,'P &amp; L ASSUMPTIONS'!Z60)</f>
        <v>5770.6273044</v>
      </c>
      <c r="M18" s="46">
        <f>CHOOSE($I$1,'P &amp; L ASSUMPTIONS'!M60,'P &amp; L ASSUMPTIONS'!T60,'P &amp; L ASSUMPTIONS'!AA60)</f>
        <v>5839.1244946440002</v>
      </c>
      <c r="N18" s="46">
        <f>CHOOSE($I$1,'P &amp; L ASSUMPTIONS'!N60,'P &amp; L ASSUMPTIONS'!U60,'P &amp; L ASSUMPTIONS'!AB60)</f>
        <v>5908.8462026504394</v>
      </c>
      <c r="O18" s="46">
        <f>CHOOSE($I$1,'P &amp; L ASSUMPTIONS'!O60,'P &amp; L ASSUMPTIONS'!V60,'P &amp; L ASSUMPTIONS'!AC60)</f>
        <v>6035.9458663631995</v>
      </c>
    </row>
    <row r="19" spans="2:15" ht="15.6" x14ac:dyDescent="0.3">
      <c r="B19" s="42" t="s">
        <v>3248</v>
      </c>
      <c r="C19" s="58" t="s">
        <v>113</v>
      </c>
      <c r="D19" s="416">
        <f>D18/D10</f>
        <v>4.3512572533849131E-2</v>
      </c>
      <c r="E19" s="416">
        <f t="shared" ref="E19:H19" si="14">E18/E10</f>
        <v>6.0350533153572743E-2</v>
      </c>
      <c r="F19" s="416">
        <f t="shared" si="14"/>
        <v>6.7370521775517431E-2</v>
      </c>
      <c r="G19" s="416">
        <f t="shared" si="14"/>
        <v>6.3684068163375712E-2</v>
      </c>
      <c r="H19" s="416">
        <f t="shared" si="14"/>
        <v>6.2180011186163578E-2</v>
      </c>
      <c r="I19" s="181"/>
      <c r="K19" s="421">
        <f t="shared" ref="K19" si="15">K18/K10</f>
        <v>6.3E-2</v>
      </c>
      <c r="L19" s="416">
        <f t="shared" ref="L19" si="16">L18/L10</f>
        <v>6.3E-2</v>
      </c>
      <c r="M19" s="416">
        <f t="shared" ref="M19" si="17">M18/M10</f>
        <v>6.3E-2</v>
      </c>
      <c r="N19" s="416">
        <f t="shared" ref="N19" si="18">N18/N10</f>
        <v>6.3E-2</v>
      </c>
      <c r="O19" s="416">
        <f t="shared" ref="O19" si="19">O18/O10</f>
        <v>6.3E-2</v>
      </c>
    </row>
    <row r="20" spans="2:15" x14ac:dyDescent="0.25">
      <c r="C20" s="53"/>
      <c r="I20" s="181"/>
    </row>
    <row r="21" spans="2:15" x14ac:dyDescent="0.25">
      <c r="B21" s="40" t="s">
        <v>100</v>
      </c>
      <c r="C21" s="56" t="s">
        <v>112</v>
      </c>
      <c r="D21" s="39">
        <f>D15-D18</f>
        <v>17462</v>
      </c>
      <c r="E21" s="39">
        <f t="shared" ref="E21:H21" si="20">E15-E18</f>
        <v>17594</v>
      </c>
      <c r="F21" s="39">
        <f t="shared" si="20"/>
        <v>19620</v>
      </c>
      <c r="G21" s="39">
        <f t="shared" si="20"/>
        <v>19439</v>
      </c>
      <c r="H21" s="39">
        <f t="shared" si="20"/>
        <v>21904</v>
      </c>
      <c r="I21" s="181"/>
      <c r="K21" s="46">
        <f>K15-K18</f>
        <v>22960.048439999995</v>
      </c>
      <c r="L21" s="46">
        <f t="shared" ref="L21:O21" si="21">L15-L18</f>
        <v>22959.724359600001</v>
      </c>
      <c r="M21" s="46">
        <f t="shared" si="21"/>
        <v>23349.815085996008</v>
      </c>
      <c r="N21" s="46">
        <f t="shared" si="21"/>
        <v>23751.831393795957</v>
      </c>
      <c r="O21" s="46">
        <f t="shared" si="21"/>
        <v>24359.576070262137</v>
      </c>
    </row>
    <row r="22" spans="2:15" ht="15.6" x14ac:dyDescent="0.3">
      <c r="B22" s="42" t="s">
        <v>3248</v>
      </c>
      <c r="C22" s="58" t="s">
        <v>113</v>
      </c>
      <c r="D22" s="416">
        <f>D21/D10</f>
        <v>0.27020502901353965</v>
      </c>
      <c r="E22" s="416">
        <f t="shared" ref="E22:H22" si="22">E21/E10</f>
        <v>0.21563917146709155</v>
      </c>
      <c r="F22" s="416">
        <f t="shared" si="22"/>
        <v>0.21051276273859723</v>
      </c>
      <c r="G22" s="416">
        <f t="shared" si="22"/>
        <v>0.21032188260751961</v>
      </c>
      <c r="H22" s="416">
        <f t="shared" si="22"/>
        <v>0.23559781439573205</v>
      </c>
      <c r="I22" s="181"/>
      <c r="K22" s="421">
        <f t="shared" ref="K22" si="23">K21/K10</f>
        <v>0.24882111966666706</v>
      </c>
      <c r="L22" s="416">
        <f t="shared" ref="L22" si="24">L21/L10</f>
        <v>0.25065951383689228</v>
      </c>
      <c r="M22" s="416">
        <f t="shared" ref="M22" si="25">M21/M10</f>
        <v>0.25192789634252089</v>
      </c>
      <c r="N22" s="416">
        <f t="shared" ref="N22" si="26">N21/N10</f>
        <v>0.25324155114038066</v>
      </c>
      <c r="O22" s="416">
        <f t="shared" ref="O22" si="27">O21/O10</f>
        <v>0.25425232869942549</v>
      </c>
    </row>
    <row r="23" spans="2:15" x14ac:dyDescent="0.25">
      <c r="C23" s="53"/>
      <c r="I23" s="181"/>
    </row>
    <row r="24" spans="2:15" x14ac:dyDescent="0.25">
      <c r="B24" s="40" t="s">
        <v>101</v>
      </c>
      <c r="C24" s="56" t="s">
        <v>112</v>
      </c>
      <c r="D24" s="39">
        <f>STATEMENTS!C71</f>
        <v>2763</v>
      </c>
      <c r="E24" s="39">
        <f>STATEMENTS!D71</f>
        <v>3078</v>
      </c>
      <c r="F24" s="39">
        <f>STATEMENTS!E71</f>
        <v>3340</v>
      </c>
      <c r="G24" s="39">
        <f>STATEMENTS!F71</f>
        <v>3407</v>
      </c>
      <c r="H24" s="39">
        <f>STATEMENTS!G71</f>
        <v>2958</v>
      </c>
      <c r="I24" s="181"/>
      <c r="K24" s="46">
        <f>CHOOSE($I$1,'P &amp; L ASSUMPTIONS'!K70,'P &amp; L ASSUMPTIONS'!R70,'P &amp; L ASSUMPTIONS'!Y70)</f>
        <v>3265.8349999999996</v>
      </c>
      <c r="L24" s="46">
        <f>CHOOSE($I$1,'P &amp; L ASSUMPTIONS'!L70,'P &amp; L ASSUMPTIONS'!S70,'P &amp; L ASSUMPTIONS'!Z70)</f>
        <v>3323.839475968</v>
      </c>
      <c r="M24" s="46">
        <f>CHOOSE($I$1,'P &amp; L ASSUMPTIONS'!M70,'P &amp; L ASSUMPTIONS'!T70,'P &amp; L ASSUMPTIONS'!AA70)</f>
        <v>3373.7127573811204</v>
      </c>
      <c r="N24" s="46">
        <f>CHOOSE($I$1,'P &amp; L ASSUMPTIONS'!N70,'P &amp; L ASSUMPTIONS'!U70,'P &amp; L ASSUMPTIONS'!AB70)</f>
        <v>3424.9960081694721</v>
      </c>
      <c r="O24" s="46">
        <f>CHOOSE($I$1,'P &amp; L ASSUMPTIONS'!O70,'P &amp; L ASSUMPTIONS'!V70,'P &amp; L ASSUMPTIONS'!AC70)</f>
        <v>3477.6280024841858</v>
      </c>
    </row>
    <row r="25" spans="2:15" ht="15.6" x14ac:dyDescent="0.3">
      <c r="B25" s="42" t="s">
        <v>3248</v>
      </c>
      <c r="C25" s="58" t="s">
        <v>113</v>
      </c>
      <c r="D25" s="416">
        <f>D24/D10</f>
        <v>4.2754352030947775E-2</v>
      </c>
      <c r="E25" s="416">
        <f t="shared" ref="E25:H25" si="28">E24/E10</f>
        <v>3.7725211422968502E-2</v>
      </c>
      <c r="F25" s="416">
        <f t="shared" si="28"/>
        <v>3.5836525359169966E-2</v>
      </c>
      <c r="G25" s="416">
        <f t="shared" si="28"/>
        <v>3.6862320800649176E-2</v>
      </c>
      <c r="H25" s="416">
        <f t="shared" si="28"/>
        <v>3.1816030632878717E-2</v>
      </c>
      <c r="I25" s="181"/>
      <c r="K25" s="421">
        <f t="shared" ref="K25" si="29">K24/K10</f>
        <v>3.5392291243205656E-2</v>
      </c>
      <c r="L25" s="416">
        <f t="shared" ref="L25" si="30">L24/L10</f>
        <v>3.6287543093680444E-2</v>
      </c>
      <c r="M25" s="416">
        <f t="shared" ref="M25" si="31">M24/M10</f>
        <v>3.6399960971883499E-2</v>
      </c>
      <c r="N25" s="416">
        <f t="shared" ref="N25" si="32">N24/N10</f>
        <v>3.6517238918469398E-2</v>
      </c>
      <c r="O25" s="416">
        <f t="shared" ref="O25" si="33">O24/O10</f>
        <v>3.629763569906086E-2</v>
      </c>
    </row>
    <row r="26" spans="2:15" x14ac:dyDescent="0.25">
      <c r="C26" s="53"/>
      <c r="I26" s="181"/>
    </row>
    <row r="27" spans="2:15" x14ac:dyDescent="0.25">
      <c r="B27" s="40" t="s">
        <v>102</v>
      </c>
      <c r="C27" s="56" t="s">
        <v>112</v>
      </c>
      <c r="D27" s="39">
        <f>D21-D24</f>
        <v>14699</v>
      </c>
      <c r="E27" s="39">
        <f t="shared" ref="E27:H27" si="34">E21-E24</f>
        <v>14516</v>
      </c>
      <c r="F27" s="39">
        <f t="shared" si="34"/>
        <v>16280</v>
      </c>
      <c r="G27" s="39">
        <f t="shared" si="34"/>
        <v>16032</v>
      </c>
      <c r="H27" s="39">
        <f t="shared" si="34"/>
        <v>18946</v>
      </c>
      <c r="I27" s="181"/>
      <c r="K27" s="46">
        <f>K21-K24</f>
        <v>19694.213439999996</v>
      </c>
      <c r="L27" s="46">
        <f t="shared" ref="L27:O27" si="35">L21-L24</f>
        <v>19635.884883631999</v>
      </c>
      <c r="M27" s="46">
        <f t="shared" si="35"/>
        <v>19976.102328614888</v>
      </c>
      <c r="N27" s="46">
        <f t="shared" si="35"/>
        <v>20326.835385626484</v>
      </c>
      <c r="O27" s="46">
        <f t="shared" si="35"/>
        <v>20881.94806777795</v>
      </c>
    </row>
    <row r="28" spans="2:15" ht="15.6" x14ac:dyDescent="0.3">
      <c r="B28" s="42" t="s">
        <v>3248</v>
      </c>
      <c r="C28" s="58" t="s">
        <v>113</v>
      </c>
      <c r="D28" s="416">
        <f>D27/D10</f>
        <v>0.22745067698259189</v>
      </c>
      <c r="E28" s="416">
        <f t="shared" ref="E28:H28" si="36">E27/E10</f>
        <v>0.17791396004412305</v>
      </c>
      <c r="F28" s="416">
        <f t="shared" si="36"/>
        <v>0.17467623737942725</v>
      </c>
      <c r="G28" s="416">
        <f t="shared" si="36"/>
        <v>0.17345956180687044</v>
      </c>
      <c r="H28" s="416">
        <f t="shared" si="36"/>
        <v>0.20378178376285333</v>
      </c>
      <c r="I28" s="181"/>
      <c r="K28" s="421">
        <f t="shared" ref="K28" si="37">K27/K10</f>
        <v>0.21342882842346142</v>
      </c>
      <c r="L28" s="416">
        <f t="shared" ref="L28" si="38">L27/L10</f>
        <v>0.21437197074321182</v>
      </c>
      <c r="M28" s="416">
        <f t="shared" ref="M28" si="39">M27/M10</f>
        <v>0.21552793537063741</v>
      </c>
      <c r="N28" s="416">
        <f t="shared" ref="N28" si="40">N27/N10</f>
        <v>0.21672431222191124</v>
      </c>
      <c r="O28" s="416">
        <f t="shared" ref="O28" si="41">O27/O10</f>
        <v>0.2179546930003646</v>
      </c>
    </row>
    <row r="29" spans="2:15" x14ac:dyDescent="0.25">
      <c r="C29" s="53"/>
      <c r="I29" s="181"/>
    </row>
    <row r="30" spans="2:15" x14ac:dyDescent="0.25">
      <c r="B30" s="45" t="s">
        <v>13</v>
      </c>
      <c r="C30" s="59" t="s">
        <v>112</v>
      </c>
      <c r="D30" s="44">
        <f>STATEMENTS!C70</f>
        <v>509</v>
      </c>
      <c r="E30" s="44">
        <f>STATEMENTS!D70</f>
        <v>535</v>
      </c>
      <c r="F30" s="44">
        <f>STATEMENTS!E70</f>
        <v>1077</v>
      </c>
      <c r="G30" s="44">
        <f>STATEMENTS!F70</f>
        <v>1255</v>
      </c>
      <c r="H30" s="44">
        <f>STATEMENTS!G70</f>
        <v>1477</v>
      </c>
      <c r="I30" s="181"/>
      <c r="K30" s="47">
        <f>CHOOSE($I$1,'P &amp; L ASSUMPTIONS'!K82,'P &amp; L ASSUMPTIONS'!R82,'P &amp; L ASSUMPTIONS'!Y82)</f>
        <v>1893.1770000000001</v>
      </c>
      <c r="L30" s="47">
        <f>CHOOSE($I$1,'P &amp; L ASSUMPTIONS'!L82,'P &amp; L ASSUMPTIONS'!S82,'P &amp; L ASSUMPTIONS'!Z82)</f>
        <v>1904.8770000000002</v>
      </c>
      <c r="M30" s="47">
        <f>CHOOSE($I$1,'P &amp; L ASSUMPTIONS'!M82,'P &amp; L ASSUMPTIONS'!T82,'P &amp; L ASSUMPTIONS'!AA82)</f>
        <v>1918.9170000000001</v>
      </c>
      <c r="N30" s="47">
        <f>CHOOSE($I$1,'P &amp; L ASSUMPTIONS'!N82,'P &amp; L ASSUMPTIONS'!U82,'P &amp; L ASSUMPTIONS'!AB82)</f>
        <v>1935.297</v>
      </c>
      <c r="O30" s="47">
        <f>CHOOSE($I$1,'P &amp; L ASSUMPTIONS'!O82,'P &amp; L ASSUMPTIONS'!V82,'P &amp; L ASSUMPTIONS'!AC82)</f>
        <v>1954.0170000000001</v>
      </c>
    </row>
    <row r="31" spans="2:15" x14ac:dyDescent="0.25">
      <c r="C31" s="53"/>
      <c r="I31" s="181"/>
    </row>
    <row r="32" spans="2:15" x14ac:dyDescent="0.25">
      <c r="B32" s="40" t="s">
        <v>103</v>
      </c>
      <c r="C32" s="56" t="s">
        <v>112</v>
      </c>
      <c r="D32" s="39">
        <f>D27-D30</f>
        <v>14190</v>
      </c>
      <c r="E32" s="39">
        <f t="shared" ref="E32:H32" si="42">E27-E30</f>
        <v>13981</v>
      </c>
      <c r="F32" s="39">
        <f t="shared" si="42"/>
        <v>15203</v>
      </c>
      <c r="G32" s="39">
        <f t="shared" si="42"/>
        <v>14777</v>
      </c>
      <c r="H32" s="39">
        <f t="shared" si="42"/>
        <v>17469</v>
      </c>
      <c r="I32" s="181"/>
      <c r="K32" s="46">
        <f>K27-K30</f>
        <v>17801.036439999996</v>
      </c>
      <c r="L32" s="46">
        <f t="shared" ref="L32:O32" si="43">L27-L30</f>
        <v>17731.007883631999</v>
      </c>
      <c r="M32" s="46">
        <f t="shared" si="43"/>
        <v>18057.185328614887</v>
      </c>
      <c r="N32" s="46">
        <f t="shared" si="43"/>
        <v>18391.538385626485</v>
      </c>
      <c r="O32" s="46">
        <f t="shared" si="43"/>
        <v>18927.93106777795</v>
      </c>
    </row>
    <row r="33" spans="2:19" ht="15.6" x14ac:dyDescent="0.3">
      <c r="B33" s="42" t="s">
        <v>3248</v>
      </c>
      <c r="C33" s="58" t="s">
        <v>113</v>
      </c>
      <c r="D33" s="416">
        <f>D32/D10</f>
        <v>0.21957446808510639</v>
      </c>
      <c r="E33" s="416">
        <f t="shared" ref="E33:H33" si="44">E32/E10</f>
        <v>0.17135678391959799</v>
      </c>
      <c r="F33" s="416">
        <f t="shared" si="44"/>
        <v>0.16312056737588654</v>
      </c>
      <c r="G33" s="416">
        <f t="shared" si="44"/>
        <v>0.1598809845820936</v>
      </c>
      <c r="H33" s="416">
        <f t="shared" si="44"/>
        <v>0.18789528029944499</v>
      </c>
      <c r="I33" s="181"/>
      <c r="K33" s="421">
        <f t="shared" ref="K33" si="45">K32/K10</f>
        <v>0.19291221574739592</v>
      </c>
      <c r="L33" s="416">
        <f t="shared" ref="L33" si="46">L32/L10</f>
        <v>0.19357574796367158</v>
      </c>
      <c r="M33" s="416">
        <f t="shared" ref="M33" si="47">M32/M10</f>
        <v>0.19482418584262354</v>
      </c>
      <c r="N33" s="416">
        <f t="shared" ref="N33" si="48">N32/N10</f>
        <v>0.19609021432555535</v>
      </c>
      <c r="O33" s="416">
        <f t="shared" ref="O33" si="49">O32/O10</f>
        <v>0.1975597004465012</v>
      </c>
    </row>
    <row r="34" spans="2:19" x14ac:dyDescent="0.25">
      <c r="C34" s="53"/>
      <c r="I34" s="181"/>
    </row>
    <row r="35" spans="2:19" x14ac:dyDescent="0.25">
      <c r="B35" s="40" t="s">
        <v>104</v>
      </c>
      <c r="C35" s="56" t="s">
        <v>112</v>
      </c>
      <c r="D35" s="39">
        <f>STATEMENTS!C85</f>
        <v>3035</v>
      </c>
      <c r="E35" s="39">
        <f>STATEMENTS!D85</f>
        <v>2897</v>
      </c>
      <c r="F35" s="39">
        <f>STATEMENTS!E85</f>
        <v>3399</v>
      </c>
      <c r="G35" s="39">
        <f>STATEMENTS!F85</f>
        <v>3609</v>
      </c>
      <c r="H35" s="39">
        <f>STATEMENTS!G85</f>
        <v>4278</v>
      </c>
      <c r="I35" s="181"/>
      <c r="K35" s="46">
        <f>CHOOSE($I$1,'P &amp; L ASSUMPTIONS'!K99,'P &amp; L ASSUMPTIONS'!R99,'P &amp; L ASSUMPTIONS'!Y99)</f>
        <v>4272.248745599999</v>
      </c>
      <c r="L35" s="46">
        <f>CHOOSE($I$1,'P &amp; L ASSUMPTIONS'!L99,'P &amp; L ASSUMPTIONS'!S99,'P &amp; L ASSUMPTIONS'!Z99)</f>
        <v>4255.4418920716798</v>
      </c>
      <c r="M35" s="46">
        <f>CHOOSE($I$1,'P &amp; L ASSUMPTIONS'!M99,'P &amp; L ASSUMPTIONS'!T99,'P &amp; L ASSUMPTIONS'!AA99)</f>
        <v>4333.7244788675725</v>
      </c>
      <c r="N35" s="46">
        <f>CHOOSE($I$1,'P &amp; L ASSUMPTIONS'!N99,'P &amp; L ASSUMPTIONS'!U99,'P &amp; L ASSUMPTIONS'!AB99)</f>
        <v>4413.9692125503561</v>
      </c>
      <c r="O35" s="46">
        <f>CHOOSE($I$1,'P &amp; L ASSUMPTIONS'!O99,'P &amp; L ASSUMPTIONS'!V99,'P &amp; L ASSUMPTIONS'!AC99)</f>
        <v>4542.7034562667077</v>
      </c>
    </row>
    <row r="36" spans="2:19" ht="15.6" x14ac:dyDescent="0.3">
      <c r="B36" s="42" t="s">
        <v>105</v>
      </c>
      <c r="C36" s="58" t="s">
        <v>113</v>
      </c>
      <c r="D36" s="416">
        <f>D35/D32</f>
        <v>0.21388301620859759</v>
      </c>
      <c r="E36" s="416">
        <f t="shared" ref="E36:H36" si="50">E35/E32</f>
        <v>0.20720978470781776</v>
      </c>
      <c r="F36" s="416">
        <f t="shared" si="50"/>
        <v>0.22357429454712885</v>
      </c>
      <c r="G36" s="416">
        <f t="shared" si="50"/>
        <v>0.24423089937064357</v>
      </c>
      <c r="H36" s="416">
        <f t="shared" si="50"/>
        <v>0.24489094968229436</v>
      </c>
      <c r="I36" s="181"/>
      <c r="K36" s="421">
        <f>K35/K32</f>
        <v>0.24</v>
      </c>
      <c r="L36" s="421">
        <f t="shared" ref="L36:O36" si="51">L35/L32</f>
        <v>0.24</v>
      </c>
      <c r="M36" s="421">
        <f t="shared" si="51"/>
        <v>0.24</v>
      </c>
      <c r="N36" s="421">
        <f t="shared" si="51"/>
        <v>0.24</v>
      </c>
      <c r="O36" s="421">
        <f t="shared" si="51"/>
        <v>0.24</v>
      </c>
    </row>
    <row r="37" spans="2:19" x14ac:dyDescent="0.25">
      <c r="C37" s="53"/>
      <c r="I37" s="181"/>
    </row>
    <row r="38" spans="2:19" ht="15.6" x14ac:dyDescent="0.3">
      <c r="B38" s="51" t="s">
        <v>106</v>
      </c>
      <c r="C38" s="64" t="s">
        <v>112</v>
      </c>
      <c r="D38" s="55">
        <f>D32-D35</f>
        <v>11155</v>
      </c>
      <c r="E38" s="55">
        <f t="shared" ref="E38:H38" si="52">E32-E35</f>
        <v>11084</v>
      </c>
      <c r="F38" s="55">
        <f t="shared" si="52"/>
        <v>11804</v>
      </c>
      <c r="G38" s="55">
        <f t="shared" si="52"/>
        <v>11168</v>
      </c>
      <c r="H38" s="55">
        <f t="shared" si="52"/>
        <v>13191</v>
      </c>
      <c r="I38" s="181"/>
      <c r="K38" s="52">
        <f>K32-K35</f>
        <v>13528.787694399998</v>
      </c>
      <c r="L38" s="52">
        <f t="shared" ref="L38:O38" si="53">L32-L35</f>
        <v>13475.565991560319</v>
      </c>
      <c r="M38" s="52">
        <f t="shared" si="53"/>
        <v>13723.460849747315</v>
      </c>
      <c r="N38" s="52">
        <f t="shared" si="53"/>
        <v>13977.569173076128</v>
      </c>
      <c r="O38" s="52">
        <f t="shared" si="53"/>
        <v>14385.227611511244</v>
      </c>
    </row>
    <row r="39" spans="2:19" ht="15.6" x14ac:dyDescent="0.3">
      <c r="B39" s="468" t="s">
        <v>3248</v>
      </c>
      <c r="C39" s="65" t="s">
        <v>113</v>
      </c>
      <c r="D39" s="417">
        <f>D38/D10</f>
        <v>0.17261121856866538</v>
      </c>
      <c r="E39" s="417">
        <f t="shared" ref="E39:H39" si="54">E38/E10</f>
        <v>0.13584998161539405</v>
      </c>
      <c r="F39" s="417">
        <f t="shared" si="54"/>
        <v>0.1266510015986953</v>
      </c>
      <c r="G39" s="417">
        <f t="shared" si="54"/>
        <v>0.12083310792534488</v>
      </c>
      <c r="H39" s="417">
        <f t="shared" si="54"/>
        <v>0.14188142666609302</v>
      </c>
      <c r="I39" s="181"/>
      <c r="K39" s="422">
        <f t="shared" ref="K39" si="55">K38/K10</f>
        <v>0.1466132839680209</v>
      </c>
      <c r="L39" s="417">
        <f t="shared" ref="L39" si="56">L38/L10</f>
        <v>0.14711756845239041</v>
      </c>
      <c r="M39" s="417">
        <f t="shared" ref="M39" si="57">M38/M10</f>
        <v>0.1480663812403939</v>
      </c>
      <c r="N39" s="417">
        <f t="shared" ref="N39" si="58">N38/N10</f>
        <v>0.14902856288742206</v>
      </c>
      <c r="O39" s="417">
        <f t="shared" ref="O39" si="59">O38/O10</f>
        <v>0.15014537233934094</v>
      </c>
    </row>
    <row r="40" spans="2:19" x14ac:dyDescent="0.25">
      <c r="C40" s="53"/>
      <c r="I40" s="181"/>
    </row>
    <row r="41" spans="2:19" x14ac:dyDescent="0.25">
      <c r="B41" s="40" t="s">
        <v>114</v>
      </c>
      <c r="C41" s="56" t="s">
        <v>112</v>
      </c>
      <c r="D41" s="412">
        <v>1048.8900000000001</v>
      </c>
      <c r="E41" s="413">
        <v>1061.1400000000001</v>
      </c>
      <c r="F41" s="413">
        <v>548.9</v>
      </c>
      <c r="G41" s="413">
        <v>548.21</v>
      </c>
      <c r="H41" s="413">
        <v>566.16999999999996</v>
      </c>
      <c r="I41" s="181"/>
      <c r="K41" s="204">
        <f>CHOOSE($I$1,'PROFIT &amp; LOSS'!$H$41+$H$41*'P &amp; L ASSUMPTIONS'!Y$49,'PROFIT &amp; LOSS'!$H$41+'PROFIT &amp; LOSS'!$H$41*'P &amp; L ASSUMPTIONS'!Y$50,'PROFIT &amp; LOSS'!$H$41+'PROFIT &amp; LOSS'!$H$41*'P &amp; L ASSUMPTIONS'!Y$51)</f>
        <v>583.15509999999995</v>
      </c>
      <c r="L41" s="413">
        <f>CHOOSE($I$1,K$41+K$41*'P &amp; L ASSUMPTIONS'!Z$49,'PROFIT &amp; LOSS'!K$41+'PROFIT &amp; LOSS'!K$41*'P &amp; L ASSUMPTIONS'!Z$50,'PROFIT &amp; LOSS'!K$41+'PROFIT &amp; LOSS'!K$41*'P &amp; L ASSUMPTIONS'!Z$51)</f>
        <v>600.64975299999992</v>
      </c>
      <c r="M41" s="413">
        <f>CHOOSE($I$1,L$41+L$41*'P &amp; L ASSUMPTIONS'!AA$49,'PROFIT &amp; LOSS'!L$41+'PROFIT &amp; LOSS'!L$41*'P &amp; L ASSUMPTIONS'!AA$50,'PROFIT &amp; LOSS'!L$41+'PROFIT &amp; LOSS'!L$41*'P &amp; L ASSUMPTIONS'!AA$51)</f>
        <v>618.66924558999995</v>
      </c>
      <c r="N41" s="413">
        <f>CHOOSE($I$1,M$41+M$41*'P &amp; L ASSUMPTIONS'!AB$49,'PROFIT &amp; LOSS'!M$41+'PROFIT &amp; LOSS'!M$41*'P &amp; L ASSUMPTIONS'!AB$50,'PROFIT &amp; LOSS'!M$41+'PROFIT &amp; LOSS'!M$41*'P &amp; L ASSUMPTIONS'!AB$51)</f>
        <v>637.22932295769999</v>
      </c>
      <c r="O41" s="413">
        <f>CHOOSE($I$1,N$41+N$41*'P &amp; L ASSUMPTIONS'!AC$49,'PROFIT &amp; LOSS'!N$41+'PROFIT &amp; LOSS'!N$41*'P &amp; L ASSUMPTIONS'!AC$50,'PROFIT &amp; LOSS'!N$41+'PROFIT &amp; LOSS'!N$41*'P &amp; L ASSUMPTIONS'!AC$51)</f>
        <v>656.34620264643104</v>
      </c>
      <c r="P41" s="49"/>
      <c r="Q41" s="49"/>
      <c r="R41" s="49"/>
      <c r="S41" s="49"/>
    </row>
    <row r="42" spans="2:19" x14ac:dyDescent="0.25">
      <c r="B42" s="43" t="s">
        <v>107</v>
      </c>
      <c r="C42" s="57" t="s">
        <v>112</v>
      </c>
      <c r="D42" s="63">
        <f>STATEMENTS!C90</f>
        <v>19.07</v>
      </c>
      <c r="E42" s="63">
        <f>STATEMENTS!D90</f>
        <v>22.31</v>
      </c>
      <c r="F42" s="63">
        <f>STATEMENTS!E90</f>
        <v>20.68</v>
      </c>
      <c r="G42" s="63">
        <f>STATEMENTS!F90</f>
        <v>10.41</v>
      </c>
      <c r="H42" s="63">
        <f>STATEMENTS!G90</f>
        <v>12.52</v>
      </c>
      <c r="I42" s="181"/>
      <c r="K42" s="113">
        <f t="shared" ref="K42:O42" si="60">K38/K41</f>
        <v>23.199295855253602</v>
      </c>
      <c r="L42" s="63">
        <f t="shared" si="60"/>
        <v>22.434981325232179</v>
      </c>
      <c r="M42" s="63">
        <f t="shared" si="60"/>
        <v>22.182225716844552</v>
      </c>
      <c r="N42" s="63">
        <f t="shared" si="60"/>
        <v>21.934912078746219</v>
      </c>
      <c r="O42" s="63">
        <f t="shared" si="60"/>
        <v>21.9171339051084</v>
      </c>
    </row>
    <row r="43" spans="2:19" x14ac:dyDescent="0.25">
      <c r="C43" s="53"/>
      <c r="I43" s="181"/>
    </row>
    <row r="44" spans="2:19" x14ac:dyDescent="0.25">
      <c r="B44" s="40" t="s">
        <v>108</v>
      </c>
      <c r="C44" s="56" t="s">
        <v>112</v>
      </c>
      <c r="D44" s="39">
        <f>-STATEMENTS!C119</f>
        <v>546</v>
      </c>
      <c r="E44" s="39">
        <f>-STATEMENTS!D119</f>
        <v>547</v>
      </c>
      <c r="F44" s="39">
        <f>-STATEMENTS!E119</f>
        <v>3281</v>
      </c>
      <c r="G44" s="39">
        <f>-STATEMENTS!F119</f>
        <v>522</v>
      </c>
      <c r="H44" s="39">
        <f>-STATEMENTS!G119</f>
        <v>6275</v>
      </c>
      <c r="I44" s="181"/>
      <c r="K44" s="46">
        <f>K38*K45</f>
        <v>2705.7575388799996</v>
      </c>
      <c r="L44" s="46">
        <f t="shared" ref="L44:O44" si="61">L38*L45</f>
        <v>3368.8914978900798</v>
      </c>
      <c r="M44" s="46">
        <f t="shared" si="61"/>
        <v>4117.038254924194</v>
      </c>
      <c r="N44" s="46">
        <f t="shared" si="61"/>
        <v>4193.2707519228379</v>
      </c>
      <c r="O44" s="46">
        <f t="shared" si="61"/>
        <v>4315.5682834533727</v>
      </c>
    </row>
    <row r="45" spans="2:19" ht="15.6" x14ac:dyDescent="0.3">
      <c r="B45" s="42" t="s">
        <v>109</v>
      </c>
      <c r="C45" s="58" t="s">
        <v>113</v>
      </c>
      <c r="D45" s="416">
        <f>D44/D38</f>
        <v>4.8946660690273418E-2</v>
      </c>
      <c r="E45" s="416">
        <f t="shared" ref="E45:H45" si="62">E44/E38</f>
        <v>4.9350415012630822E-2</v>
      </c>
      <c r="F45" s="416">
        <f t="shared" si="62"/>
        <v>0.27795662487292444</v>
      </c>
      <c r="G45" s="416">
        <f t="shared" si="62"/>
        <v>4.6740687679083091E-2</v>
      </c>
      <c r="H45" s="416">
        <f t="shared" si="62"/>
        <v>0.47570313092259875</v>
      </c>
      <c r="I45" s="181"/>
      <c r="K45" s="421">
        <f>CHOOSE($I$1,'P &amp; L ASSUMPTIONS'!Y$43,'P &amp; L ASSUMPTIONS'!Y$44,'P &amp; L ASSUMPTIONS'!Y$45)</f>
        <v>0.2</v>
      </c>
      <c r="L45" s="421">
        <f>CHOOSE($I$1,'P &amp; L ASSUMPTIONS'!Z$43,'P &amp; L ASSUMPTIONS'!Z$44,'P &amp; L ASSUMPTIONS'!Z$45)</f>
        <v>0.25</v>
      </c>
      <c r="M45" s="421">
        <f>CHOOSE($I$1,'P &amp; L ASSUMPTIONS'!AA$43,'P &amp; L ASSUMPTIONS'!AA$44,'P &amp; L ASSUMPTIONS'!AA$45)</f>
        <v>0.3</v>
      </c>
      <c r="N45" s="421">
        <f>CHOOSE($I$1,'P &amp; L ASSUMPTIONS'!AB$43,'P &amp; L ASSUMPTIONS'!AB$44,'P &amp; L ASSUMPTIONS'!AB$45)</f>
        <v>0.3</v>
      </c>
      <c r="O45" s="421">
        <f>CHOOSE($I$1,'P &amp; L ASSUMPTIONS'!AC$43,'P &amp; L ASSUMPTIONS'!AC$44,'P &amp; L ASSUMPTIONS'!AC$45)</f>
        <v>0.3</v>
      </c>
    </row>
    <row r="46" spans="2:19" x14ac:dyDescent="0.25">
      <c r="C46" s="53"/>
      <c r="I46" s="181"/>
    </row>
    <row r="47" spans="2:19" x14ac:dyDescent="0.25">
      <c r="B47" s="40" t="s">
        <v>110</v>
      </c>
      <c r="C47" s="56" t="s">
        <v>112</v>
      </c>
      <c r="D47" s="39">
        <f>D38-D44</f>
        <v>10609</v>
      </c>
      <c r="E47" s="39">
        <f t="shared" ref="E47:H47" si="63">E38-E44</f>
        <v>10537</v>
      </c>
      <c r="F47" s="39">
        <f t="shared" si="63"/>
        <v>8523</v>
      </c>
      <c r="G47" s="39">
        <f t="shared" si="63"/>
        <v>10646</v>
      </c>
      <c r="H47" s="39">
        <f t="shared" si="63"/>
        <v>6916</v>
      </c>
      <c r="I47" s="181"/>
      <c r="K47" s="46">
        <f>K38-K44</f>
        <v>10823.030155519999</v>
      </c>
      <c r="L47" s="46">
        <f t="shared" ref="L47:O47" si="64">L38-L44</f>
        <v>10106.67449367024</v>
      </c>
      <c r="M47" s="46">
        <f t="shared" si="64"/>
        <v>9606.4225948231215</v>
      </c>
      <c r="N47" s="46">
        <f t="shared" si="64"/>
        <v>9784.2984211532894</v>
      </c>
      <c r="O47" s="46">
        <f t="shared" si="64"/>
        <v>10069.659328057871</v>
      </c>
    </row>
    <row r="48" spans="2:19" ht="15.6" x14ac:dyDescent="0.3">
      <c r="B48" s="42" t="s">
        <v>111</v>
      </c>
      <c r="C48" s="58" t="s">
        <v>113</v>
      </c>
      <c r="D48" s="416">
        <f>D47/D38</f>
        <v>0.95105333930972658</v>
      </c>
      <c r="E48" s="416">
        <f t="shared" ref="E48:H48" si="65">E47/E38</f>
        <v>0.95064958498736918</v>
      </c>
      <c r="F48" s="416">
        <f t="shared" si="65"/>
        <v>0.72204337512707562</v>
      </c>
      <c r="G48" s="416">
        <f t="shared" si="65"/>
        <v>0.95325931232091687</v>
      </c>
      <c r="H48" s="416">
        <f t="shared" si="65"/>
        <v>0.52429686907740125</v>
      </c>
      <c r="I48" s="181"/>
      <c r="K48" s="421">
        <f>K47/K38</f>
        <v>0.8</v>
      </c>
      <c r="L48" s="421">
        <f t="shared" ref="L48:O48" si="66">L47/L38</f>
        <v>0.75</v>
      </c>
      <c r="M48" s="421">
        <f t="shared" si="66"/>
        <v>0.70000000000000007</v>
      </c>
      <c r="N48" s="421">
        <f t="shared" si="66"/>
        <v>0.7</v>
      </c>
      <c r="O48" s="421">
        <f t="shared" si="66"/>
        <v>0.70000000000000007</v>
      </c>
    </row>
    <row r="50" spans="2:15" x14ac:dyDescent="0.25">
      <c r="B50" s="173"/>
      <c r="C50" s="173"/>
      <c r="D50" s="174"/>
      <c r="E50" s="174"/>
      <c r="F50" s="174"/>
      <c r="G50" s="174"/>
      <c r="H50" s="174"/>
      <c r="I50" s="174"/>
      <c r="J50" s="173"/>
      <c r="K50" s="173"/>
      <c r="L50" s="173"/>
      <c r="M50" s="173"/>
      <c r="N50" s="173"/>
      <c r="O50" s="173"/>
    </row>
  </sheetData>
  <mergeCells count="4">
    <mergeCell ref="D1:H2"/>
    <mergeCell ref="K1:O2"/>
    <mergeCell ref="B1:B3"/>
    <mergeCell ref="I1:J2"/>
  </mergeCells>
  <printOptions horizontalCentered="1" verticalCentered="1"/>
  <pageMargins left="0" right="0" top="0" bottom="0" header="0" footer="0"/>
  <pageSetup scale="64" orientation="landscape" horizontalDpi="1200" verticalDpi="1200" r:id="rId1"/>
  <ignoredErrors>
    <ignoredError sqref="E18:H18"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9E26-B040-4F40-9752-F6A9727E40FC}">
  <sheetPr>
    <pageSetUpPr fitToPage="1"/>
  </sheetPr>
  <dimension ref="B1:AJ171"/>
  <sheetViews>
    <sheetView zoomScale="70" zoomScaleNormal="70" workbookViewId="0"/>
  </sheetViews>
  <sheetFormatPr defaultColWidth="15.77734375" defaultRowHeight="15" customHeight="1" x14ac:dyDescent="0.25"/>
  <cols>
    <col min="1" max="1" width="2" style="29" customWidth="1"/>
    <col min="2" max="2" width="44.77734375" style="29" customWidth="1"/>
    <col min="3" max="3" width="8.88671875" style="29" customWidth="1"/>
    <col min="4" max="8" width="15.77734375" style="29"/>
    <col min="9" max="10" width="2" style="29" customWidth="1"/>
    <col min="11" max="15" width="15.77734375" style="29"/>
    <col min="16" max="17" width="2" style="29" customWidth="1"/>
    <col min="18" max="22" width="15.77734375" style="29"/>
    <col min="23" max="24" width="2" style="29" customWidth="1"/>
    <col min="25" max="16384" width="15.77734375" style="29"/>
  </cols>
  <sheetData>
    <row r="1" spans="2:36" ht="15" customHeight="1" x14ac:dyDescent="0.25">
      <c r="B1" s="974" t="s">
        <v>3336</v>
      </c>
      <c r="C1" s="30"/>
      <c r="D1" s="975" t="s">
        <v>3337</v>
      </c>
      <c r="E1" s="975"/>
      <c r="F1" s="975"/>
      <c r="G1" s="975"/>
      <c r="H1" s="975"/>
      <c r="I1" s="66"/>
      <c r="J1" s="66"/>
      <c r="K1" s="975" t="s">
        <v>186</v>
      </c>
      <c r="L1" s="975"/>
      <c r="M1" s="975"/>
      <c r="N1" s="975"/>
      <c r="O1" s="975"/>
      <c r="P1" s="30"/>
      <c r="Q1" s="30"/>
      <c r="R1" s="975" t="s">
        <v>187</v>
      </c>
      <c r="S1" s="975"/>
      <c r="T1" s="975"/>
      <c r="U1" s="975"/>
      <c r="V1" s="975"/>
      <c r="W1" s="30"/>
      <c r="X1" s="30"/>
      <c r="Y1" s="975" t="s">
        <v>188</v>
      </c>
      <c r="Z1" s="975"/>
      <c r="AA1" s="975"/>
      <c r="AB1" s="975"/>
      <c r="AC1" s="975"/>
    </row>
    <row r="2" spans="2:36" ht="15" customHeight="1" x14ac:dyDescent="0.25">
      <c r="B2" s="974"/>
      <c r="C2" s="30"/>
      <c r="D2" s="975"/>
      <c r="E2" s="975"/>
      <c r="F2" s="975"/>
      <c r="G2" s="975"/>
      <c r="H2" s="975"/>
      <c r="I2" s="66"/>
      <c r="J2" s="66"/>
      <c r="K2" s="975"/>
      <c r="L2" s="975"/>
      <c r="M2" s="975"/>
      <c r="N2" s="975"/>
      <c r="O2" s="975"/>
      <c r="P2" s="30"/>
      <c r="Q2" s="30"/>
      <c r="R2" s="975"/>
      <c r="S2" s="975"/>
      <c r="T2" s="975"/>
      <c r="U2" s="975"/>
      <c r="V2" s="975"/>
      <c r="W2" s="30"/>
      <c r="X2" s="30"/>
      <c r="Y2" s="975"/>
      <c r="Z2" s="975"/>
      <c r="AA2" s="975"/>
      <c r="AB2" s="975"/>
      <c r="AC2" s="975"/>
    </row>
    <row r="3" spans="2:36" ht="24.6" x14ac:dyDescent="0.4">
      <c r="B3" s="974"/>
      <c r="C3" s="34" t="s">
        <v>82</v>
      </c>
      <c r="D3" s="35" t="s">
        <v>83</v>
      </c>
      <c r="E3" s="35" t="s">
        <v>84</v>
      </c>
      <c r="F3" s="35" t="s">
        <v>85</v>
      </c>
      <c r="G3" s="35" t="s">
        <v>86</v>
      </c>
      <c r="H3" s="35" t="s">
        <v>87</v>
      </c>
      <c r="I3" s="35"/>
      <c r="J3" s="35"/>
      <c r="K3" s="35" t="s">
        <v>88</v>
      </c>
      <c r="L3" s="35" t="s">
        <v>89</v>
      </c>
      <c r="M3" s="35" t="s">
        <v>90</v>
      </c>
      <c r="N3" s="35" t="s">
        <v>91</v>
      </c>
      <c r="O3" s="35" t="s">
        <v>92</v>
      </c>
      <c r="P3" s="31"/>
      <c r="Q3" s="31"/>
      <c r="R3" s="35" t="s">
        <v>88</v>
      </c>
      <c r="S3" s="35" t="s">
        <v>89</v>
      </c>
      <c r="T3" s="35" t="s">
        <v>90</v>
      </c>
      <c r="U3" s="35" t="s">
        <v>91</v>
      </c>
      <c r="V3" s="35" t="s">
        <v>92</v>
      </c>
      <c r="W3" s="31"/>
      <c r="X3" s="31"/>
      <c r="Y3" s="35" t="s">
        <v>88</v>
      </c>
      <c r="Z3" s="35" t="s">
        <v>89</v>
      </c>
      <c r="AA3" s="35" t="s">
        <v>90</v>
      </c>
      <c r="AB3" s="35" t="s">
        <v>91</v>
      </c>
      <c r="AC3" s="35" t="s">
        <v>92</v>
      </c>
    </row>
    <row r="4" spans="2:36" ht="28.2" x14ac:dyDescent="0.5">
      <c r="B4" s="38" t="s">
        <v>94</v>
      </c>
      <c r="C4" s="33"/>
      <c r="D4" s="36">
        <f>'PROFIT &amp; LOSS'!D4</f>
        <v>44276</v>
      </c>
      <c r="E4" s="36">
        <f>'PROFIT &amp; LOSS'!E4</f>
        <v>44641</v>
      </c>
      <c r="F4" s="36">
        <f>'PROFIT &amp; LOSS'!F4</f>
        <v>45006</v>
      </c>
      <c r="G4" s="36">
        <f>'PROFIT &amp; LOSS'!G4</f>
        <v>45372</v>
      </c>
      <c r="H4" s="36">
        <f>'PROFIT &amp; LOSS'!H4</f>
        <v>45737</v>
      </c>
      <c r="I4" s="67"/>
      <c r="J4" s="67"/>
      <c r="K4" s="68">
        <f>'PROFIT &amp; LOSS'!K4</f>
        <v>46102</v>
      </c>
      <c r="L4" s="68">
        <f>'PROFIT &amp; LOSS'!L4</f>
        <v>46467</v>
      </c>
      <c r="M4" s="68">
        <f>'PROFIT &amp; LOSS'!M4</f>
        <v>46833</v>
      </c>
      <c r="N4" s="68">
        <f>'PROFIT &amp; LOSS'!N4</f>
        <v>47198</v>
      </c>
      <c r="O4" s="68">
        <f>'PROFIT &amp; LOSS'!O4</f>
        <v>47563</v>
      </c>
      <c r="P4" s="504"/>
      <c r="Q4" s="32"/>
      <c r="R4" s="68">
        <f>K$4</f>
        <v>46102</v>
      </c>
      <c r="S4" s="68">
        <f t="shared" ref="S4:V4" si="0">L$4</f>
        <v>46467</v>
      </c>
      <c r="T4" s="68">
        <f t="shared" si="0"/>
        <v>46833</v>
      </c>
      <c r="U4" s="68">
        <f t="shared" si="0"/>
        <v>47198</v>
      </c>
      <c r="V4" s="68">
        <f t="shared" si="0"/>
        <v>47563</v>
      </c>
      <c r="W4" s="504"/>
      <c r="X4" s="32"/>
      <c r="Y4" s="68">
        <f>R$4</f>
        <v>46102</v>
      </c>
      <c r="Z4" s="68">
        <f t="shared" ref="Z4:AC4" si="1">S$4</f>
        <v>46467</v>
      </c>
      <c r="AA4" s="68">
        <f t="shared" si="1"/>
        <v>46833</v>
      </c>
      <c r="AB4" s="68">
        <f t="shared" si="1"/>
        <v>47198</v>
      </c>
      <c r="AC4" s="68">
        <f t="shared" si="1"/>
        <v>47563</v>
      </c>
    </row>
    <row r="5" spans="2:36" ht="15" customHeight="1" x14ac:dyDescent="0.5">
      <c r="B5" s="72"/>
      <c r="D5" s="73"/>
      <c r="E5" s="73"/>
      <c r="F5" s="73"/>
      <c r="G5" s="73"/>
      <c r="H5" s="73"/>
      <c r="I5" s="67"/>
      <c r="J5" s="67"/>
      <c r="K5" s="75"/>
      <c r="L5" s="75"/>
      <c r="M5" s="75"/>
      <c r="N5" s="75"/>
      <c r="O5" s="75"/>
      <c r="P5" s="75"/>
      <c r="R5" s="74"/>
      <c r="S5" s="74"/>
      <c r="T5" s="74"/>
      <c r="U5" s="74"/>
      <c r="V5" s="74"/>
      <c r="W5" s="75"/>
      <c r="X5" s="74"/>
      <c r="Y5" s="74"/>
      <c r="Z5" s="74"/>
      <c r="AA5" s="74"/>
      <c r="AB5" s="74"/>
      <c r="AC5" s="74"/>
    </row>
    <row r="6" spans="2:36" ht="15" customHeight="1" x14ac:dyDescent="0.5">
      <c r="B6" s="986" t="s">
        <v>185</v>
      </c>
      <c r="C6" s="986"/>
      <c r="D6" s="986"/>
      <c r="E6" s="986"/>
      <c r="F6" s="986"/>
      <c r="G6" s="986"/>
      <c r="H6" s="986"/>
      <c r="I6" s="501"/>
      <c r="J6" s="67"/>
      <c r="K6" s="982" t="s">
        <v>3318</v>
      </c>
      <c r="L6" s="982"/>
      <c r="M6" s="982"/>
      <c r="N6" s="982"/>
      <c r="O6" s="982"/>
      <c r="P6" s="505"/>
      <c r="R6" s="982" t="s">
        <v>3320</v>
      </c>
      <c r="S6" s="982"/>
      <c r="T6" s="982"/>
      <c r="U6" s="982"/>
      <c r="V6" s="982"/>
      <c r="W6" s="505"/>
      <c r="X6" s="75"/>
      <c r="Y6" s="982" t="s">
        <v>3319</v>
      </c>
      <c r="Z6" s="982"/>
      <c r="AA6" s="982"/>
      <c r="AB6" s="982"/>
      <c r="AC6" s="982"/>
    </row>
    <row r="7" spans="2:36" ht="15" customHeight="1" x14ac:dyDescent="0.5">
      <c r="B7" s="986"/>
      <c r="C7" s="986"/>
      <c r="D7" s="986"/>
      <c r="E7" s="986"/>
      <c r="F7" s="986"/>
      <c r="G7" s="986"/>
      <c r="H7" s="986"/>
      <c r="I7" s="501"/>
      <c r="K7" s="982"/>
      <c r="L7" s="982"/>
      <c r="M7" s="982"/>
      <c r="N7" s="982"/>
      <c r="O7" s="982"/>
      <c r="P7" s="181"/>
      <c r="R7" s="982"/>
      <c r="S7" s="982"/>
      <c r="T7" s="982"/>
      <c r="U7" s="982"/>
      <c r="V7" s="982"/>
      <c r="W7" s="181"/>
      <c r="Y7" s="982"/>
      <c r="Z7" s="982"/>
      <c r="AA7" s="982"/>
      <c r="AB7" s="982"/>
      <c r="AC7" s="982"/>
    </row>
    <row r="8" spans="2:36" ht="15" customHeight="1" x14ac:dyDescent="0.5">
      <c r="I8" s="501"/>
      <c r="P8" s="181"/>
      <c r="W8" s="181"/>
    </row>
    <row r="9" spans="2:36" ht="15" customHeight="1" x14ac:dyDescent="0.5">
      <c r="B9" s="136" t="s">
        <v>148</v>
      </c>
      <c r="C9" s="137" t="s">
        <v>112</v>
      </c>
      <c r="D9" s="138">
        <f>SUM('DATA SHEET'!I47:I53)</f>
        <v>18395</v>
      </c>
      <c r="E9" s="138">
        <f>D15</f>
        <v>19902</v>
      </c>
      <c r="F9" s="138">
        <f t="shared" ref="F9:H9" si="2">E15</f>
        <v>21461</v>
      </c>
      <c r="G9" s="138">
        <f t="shared" si="2"/>
        <v>22865</v>
      </c>
      <c r="H9" s="138">
        <f t="shared" si="2"/>
        <v>21752</v>
      </c>
      <c r="I9" s="501"/>
      <c r="K9" s="138">
        <f>$H$15</f>
        <v>22523</v>
      </c>
      <c r="L9" s="138">
        <f>K$15</f>
        <v>23082.1158</v>
      </c>
      <c r="M9" s="138">
        <f t="shared" ref="M9:O9" si="3">L$15</f>
        <v>23608.425890999999</v>
      </c>
      <c r="N9" s="138">
        <f t="shared" si="3"/>
        <v>24137.825389695001</v>
      </c>
      <c r="O9" s="138">
        <f t="shared" si="3"/>
        <v>24671.231315563276</v>
      </c>
      <c r="P9" s="181"/>
      <c r="R9" s="138">
        <f>$K$9</f>
        <v>22523</v>
      </c>
      <c r="S9" s="138">
        <f>R15</f>
        <v>22766.023808000002</v>
      </c>
      <c r="T9" s="138">
        <f t="shared" ref="T9:V9" si="4">S15</f>
        <v>22950.426920960002</v>
      </c>
      <c r="U9" s="138">
        <f t="shared" si="4"/>
        <v>23141.864920064003</v>
      </c>
      <c r="V9" s="138">
        <f t="shared" si="4"/>
        <v>23339.785251571717</v>
      </c>
      <c r="W9" s="181"/>
      <c r="Y9" s="138">
        <f>$R$9</f>
        <v>22523</v>
      </c>
      <c r="Z9" s="138">
        <f>Y15</f>
        <v>22515.678759999999</v>
      </c>
      <c r="AA9" s="138">
        <f t="shared" ref="AA9:AC9" si="5">Z15</f>
        <v>22467.151868599998</v>
      </c>
      <c r="AB9" s="138">
        <f t="shared" si="5"/>
        <v>22397.031509089</v>
      </c>
      <c r="AC9" s="138">
        <f t="shared" si="5"/>
        <v>22308.293458276235</v>
      </c>
    </row>
    <row r="10" spans="2:36" ht="15" customHeight="1" x14ac:dyDescent="0.5">
      <c r="B10" s="139" t="s">
        <v>149</v>
      </c>
      <c r="C10" s="140" t="s">
        <v>112</v>
      </c>
      <c r="D10" s="435">
        <v>3277</v>
      </c>
      <c r="E10" s="141">
        <f>('BALANCE SHEET'!E25-'BALANCE SHEET'!D25)+'PROFIT &amp; LOSS'!E24</f>
        <v>3964</v>
      </c>
      <c r="F10" s="141">
        <f>('BALANCE SHEET'!F25-'BALANCE SHEET'!E25)+'PROFIT &amp; LOSS'!F24</f>
        <v>4113</v>
      </c>
      <c r="G10" s="141">
        <f>('BALANCE SHEET'!G25-'BALANCE SHEET'!F25)+'PROFIT &amp; LOSS'!G24</f>
        <v>2586</v>
      </c>
      <c r="H10" s="141">
        <f>('BALANCE SHEET'!H25-'BALANCE SHEET'!G25)+'PROFIT &amp; LOSS'!H24</f>
        <v>3392</v>
      </c>
      <c r="I10" s="501"/>
      <c r="K10" s="141">
        <f>'P &amp; L ASSUMPTIONS'!K22*'BALANCE SHEET ASSUMPTION'!K11</f>
        <v>3149.2608000000005</v>
      </c>
      <c r="L10" s="141">
        <f>'P &amp; L ASSUMPTIONS'!L22*'BALANCE SHEET ASSUMPTION'!L11</f>
        <v>3180.7534080000005</v>
      </c>
      <c r="M10" s="141">
        <f>'P &amp; L ASSUMPTIONS'!M22*'BALANCE SHEET ASSUMPTION'!M11</f>
        <v>3244.3684761600002</v>
      </c>
      <c r="N10" s="141">
        <f>'P &amp; L ASSUMPTIONS'!N22*'BALANCE SHEET ASSUMPTION'!N11</f>
        <v>3309.2558456832003</v>
      </c>
      <c r="O10" s="141">
        <f>'P &amp; L ASSUMPTIONS'!O22*'BALANCE SHEET ASSUMPTION'!O11</f>
        <v>3408.5335210536964</v>
      </c>
      <c r="P10" s="181"/>
      <c r="R10" s="141">
        <f>'P &amp; L ASSUMPTIONS'!R22*'BALANCE SHEET ASSUMPTION'!R11</f>
        <v>2945.7838079999997</v>
      </c>
      <c r="S10" s="141">
        <f>'P &amp; L ASSUMPTIONS'!S22*'BALANCE SHEET ASSUMPTION'!S11</f>
        <v>2916.3259699199998</v>
      </c>
      <c r="T10" s="141">
        <f>'P &amp; L ASSUMPTIONS'!T22*'BALANCE SHEET ASSUMPTION'!T11</f>
        <v>2945.4892296191997</v>
      </c>
      <c r="U10" s="141">
        <f>'P &amp; L ASSUMPTIONS'!U22*'BALANCE SHEET ASSUMPTION'!U11</f>
        <v>2974.9441219153919</v>
      </c>
      <c r="V10" s="141">
        <f>'P &amp; L ASSUMPTIONS'!V22*'BALANCE SHEET ASSUMPTION'!V11</f>
        <v>3034.4430043537</v>
      </c>
      <c r="W10" s="181"/>
      <c r="Y10" s="141">
        <f>'P &amp; L ASSUMPTIONS'!Y22*'BALANCE SHEET ASSUMPTION'!Y11</f>
        <v>2808.0537599999998</v>
      </c>
      <c r="Z10" s="141">
        <f>'P &amp; L ASSUMPTIONS'!Z22*'BALANCE SHEET ASSUMPTION'!Z11</f>
        <v>2765.9329535999996</v>
      </c>
      <c r="AA10" s="141">
        <f>'P &amp; L ASSUMPTIONS'!AA22*'BALANCE SHEET ASSUMPTION'!AA11</f>
        <v>2738.2736240639997</v>
      </c>
      <c r="AB10" s="141">
        <f>'P &amp; L ASSUMPTIONS'!AB22*'BALANCE SHEET ASSUMPTION'!AB11</f>
        <v>2710.8908878233601</v>
      </c>
      <c r="AC10" s="141">
        <f>'P &amp; L ASSUMPTIONS'!AC22*'BALANCE SHEET ASSUMPTION'!AC11</f>
        <v>2737.9997967015938</v>
      </c>
    </row>
    <row r="11" spans="2:36" ht="15" customHeight="1" x14ac:dyDescent="0.5">
      <c r="B11" s="149" t="s">
        <v>3309</v>
      </c>
      <c r="C11" s="454" t="s">
        <v>113</v>
      </c>
      <c r="D11" s="455">
        <f>D10/'PROFIT &amp; LOSS'!D6</f>
        <v>5.2648490593319733E-2</v>
      </c>
      <c r="E11" s="455">
        <f>E10/'PROFIT &amp; LOSS'!E6</f>
        <v>4.9843453331489145E-2</v>
      </c>
      <c r="F11" s="455">
        <f>F10/'PROFIT &amp; LOSS'!F6</f>
        <v>4.5230109418815639E-2</v>
      </c>
      <c r="G11" s="455">
        <f>G10/'PROFIT &amp; LOSS'!G6</f>
        <v>2.8799251620375527E-2</v>
      </c>
      <c r="H11" s="455">
        <f>H10/'PROFIT &amp; LOSS'!H6</f>
        <v>3.8074712643678163E-2</v>
      </c>
      <c r="I11" s="501"/>
      <c r="K11" s="455">
        <f>D72</f>
        <v>3.5000000000000003E-2</v>
      </c>
      <c r="L11" s="455">
        <f t="shared" ref="L11:O11" si="6">E72</f>
        <v>3.5000000000000003E-2</v>
      </c>
      <c r="M11" s="455">
        <f t="shared" si="6"/>
        <v>3.5000000000000003E-2</v>
      </c>
      <c r="N11" s="455">
        <f t="shared" si="6"/>
        <v>3.5000000000000003E-2</v>
      </c>
      <c r="O11" s="455">
        <f t="shared" si="6"/>
        <v>3.5000000000000003E-2</v>
      </c>
      <c r="P11" s="444"/>
      <c r="Q11" s="49"/>
      <c r="R11" s="455">
        <f>D73</f>
        <v>3.3399999999999999E-2</v>
      </c>
      <c r="S11" s="455">
        <f t="shared" ref="S11:V11" si="7">E73</f>
        <v>3.3399999999999999E-2</v>
      </c>
      <c r="T11" s="455">
        <f t="shared" si="7"/>
        <v>3.3399999999999999E-2</v>
      </c>
      <c r="U11" s="455">
        <f t="shared" si="7"/>
        <v>3.3399999999999999E-2</v>
      </c>
      <c r="V11" s="455">
        <f t="shared" si="7"/>
        <v>3.3399999999999999E-2</v>
      </c>
      <c r="W11" s="444"/>
      <c r="X11" s="443"/>
      <c r="Y11" s="455">
        <f>D74</f>
        <v>3.2000000000000001E-2</v>
      </c>
      <c r="Z11" s="455">
        <f t="shared" ref="Z11:AC11" si="8">E74</f>
        <v>3.2000000000000001E-2</v>
      </c>
      <c r="AA11" s="455">
        <f t="shared" si="8"/>
        <v>3.2000000000000001E-2</v>
      </c>
      <c r="AB11" s="455">
        <f t="shared" si="8"/>
        <v>3.2000000000000001E-2</v>
      </c>
      <c r="AC11" s="455">
        <f t="shared" si="8"/>
        <v>3.2000000000000001E-2</v>
      </c>
      <c r="AD11" s="1"/>
      <c r="AE11" s="1"/>
      <c r="AF11" s="1"/>
      <c r="AG11" s="1"/>
      <c r="AH11" s="1"/>
      <c r="AI11" s="1"/>
      <c r="AJ11" s="1"/>
    </row>
    <row r="12" spans="2:36" ht="15" customHeight="1" x14ac:dyDescent="0.5">
      <c r="B12" s="139" t="s">
        <v>150</v>
      </c>
      <c r="C12" s="140" t="s">
        <v>112</v>
      </c>
      <c r="D12" s="141">
        <f>SUM(D9:D10)-D15</f>
        <v>1770</v>
      </c>
      <c r="E12" s="141">
        <f t="shared" ref="E12:H12" si="9">SUM(E9:E10)-E15</f>
        <v>2405</v>
      </c>
      <c r="F12" s="141">
        <f t="shared" si="9"/>
        <v>2709</v>
      </c>
      <c r="G12" s="141">
        <f t="shared" si="9"/>
        <v>3699</v>
      </c>
      <c r="H12" s="426">
        <f t="shared" si="9"/>
        <v>2621</v>
      </c>
      <c r="I12" s="501"/>
      <c r="K12" s="141">
        <f>K9*K13</f>
        <v>2590.145</v>
      </c>
      <c r="L12" s="141">
        <f t="shared" ref="L12:O12" si="10">L9*L13</f>
        <v>2654.4433170000002</v>
      </c>
      <c r="M12" s="141">
        <f t="shared" si="10"/>
        <v>2714.9689774650001</v>
      </c>
      <c r="N12" s="141">
        <f t="shared" si="10"/>
        <v>2775.8499198149252</v>
      </c>
      <c r="O12" s="141">
        <f t="shared" si="10"/>
        <v>2837.1916012897768</v>
      </c>
      <c r="P12" s="181"/>
      <c r="R12" s="141">
        <f t="shared" ref="R12:V12" si="11">R9*R13</f>
        <v>2702.7599999999998</v>
      </c>
      <c r="S12" s="141">
        <f t="shared" si="11"/>
        <v>2731.92285696</v>
      </c>
      <c r="T12" s="141">
        <f t="shared" si="11"/>
        <v>2754.0512305152001</v>
      </c>
      <c r="U12" s="141">
        <f t="shared" si="11"/>
        <v>2777.0237904076803</v>
      </c>
      <c r="V12" s="141">
        <f t="shared" si="11"/>
        <v>2800.774230188606</v>
      </c>
      <c r="W12" s="181"/>
      <c r="Y12" s="141">
        <f t="shared" ref="Y12:AC12" si="12">Y9*Y13</f>
        <v>2815.375</v>
      </c>
      <c r="Z12" s="141">
        <f t="shared" si="12"/>
        <v>2814.4598449999999</v>
      </c>
      <c r="AA12" s="141">
        <f t="shared" si="12"/>
        <v>2808.3939835749998</v>
      </c>
      <c r="AB12" s="141">
        <f t="shared" si="12"/>
        <v>2799.628938636125</v>
      </c>
      <c r="AC12" s="141">
        <f t="shared" si="12"/>
        <v>2788.5366822845294</v>
      </c>
    </row>
    <row r="13" spans="2:36" ht="15" customHeight="1" x14ac:dyDescent="0.5">
      <c r="B13" s="159" t="s">
        <v>3256</v>
      </c>
      <c r="C13" s="493" t="s">
        <v>113</v>
      </c>
      <c r="D13" s="433">
        <f>D12/D9</f>
        <v>9.6221799402011421E-2</v>
      </c>
      <c r="E13" s="433">
        <f t="shared" ref="E13:H13" si="13">E12/E9</f>
        <v>0.12084212641945533</v>
      </c>
      <c r="F13" s="433">
        <f t="shared" si="13"/>
        <v>0.12622897348678999</v>
      </c>
      <c r="G13" s="433">
        <f t="shared" si="13"/>
        <v>0.16177563962387928</v>
      </c>
      <c r="H13" s="433">
        <f t="shared" si="13"/>
        <v>0.12049466715704303</v>
      </c>
      <c r="I13" s="501"/>
      <c r="K13" s="433">
        <f>K72</f>
        <v>0.115</v>
      </c>
      <c r="L13" s="433">
        <f t="shared" ref="L13:O13" si="14">L72</f>
        <v>0.115</v>
      </c>
      <c r="M13" s="433">
        <f t="shared" si="14"/>
        <v>0.115</v>
      </c>
      <c r="N13" s="433">
        <f t="shared" si="14"/>
        <v>0.115</v>
      </c>
      <c r="O13" s="433">
        <f t="shared" si="14"/>
        <v>0.115</v>
      </c>
      <c r="P13" s="503"/>
      <c r="Q13" s="41"/>
      <c r="R13" s="433">
        <f>K73</f>
        <v>0.12</v>
      </c>
      <c r="S13" s="433">
        <f t="shared" ref="S13:V13" si="15">L73</f>
        <v>0.12</v>
      </c>
      <c r="T13" s="433">
        <f t="shared" si="15"/>
        <v>0.12</v>
      </c>
      <c r="U13" s="433">
        <f t="shared" si="15"/>
        <v>0.12</v>
      </c>
      <c r="V13" s="433">
        <f t="shared" si="15"/>
        <v>0.12</v>
      </c>
      <c r="W13" s="503"/>
      <c r="X13" s="41"/>
      <c r="Y13" s="433">
        <f>K74</f>
        <v>0.125</v>
      </c>
      <c r="Z13" s="433">
        <f t="shared" ref="Z13:AC13" si="16">L74</f>
        <v>0.125</v>
      </c>
      <c r="AA13" s="433">
        <f t="shared" si="16"/>
        <v>0.125</v>
      </c>
      <c r="AB13" s="433">
        <f t="shared" si="16"/>
        <v>0.125</v>
      </c>
      <c r="AC13" s="433">
        <f t="shared" si="16"/>
        <v>0.125</v>
      </c>
    </row>
    <row r="14" spans="2:36" ht="15" customHeight="1" x14ac:dyDescent="0.5">
      <c r="B14" s="145"/>
      <c r="C14" s="89"/>
      <c r="D14" s="470"/>
      <c r="E14" s="470"/>
      <c r="F14" s="470"/>
      <c r="G14" s="470"/>
      <c r="H14" s="470"/>
      <c r="I14" s="501"/>
      <c r="K14" s="145"/>
      <c r="L14" s="145"/>
      <c r="M14" s="145"/>
      <c r="N14" s="145"/>
      <c r="O14" s="145"/>
      <c r="P14" s="181"/>
      <c r="R14" s="145"/>
      <c r="S14" s="145"/>
      <c r="T14" s="145"/>
      <c r="U14" s="145"/>
      <c r="V14" s="145"/>
      <c r="W14" s="181"/>
      <c r="Y14" s="145"/>
      <c r="Z14" s="145"/>
      <c r="AA14" s="145"/>
      <c r="AB14" s="145"/>
      <c r="AC14" s="145"/>
    </row>
    <row r="15" spans="2:36" ht="15" customHeight="1" x14ac:dyDescent="0.5">
      <c r="B15" s="136" t="s">
        <v>151</v>
      </c>
      <c r="C15" s="137" t="s">
        <v>112</v>
      </c>
      <c r="D15" s="146">
        <f>D16+D18</f>
        <v>19902</v>
      </c>
      <c r="E15" s="146">
        <f t="shared" ref="E15:H15" si="17">E16+E18</f>
        <v>21461</v>
      </c>
      <c r="F15" s="146">
        <f t="shared" si="17"/>
        <v>22865</v>
      </c>
      <c r="G15" s="146">
        <f t="shared" si="17"/>
        <v>21752</v>
      </c>
      <c r="H15" s="146">
        <f t="shared" si="17"/>
        <v>22523</v>
      </c>
      <c r="I15" s="501"/>
      <c r="K15" s="146">
        <f>K9+K10-K12</f>
        <v>23082.1158</v>
      </c>
      <c r="L15" s="146">
        <f t="shared" ref="L15:O15" si="18">L9+L10-L12</f>
        <v>23608.425890999999</v>
      </c>
      <c r="M15" s="146">
        <f t="shared" si="18"/>
        <v>24137.825389695001</v>
      </c>
      <c r="N15" s="146">
        <f t="shared" si="18"/>
        <v>24671.231315563276</v>
      </c>
      <c r="O15" s="146">
        <f t="shared" si="18"/>
        <v>25242.573235327196</v>
      </c>
      <c r="P15" s="181"/>
      <c r="R15" s="146">
        <f t="shared" ref="R15:V15" si="19">R9+R10-R12</f>
        <v>22766.023808000002</v>
      </c>
      <c r="S15" s="146">
        <f t="shared" si="19"/>
        <v>22950.426920960002</v>
      </c>
      <c r="T15" s="146">
        <f t="shared" si="19"/>
        <v>23141.864920064003</v>
      </c>
      <c r="U15" s="146">
        <f t="shared" si="19"/>
        <v>23339.785251571717</v>
      </c>
      <c r="V15" s="146">
        <f t="shared" si="19"/>
        <v>23573.45402573681</v>
      </c>
      <c r="W15" s="181"/>
      <c r="Y15" s="146">
        <f t="shared" ref="Y15:AC15" si="20">Y9+Y10-Y12</f>
        <v>22515.678759999999</v>
      </c>
      <c r="Z15" s="146">
        <f t="shared" si="20"/>
        <v>22467.151868599998</v>
      </c>
      <c r="AA15" s="146">
        <f t="shared" si="20"/>
        <v>22397.031509089</v>
      </c>
      <c r="AB15" s="146">
        <f t="shared" si="20"/>
        <v>22308.293458276235</v>
      </c>
      <c r="AC15" s="146">
        <f t="shared" si="20"/>
        <v>22257.756572693303</v>
      </c>
    </row>
    <row r="16" spans="2:36" ht="15" customHeight="1" x14ac:dyDescent="0.5">
      <c r="B16" s="142" t="s">
        <v>147</v>
      </c>
      <c r="C16" s="143" t="s">
        <v>112</v>
      </c>
      <c r="D16" s="144">
        <f>'P &amp; L ASSUMPTIONS'!D$75</f>
        <v>13327</v>
      </c>
      <c r="E16" s="144">
        <f>'P &amp; L ASSUMPTIONS'!E$75</f>
        <v>14000</v>
      </c>
      <c r="F16" s="144">
        <f>'P &amp; L ASSUMPTIONS'!F$75</f>
        <v>14631</v>
      </c>
      <c r="G16" s="144">
        <f>'P &amp; L ASSUMPTIONS'!G$75</f>
        <v>14339</v>
      </c>
      <c r="H16" s="144">
        <f>'P &amp; L ASSUMPTIONS'!H$75</f>
        <v>14676</v>
      </c>
      <c r="I16" s="501"/>
      <c r="K16" s="144">
        <f>'P &amp; L ASSUMPTIONS'!K75</f>
        <v>15292.45</v>
      </c>
      <c r="L16" s="144">
        <f>'P &amp; L ASSUMPTIONS'!L75</f>
        <v>14914.566434599998</v>
      </c>
      <c r="M16" s="144">
        <f>'P &amp; L ASSUMPTIONS'!M75</f>
        <v>15230.158686791998</v>
      </c>
      <c r="N16" s="144">
        <f>'P &amp; L ASSUMPTIONS'!N75</f>
        <v>15550.770531850852</v>
      </c>
      <c r="O16" s="144">
        <f>'P &amp; L ASSUMPTIONS'!O75</f>
        <v>16014.683287928328</v>
      </c>
      <c r="P16" s="181"/>
      <c r="R16" s="144">
        <f>'P &amp; L ASSUMPTIONS'!R75</f>
        <v>15179.834999999999</v>
      </c>
      <c r="S16" s="144">
        <f>'P &amp; L ASSUMPTIONS'!S75</f>
        <v>14576.220072368</v>
      </c>
      <c r="T16" s="144">
        <f>'P &amp; L ASSUMPTIONS'!T75</f>
        <v>14699.759157157121</v>
      </c>
      <c r="U16" s="144">
        <f>'P &amp; L ASSUMPTIONS'!U75</f>
        <v>14825.46865261735</v>
      </c>
      <c r="V16" s="144">
        <f>'P &amp; L ASSUMPTIONS'!V75</f>
        <v>15086.927684301329</v>
      </c>
      <c r="W16" s="181"/>
      <c r="Y16" s="144">
        <f>'P &amp; L ASSUMPTIONS'!Y75</f>
        <v>14841.990000000002</v>
      </c>
      <c r="Z16" s="144">
        <f>'P &amp; L ASSUMPTIONS'!Z75</f>
        <v>14598.731850359996</v>
      </c>
      <c r="AA16" s="144">
        <f>'P &amp; L ASSUMPTIONS'!AA75</f>
        <v>14504.127628607202</v>
      </c>
      <c r="AB16" s="144">
        <f>'P &amp; L ASSUMPTIONS'!AB75</f>
        <v>14408.997462460517</v>
      </c>
      <c r="AC16" s="144">
        <f>'P &amp; L ASSUMPTIONS'!AC75</f>
        <v>14583.099113064593</v>
      </c>
    </row>
    <row r="17" spans="2:29" ht="15" customHeight="1" x14ac:dyDescent="0.5">
      <c r="B17" s="145"/>
      <c r="C17" s="89"/>
      <c r="D17" s="145"/>
      <c r="E17" s="145"/>
      <c r="F17" s="145"/>
      <c r="G17" s="145"/>
      <c r="H17" s="145"/>
      <c r="I17" s="501"/>
      <c r="K17" s="145"/>
      <c r="L17" s="145"/>
      <c r="M17" s="145"/>
      <c r="N17" s="145"/>
      <c r="O17" s="145"/>
      <c r="P17" s="181"/>
      <c r="R17" s="145"/>
      <c r="S17" s="145"/>
      <c r="T17" s="145"/>
      <c r="U17" s="145"/>
      <c r="V17" s="145"/>
      <c r="W17" s="181"/>
      <c r="Y17" s="145"/>
      <c r="Z17" s="145"/>
      <c r="AA17" s="145"/>
      <c r="AB17" s="145"/>
      <c r="AC17" s="145"/>
    </row>
    <row r="18" spans="2:29" ht="15" customHeight="1" x14ac:dyDescent="0.5">
      <c r="B18" s="509" t="s">
        <v>152</v>
      </c>
      <c r="C18" s="510" t="s">
        <v>112</v>
      </c>
      <c r="D18" s="511">
        <f>'BALANCE SHEET'!D25</f>
        <v>6575</v>
      </c>
      <c r="E18" s="511">
        <f>'BALANCE SHEET'!E25</f>
        <v>7461</v>
      </c>
      <c r="F18" s="511">
        <f>'BALANCE SHEET'!F25</f>
        <v>8234</v>
      </c>
      <c r="G18" s="511">
        <f>'BALANCE SHEET'!G25</f>
        <v>7413</v>
      </c>
      <c r="H18" s="511">
        <f>'BALANCE SHEET'!H25</f>
        <v>7847</v>
      </c>
      <c r="I18" s="501"/>
      <c r="K18" s="511">
        <f t="shared" ref="K18:O18" si="21">K15-K16</f>
        <v>7789.6657999999989</v>
      </c>
      <c r="L18" s="511">
        <f t="shared" si="21"/>
        <v>8693.8594564000014</v>
      </c>
      <c r="M18" s="511">
        <f t="shared" si="21"/>
        <v>8907.6667029030032</v>
      </c>
      <c r="N18" s="511">
        <f t="shared" si="21"/>
        <v>9120.460783712424</v>
      </c>
      <c r="O18" s="511">
        <f t="shared" si="21"/>
        <v>9227.8899473988677</v>
      </c>
      <c r="P18" s="508"/>
      <c r="Q18" s="272"/>
      <c r="R18" s="511">
        <f t="shared" ref="R18:V18" si="22">R15-R16</f>
        <v>7586.1888080000026</v>
      </c>
      <c r="S18" s="511">
        <f t="shared" si="22"/>
        <v>8374.2068485920026</v>
      </c>
      <c r="T18" s="511">
        <f t="shared" si="22"/>
        <v>8442.1057629068819</v>
      </c>
      <c r="U18" s="511">
        <f t="shared" si="22"/>
        <v>8514.3165989543668</v>
      </c>
      <c r="V18" s="511">
        <f t="shared" si="22"/>
        <v>8486.5263414354813</v>
      </c>
      <c r="W18" s="508"/>
      <c r="X18" s="272"/>
      <c r="Y18" s="511">
        <f t="shared" ref="Y18:AC18" si="23">Y15-Y16</f>
        <v>7673.6887599999973</v>
      </c>
      <c r="Z18" s="511">
        <f t="shared" si="23"/>
        <v>7868.4200182400018</v>
      </c>
      <c r="AA18" s="511">
        <f t="shared" si="23"/>
        <v>7892.9038804817974</v>
      </c>
      <c r="AB18" s="511">
        <f t="shared" si="23"/>
        <v>7899.2959958157189</v>
      </c>
      <c r="AC18" s="511">
        <f t="shared" si="23"/>
        <v>7674.6574596287101</v>
      </c>
    </row>
    <row r="19" spans="2:29" ht="15" customHeight="1" x14ac:dyDescent="0.5">
      <c r="B19" s="145"/>
      <c r="C19" s="145"/>
      <c r="D19" s="469"/>
      <c r="E19" s="469"/>
      <c r="F19" s="469"/>
      <c r="G19" s="469"/>
      <c r="H19" s="469"/>
      <c r="I19" s="501"/>
      <c r="K19" s="145"/>
      <c r="L19" s="145"/>
      <c r="M19" s="145"/>
      <c r="N19" s="145"/>
      <c r="O19" s="145"/>
      <c r="P19" s="181"/>
      <c r="R19" s="145"/>
      <c r="S19" s="145"/>
      <c r="T19" s="145"/>
      <c r="U19" s="145"/>
      <c r="V19" s="145"/>
      <c r="W19" s="181"/>
      <c r="Y19" s="145"/>
      <c r="Z19" s="145"/>
      <c r="AA19" s="145"/>
      <c r="AB19" s="145"/>
      <c r="AC19" s="145"/>
    </row>
    <row r="20" spans="2:29" ht="15" customHeight="1" x14ac:dyDescent="0.5">
      <c r="B20" s="986" t="s">
        <v>3284</v>
      </c>
      <c r="C20" s="986"/>
      <c r="D20" s="986"/>
      <c r="E20" s="986"/>
      <c r="F20" s="986"/>
      <c r="G20" s="986"/>
      <c r="H20" s="986"/>
      <c r="I20" s="501"/>
      <c r="K20" s="989" t="s">
        <v>3321</v>
      </c>
      <c r="L20" s="989"/>
      <c r="M20" s="989"/>
      <c r="N20" s="989"/>
      <c r="O20" s="989"/>
      <c r="P20" s="181"/>
      <c r="R20" s="989" t="s">
        <v>3322</v>
      </c>
      <c r="S20" s="989"/>
      <c r="T20" s="989"/>
      <c r="U20" s="989"/>
      <c r="V20" s="989"/>
      <c r="W20" s="181"/>
      <c r="Y20" s="989" t="s">
        <v>3323</v>
      </c>
      <c r="Z20" s="989"/>
      <c r="AA20" s="989"/>
      <c r="AB20" s="989"/>
      <c r="AC20" s="989"/>
    </row>
    <row r="21" spans="2:29" ht="15" customHeight="1" x14ac:dyDescent="0.5">
      <c r="B21" s="986"/>
      <c r="C21" s="986"/>
      <c r="D21" s="986"/>
      <c r="E21" s="986"/>
      <c r="F21" s="986"/>
      <c r="G21" s="986"/>
      <c r="H21" s="986"/>
      <c r="I21" s="501"/>
      <c r="K21" s="989"/>
      <c r="L21" s="989"/>
      <c r="M21" s="989"/>
      <c r="N21" s="989"/>
      <c r="O21" s="989"/>
      <c r="P21" s="181"/>
      <c r="R21" s="989"/>
      <c r="S21" s="989"/>
      <c r="T21" s="989"/>
      <c r="U21" s="989"/>
      <c r="V21" s="989"/>
      <c r="W21" s="181"/>
      <c r="Y21" s="989"/>
      <c r="Z21" s="989"/>
      <c r="AA21" s="989"/>
      <c r="AB21" s="989"/>
      <c r="AC21" s="989"/>
    </row>
    <row r="22" spans="2:29" ht="15" customHeight="1" x14ac:dyDescent="0.5">
      <c r="B22" s="423"/>
      <c r="C22" s="423"/>
      <c r="D22" s="423"/>
      <c r="E22" s="423"/>
      <c r="F22" s="423"/>
      <c r="G22" s="423"/>
      <c r="H22" s="423"/>
      <c r="I22" s="501"/>
      <c r="K22" s="145"/>
      <c r="L22" s="145"/>
      <c r="M22" s="145"/>
      <c r="N22" s="145"/>
      <c r="O22" s="145"/>
      <c r="P22" s="181"/>
      <c r="R22" s="145"/>
      <c r="S22" s="145"/>
      <c r="T22" s="145"/>
      <c r="U22" s="145"/>
      <c r="V22" s="145"/>
      <c r="W22" s="181"/>
      <c r="Y22" s="145"/>
      <c r="Z22" s="145"/>
      <c r="AA22" s="145"/>
      <c r="AB22" s="145"/>
      <c r="AC22" s="145"/>
    </row>
    <row r="23" spans="2:29" ht="15" customHeight="1" x14ac:dyDescent="0.5">
      <c r="B23" s="427" t="s">
        <v>3157</v>
      </c>
      <c r="C23" s="137" t="s">
        <v>112</v>
      </c>
      <c r="D23" s="138">
        <f>'BALANCE SHEET'!D14</f>
        <v>2712</v>
      </c>
      <c r="E23" s="138">
        <f>'BALANCE SHEET'!E14</f>
        <v>6081</v>
      </c>
      <c r="F23" s="138">
        <f>'BALANCE SHEET'!F14</f>
        <v>6052</v>
      </c>
      <c r="G23" s="138">
        <f>'BALANCE SHEET'!G14</f>
        <v>5835</v>
      </c>
      <c r="H23" s="424">
        <f>'BALANCE SHEET'!H14</f>
        <v>6428</v>
      </c>
      <c r="I23" s="501"/>
      <c r="K23" s="146">
        <f>'P &amp; L ASSUMPTIONS'!K22*'BALANCE SHEET ASSUMPTION'!K24</f>
        <v>5398.7327999999998</v>
      </c>
      <c r="L23" s="146">
        <f>'P &amp; L ASSUMPTIONS'!L22*'BALANCE SHEET ASSUMPTION'!L24</f>
        <v>5452.7201279999999</v>
      </c>
      <c r="M23" s="146">
        <f>'P &amp; L ASSUMPTIONS'!M22*'BALANCE SHEET ASSUMPTION'!M24</f>
        <v>5561.7745305600001</v>
      </c>
      <c r="N23" s="146">
        <f>'P &amp; L ASSUMPTIONS'!N22*'BALANCE SHEET ASSUMPTION'!N24</f>
        <v>5673.0100211711997</v>
      </c>
      <c r="O23" s="430">
        <f>'P &amp; L ASSUMPTIONS'!O22*'BALANCE SHEET ASSUMPTION'!O24</f>
        <v>5843.2003218063364</v>
      </c>
      <c r="P23" s="181"/>
      <c r="R23" s="146">
        <f>'P &amp; L ASSUMPTIONS'!R22*'BALANCE SHEET ASSUMPTION'!R24</f>
        <v>5706.3536639999993</v>
      </c>
      <c r="S23" s="146">
        <f>'P &amp; L ASSUMPTIONS'!S22*'BALANCE SHEET ASSUMPTION'!S24</f>
        <v>5649.2901273599991</v>
      </c>
      <c r="T23" s="146">
        <f>'P &amp; L ASSUMPTIONS'!T22*'BALANCE SHEET ASSUMPTION'!T24</f>
        <v>5705.7830286335993</v>
      </c>
      <c r="U23" s="146">
        <f>'P &amp; L ASSUMPTIONS'!U22*'BALANCE SHEET ASSUMPTION'!U24</f>
        <v>5762.8408589199353</v>
      </c>
      <c r="V23" s="430">
        <f>'P &amp; L ASSUMPTIONS'!V22*'BALANCE SHEET ASSUMPTION'!V24</f>
        <v>5878.097676098334</v>
      </c>
      <c r="W23" s="181"/>
      <c r="Y23" s="146">
        <f>'P &amp; L ASSUMPTIONS'!Y22*'BALANCE SHEET ASSUMPTION'!Y24</f>
        <v>6230.369279999999</v>
      </c>
      <c r="Z23" s="146">
        <f>'P &amp; L ASSUMPTIONS'!Z22*'BALANCE SHEET ASSUMPTION'!Z24</f>
        <v>6136.9137407999988</v>
      </c>
      <c r="AA23" s="146">
        <f>'P &amp; L ASSUMPTIONS'!AA22*'BALANCE SHEET ASSUMPTION'!AA24</f>
        <v>6075.5446033919989</v>
      </c>
      <c r="AB23" s="146">
        <f>'P &amp; L ASSUMPTIONS'!AB22*'BALANCE SHEET ASSUMPTION'!AB24</f>
        <v>6014.7891573580791</v>
      </c>
      <c r="AC23" s="430">
        <f>'P &amp; L ASSUMPTIONS'!AC22*'BALANCE SHEET ASSUMPTION'!AC24</f>
        <v>6074.9370489316607</v>
      </c>
    </row>
    <row r="24" spans="2:29" ht="15" customHeight="1" x14ac:dyDescent="0.45">
      <c r="B24" s="453" t="s">
        <v>3309</v>
      </c>
      <c r="C24" s="454" t="s">
        <v>113</v>
      </c>
      <c r="D24" s="490">
        <f>D23/'PROFIT &amp; LOSS'!D6</f>
        <v>4.3571164628954259E-2</v>
      </c>
      <c r="E24" s="490">
        <f>E23/'PROFIT &amp; LOSS'!E6</f>
        <v>7.6462673993134583E-2</v>
      </c>
      <c r="F24" s="490">
        <f>F23/'PROFIT &amp; LOSS'!F6</f>
        <v>6.6553032385770053E-2</v>
      </c>
      <c r="G24" s="490">
        <f>G23/'PROFIT &amp; LOSS'!G6</f>
        <v>6.4982070071496978E-2</v>
      </c>
      <c r="H24" s="491">
        <f>H23/'PROFIT &amp; LOSS'!H6</f>
        <v>7.2153376436781616E-2</v>
      </c>
      <c r="I24" s="502"/>
      <c r="J24" s="41"/>
      <c r="K24" s="526">
        <v>0.06</v>
      </c>
      <c r="L24" s="526">
        <v>0.06</v>
      </c>
      <c r="M24" s="526">
        <v>0.06</v>
      </c>
      <c r="N24" s="526">
        <v>0.06</v>
      </c>
      <c r="O24" s="527">
        <v>0.06</v>
      </c>
      <c r="P24" s="507"/>
      <c r="Q24" s="460"/>
      <c r="R24" s="526">
        <v>6.4699999999999994E-2</v>
      </c>
      <c r="S24" s="526">
        <v>6.4699999999999994E-2</v>
      </c>
      <c r="T24" s="526">
        <v>6.4699999999999994E-2</v>
      </c>
      <c r="U24" s="526">
        <v>6.4699999999999994E-2</v>
      </c>
      <c r="V24" s="527">
        <v>6.4699999999999994E-2</v>
      </c>
      <c r="W24" s="507"/>
      <c r="X24" s="460"/>
      <c r="Y24" s="526">
        <v>7.0999999999999994E-2</v>
      </c>
      <c r="Z24" s="526">
        <v>7.0999999999999994E-2</v>
      </c>
      <c r="AA24" s="526">
        <v>7.0999999999999994E-2</v>
      </c>
      <c r="AB24" s="526">
        <v>7.0999999999999994E-2</v>
      </c>
      <c r="AC24" s="527">
        <v>7.0999999999999994E-2</v>
      </c>
    </row>
    <row r="25" spans="2:29" ht="15" customHeight="1" x14ac:dyDescent="0.5">
      <c r="B25" s="428"/>
      <c r="C25" s="140"/>
      <c r="D25" s="429"/>
      <c r="E25" s="429"/>
      <c r="F25" s="429"/>
      <c r="G25" s="429"/>
      <c r="H25" s="425"/>
      <c r="I25" s="501"/>
      <c r="K25" s="432"/>
      <c r="L25" s="432"/>
      <c r="M25" s="432"/>
      <c r="N25" s="432"/>
      <c r="O25" s="431"/>
      <c r="P25" s="246"/>
      <c r="Q25" s="49"/>
      <c r="R25" s="432"/>
      <c r="S25" s="432"/>
      <c r="T25" s="432"/>
      <c r="U25" s="432"/>
      <c r="V25" s="431"/>
      <c r="W25" s="246"/>
      <c r="X25" s="49"/>
      <c r="Y25" s="432"/>
      <c r="Z25" s="432"/>
      <c r="AA25" s="432"/>
      <c r="AB25" s="432"/>
      <c r="AC25" s="431"/>
    </row>
    <row r="26" spans="2:29" ht="15" customHeight="1" x14ac:dyDescent="0.5">
      <c r="B26" s="428" t="s">
        <v>3159</v>
      </c>
      <c r="C26" s="140" t="s">
        <v>112</v>
      </c>
      <c r="D26" s="141">
        <f>'BALANCE SHEET'!D16+'BALANCE SHEET'!D32</f>
        <v>1354</v>
      </c>
      <c r="E26" s="141">
        <f>'BALANCE SHEET'!E16+'BALANCE SHEET'!E32</f>
        <v>4899</v>
      </c>
      <c r="F26" s="141">
        <f>'BALANCE SHEET'!F16+'BALANCE SHEET'!F32</f>
        <v>1543</v>
      </c>
      <c r="G26" s="141">
        <f>'BALANCE SHEET'!G16+'BALANCE SHEET'!G32</f>
        <v>1609</v>
      </c>
      <c r="H26" s="141">
        <f>'BALANCE SHEET'!H16+'BALANCE SHEET'!H32</f>
        <v>1311</v>
      </c>
      <c r="I26" s="501"/>
      <c r="K26" s="141">
        <f>K41*K27</f>
        <v>1881.9184</v>
      </c>
      <c r="L26" s="141">
        <f t="shared" ref="L26:O26" si="24">L41*L27</f>
        <v>1904.8546239999998</v>
      </c>
      <c r="M26" s="141">
        <f t="shared" si="24"/>
        <v>1946.4429663999999</v>
      </c>
      <c r="N26" s="141">
        <f t="shared" si="24"/>
        <v>1989.0725506432</v>
      </c>
      <c r="O26" s="141">
        <f t="shared" si="24"/>
        <v>2051.6868034700801</v>
      </c>
      <c r="P26" s="501"/>
      <c r="Q26" s="145"/>
      <c r="R26" s="141">
        <f t="shared" ref="R26" si="25">R41*R27</f>
        <v>1522.54278</v>
      </c>
      <c r="S26" s="141">
        <f t="shared" ref="S26" si="26">S41*S27</f>
        <v>1511.3547702000001</v>
      </c>
      <c r="T26" s="141">
        <f t="shared" ref="T26" si="27">T41*T27</f>
        <v>1529.2945105020001</v>
      </c>
      <c r="U26" s="141">
        <f t="shared" ref="U26" si="28">U41*U27</f>
        <v>1547.5549578370201</v>
      </c>
      <c r="V26" s="141">
        <f t="shared" ref="V26" si="29">V41*V27</f>
        <v>1580.8429649998857</v>
      </c>
      <c r="W26" s="501"/>
      <c r="X26" s="145"/>
      <c r="Y26" s="141">
        <f t="shared" ref="Y26" si="30">Y41*Y27</f>
        <v>1285.07456</v>
      </c>
      <c r="Z26" s="141">
        <f t="shared" ref="Z26" si="31">Z41*Z27</f>
        <v>1268.9087487999998</v>
      </c>
      <c r="AA26" s="141">
        <f t="shared" ref="AA26" si="32">AA41*AA27</f>
        <v>1259.160315392</v>
      </c>
      <c r="AB26" s="141">
        <f t="shared" ref="AB26" si="33">AB41*AB27</f>
        <v>1249.6269924812802</v>
      </c>
      <c r="AC26" s="141">
        <f t="shared" ref="AC26" si="34">AC41*AC27</f>
        <v>1264.0316292778498</v>
      </c>
    </row>
    <row r="27" spans="2:29" ht="15" customHeight="1" x14ac:dyDescent="0.45">
      <c r="B27" s="453" t="s">
        <v>3310</v>
      </c>
      <c r="C27" s="454" t="s">
        <v>113</v>
      </c>
      <c r="D27" s="455">
        <f>D26/D41</f>
        <v>2.0951644100580272E-2</v>
      </c>
      <c r="E27" s="455">
        <f t="shared" ref="E27:H27" si="35">E26/E41</f>
        <v>6.0044123054295871E-2</v>
      </c>
      <c r="F27" s="455">
        <f t="shared" si="35"/>
        <v>1.6555616356047683E-2</v>
      </c>
      <c r="G27" s="455">
        <f t="shared" si="35"/>
        <v>1.7408709764674062E-2</v>
      </c>
      <c r="H27" s="455">
        <f t="shared" si="35"/>
        <v>1.4101019661833671E-2</v>
      </c>
      <c r="I27" s="502"/>
      <c r="J27" s="41"/>
      <c r="K27" s="455">
        <f>Y72</f>
        <v>0.02</v>
      </c>
      <c r="L27" s="455">
        <f t="shared" ref="L27:O27" si="36">Z72</f>
        <v>0.02</v>
      </c>
      <c r="M27" s="455">
        <f t="shared" si="36"/>
        <v>0.02</v>
      </c>
      <c r="N27" s="455">
        <f t="shared" si="36"/>
        <v>0.02</v>
      </c>
      <c r="O27" s="455">
        <f t="shared" si="36"/>
        <v>0.02</v>
      </c>
      <c r="P27" s="506"/>
      <c r="Q27" s="452"/>
      <c r="R27" s="455">
        <f>Y73</f>
        <v>1.6500000000000001E-2</v>
      </c>
      <c r="S27" s="455">
        <f t="shared" ref="S27:V27" si="37">Z73</f>
        <v>1.6500000000000001E-2</v>
      </c>
      <c r="T27" s="455">
        <f t="shared" si="37"/>
        <v>1.6500000000000001E-2</v>
      </c>
      <c r="U27" s="455">
        <f t="shared" si="37"/>
        <v>1.6500000000000001E-2</v>
      </c>
      <c r="V27" s="455">
        <f t="shared" si="37"/>
        <v>1.6500000000000001E-2</v>
      </c>
      <c r="W27" s="506"/>
      <c r="X27" s="452"/>
      <c r="Y27" s="455">
        <f>Y74</f>
        <v>1.4E-2</v>
      </c>
      <c r="Z27" s="455">
        <f t="shared" ref="Z27:AC27" si="38">Z74</f>
        <v>1.4E-2</v>
      </c>
      <c r="AA27" s="455">
        <f t="shared" si="38"/>
        <v>1.4E-2</v>
      </c>
      <c r="AB27" s="455">
        <f t="shared" si="38"/>
        <v>1.4E-2</v>
      </c>
      <c r="AC27" s="455">
        <f t="shared" si="38"/>
        <v>1.4E-2</v>
      </c>
    </row>
    <row r="28" spans="2:29" ht="15" customHeight="1" x14ac:dyDescent="0.5">
      <c r="B28" s="446" t="s">
        <v>3277</v>
      </c>
      <c r="C28" s="447" t="s">
        <v>112</v>
      </c>
      <c r="D28" s="448">
        <f>'BALANCE SHEET'!D16</f>
        <v>745</v>
      </c>
      <c r="E28" s="448">
        <f>'BALANCE SHEET'!E16</f>
        <v>4291</v>
      </c>
      <c r="F28" s="448">
        <f>'BALANCE SHEET'!F16</f>
        <v>910</v>
      </c>
      <c r="G28" s="448">
        <f>'BALANCE SHEET'!G16</f>
        <v>1054</v>
      </c>
      <c r="H28" s="448">
        <f>'BALANCE SHEET'!H16</f>
        <v>845</v>
      </c>
      <c r="I28" s="501"/>
      <c r="K28" s="448">
        <f>K26*K29</f>
        <v>1129.15104</v>
      </c>
      <c r="L28" s="448">
        <f t="shared" ref="L28:O28" si="39">L26*L29</f>
        <v>1142.9127743999998</v>
      </c>
      <c r="M28" s="448">
        <f t="shared" si="39"/>
        <v>1167.86577984</v>
      </c>
      <c r="N28" s="448">
        <f t="shared" si="39"/>
        <v>1193.44353038592</v>
      </c>
      <c r="O28" s="448">
        <f t="shared" si="39"/>
        <v>1231.012082082048</v>
      </c>
      <c r="P28" s="501"/>
      <c r="Q28" s="145"/>
      <c r="R28" s="448">
        <f t="shared" ref="R28" si="40">R26*R29</f>
        <v>989.65280700000005</v>
      </c>
      <c r="S28" s="448">
        <f t="shared" ref="S28" si="41">S26*S29</f>
        <v>982.38060063000012</v>
      </c>
      <c r="T28" s="448">
        <f t="shared" ref="T28" si="42">T26*T29</f>
        <v>994.04143182630014</v>
      </c>
      <c r="U28" s="448">
        <f t="shared" ref="U28" si="43">U26*U29</f>
        <v>1005.9107225940631</v>
      </c>
      <c r="V28" s="448">
        <f t="shared" ref="V28" si="44">V26*V29</f>
        <v>1027.5479272499258</v>
      </c>
      <c r="W28" s="501"/>
      <c r="X28" s="145"/>
      <c r="Y28" s="448">
        <f t="shared" ref="Y28" si="45">Y26*Y29</f>
        <v>899.55219199999999</v>
      </c>
      <c r="Z28" s="448">
        <f t="shared" ref="Z28" si="46">Z26*Z29</f>
        <v>888.2361241599998</v>
      </c>
      <c r="AA28" s="448">
        <f t="shared" ref="AA28" si="47">AA26*AA29</f>
        <v>881.4122207744</v>
      </c>
      <c r="AB28" s="448">
        <f t="shared" ref="AB28" si="48">AB26*AB29</f>
        <v>874.7388947368961</v>
      </c>
      <c r="AC28" s="448">
        <f t="shared" ref="AC28" si="49">AC26*AC29</f>
        <v>884.82214049449476</v>
      </c>
    </row>
    <row r="29" spans="2:29" ht="15" customHeight="1" x14ac:dyDescent="0.45">
      <c r="B29" s="449" t="s">
        <v>3278</v>
      </c>
      <c r="C29" s="450" t="s">
        <v>113</v>
      </c>
      <c r="D29" s="451">
        <f>D28/D26</f>
        <v>0.55022156573116687</v>
      </c>
      <c r="E29" s="451">
        <f t="shared" ref="E29:H29" si="50">E28/E26</f>
        <v>0.8758930393957951</v>
      </c>
      <c r="F29" s="451">
        <f t="shared" si="50"/>
        <v>0.58976020738820478</v>
      </c>
      <c r="G29" s="451">
        <f t="shared" si="50"/>
        <v>0.65506525792417647</v>
      </c>
      <c r="H29" s="451">
        <f t="shared" si="50"/>
        <v>0.64454614797864229</v>
      </c>
      <c r="I29" s="502"/>
      <c r="J29" s="41"/>
      <c r="K29" s="451">
        <f>100%-K31</f>
        <v>0.6</v>
      </c>
      <c r="L29" s="451">
        <f t="shared" ref="L29:O29" si="51">100%-L31</f>
        <v>0.6</v>
      </c>
      <c r="M29" s="451">
        <f t="shared" si="51"/>
        <v>0.6</v>
      </c>
      <c r="N29" s="451">
        <f t="shared" si="51"/>
        <v>0.6</v>
      </c>
      <c r="O29" s="451">
        <f t="shared" si="51"/>
        <v>0.6</v>
      </c>
      <c r="P29" s="506"/>
      <c r="Q29" s="452"/>
      <c r="R29" s="451">
        <f t="shared" ref="R29:V29" si="52">100%-R31</f>
        <v>0.65</v>
      </c>
      <c r="S29" s="451">
        <f t="shared" si="52"/>
        <v>0.65</v>
      </c>
      <c r="T29" s="451">
        <f t="shared" si="52"/>
        <v>0.65</v>
      </c>
      <c r="U29" s="451">
        <f t="shared" si="52"/>
        <v>0.65</v>
      </c>
      <c r="V29" s="451">
        <f t="shared" si="52"/>
        <v>0.65</v>
      </c>
      <c r="W29" s="506"/>
      <c r="X29" s="452"/>
      <c r="Y29" s="451">
        <f t="shared" ref="Y29:AC29" si="53">100%-Y31</f>
        <v>0.7</v>
      </c>
      <c r="Z29" s="451">
        <f t="shared" si="53"/>
        <v>0.7</v>
      </c>
      <c r="AA29" s="451">
        <f t="shared" si="53"/>
        <v>0.7</v>
      </c>
      <c r="AB29" s="451">
        <f t="shared" si="53"/>
        <v>0.7</v>
      </c>
      <c r="AC29" s="451">
        <f t="shared" si="53"/>
        <v>0.7</v>
      </c>
    </row>
    <row r="30" spans="2:29" ht="15" customHeight="1" x14ac:dyDescent="0.5">
      <c r="B30" s="446" t="s">
        <v>3279</v>
      </c>
      <c r="C30" s="447" t="s">
        <v>112</v>
      </c>
      <c r="D30" s="448">
        <f>'BALANCE SHEET'!D32</f>
        <v>609</v>
      </c>
      <c r="E30" s="448">
        <f>'BALANCE SHEET'!E32</f>
        <v>608</v>
      </c>
      <c r="F30" s="448">
        <f>'BALANCE SHEET'!F32</f>
        <v>633</v>
      </c>
      <c r="G30" s="448">
        <f>'BALANCE SHEET'!G32</f>
        <v>555</v>
      </c>
      <c r="H30" s="448">
        <f>'BALANCE SHEET'!H32</f>
        <v>466</v>
      </c>
      <c r="I30" s="501"/>
      <c r="K30" s="448">
        <f>K26*K31</f>
        <v>752.76736000000005</v>
      </c>
      <c r="L30" s="448">
        <f t="shared" ref="L30:O30" si="54">L26*L31</f>
        <v>761.94184959999995</v>
      </c>
      <c r="M30" s="448">
        <f t="shared" si="54"/>
        <v>778.57718655999997</v>
      </c>
      <c r="N30" s="448">
        <f t="shared" si="54"/>
        <v>795.62902025727999</v>
      </c>
      <c r="O30" s="448">
        <f t="shared" si="54"/>
        <v>820.67472138803214</v>
      </c>
      <c r="P30" s="501"/>
      <c r="Q30" s="145"/>
      <c r="R30" s="448">
        <f t="shared" ref="R30" si="55">R26*R31</f>
        <v>532.88997299999994</v>
      </c>
      <c r="S30" s="448">
        <f t="shared" ref="S30" si="56">S26*S31</f>
        <v>528.97416956999996</v>
      </c>
      <c r="T30" s="448">
        <f t="shared" ref="T30" si="57">T26*T31</f>
        <v>535.25307867569995</v>
      </c>
      <c r="U30" s="448">
        <f t="shared" ref="U30" si="58">U26*U31</f>
        <v>541.64423524295694</v>
      </c>
      <c r="V30" s="448">
        <f t="shared" ref="V30" si="59">V26*V31</f>
        <v>553.29503774995999</v>
      </c>
      <c r="W30" s="501"/>
      <c r="X30" s="145"/>
      <c r="Y30" s="448">
        <f t="shared" ref="Y30" si="60">Y26*Y31</f>
        <v>385.52236799999997</v>
      </c>
      <c r="Z30" s="448">
        <f t="shared" ref="Z30" si="61">Z26*Z31</f>
        <v>380.67262463999992</v>
      </c>
      <c r="AA30" s="448">
        <f t="shared" ref="AA30" si="62">AA26*AA31</f>
        <v>377.74809461759997</v>
      </c>
      <c r="AB30" s="448">
        <f t="shared" ref="AB30" si="63">AB26*AB31</f>
        <v>374.88809774438408</v>
      </c>
      <c r="AC30" s="448">
        <f t="shared" ref="AC30" si="64">AC26*AC31</f>
        <v>379.20948878335491</v>
      </c>
    </row>
    <row r="31" spans="2:29" ht="15" customHeight="1" x14ac:dyDescent="0.45">
      <c r="B31" s="449" t="s">
        <v>3278</v>
      </c>
      <c r="C31" s="450" t="s">
        <v>113</v>
      </c>
      <c r="D31" s="451">
        <f>D30/D26</f>
        <v>0.44977843426883307</v>
      </c>
      <c r="E31" s="451">
        <f t="shared" ref="E31:H31" si="65">E30/E26</f>
        <v>0.12410696060420494</v>
      </c>
      <c r="F31" s="451">
        <f t="shared" si="65"/>
        <v>0.41023979261179522</v>
      </c>
      <c r="G31" s="451">
        <f t="shared" si="65"/>
        <v>0.34493474207582348</v>
      </c>
      <c r="H31" s="451">
        <f t="shared" si="65"/>
        <v>0.35545385202135776</v>
      </c>
      <c r="I31" s="502"/>
      <c r="J31" s="41"/>
      <c r="K31" s="523">
        <v>0.4</v>
      </c>
      <c r="L31" s="523">
        <v>0.4</v>
      </c>
      <c r="M31" s="523">
        <v>0.4</v>
      </c>
      <c r="N31" s="523">
        <v>0.4</v>
      </c>
      <c r="O31" s="523">
        <v>0.4</v>
      </c>
      <c r="P31" s="524"/>
      <c r="Q31" s="525"/>
      <c r="R31" s="523">
        <v>0.35</v>
      </c>
      <c r="S31" s="523">
        <v>0.35</v>
      </c>
      <c r="T31" s="523">
        <v>0.35</v>
      </c>
      <c r="U31" s="523">
        <v>0.35</v>
      </c>
      <c r="V31" s="523">
        <v>0.35</v>
      </c>
      <c r="W31" s="524"/>
      <c r="X31" s="525"/>
      <c r="Y31" s="523">
        <v>0.3</v>
      </c>
      <c r="Z31" s="523">
        <v>0.3</v>
      </c>
      <c r="AA31" s="523">
        <v>0.3</v>
      </c>
      <c r="AB31" s="523">
        <v>0.3</v>
      </c>
      <c r="AC31" s="523">
        <v>0.3</v>
      </c>
    </row>
    <row r="32" spans="2:29" ht="15" customHeight="1" x14ac:dyDescent="0.5">
      <c r="B32" s="428"/>
      <c r="C32" s="140"/>
      <c r="D32" s="141"/>
      <c r="E32" s="141"/>
      <c r="F32" s="141"/>
      <c r="G32" s="141"/>
      <c r="H32" s="426"/>
      <c r="I32" s="501"/>
      <c r="K32" s="141"/>
      <c r="L32" s="141"/>
      <c r="M32" s="141"/>
      <c r="N32" s="141"/>
      <c r="O32" s="426"/>
      <c r="P32" s="501"/>
      <c r="Q32" s="145"/>
      <c r="R32" s="141"/>
      <c r="S32" s="141"/>
      <c r="T32" s="141"/>
      <c r="U32" s="141"/>
      <c r="V32" s="426"/>
      <c r="W32" s="501"/>
      <c r="X32" s="145"/>
      <c r="Y32" s="141"/>
      <c r="Z32" s="141"/>
      <c r="AA32" s="141"/>
      <c r="AB32" s="141"/>
      <c r="AC32" s="426"/>
    </row>
    <row r="33" spans="2:29" ht="15" customHeight="1" x14ac:dyDescent="0.5">
      <c r="B33" s="428" t="s">
        <v>3160</v>
      </c>
      <c r="C33" s="140" t="s">
        <v>112</v>
      </c>
      <c r="D33" s="141">
        <f>'BALANCE SHEET'!D17</f>
        <v>246</v>
      </c>
      <c r="E33" s="141">
        <f>'BALANCE SHEET'!E17</f>
        <v>237</v>
      </c>
      <c r="F33" s="141">
        <f>'BALANCE SHEET'!F17</f>
        <v>509</v>
      </c>
      <c r="G33" s="141">
        <f>'BALANCE SHEET'!G17</f>
        <v>648</v>
      </c>
      <c r="H33" s="426">
        <f>'BALANCE SHEET'!H17</f>
        <v>642</v>
      </c>
      <c r="I33" s="501"/>
      <c r="K33" s="141">
        <f>R$33+50</f>
        <v>650</v>
      </c>
      <c r="L33" s="141">
        <f>S$33+50</f>
        <v>680</v>
      </c>
      <c r="M33" s="141">
        <f t="shared" ref="M33:O33" si="66">T$33+50</f>
        <v>710</v>
      </c>
      <c r="N33" s="141">
        <f t="shared" si="66"/>
        <v>740</v>
      </c>
      <c r="O33" s="141">
        <f t="shared" si="66"/>
        <v>770</v>
      </c>
      <c r="P33" s="501"/>
      <c r="Q33" s="145"/>
      <c r="R33" s="141">
        <v>600</v>
      </c>
      <c r="S33" s="141">
        <f>R33+30</f>
        <v>630</v>
      </c>
      <c r="T33" s="141">
        <f t="shared" ref="T33:V33" si="67">S33+30</f>
        <v>660</v>
      </c>
      <c r="U33" s="141">
        <f t="shared" si="67"/>
        <v>690</v>
      </c>
      <c r="V33" s="426">
        <f t="shared" si="67"/>
        <v>720</v>
      </c>
      <c r="W33" s="501"/>
      <c r="X33" s="145"/>
      <c r="Y33" s="141">
        <f>R33+10</f>
        <v>610</v>
      </c>
      <c r="Z33" s="141">
        <f>Y33+10</f>
        <v>620</v>
      </c>
      <c r="AA33" s="141">
        <f t="shared" ref="AA33:AC33" si="68">Z33+10</f>
        <v>630</v>
      </c>
      <c r="AB33" s="141">
        <f t="shared" si="68"/>
        <v>640</v>
      </c>
      <c r="AC33" s="141">
        <f t="shared" si="68"/>
        <v>650</v>
      </c>
    </row>
    <row r="34" spans="2:29" ht="15" customHeight="1" x14ac:dyDescent="0.5">
      <c r="B34" s="428"/>
      <c r="C34" s="140"/>
      <c r="D34" s="141"/>
      <c r="E34" s="141"/>
      <c r="F34" s="141"/>
      <c r="G34" s="141"/>
      <c r="H34" s="426"/>
      <c r="I34" s="501"/>
      <c r="K34" s="141"/>
      <c r="L34" s="141"/>
      <c r="M34" s="141"/>
      <c r="N34" s="141"/>
      <c r="O34" s="426"/>
      <c r="P34" s="501"/>
      <c r="Q34" s="145"/>
      <c r="R34" s="141"/>
      <c r="S34" s="141"/>
      <c r="T34" s="141"/>
      <c r="U34" s="141"/>
      <c r="V34" s="426"/>
      <c r="W34" s="501"/>
      <c r="X34" s="145"/>
      <c r="Y34" s="141"/>
      <c r="Z34" s="141"/>
      <c r="AA34" s="141"/>
      <c r="AB34" s="141"/>
      <c r="AC34" s="426"/>
    </row>
    <row r="35" spans="2:29" ht="15" customHeight="1" x14ac:dyDescent="0.5">
      <c r="B35" s="428" t="s">
        <v>3161</v>
      </c>
      <c r="C35" s="140" t="s">
        <v>112</v>
      </c>
      <c r="D35" s="141">
        <f>'BALANCE SHEET'!D18</f>
        <v>1651</v>
      </c>
      <c r="E35" s="141">
        <f>'BALANCE SHEET'!E18</f>
        <v>2065</v>
      </c>
      <c r="F35" s="141">
        <f>'BALANCE SHEET'!F18</f>
        <v>2300</v>
      </c>
      <c r="G35" s="141">
        <f>'BALANCE SHEET'!G18</f>
        <v>1985</v>
      </c>
      <c r="H35" s="426">
        <f>'BALANCE SHEET'!H18</f>
        <v>1580</v>
      </c>
      <c r="I35" s="501"/>
      <c r="K35" s="141">
        <f>'P &amp; L ASSUMPTIONS'!K22*'BALANCE SHEET ASSUMPTION'!K36</f>
        <v>1801.8209686200444</v>
      </c>
      <c r="L35" s="141">
        <f>'P &amp; L ASSUMPTIONS'!L22*'BALANCE SHEET ASSUMPTION'!L36</f>
        <v>1819.8391783062448</v>
      </c>
      <c r="M35" s="141">
        <f>'P &amp; L ASSUMPTIONS'!M22*'BALANCE SHEET ASSUMPTION'!M36</f>
        <v>1856.2359618723697</v>
      </c>
      <c r="N35" s="141">
        <f>'P &amp; L ASSUMPTIONS'!N22*'BALANCE SHEET ASSUMPTION'!N36</f>
        <v>1893.3606811098171</v>
      </c>
      <c r="O35" s="426">
        <f>'P &amp; L ASSUMPTIONS'!O22*'BALANCE SHEET ASSUMPTION'!O36</f>
        <v>1950.1615015431116</v>
      </c>
      <c r="P35" s="501"/>
      <c r="Q35" s="145"/>
      <c r="R35" s="141">
        <f>'P &amp; L ASSUMPTIONS'!R22*'BALANCE SHEET ASSUMPTION'!R36</f>
        <v>2074.8312654790534</v>
      </c>
      <c r="S35" s="141">
        <f>'P &amp; L ASSUMPTIONS'!S22*'BALANCE SHEET ASSUMPTION'!S36</f>
        <v>2054.0829528242625</v>
      </c>
      <c r="T35" s="141">
        <f>'P &amp; L ASSUMPTIONS'!T22*'BALANCE SHEET ASSUMPTION'!T36</f>
        <v>2074.6237823525053</v>
      </c>
      <c r="U35" s="141">
        <f>'P &amp; L ASSUMPTIONS'!U22*'BALANCE SHEET ASSUMPTION'!U36</f>
        <v>2095.3700201760307</v>
      </c>
      <c r="V35" s="426">
        <f>'P &amp; L ASSUMPTIONS'!V22*'BALANCE SHEET ASSUMPTION'!V36</f>
        <v>2137.2774205795513</v>
      </c>
      <c r="W35" s="501"/>
      <c r="X35" s="145"/>
      <c r="Y35" s="141">
        <f>'P &amp; L ASSUMPTIONS'!Y22*'BALANCE SHEET ASSUMPTION'!Y36</f>
        <v>2371.4831996938055</v>
      </c>
      <c r="Z35" s="141">
        <f>'P &amp; L ASSUMPTIONS'!Z22*'BALANCE SHEET ASSUMPTION'!Z36</f>
        <v>2335.9109516983981</v>
      </c>
      <c r="AA35" s="141">
        <f>'P &amp; L ASSUMPTIONS'!AA22*'BALANCE SHEET ASSUMPTION'!AA36</f>
        <v>2312.5518421814145</v>
      </c>
      <c r="AB35" s="141">
        <f>'P &amp; L ASSUMPTIONS'!AB22*'BALANCE SHEET ASSUMPTION'!AB36</f>
        <v>2289.4263237596006</v>
      </c>
      <c r="AC35" s="426">
        <f>'P &amp; L ASSUMPTIONS'!AC22*'BALANCE SHEET ASSUMPTION'!AC36</f>
        <v>2312.3205869971966</v>
      </c>
    </row>
    <row r="36" spans="2:29" ht="15" customHeight="1" x14ac:dyDescent="0.45">
      <c r="B36" s="492" t="s">
        <v>3309</v>
      </c>
      <c r="C36" s="493" t="s">
        <v>113</v>
      </c>
      <c r="D36" s="433">
        <f>D35/'PROFIT &amp; LOSS'!D6</f>
        <v>2.6525071092331667E-2</v>
      </c>
      <c r="E36" s="433">
        <f>E35/'PROFIT &amp; LOSS'!E6</f>
        <v>2.5965371122483621E-2</v>
      </c>
      <c r="F36" s="433">
        <f>F35/'PROFIT &amp; LOSS'!F6</f>
        <v>2.5292791554406995E-2</v>
      </c>
      <c r="G36" s="433">
        <f>G35/'PROFIT &amp; LOSS'!G6</f>
        <v>2.2106154086019111E-2</v>
      </c>
      <c r="H36" s="494">
        <f>H35/'PROFIT &amp; LOSS'!H6</f>
        <v>1.7735272988505746E-2</v>
      </c>
      <c r="I36" s="502"/>
      <c r="J36" s="41"/>
      <c r="K36" s="433">
        <f>R$36-0.35%</f>
        <v>2.0024932168749426E-2</v>
      </c>
      <c r="L36" s="433">
        <f t="shared" ref="L36:O36" si="69">S$36-0.35%</f>
        <v>2.0024932168749426E-2</v>
      </c>
      <c r="M36" s="433">
        <f t="shared" si="69"/>
        <v>2.0024932168749426E-2</v>
      </c>
      <c r="N36" s="433">
        <f t="shared" si="69"/>
        <v>2.0024932168749426E-2</v>
      </c>
      <c r="O36" s="494">
        <f t="shared" si="69"/>
        <v>2.0024932168749426E-2</v>
      </c>
      <c r="P36" s="506"/>
      <c r="Q36" s="452"/>
      <c r="R36" s="433">
        <f>AVERAGE(D36:H36)</f>
        <v>2.3524932168749426E-2</v>
      </c>
      <c r="S36" s="433">
        <f>$R$36</f>
        <v>2.3524932168749426E-2</v>
      </c>
      <c r="T36" s="433">
        <f t="shared" ref="T36:V36" si="70">$R$36</f>
        <v>2.3524932168749426E-2</v>
      </c>
      <c r="U36" s="433">
        <f t="shared" si="70"/>
        <v>2.3524932168749426E-2</v>
      </c>
      <c r="V36" s="494">
        <f t="shared" si="70"/>
        <v>2.3524932168749426E-2</v>
      </c>
      <c r="W36" s="506"/>
      <c r="X36" s="452"/>
      <c r="Y36" s="433">
        <f>R$36+0.35%</f>
        <v>2.7024932168749426E-2</v>
      </c>
      <c r="Z36" s="433">
        <f t="shared" ref="Z36:AC36" si="71">S$36+0.35%</f>
        <v>2.7024932168749426E-2</v>
      </c>
      <c r="AA36" s="433">
        <f t="shared" si="71"/>
        <v>2.7024932168749426E-2</v>
      </c>
      <c r="AB36" s="433">
        <f t="shared" si="71"/>
        <v>2.7024932168749426E-2</v>
      </c>
      <c r="AC36" s="494">
        <f t="shared" si="71"/>
        <v>2.7024932168749426E-2</v>
      </c>
    </row>
    <row r="37" spans="2:29" ht="15" customHeight="1" x14ac:dyDescent="0.5">
      <c r="B37" s="145"/>
      <c r="C37" s="145"/>
      <c r="D37" s="145"/>
      <c r="E37" s="145"/>
      <c r="F37" s="145"/>
      <c r="G37" s="145"/>
      <c r="H37" s="145"/>
      <c r="I37" s="501"/>
      <c r="P37" s="181"/>
      <c r="W37" s="181"/>
    </row>
    <row r="38" spans="2:29" ht="15" customHeight="1" x14ac:dyDescent="0.5">
      <c r="B38" s="986" t="s">
        <v>221</v>
      </c>
      <c r="C38" s="986"/>
      <c r="D38" s="986"/>
      <c r="E38" s="986"/>
      <c r="F38" s="986"/>
      <c r="G38" s="986"/>
      <c r="H38" s="986"/>
      <c r="I38" s="501"/>
      <c r="K38" s="982" t="s">
        <v>223</v>
      </c>
      <c r="L38" s="982"/>
      <c r="M38" s="982"/>
      <c r="N38" s="982"/>
      <c r="O38" s="982"/>
      <c r="P38" s="181"/>
      <c r="R38" s="982" t="s">
        <v>224</v>
      </c>
      <c r="S38" s="982"/>
      <c r="T38" s="982"/>
      <c r="U38" s="982"/>
      <c r="V38" s="982"/>
      <c r="W38" s="181"/>
      <c r="Y38" s="982" t="s">
        <v>225</v>
      </c>
      <c r="Z38" s="982"/>
      <c r="AA38" s="982"/>
      <c r="AB38" s="982"/>
      <c r="AC38" s="982"/>
    </row>
    <row r="39" spans="2:29" ht="15" customHeight="1" x14ac:dyDescent="0.5">
      <c r="B39" s="986"/>
      <c r="C39" s="986"/>
      <c r="D39" s="986"/>
      <c r="E39" s="986"/>
      <c r="F39" s="986"/>
      <c r="G39" s="986"/>
      <c r="H39" s="986"/>
      <c r="I39" s="501"/>
      <c r="K39" s="982"/>
      <c r="L39" s="982"/>
      <c r="M39" s="982"/>
      <c r="N39" s="982"/>
      <c r="O39" s="982"/>
      <c r="P39" s="181"/>
      <c r="R39" s="982"/>
      <c r="S39" s="982"/>
      <c r="T39" s="982"/>
      <c r="U39" s="982"/>
      <c r="V39" s="982"/>
      <c r="W39" s="181"/>
      <c r="Y39" s="982"/>
      <c r="Z39" s="982"/>
      <c r="AA39" s="982"/>
      <c r="AB39" s="982"/>
      <c r="AC39" s="982"/>
    </row>
    <row r="40" spans="2:29" ht="15" customHeight="1" x14ac:dyDescent="0.5">
      <c r="B40" s="145"/>
      <c r="C40" s="145"/>
      <c r="D40" s="145"/>
      <c r="E40" s="145"/>
      <c r="F40" s="145"/>
      <c r="G40" s="145"/>
      <c r="H40" s="145"/>
      <c r="I40" s="501"/>
      <c r="P40" s="181"/>
      <c r="W40" s="181"/>
    </row>
    <row r="41" spans="2:29" ht="15" customHeight="1" x14ac:dyDescent="0.5">
      <c r="B41" s="498" t="s">
        <v>3244</v>
      </c>
      <c r="C41" s="512" t="s">
        <v>112</v>
      </c>
      <c r="D41" s="499">
        <f>'PROFIT &amp; LOSS'!D10</f>
        <v>64625</v>
      </c>
      <c r="E41" s="499">
        <f>'PROFIT &amp; LOSS'!E10</f>
        <v>81590</v>
      </c>
      <c r="F41" s="499">
        <f>'PROFIT &amp; LOSS'!F10</f>
        <v>93201</v>
      </c>
      <c r="G41" s="499">
        <f>'PROFIT &amp; LOSS'!G10</f>
        <v>92425</v>
      </c>
      <c r="H41" s="499">
        <f>'PROFIT &amp; LOSS'!H10</f>
        <v>92972</v>
      </c>
      <c r="I41" s="501"/>
      <c r="K41" s="499">
        <f>'P &amp; L ASSUMPTIONS'!K6</f>
        <v>94095.92</v>
      </c>
      <c r="L41" s="499">
        <f>'P &amp; L ASSUMPTIONS'!L6</f>
        <v>95242.731199999995</v>
      </c>
      <c r="M41" s="499">
        <f>'P &amp; L ASSUMPTIONS'!M6</f>
        <v>97322.148319999993</v>
      </c>
      <c r="N41" s="499">
        <f>'P &amp; L ASSUMPTIONS'!N6</f>
        <v>99453.627532159997</v>
      </c>
      <c r="O41" s="499">
        <f>'P &amp; L ASSUMPTIONS'!O6</f>
        <v>102584.34017350401</v>
      </c>
      <c r="P41" s="181"/>
      <c r="R41" s="499">
        <f>'P &amp; L ASSUMPTIONS'!R6</f>
        <v>92275.319999999992</v>
      </c>
      <c r="S41" s="499">
        <f>'P &amp; L ASSUMPTIONS'!S6</f>
        <v>91597.258799999996</v>
      </c>
      <c r="T41" s="499">
        <f>'P &amp; L ASSUMPTIONS'!T6</f>
        <v>92684.515788000004</v>
      </c>
      <c r="U41" s="499">
        <f>'P &amp; L ASSUMPTIONS'!U6</f>
        <v>93791.209565879995</v>
      </c>
      <c r="V41" s="499">
        <f>'P &amp; L ASSUMPTIONS'!V6</f>
        <v>95808.664545447609</v>
      </c>
      <c r="W41" s="181"/>
      <c r="Y41" s="499">
        <f>'P &amp; L ASSUMPTIONS'!Y6</f>
        <v>91791.039999999994</v>
      </c>
      <c r="Z41" s="499">
        <f>'P &amp; L ASSUMPTIONS'!Z6</f>
        <v>90636.339199999988</v>
      </c>
      <c r="AA41" s="499">
        <f>'P &amp; L ASSUMPTIONS'!AA6</f>
        <v>89940.022528000001</v>
      </c>
      <c r="AB41" s="499">
        <f>'P &amp; L ASSUMPTIONS'!AB6</f>
        <v>89259.070891520008</v>
      </c>
      <c r="AC41" s="499">
        <f>'P &amp; L ASSUMPTIONS'!AC6</f>
        <v>90287.973519846404</v>
      </c>
    </row>
    <row r="42" spans="2:29" ht="15" customHeight="1" x14ac:dyDescent="0.5">
      <c r="B42" s="145"/>
      <c r="C42" s="145"/>
      <c r="D42" s="145"/>
      <c r="E42" s="145"/>
      <c r="F42" s="145"/>
      <c r="G42" s="145"/>
      <c r="H42" s="145"/>
      <c r="I42" s="501"/>
      <c r="K42" s="145"/>
      <c r="L42" s="145"/>
      <c r="M42" s="145"/>
      <c r="N42" s="145"/>
      <c r="O42" s="145"/>
      <c r="P42" s="181"/>
      <c r="R42" s="145"/>
      <c r="S42" s="145"/>
      <c r="T42" s="145"/>
      <c r="U42" s="145"/>
      <c r="V42" s="145"/>
      <c r="W42" s="181"/>
      <c r="Y42" s="145"/>
      <c r="Z42" s="145"/>
      <c r="AA42" s="145"/>
      <c r="AB42" s="145"/>
      <c r="AC42" s="145"/>
    </row>
    <row r="43" spans="2:29" ht="15" customHeight="1" x14ac:dyDescent="0.5">
      <c r="B43" s="136" t="s">
        <v>46</v>
      </c>
      <c r="C43" s="137" t="s">
        <v>112</v>
      </c>
      <c r="D43" s="146">
        <f>'BALANCE SHEET'!D27</f>
        <v>1853</v>
      </c>
      <c r="E43" s="146">
        <f>'BALANCE SHEET'!E27</f>
        <v>1602</v>
      </c>
      <c r="F43" s="146">
        <f>'BALANCE SHEET'!F27</f>
        <v>617</v>
      </c>
      <c r="G43" s="146">
        <f>'BALANCE SHEET'!G27</f>
        <v>723</v>
      </c>
      <c r="H43" s="146">
        <f>'BALANCE SHEET'!H27</f>
        <v>196</v>
      </c>
      <c r="I43" s="501"/>
      <c r="K43" s="146">
        <f>K10*K44</f>
        <v>629.85216000000014</v>
      </c>
      <c r="L43" s="146">
        <f t="shared" ref="L43:O43" si="72">L10*L44</f>
        <v>477.11301120000007</v>
      </c>
      <c r="M43" s="146">
        <f t="shared" si="72"/>
        <v>324.43684761600002</v>
      </c>
      <c r="N43" s="146">
        <f t="shared" si="72"/>
        <v>165.46279228416003</v>
      </c>
      <c r="O43" s="146">
        <f t="shared" si="72"/>
        <v>170.42667605268483</v>
      </c>
      <c r="P43" s="181"/>
      <c r="R43" s="146">
        <f t="shared" ref="R43:V43" si="73">R10*R44</f>
        <v>736.44595199999992</v>
      </c>
      <c r="S43" s="146">
        <f t="shared" si="73"/>
        <v>874.8977909759999</v>
      </c>
      <c r="T43" s="146">
        <f t="shared" si="73"/>
        <v>736.37230740479993</v>
      </c>
      <c r="U43" s="146">
        <f t="shared" si="73"/>
        <v>446.24161828730877</v>
      </c>
      <c r="V43" s="146">
        <f t="shared" si="73"/>
        <v>303.44430043537</v>
      </c>
      <c r="W43" s="181"/>
      <c r="Y43" s="146">
        <f t="shared" ref="Y43:AC43" si="74">Y10*Y44</f>
        <v>842.41612799999996</v>
      </c>
      <c r="Z43" s="146">
        <f t="shared" si="74"/>
        <v>1106.3731814399998</v>
      </c>
      <c r="AA43" s="146">
        <f t="shared" si="74"/>
        <v>958.39576842239978</v>
      </c>
      <c r="AB43" s="146">
        <f t="shared" si="74"/>
        <v>677.72272195584003</v>
      </c>
      <c r="AC43" s="146">
        <f t="shared" si="74"/>
        <v>410.69996950523904</v>
      </c>
    </row>
    <row r="44" spans="2:29" ht="15" customHeight="1" x14ac:dyDescent="0.45">
      <c r="B44" s="149" t="s">
        <v>3259</v>
      </c>
      <c r="C44" s="454" t="s">
        <v>113</v>
      </c>
      <c r="D44" s="150">
        <f>D43/D10</f>
        <v>0.56545620994812329</v>
      </c>
      <c r="E44" s="150">
        <f t="shared" ref="E44:H44" si="75">E43/E10</f>
        <v>0.40413723511604438</v>
      </c>
      <c r="F44" s="150">
        <f t="shared" si="75"/>
        <v>0.15001215657670799</v>
      </c>
      <c r="G44" s="150">
        <f t="shared" si="75"/>
        <v>0.27958236658932717</v>
      </c>
      <c r="H44" s="150">
        <f t="shared" si="75"/>
        <v>5.7783018867924529E-2</v>
      </c>
      <c r="I44" s="502"/>
      <c r="J44" s="41"/>
      <c r="K44" s="150">
        <f>R72</f>
        <v>0.2</v>
      </c>
      <c r="L44" s="150">
        <f t="shared" ref="L44:O44" si="76">S72</f>
        <v>0.15</v>
      </c>
      <c r="M44" s="150">
        <f t="shared" si="76"/>
        <v>0.1</v>
      </c>
      <c r="N44" s="150">
        <f t="shared" si="76"/>
        <v>0.05</v>
      </c>
      <c r="O44" s="150">
        <f t="shared" si="76"/>
        <v>0.05</v>
      </c>
      <c r="P44" s="503"/>
      <c r="Q44" s="41"/>
      <c r="R44" s="150">
        <f>R73</f>
        <v>0.25</v>
      </c>
      <c r="S44" s="150">
        <f t="shared" ref="S44:V44" si="77">S73</f>
        <v>0.3</v>
      </c>
      <c r="T44" s="150">
        <f t="shared" si="77"/>
        <v>0.25</v>
      </c>
      <c r="U44" s="150">
        <f t="shared" si="77"/>
        <v>0.15</v>
      </c>
      <c r="V44" s="150">
        <f t="shared" si="77"/>
        <v>0.1</v>
      </c>
      <c r="W44" s="503"/>
      <c r="X44" s="41"/>
      <c r="Y44" s="150">
        <f>R74</f>
        <v>0.3</v>
      </c>
      <c r="Z44" s="150">
        <f t="shared" ref="Z44:AC44" si="78">S74</f>
        <v>0.4</v>
      </c>
      <c r="AA44" s="150">
        <f t="shared" si="78"/>
        <v>0.35</v>
      </c>
      <c r="AB44" s="150">
        <f t="shared" si="78"/>
        <v>0.25</v>
      </c>
      <c r="AC44" s="150">
        <f t="shared" si="78"/>
        <v>0.15</v>
      </c>
    </row>
    <row r="45" spans="2:29" ht="7.05" customHeight="1" x14ac:dyDescent="0.5">
      <c r="B45" s="139"/>
      <c r="C45" s="140"/>
      <c r="D45" s="147"/>
      <c r="E45" s="147"/>
      <c r="F45" s="147"/>
      <c r="G45" s="147"/>
      <c r="H45" s="147"/>
      <c r="I45" s="501"/>
      <c r="K45" s="147"/>
      <c r="L45" s="147"/>
      <c r="M45" s="147"/>
      <c r="N45" s="147"/>
      <c r="O45" s="147"/>
      <c r="P45" s="181"/>
      <c r="R45" s="147"/>
      <c r="S45" s="147"/>
      <c r="T45" s="147"/>
      <c r="U45" s="147"/>
      <c r="V45" s="147"/>
      <c r="W45" s="181"/>
      <c r="Y45" s="147"/>
      <c r="Z45" s="147"/>
      <c r="AA45" s="147"/>
      <c r="AB45" s="147"/>
      <c r="AC45" s="147"/>
    </row>
    <row r="46" spans="2:29" ht="15" customHeight="1" x14ac:dyDescent="0.5">
      <c r="B46" s="139" t="s">
        <v>3257</v>
      </c>
      <c r="C46" s="513" t="s">
        <v>112</v>
      </c>
      <c r="D46" s="141">
        <f>'BALANCE SHEET'!D26</f>
        <v>1642</v>
      </c>
      <c r="E46" s="141">
        <f>'BALANCE SHEET'!E26</f>
        <v>1887</v>
      </c>
      <c r="F46" s="141">
        <f>'BALANCE SHEET'!F26</f>
        <v>1870</v>
      </c>
      <c r="G46" s="141">
        <f>'BALANCE SHEET'!G26</f>
        <v>1796</v>
      </c>
      <c r="H46" s="141">
        <f>'BALANCE SHEET'!H26</f>
        <v>2560</v>
      </c>
      <c r="I46" s="501"/>
      <c r="K46" s="141">
        <f>K41*K47</f>
        <v>2352.3980000000001</v>
      </c>
      <c r="L46" s="141">
        <f t="shared" ref="L46:O46" si="79">L41*L47</f>
        <v>2476.3110111999999</v>
      </c>
      <c r="M46" s="141">
        <f t="shared" si="79"/>
        <v>2627.6980046399999</v>
      </c>
      <c r="N46" s="141">
        <f t="shared" si="79"/>
        <v>2585.79431583616</v>
      </c>
      <c r="O46" s="141">
        <f t="shared" si="79"/>
        <v>2667.1928445111043</v>
      </c>
      <c r="P46" s="181"/>
      <c r="R46" s="141">
        <f t="shared" ref="R46:V46" si="80">R41*R47</f>
        <v>2122.3323599999999</v>
      </c>
      <c r="S46" s="141">
        <f t="shared" si="80"/>
        <v>2198.3342112</v>
      </c>
      <c r="T46" s="141">
        <f t="shared" si="80"/>
        <v>2131.7438631240002</v>
      </c>
      <c r="U46" s="141">
        <f t="shared" si="80"/>
        <v>2250.9890295811201</v>
      </c>
      <c r="V46" s="141">
        <f t="shared" si="80"/>
        <v>2203.5992845452952</v>
      </c>
      <c r="W46" s="181"/>
      <c r="Y46" s="141">
        <f t="shared" ref="Y46:AC46" si="81">Y41*Y47</f>
        <v>1927.61184</v>
      </c>
      <c r="Z46" s="141">
        <f t="shared" si="81"/>
        <v>1903.3631231999998</v>
      </c>
      <c r="AA46" s="141">
        <f t="shared" si="81"/>
        <v>1978.6804956159999</v>
      </c>
      <c r="AB46" s="141">
        <f t="shared" si="81"/>
        <v>1963.69955961344</v>
      </c>
      <c r="AC46" s="141">
        <f t="shared" si="81"/>
        <v>1986.3354174366207</v>
      </c>
    </row>
    <row r="47" spans="2:29" ht="15" customHeight="1" x14ac:dyDescent="0.5">
      <c r="B47" s="149" t="s">
        <v>3310</v>
      </c>
      <c r="C47" s="454" t="s">
        <v>113</v>
      </c>
      <c r="D47" s="150">
        <f>D46/D41</f>
        <v>2.5408123791102515E-2</v>
      </c>
      <c r="E47" s="150">
        <f t="shared" ref="E47:H47" si="82">E46/E41</f>
        <v>2.312783429341831E-2</v>
      </c>
      <c r="F47" s="150">
        <f t="shared" si="82"/>
        <v>2.0064162401690969E-2</v>
      </c>
      <c r="G47" s="150">
        <f t="shared" si="82"/>
        <v>1.9431971869083041E-2</v>
      </c>
      <c r="H47" s="150">
        <f t="shared" si="82"/>
        <v>2.7535171879705719E-2</v>
      </c>
      <c r="I47" s="501"/>
      <c r="K47" s="150">
        <f>K78</f>
        <v>2.5000000000000001E-2</v>
      </c>
      <c r="L47" s="150">
        <f t="shared" ref="L47:O47" si="83">L78</f>
        <v>2.5999999999999999E-2</v>
      </c>
      <c r="M47" s="150">
        <f t="shared" si="83"/>
        <v>2.7E-2</v>
      </c>
      <c r="N47" s="150">
        <f t="shared" si="83"/>
        <v>2.5999999999999999E-2</v>
      </c>
      <c r="O47" s="150">
        <f t="shared" si="83"/>
        <v>2.5999999999999999E-2</v>
      </c>
      <c r="P47" s="503"/>
      <c r="Q47" s="41"/>
      <c r="R47" s="150">
        <f>K79</f>
        <v>2.3E-2</v>
      </c>
      <c r="S47" s="150">
        <f t="shared" ref="S47:V47" si="84">L79</f>
        <v>2.4E-2</v>
      </c>
      <c r="T47" s="150">
        <f t="shared" si="84"/>
        <v>2.3E-2</v>
      </c>
      <c r="U47" s="150">
        <f t="shared" si="84"/>
        <v>2.4E-2</v>
      </c>
      <c r="V47" s="150">
        <f t="shared" si="84"/>
        <v>2.3E-2</v>
      </c>
      <c r="W47" s="503"/>
      <c r="X47" s="41"/>
      <c r="Y47" s="150">
        <f>K80</f>
        <v>2.1000000000000001E-2</v>
      </c>
      <c r="Z47" s="150">
        <f t="shared" ref="Z47:AC47" si="85">L80</f>
        <v>2.1000000000000001E-2</v>
      </c>
      <c r="AA47" s="150">
        <f t="shared" si="85"/>
        <v>2.1999999999999999E-2</v>
      </c>
      <c r="AB47" s="150">
        <f t="shared" si="85"/>
        <v>2.1999999999999999E-2</v>
      </c>
      <c r="AC47" s="150">
        <f t="shared" si="85"/>
        <v>2.1999999999999999E-2</v>
      </c>
    </row>
    <row r="48" spans="2:29" ht="7.05" customHeight="1" x14ac:dyDescent="0.5">
      <c r="B48" s="139"/>
      <c r="C48" s="140"/>
      <c r="D48" s="147"/>
      <c r="E48" s="147"/>
      <c r="F48" s="147"/>
      <c r="G48" s="147"/>
      <c r="H48" s="147"/>
      <c r="I48" s="501"/>
      <c r="K48" s="147"/>
      <c r="L48" s="147"/>
      <c r="M48" s="147"/>
      <c r="N48" s="147"/>
      <c r="O48" s="147"/>
      <c r="P48" s="181"/>
      <c r="R48" s="147"/>
      <c r="S48" s="147"/>
      <c r="T48" s="147"/>
      <c r="U48" s="147"/>
      <c r="V48" s="147"/>
      <c r="W48" s="181"/>
      <c r="Y48" s="147"/>
      <c r="Z48" s="147"/>
      <c r="AA48" s="147"/>
      <c r="AB48" s="147"/>
      <c r="AC48" s="147"/>
    </row>
    <row r="49" spans="2:29" ht="15" customHeight="1" x14ac:dyDescent="0.5">
      <c r="B49" s="139" t="s">
        <v>3146</v>
      </c>
      <c r="C49" s="140" t="s">
        <v>112</v>
      </c>
      <c r="D49" s="141">
        <f>'BALANCE SHEET'!D28</f>
        <v>13515</v>
      </c>
      <c r="E49" s="141">
        <f>'BALANCE SHEET'!E28</f>
        <v>24286</v>
      </c>
      <c r="F49" s="141">
        <f>'BALANCE SHEET'!F28</f>
        <v>30349</v>
      </c>
      <c r="G49" s="141">
        <f>'BALANCE SHEET'!G28</f>
        <v>31145</v>
      </c>
      <c r="H49" s="141">
        <f>'BALANCE SHEET'!H28</f>
        <v>32035</v>
      </c>
      <c r="I49" s="501"/>
      <c r="K49" s="141">
        <f>$H$49+($H$49*$K$50)</f>
        <v>33316.400000000001</v>
      </c>
      <c r="L49" s="141">
        <f>K$49+(K$49*L$50)</f>
        <v>34649.056000000004</v>
      </c>
      <c r="M49" s="141">
        <f t="shared" ref="M49:O49" si="86">L$49+(L$49*M$50)</f>
        <v>36035.018240000005</v>
      </c>
      <c r="N49" s="141">
        <f t="shared" si="86"/>
        <v>37476.418969600003</v>
      </c>
      <c r="O49" s="141">
        <f t="shared" si="86"/>
        <v>38975.475728384001</v>
      </c>
      <c r="P49" s="181"/>
      <c r="R49" s="141">
        <f>$H$49+($H$49*$R$50)</f>
        <v>32899.945</v>
      </c>
      <c r="S49" s="141">
        <f>R$49+(R$49*S$50)</f>
        <v>33788.243515000002</v>
      </c>
      <c r="T49" s="141">
        <f t="shared" ref="T49:V49" si="87">S$49+(S$49*T$50)</f>
        <v>34700.526089905004</v>
      </c>
      <c r="U49" s="141">
        <f t="shared" si="87"/>
        <v>35637.440294332438</v>
      </c>
      <c r="V49" s="141">
        <f t="shared" si="87"/>
        <v>36599.651182279413</v>
      </c>
      <c r="W49" s="181"/>
      <c r="Y49" s="141">
        <f>$H$49+($H$49*$Y$50)</f>
        <v>32515.525000000001</v>
      </c>
      <c r="Z49" s="141">
        <f>Y$49+(Y$49*Z$50)</f>
        <v>33003.257875000003</v>
      </c>
      <c r="AA49" s="141">
        <f t="shared" ref="AA49:AC49" si="88">Z$49+(Z$49*AA$50)</f>
        <v>33498.306743125002</v>
      </c>
      <c r="AB49" s="141">
        <f t="shared" si="88"/>
        <v>34000.781344271876</v>
      </c>
      <c r="AC49" s="141">
        <f t="shared" si="88"/>
        <v>34510.793064435951</v>
      </c>
    </row>
    <row r="50" spans="2:29" ht="15" customHeight="1" x14ac:dyDescent="0.5">
      <c r="B50" s="149" t="s">
        <v>557</v>
      </c>
      <c r="C50" s="454" t="s">
        <v>113</v>
      </c>
      <c r="D50" s="158" t="s">
        <v>122</v>
      </c>
      <c r="E50" s="150">
        <f>E49/D49-1</f>
        <v>0.79696633370329262</v>
      </c>
      <c r="F50" s="150">
        <f t="shared" ref="F50:H50" si="89">F49/E49-1</f>
        <v>0.24965000411759863</v>
      </c>
      <c r="G50" s="150">
        <f t="shared" si="89"/>
        <v>2.62282118026953E-2</v>
      </c>
      <c r="H50" s="150">
        <f t="shared" si="89"/>
        <v>2.8576015411783562E-2</v>
      </c>
      <c r="I50" s="501"/>
      <c r="K50" s="150">
        <f>K90</f>
        <v>0.04</v>
      </c>
      <c r="L50" s="150">
        <f t="shared" ref="L50:O50" si="90">L90</f>
        <v>0.04</v>
      </c>
      <c r="M50" s="150">
        <f t="shared" si="90"/>
        <v>0.04</v>
      </c>
      <c r="N50" s="150">
        <f t="shared" si="90"/>
        <v>0.04</v>
      </c>
      <c r="O50" s="150">
        <f t="shared" si="90"/>
        <v>0.04</v>
      </c>
      <c r="P50" s="503"/>
      <c r="Q50" s="41"/>
      <c r="R50" s="150">
        <f>K91</f>
        <v>2.7E-2</v>
      </c>
      <c r="S50" s="150">
        <f t="shared" ref="S50:V50" si="91">L91</f>
        <v>2.7E-2</v>
      </c>
      <c r="T50" s="150">
        <f t="shared" si="91"/>
        <v>2.7E-2</v>
      </c>
      <c r="U50" s="150">
        <f t="shared" si="91"/>
        <v>2.7E-2</v>
      </c>
      <c r="V50" s="150">
        <f t="shared" si="91"/>
        <v>2.7E-2</v>
      </c>
      <c r="W50" s="503"/>
      <c r="X50" s="41"/>
      <c r="Y50" s="150">
        <f>K92</f>
        <v>1.4999999999999999E-2</v>
      </c>
      <c r="Z50" s="150">
        <f t="shared" ref="Z50:AC50" si="92">L92</f>
        <v>1.4999999999999999E-2</v>
      </c>
      <c r="AA50" s="150">
        <f t="shared" si="92"/>
        <v>1.4999999999999999E-2</v>
      </c>
      <c r="AB50" s="150">
        <f t="shared" si="92"/>
        <v>1.4999999999999999E-2</v>
      </c>
      <c r="AC50" s="150">
        <f t="shared" si="92"/>
        <v>1.4999999999999999E-2</v>
      </c>
    </row>
    <row r="51" spans="2:29" ht="7.05" customHeight="1" x14ac:dyDescent="0.5">
      <c r="B51" s="139"/>
      <c r="C51" s="140"/>
      <c r="D51" s="147"/>
      <c r="E51" s="147"/>
      <c r="F51" s="147"/>
      <c r="G51" s="147"/>
      <c r="H51" s="147"/>
      <c r="I51" s="501"/>
      <c r="K51" s="147"/>
      <c r="L51" s="147"/>
      <c r="M51" s="147"/>
      <c r="N51" s="147"/>
      <c r="O51" s="147"/>
      <c r="P51" s="181"/>
      <c r="R51" s="147"/>
      <c r="S51" s="147"/>
      <c r="T51" s="147"/>
      <c r="U51" s="147"/>
      <c r="V51" s="147"/>
      <c r="W51" s="181"/>
      <c r="Y51" s="147"/>
      <c r="Z51" s="147"/>
      <c r="AA51" s="147"/>
      <c r="AB51" s="147"/>
      <c r="AC51" s="147"/>
    </row>
    <row r="52" spans="2:29" ht="15" customHeight="1" x14ac:dyDescent="0.5">
      <c r="B52" s="139" t="s">
        <v>3255</v>
      </c>
      <c r="C52" s="140" t="s">
        <v>112</v>
      </c>
      <c r="D52" s="141">
        <f>'BALANCE SHEET'!D11</f>
        <v>17571</v>
      </c>
      <c r="E52" s="141">
        <f>'BALANCE SHEET'!E11</f>
        <v>24166</v>
      </c>
      <c r="F52" s="141">
        <f>'BALANCE SHEET'!F11</f>
        <v>30923</v>
      </c>
      <c r="G52" s="141">
        <f>'BALANCE SHEET'!G11</f>
        <v>31117</v>
      </c>
      <c r="H52" s="141">
        <f>'BALANCE SHEET'!H11</f>
        <v>41147</v>
      </c>
      <c r="I52" s="501"/>
      <c r="K52" s="435">
        <v>48000</v>
      </c>
      <c r="L52" s="435">
        <v>53000</v>
      </c>
      <c r="M52" s="435">
        <v>60000</v>
      </c>
      <c r="N52" s="435">
        <v>67000</v>
      </c>
      <c r="O52" s="435">
        <v>74000</v>
      </c>
      <c r="P52" s="213"/>
      <c r="Q52" s="94"/>
      <c r="R52" s="435">
        <v>48000</v>
      </c>
      <c r="S52" s="435">
        <v>53000</v>
      </c>
      <c r="T52" s="435">
        <v>59000</v>
      </c>
      <c r="U52" s="435">
        <v>66000</v>
      </c>
      <c r="V52" s="435">
        <v>73000</v>
      </c>
      <c r="W52" s="213"/>
      <c r="X52" s="94"/>
      <c r="Y52" s="435">
        <v>46000</v>
      </c>
      <c r="Z52" s="435">
        <v>51000</v>
      </c>
      <c r="AA52" s="435">
        <v>56000</v>
      </c>
      <c r="AB52" s="435">
        <v>62000</v>
      </c>
      <c r="AC52" s="435">
        <v>68000</v>
      </c>
    </row>
    <row r="53" spans="2:29" ht="15" customHeight="1" x14ac:dyDescent="0.45">
      <c r="B53" s="149" t="s">
        <v>120</v>
      </c>
      <c r="C53" s="454" t="s">
        <v>113</v>
      </c>
      <c r="D53" s="158" t="s">
        <v>122</v>
      </c>
      <c r="E53" s="150">
        <f>E52/D52-1</f>
        <v>0.37533435774856305</v>
      </c>
      <c r="F53" s="150">
        <f t="shared" ref="F53:H53" si="93">F52/E52-1</f>
        <v>0.27960771331622936</v>
      </c>
      <c r="G53" s="150">
        <f t="shared" si="93"/>
        <v>6.2736474468843006E-3</v>
      </c>
      <c r="H53" s="150">
        <f t="shared" si="93"/>
        <v>0.32233184432946627</v>
      </c>
      <c r="I53" s="502"/>
      <c r="J53" s="41"/>
      <c r="K53" s="150">
        <f>K52/H52-1</f>
        <v>0.16654920164289022</v>
      </c>
      <c r="L53" s="150">
        <f>L52/K52-1</f>
        <v>0.10416666666666674</v>
      </c>
      <c r="M53" s="150">
        <f t="shared" ref="M53:O53" si="94">M52/L52-1</f>
        <v>0.13207547169811318</v>
      </c>
      <c r="N53" s="150">
        <f t="shared" si="94"/>
        <v>0.1166666666666667</v>
      </c>
      <c r="O53" s="150">
        <f t="shared" si="94"/>
        <v>0.10447761194029859</v>
      </c>
      <c r="P53" s="503"/>
      <c r="Q53" s="41"/>
      <c r="R53" s="150">
        <f>R52/H52-1</f>
        <v>0.16654920164289022</v>
      </c>
      <c r="S53" s="150">
        <f>S52/R52-1</f>
        <v>0.10416666666666674</v>
      </c>
      <c r="T53" s="150">
        <f t="shared" ref="T53:V53" si="95">T52/S52-1</f>
        <v>0.1132075471698113</v>
      </c>
      <c r="U53" s="150">
        <f t="shared" si="95"/>
        <v>0.11864406779661008</v>
      </c>
      <c r="V53" s="150">
        <f t="shared" si="95"/>
        <v>0.10606060606060597</v>
      </c>
      <c r="W53" s="503"/>
      <c r="X53" s="41"/>
      <c r="Y53" s="150">
        <f>Y52/H52-1</f>
        <v>0.11794298490776978</v>
      </c>
      <c r="Z53" s="150">
        <f>Z52/Y52-1</f>
        <v>0.10869565217391308</v>
      </c>
      <c r="AA53" s="150">
        <f t="shared" ref="AA53:AC53" si="96">AA52/Z52-1</f>
        <v>9.8039215686274606E-2</v>
      </c>
      <c r="AB53" s="150">
        <f t="shared" si="96"/>
        <v>0.10714285714285721</v>
      </c>
      <c r="AC53" s="150">
        <f t="shared" si="96"/>
        <v>9.6774193548387011E-2</v>
      </c>
    </row>
    <row r="54" spans="2:29" ht="7.05" customHeight="1" x14ac:dyDescent="0.5">
      <c r="B54" s="139"/>
      <c r="C54" s="140"/>
      <c r="D54" s="147"/>
      <c r="E54" s="147"/>
      <c r="F54" s="147"/>
      <c r="G54" s="147"/>
      <c r="H54" s="147"/>
      <c r="I54" s="501"/>
      <c r="K54" s="147"/>
      <c r="L54" s="147"/>
      <c r="M54" s="147"/>
      <c r="N54" s="147"/>
      <c r="O54" s="147"/>
      <c r="P54" s="181"/>
      <c r="R54" s="147"/>
      <c r="S54" s="147"/>
      <c r="T54" s="147"/>
      <c r="U54" s="147"/>
      <c r="V54" s="147"/>
      <c r="W54" s="181"/>
      <c r="Y54" s="147"/>
      <c r="Z54" s="147"/>
      <c r="AA54" s="147"/>
      <c r="AB54" s="147"/>
      <c r="AC54" s="147"/>
    </row>
    <row r="55" spans="2:29" ht="15" customHeight="1" x14ac:dyDescent="0.5">
      <c r="B55" s="139" t="s">
        <v>220</v>
      </c>
      <c r="C55" s="140" t="s">
        <v>112</v>
      </c>
      <c r="D55" s="141">
        <f>'BALANCE SHEET'!D29</f>
        <v>1309</v>
      </c>
      <c r="E55" s="141">
        <f>'BALANCE SHEET'!E29</f>
        <v>4356</v>
      </c>
      <c r="F55" s="141">
        <f>'BALANCE SHEET'!F29</f>
        <v>4305</v>
      </c>
      <c r="G55" s="141">
        <f>'BALANCE SHEET'!G29</f>
        <v>3275</v>
      </c>
      <c r="H55" s="141">
        <f>'BALANCE SHEET'!H29</f>
        <v>2745</v>
      </c>
      <c r="I55" s="501"/>
      <c r="K55" s="141">
        <f>K41*K56</f>
        <v>3011.0694400000002</v>
      </c>
      <c r="L55" s="141">
        <f t="shared" ref="L55:O55" si="97">L41*L56</f>
        <v>3238.2528608000002</v>
      </c>
      <c r="M55" s="141">
        <f t="shared" si="97"/>
        <v>3503.5973395199994</v>
      </c>
      <c r="N55" s="141">
        <f t="shared" si="97"/>
        <v>3779.23784622208</v>
      </c>
      <c r="O55" s="141">
        <f t="shared" si="97"/>
        <v>4103.3736069401602</v>
      </c>
      <c r="P55" s="181"/>
      <c r="R55" s="141">
        <f t="shared" ref="R55" si="98">R41*R56</f>
        <v>2768.2595999999999</v>
      </c>
      <c r="S55" s="141">
        <f t="shared" ref="S55" si="99">S41*S56</f>
        <v>2747.9177639999998</v>
      </c>
      <c r="T55" s="141">
        <f t="shared" ref="T55" si="100">T41*T56</f>
        <v>2780.53547364</v>
      </c>
      <c r="U55" s="141">
        <f t="shared" ref="U55" si="101">U41*U56</f>
        <v>3001.3187061081599</v>
      </c>
      <c r="V55" s="141">
        <f t="shared" ref="V55" si="102">V41*V56</f>
        <v>3065.8772654543236</v>
      </c>
      <c r="W55" s="181"/>
      <c r="Y55" s="141">
        <f t="shared" ref="Y55" si="103">Y41*Y56</f>
        <v>2570.14912</v>
      </c>
      <c r="Z55" s="141">
        <f t="shared" ref="Z55" si="104">Z41*Z56</f>
        <v>2537.8174975999996</v>
      </c>
      <c r="AA55" s="141">
        <f t="shared" ref="AA55" si="105">AA41*AA56</f>
        <v>2518.3206307840001</v>
      </c>
      <c r="AB55" s="141">
        <f t="shared" ref="AB55" si="106">AB41*AB56</f>
        <v>2677.7721267456</v>
      </c>
      <c r="AC55" s="141">
        <f t="shared" ref="AC55" si="107">AC41*AC56</f>
        <v>2708.639205595392</v>
      </c>
    </row>
    <row r="56" spans="2:29" ht="15" customHeight="1" x14ac:dyDescent="0.5">
      <c r="B56" s="149" t="s">
        <v>3310</v>
      </c>
      <c r="C56" s="454" t="s">
        <v>113</v>
      </c>
      <c r="D56" s="150">
        <f>D55/D41</f>
        <v>2.025531914893617E-2</v>
      </c>
      <c r="E56" s="150">
        <f t="shared" ref="E56:H56" si="108">E55/E41</f>
        <v>5.3388895698002203E-2</v>
      </c>
      <c r="F56" s="150">
        <f t="shared" si="108"/>
        <v>4.619049151833135E-2</v>
      </c>
      <c r="G56" s="150">
        <f t="shared" si="108"/>
        <v>3.5434135785772244E-2</v>
      </c>
      <c r="H56" s="150">
        <f t="shared" si="108"/>
        <v>2.9525018285075075E-2</v>
      </c>
      <c r="I56" s="501"/>
      <c r="K56" s="150">
        <f>D84</f>
        <v>3.2000000000000001E-2</v>
      </c>
      <c r="L56" s="150">
        <f t="shared" ref="L56:O56" si="109">E84</f>
        <v>3.4000000000000002E-2</v>
      </c>
      <c r="M56" s="150">
        <f t="shared" si="109"/>
        <v>3.5999999999999997E-2</v>
      </c>
      <c r="N56" s="150">
        <f t="shared" si="109"/>
        <v>3.7999999999999999E-2</v>
      </c>
      <c r="O56" s="150">
        <f t="shared" si="109"/>
        <v>0.04</v>
      </c>
      <c r="P56" s="503"/>
      <c r="Q56" s="41"/>
      <c r="R56" s="150">
        <f>D85</f>
        <v>0.03</v>
      </c>
      <c r="S56" s="150">
        <f t="shared" ref="S56:V56" si="110">E85</f>
        <v>0.03</v>
      </c>
      <c r="T56" s="150">
        <f t="shared" si="110"/>
        <v>0.03</v>
      </c>
      <c r="U56" s="150">
        <f t="shared" si="110"/>
        <v>3.2000000000000001E-2</v>
      </c>
      <c r="V56" s="150">
        <f t="shared" si="110"/>
        <v>3.2000000000000001E-2</v>
      </c>
      <c r="W56" s="503"/>
      <c r="X56" s="41"/>
      <c r="Y56" s="150">
        <f>D86</f>
        <v>2.8000000000000001E-2</v>
      </c>
      <c r="Z56" s="150">
        <f t="shared" ref="Z56:AC56" si="111">E86</f>
        <v>2.8000000000000001E-2</v>
      </c>
      <c r="AA56" s="150">
        <f t="shared" si="111"/>
        <v>2.8000000000000001E-2</v>
      </c>
      <c r="AB56" s="150">
        <f t="shared" si="111"/>
        <v>0.03</v>
      </c>
      <c r="AC56" s="150">
        <f t="shared" si="111"/>
        <v>0.03</v>
      </c>
    </row>
    <row r="57" spans="2:29" ht="7.05" customHeight="1" x14ac:dyDescent="0.5">
      <c r="B57" s="139"/>
      <c r="C57" s="140"/>
      <c r="D57" s="147"/>
      <c r="E57" s="147"/>
      <c r="F57" s="147"/>
      <c r="G57" s="147"/>
      <c r="H57" s="147"/>
      <c r="I57" s="501"/>
      <c r="K57" s="147"/>
      <c r="L57" s="147"/>
      <c r="M57" s="147"/>
      <c r="N57" s="147"/>
      <c r="O57" s="147"/>
      <c r="P57" s="181"/>
      <c r="R57" s="147"/>
      <c r="S57" s="147"/>
      <c r="T57" s="147"/>
      <c r="U57" s="147"/>
      <c r="V57" s="147"/>
      <c r="W57" s="181"/>
      <c r="Y57" s="147"/>
      <c r="Z57" s="147"/>
      <c r="AA57" s="147"/>
      <c r="AB57" s="147"/>
      <c r="AC57" s="147"/>
    </row>
    <row r="58" spans="2:29" ht="15" customHeight="1" x14ac:dyDescent="0.5">
      <c r="B58" s="139" t="s">
        <v>3265</v>
      </c>
      <c r="C58" s="140" t="s">
        <v>112</v>
      </c>
      <c r="D58" s="141">
        <f>'BALANCE SHEET'!D30</f>
        <v>1058</v>
      </c>
      <c r="E58" s="141">
        <f>'BALANCE SHEET'!E30</f>
        <v>1911</v>
      </c>
      <c r="F58" s="141">
        <f>'BALANCE SHEET'!F30</f>
        <v>2072</v>
      </c>
      <c r="G58" s="141">
        <f>'BALANCE SHEET'!G30</f>
        <v>2163</v>
      </c>
      <c r="H58" s="141">
        <f>'BALANCE SHEET'!H30</f>
        <v>2646</v>
      </c>
      <c r="I58" s="501"/>
      <c r="K58" s="435">
        <f>H58+120</f>
        <v>2766</v>
      </c>
      <c r="L58" s="435">
        <f>K58+120</f>
        <v>2886</v>
      </c>
      <c r="M58" s="435">
        <f t="shared" ref="M58:O58" si="112">L58+120</f>
        <v>3006</v>
      </c>
      <c r="N58" s="435">
        <f t="shared" si="112"/>
        <v>3126</v>
      </c>
      <c r="O58" s="435">
        <f t="shared" si="112"/>
        <v>3246</v>
      </c>
      <c r="P58" s="435"/>
      <c r="Q58" s="522"/>
      <c r="R58" s="435">
        <f>H58+100</f>
        <v>2746</v>
      </c>
      <c r="S58" s="435">
        <f>R58+100</f>
        <v>2846</v>
      </c>
      <c r="T58" s="435">
        <f t="shared" ref="T58:V58" si="113">S58+100</f>
        <v>2946</v>
      </c>
      <c r="U58" s="435">
        <f t="shared" si="113"/>
        <v>3046</v>
      </c>
      <c r="V58" s="435">
        <f t="shared" si="113"/>
        <v>3146</v>
      </c>
      <c r="W58" s="435"/>
      <c r="X58" s="522"/>
      <c r="Y58" s="435">
        <f>H58+50</f>
        <v>2696</v>
      </c>
      <c r="Z58" s="435">
        <f>Y58+50</f>
        <v>2746</v>
      </c>
      <c r="AA58" s="435">
        <f t="shared" ref="AA58:AC58" si="114">Z58+50</f>
        <v>2796</v>
      </c>
      <c r="AB58" s="435">
        <f t="shared" si="114"/>
        <v>2846</v>
      </c>
      <c r="AC58" s="435">
        <f t="shared" si="114"/>
        <v>2896</v>
      </c>
    </row>
    <row r="59" spans="2:29" ht="15" customHeight="1" x14ac:dyDescent="0.45">
      <c r="B59" s="149" t="s">
        <v>120</v>
      </c>
      <c r="C59" s="454" t="s">
        <v>113</v>
      </c>
      <c r="D59" s="158" t="s">
        <v>122</v>
      </c>
      <c r="E59" s="150">
        <f>E58/D58-1</f>
        <v>0.80623818525519853</v>
      </c>
      <c r="F59" s="150">
        <f t="shared" ref="F59:H59" si="115">F58/E58-1</f>
        <v>8.4249084249084172E-2</v>
      </c>
      <c r="G59" s="150">
        <f t="shared" si="115"/>
        <v>4.3918918918918859E-2</v>
      </c>
      <c r="H59" s="150">
        <f t="shared" si="115"/>
        <v>0.22330097087378631</v>
      </c>
      <c r="I59" s="502"/>
      <c r="J59" s="41"/>
      <c r="K59" s="150">
        <f>K58/H58-1</f>
        <v>4.5351473922902397E-2</v>
      </c>
      <c r="L59" s="150">
        <f>L58/K58-1</f>
        <v>4.3383947939262368E-2</v>
      </c>
      <c r="M59" s="150">
        <f t="shared" ref="M59:O59" si="116">M58/L58-1</f>
        <v>4.1580041580041582E-2</v>
      </c>
      <c r="N59" s="150">
        <f t="shared" si="116"/>
        <v>3.9920159680638667E-2</v>
      </c>
      <c r="O59" s="150">
        <f t="shared" si="116"/>
        <v>3.8387715930902067E-2</v>
      </c>
      <c r="P59" s="503"/>
      <c r="Q59" s="41"/>
      <c r="R59" s="150">
        <f>R58/H58-1</f>
        <v>3.7792894935751997E-2</v>
      </c>
      <c r="S59" s="150">
        <f>S58/R58-1</f>
        <v>3.6416605972323435E-2</v>
      </c>
      <c r="T59" s="150">
        <f t="shared" ref="T59:V59" si="117">T58/S58-1</f>
        <v>3.5137034434293835E-2</v>
      </c>
      <c r="U59" s="150">
        <f t="shared" si="117"/>
        <v>3.3944331296673402E-2</v>
      </c>
      <c r="V59" s="150">
        <f t="shared" si="117"/>
        <v>3.2829940906106359E-2</v>
      </c>
      <c r="W59" s="503"/>
      <c r="X59" s="41"/>
      <c r="Y59" s="150">
        <f>Y58/H58-1</f>
        <v>1.889644746787611E-2</v>
      </c>
      <c r="Z59" s="150">
        <f>Z58/Y58-1</f>
        <v>1.8545994065281901E-2</v>
      </c>
      <c r="AA59" s="150">
        <f t="shared" ref="AA59:AC59" si="118">AA58/Z58-1</f>
        <v>1.8208302986161717E-2</v>
      </c>
      <c r="AB59" s="150">
        <f t="shared" si="118"/>
        <v>1.7882689556509401E-2</v>
      </c>
      <c r="AC59" s="150">
        <f t="shared" si="118"/>
        <v>1.7568517217146917E-2</v>
      </c>
    </row>
    <row r="60" spans="2:29" ht="7.05" customHeight="1" x14ac:dyDescent="0.5">
      <c r="B60" s="139"/>
      <c r="C60" s="140"/>
      <c r="D60" s="147"/>
      <c r="E60" s="147"/>
      <c r="F60" s="147"/>
      <c r="G60" s="147"/>
      <c r="H60" s="147"/>
      <c r="I60" s="501"/>
      <c r="K60" s="147"/>
      <c r="L60" s="147"/>
      <c r="M60" s="147"/>
      <c r="N60" s="147"/>
      <c r="O60" s="147"/>
      <c r="P60" s="181"/>
      <c r="R60" s="147"/>
      <c r="S60" s="147"/>
      <c r="T60" s="147"/>
      <c r="U60" s="147"/>
      <c r="V60" s="147"/>
      <c r="W60" s="181"/>
      <c r="Y60" s="147"/>
      <c r="Z60" s="147"/>
      <c r="AA60" s="147"/>
      <c r="AB60" s="147"/>
      <c r="AC60" s="147"/>
    </row>
    <row r="61" spans="2:29" ht="15" customHeight="1" x14ac:dyDescent="0.5">
      <c r="B61" s="139" t="s">
        <v>3251</v>
      </c>
      <c r="C61" s="140" t="s">
        <v>112</v>
      </c>
      <c r="D61" s="141">
        <f>'BALANCE SHEET'!D34</f>
        <v>1432</v>
      </c>
      <c r="E61" s="141">
        <f>'BALANCE SHEET'!E34</f>
        <v>1026</v>
      </c>
      <c r="F61" s="141">
        <f>'BALANCE SHEET'!F34</f>
        <v>1192</v>
      </c>
      <c r="G61" s="141">
        <f>'BALANCE SHEET'!G34</f>
        <v>904</v>
      </c>
      <c r="H61" s="141">
        <f>'BALANCE SHEET'!H34</f>
        <v>723</v>
      </c>
      <c r="I61" s="501"/>
      <c r="K61" s="141">
        <f>'P &amp; L ASSUMPTIONS'!K99*'BALANCE SHEET ASSUMPTION'!K62</f>
        <v>581.71475569999996</v>
      </c>
      <c r="L61" s="141">
        <f>'P &amp; L ASSUMPTIONS'!L99*'BALANCE SHEET ASSUMPTION'!L62</f>
        <v>455.60575786660002</v>
      </c>
      <c r="M61" s="141">
        <f>'P &amp; L ASSUMPTIONS'!M99*'BALANCE SHEET ASSUMPTION'!M62</f>
        <v>422.10280262644557</v>
      </c>
      <c r="N61" s="141">
        <f>'P &amp; L ASSUMPTIONS'!N99*'BALANCE SHEET ASSUMPTION'!N62</f>
        <v>386.31788101616075</v>
      </c>
      <c r="O61" s="141">
        <f>'P &amp; L ASSUMPTIONS'!O99*'BALANCE SHEET ASSUMPTION'!O62</f>
        <v>351.44538658586498</v>
      </c>
      <c r="P61" s="181"/>
      <c r="R61" s="141">
        <f>'P &amp; L ASSUMPTIONS'!R99*'BALANCE SHEET ASSUMPTION'!R62</f>
        <v>598.11482438399992</v>
      </c>
      <c r="S61" s="141">
        <f>'P &amp; L ASSUMPTIONS'!S99*'BALANCE SHEET ASSUMPTION'!S62</f>
        <v>510.65302704860159</v>
      </c>
      <c r="T61" s="141">
        <f>'P &amp; L ASSUMPTIONS'!T99*'BALANCE SHEET ASSUMPTION'!T62</f>
        <v>433.3724478867573</v>
      </c>
      <c r="U61" s="141">
        <f>'P &amp; L ASSUMPTIONS'!U99*'BALANCE SHEET ASSUMPTION'!U62</f>
        <v>397.25722912953205</v>
      </c>
      <c r="V61" s="141">
        <f>'P &amp; L ASSUMPTIONS'!V99*'BALANCE SHEET ASSUMPTION'!V62</f>
        <v>363.4162765013366</v>
      </c>
      <c r="W61" s="181"/>
      <c r="Y61" s="141">
        <f>'P &amp; L ASSUMPTIONS'!Y99*'BALANCE SHEET ASSUMPTION'!Y62</f>
        <v>792.82857809999996</v>
      </c>
      <c r="Z61" s="141">
        <f>'P &amp; L ASSUMPTIONS'!Z99*'BALANCE SHEET ASSUMPTION'!Z62</f>
        <v>785.01133358389995</v>
      </c>
      <c r="AA61" s="141">
        <f>'P &amp; L ASSUMPTIONS'!AA99*'BALANCE SHEET ASSUMPTION'!AA62</f>
        <v>781.51573991299824</v>
      </c>
      <c r="AB61" s="141">
        <f>'P &amp; L ASSUMPTIONS'!AB99*'BALANCE SHEET ASSUMPTION'!AB62</f>
        <v>777.93987806627149</v>
      </c>
      <c r="AC61" s="141">
        <f>'P &amp; L ASSUMPTIONS'!AC99*'BALANCE SHEET ASSUMPTION'!AC62</f>
        <v>790.69680763893996</v>
      </c>
    </row>
    <row r="62" spans="2:29" ht="15" customHeight="1" x14ac:dyDescent="0.5">
      <c r="B62" s="149" t="s">
        <v>3272</v>
      </c>
      <c r="C62" s="454" t="s">
        <v>113</v>
      </c>
      <c r="D62" s="150">
        <f>D61/'PROFIT &amp; LOSS'!D35</f>
        <v>0.47182866556836905</v>
      </c>
      <c r="E62" s="150">
        <f>E61/'PROFIT &amp; LOSS'!E35</f>
        <v>0.35415947531929581</v>
      </c>
      <c r="F62" s="150">
        <f>F61/'PROFIT &amp; LOSS'!F35</f>
        <v>0.35069137981759341</v>
      </c>
      <c r="G62" s="150">
        <f>G61/'PROFIT &amp; LOSS'!G35</f>
        <v>0.25048489886395126</v>
      </c>
      <c r="H62" s="150">
        <f>H61/'PROFIT &amp; LOSS'!H35</f>
        <v>0.16900420757363255</v>
      </c>
      <c r="I62" s="501"/>
      <c r="K62" s="150">
        <f>Y84</f>
        <v>0.13</v>
      </c>
      <c r="L62" s="150">
        <f t="shared" ref="L62:O62" si="119">Z84</f>
        <v>0.1</v>
      </c>
      <c r="M62" s="150">
        <f t="shared" si="119"/>
        <v>0.09</v>
      </c>
      <c r="N62" s="150">
        <f t="shared" si="119"/>
        <v>0.08</v>
      </c>
      <c r="O62" s="150">
        <f t="shared" si="119"/>
        <v>7.0000000000000007E-2</v>
      </c>
      <c r="P62" s="503"/>
      <c r="Q62" s="41"/>
      <c r="R62" s="150">
        <f>Y85</f>
        <v>0.14000000000000001</v>
      </c>
      <c r="S62" s="150">
        <f t="shared" ref="S62:V62" si="120">Z85</f>
        <v>0.12</v>
      </c>
      <c r="T62" s="150">
        <f t="shared" si="120"/>
        <v>0.1</v>
      </c>
      <c r="U62" s="150">
        <f t="shared" si="120"/>
        <v>0.09</v>
      </c>
      <c r="V62" s="150">
        <f t="shared" si="120"/>
        <v>0.08</v>
      </c>
      <c r="W62" s="503"/>
      <c r="X62" s="41"/>
      <c r="Y62" s="150">
        <f>Y86</f>
        <v>0.19</v>
      </c>
      <c r="Z62" s="150">
        <f t="shared" ref="Z62:AC62" si="121">Z86</f>
        <v>0.19</v>
      </c>
      <c r="AA62" s="150">
        <f t="shared" si="121"/>
        <v>0.19</v>
      </c>
      <c r="AB62" s="150">
        <f t="shared" si="121"/>
        <v>0.19</v>
      </c>
      <c r="AC62" s="150">
        <f t="shared" si="121"/>
        <v>0.19</v>
      </c>
    </row>
    <row r="63" spans="2:29" ht="7.05" customHeight="1" x14ac:dyDescent="0.5">
      <c r="B63" s="139"/>
      <c r="C63" s="140"/>
      <c r="D63" s="147"/>
      <c r="E63" s="147"/>
      <c r="F63" s="147"/>
      <c r="G63" s="147"/>
      <c r="H63" s="147"/>
      <c r="I63" s="501"/>
      <c r="K63" s="147"/>
      <c r="L63" s="147"/>
      <c r="M63" s="147"/>
      <c r="N63" s="147"/>
      <c r="O63" s="147"/>
      <c r="P63" s="181"/>
      <c r="R63" s="147"/>
      <c r="S63" s="147"/>
      <c r="T63" s="147"/>
      <c r="U63" s="147"/>
      <c r="V63" s="147"/>
      <c r="W63" s="181"/>
      <c r="Y63" s="147"/>
      <c r="Z63" s="147"/>
      <c r="AA63" s="147"/>
      <c r="AB63" s="147"/>
      <c r="AC63" s="147"/>
    </row>
    <row r="64" spans="2:29" ht="15" customHeight="1" x14ac:dyDescent="0.5">
      <c r="B64" s="139" t="s">
        <v>205</v>
      </c>
      <c r="C64" s="140" t="s">
        <v>112</v>
      </c>
      <c r="D64" s="141">
        <f>'BALANCE SHEET'!D35</f>
        <v>1671</v>
      </c>
      <c r="E64" s="141">
        <f>'BALANCE SHEET'!E35</f>
        <v>1510</v>
      </c>
      <c r="F64" s="141">
        <f>'BALANCE SHEET'!F35</f>
        <v>1376</v>
      </c>
      <c r="G64" s="141">
        <f>'BALANCE SHEET'!G35</f>
        <v>1058</v>
      </c>
      <c r="H64" s="141">
        <f>'BALANCE SHEET'!H35</f>
        <v>771</v>
      </c>
      <c r="I64" s="501"/>
      <c r="K64" s="141">
        <f>K18*K65</f>
        <v>778.96657999999991</v>
      </c>
      <c r="L64" s="141">
        <f t="shared" ref="L64:O64" si="122">L18*L65</f>
        <v>869.38594564000016</v>
      </c>
      <c r="M64" s="141">
        <f t="shared" si="122"/>
        <v>890.76667029030034</v>
      </c>
      <c r="N64" s="141">
        <f t="shared" si="122"/>
        <v>912.0460783712424</v>
      </c>
      <c r="O64" s="141">
        <f t="shared" si="122"/>
        <v>922.78899473988679</v>
      </c>
      <c r="P64" s="181"/>
      <c r="R64" s="141">
        <f t="shared" ref="R64:V64" si="123">R18*R65</f>
        <v>682.7569927200002</v>
      </c>
      <c r="S64" s="141">
        <f t="shared" si="123"/>
        <v>753.67861637328019</v>
      </c>
      <c r="T64" s="141">
        <f t="shared" si="123"/>
        <v>759.78951866161935</v>
      </c>
      <c r="U64" s="141">
        <f t="shared" si="123"/>
        <v>766.28849390589301</v>
      </c>
      <c r="V64" s="141">
        <f t="shared" si="123"/>
        <v>763.7873707291933</v>
      </c>
      <c r="W64" s="181"/>
      <c r="Y64" s="141">
        <f t="shared" ref="Y64:AC64" si="124">Y18*Y65</f>
        <v>613.8951007999998</v>
      </c>
      <c r="Z64" s="141">
        <f t="shared" si="124"/>
        <v>629.47360145920015</v>
      </c>
      <c r="AA64" s="141">
        <f t="shared" si="124"/>
        <v>631.43231043854382</v>
      </c>
      <c r="AB64" s="141">
        <f t="shared" si="124"/>
        <v>631.94367966525749</v>
      </c>
      <c r="AC64" s="141">
        <f t="shared" si="124"/>
        <v>613.97259677029683</v>
      </c>
    </row>
    <row r="65" spans="2:29" ht="15" customHeight="1" x14ac:dyDescent="0.45">
      <c r="B65" s="156" t="s">
        <v>3303</v>
      </c>
      <c r="C65" s="493" t="s">
        <v>113</v>
      </c>
      <c r="D65" s="157">
        <f>D64/D18</f>
        <v>0.25414448669201523</v>
      </c>
      <c r="E65" s="157">
        <f t="shared" ref="E65:H65" si="125">E64/E18</f>
        <v>0.20238573917705402</v>
      </c>
      <c r="F65" s="157">
        <f t="shared" si="125"/>
        <v>0.16711197473888753</v>
      </c>
      <c r="G65" s="157">
        <f t="shared" si="125"/>
        <v>0.14272224470524753</v>
      </c>
      <c r="H65" s="157">
        <f t="shared" si="125"/>
        <v>9.8254109850898427E-2</v>
      </c>
      <c r="I65" s="502"/>
      <c r="J65" s="41"/>
      <c r="K65" s="157">
        <f>D78</f>
        <v>0.1</v>
      </c>
      <c r="L65" s="157">
        <f t="shared" ref="L65:O65" si="126">E78</f>
        <v>0.1</v>
      </c>
      <c r="M65" s="157">
        <f t="shared" si="126"/>
        <v>0.1</v>
      </c>
      <c r="N65" s="157">
        <f t="shared" si="126"/>
        <v>0.1</v>
      </c>
      <c r="O65" s="157">
        <f t="shared" si="126"/>
        <v>0.1</v>
      </c>
      <c r="P65" s="503"/>
      <c r="Q65" s="41"/>
      <c r="R65" s="157">
        <f>D79</f>
        <v>0.09</v>
      </c>
      <c r="S65" s="157">
        <f t="shared" ref="S65:V65" si="127">E79</f>
        <v>0.09</v>
      </c>
      <c r="T65" s="157">
        <f t="shared" si="127"/>
        <v>0.09</v>
      </c>
      <c r="U65" s="157">
        <f t="shared" si="127"/>
        <v>0.09</v>
      </c>
      <c r="V65" s="157">
        <f t="shared" si="127"/>
        <v>0.09</v>
      </c>
      <c r="W65" s="503"/>
      <c r="X65" s="41"/>
      <c r="Y65" s="157">
        <f>D80</f>
        <v>0.08</v>
      </c>
      <c r="Z65" s="157">
        <f t="shared" ref="Z65:AC65" si="128">E80</f>
        <v>0.08</v>
      </c>
      <c r="AA65" s="157">
        <f t="shared" si="128"/>
        <v>0.08</v>
      </c>
      <c r="AB65" s="157">
        <f t="shared" si="128"/>
        <v>0.08</v>
      </c>
      <c r="AC65" s="157">
        <f t="shared" si="128"/>
        <v>0.08</v>
      </c>
    </row>
    <row r="66" spans="2:29" ht="15" customHeight="1" x14ac:dyDescent="0.25">
      <c r="B66" s="678"/>
      <c r="D66" s="988" t="s">
        <v>3286</v>
      </c>
      <c r="E66" s="988"/>
      <c r="F66" s="988"/>
      <c r="G66" s="988"/>
      <c r="H66" s="988"/>
      <c r="I66" s="181"/>
      <c r="K66" s="988" t="s">
        <v>3285</v>
      </c>
      <c r="L66" s="988"/>
      <c r="M66" s="988"/>
      <c r="N66" s="988"/>
      <c r="O66" s="988"/>
      <c r="P66" s="181"/>
      <c r="R66" s="988" t="s">
        <v>3287</v>
      </c>
      <c r="S66" s="988"/>
      <c r="T66" s="988"/>
      <c r="U66" s="988"/>
      <c r="V66" s="988"/>
      <c r="W66" s="181"/>
      <c r="Y66" s="988" t="s">
        <v>3288</v>
      </c>
      <c r="Z66" s="988"/>
      <c r="AA66" s="988"/>
      <c r="AB66" s="988"/>
      <c r="AC66" s="988"/>
    </row>
    <row r="67" spans="2:29" ht="15" customHeight="1" x14ac:dyDescent="0.25">
      <c r="B67" s="985" t="s">
        <v>3459</v>
      </c>
      <c r="D67" s="988"/>
      <c r="E67" s="988"/>
      <c r="F67" s="988"/>
      <c r="G67" s="988"/>
      <c r="H67" s="988"/>
      <c r="I67" s="181"/>
      <c r="K67" s="988"/>
      <c r="L67" s="988"/>
      <c r="M67" s="988"/>
      <c r="N67" s="988"/>
      <c r="O67" s="988"/>
      <c r="P67" s="181"/>
      <c r="R67" s="988"/>
      <c r="S67" s="988"/>
      <c r="T67" s="988"/>
      <c r="U67" s="988"/>
      <c r="V67" s="988"/>
      <c r="W67" s="181"/>
      <c r="Y67" s="988"/>
      <c r="Z67" s="988"/>
      <c r="AA67" s="988"/>
      <c r="AB67" s="988"/>
      <c r="AC67" s="988"/>
    </row>
    <row r="68" spans="2:29" ht="15" customHeight="1" x14ac:dyDescent="0.3">
      <c r="B68" s="985"/>
      <c r="D68" s="97" t="s">
        <v>83</v>
      </c>
      <c r="E68" s="97" t="s">
        <v>84</v>
      </c>
      <c r="F68" s="97" t="s">
        <v>85</v>
      </c>
      <c r="G68" s="97" t="s">
        <v>86</v>
      </c>
      <c r="H68" s="97" t="s">
        <v>87</v>
      </c>
      <c r="I68" s="181"/>
      <c r="K68" s="97" t="s">
        <v>83</v>
      </c>
      <c r="L68" s="97" t="s">
        <v>84</v>
      </c>
      <c r="M68" s="97" t="s">
        <v>85</v>
      </c>
      <c r="N68" s="97" t="s">
        <v>86</v>
      </c>
      <c r="O68" s="97" t="s">
        <v>87</v>
      </c>
      <c r="P68" s="181"/>
      <c r="R68" s="97" t="s">
        <v>83</v>
      </c>
      <c r="S68" s="97" t="s">
        <v>84</v>
      </c>
      <c r="T68" s="97" t="s">
        <v>85</v>
      </c>
      <c r="U68" s="97" t="s">
        <v>86</v>
      </c>
      <c r="V68" s="97" t="s">
        <v>87</v>
      </c>
      <c r="W68" s="181"/>
      <c r="Y68" s="97" t="s">
        <v>83</v>
      </c>
      <c r="Z68" s="97" t="s">
        <v>84</v>
      </c>
      <c r="AA68" s="97" t="s">
        <v>85</v>
      </c>
      <c r="AB68" s="97" t="s">
        <v>86</v>
      </c>
      <c r="AC68" s="97" t="s">
        <v>87</v>
      </c>
    </row>
    <row r="69" spans="2:29" ht="15" customHeight="1" x14ac:dyDescent="0.25">
      <c r="I69" s="181"/>
      <c r="P69" s="181"/>
      <c r="W69" s="181"/>
    </row>
    <row r="70" spans="2:29" ht="15" customHeight="1" x14ac:dyDescent="0.25">
      <c r="B70" s="82" t="s">
        <v>222</v>
      </c>
      <c r="C70" s="83"/>
      <c r="D70" s="151"/>
      <c r="E70" s="151"/>
      <c r="F70" s="151"/>
      <c r="G70" s="151"/>
      <c r="H70" s="151"/>
      <c r="I70" s="181"/>
      <c r="K70" s="154" t="s">
        <v>226</v>
      </c>
      <c r="L70" s="151"/>
      <c r="M70" s="151"/>
      <c r="N70" s="151"/>
      <c r="O70" s="151"/>
      <c r="P70" s="181"/>
      <c r="R70" s="154" t="s">
        <v>3258</v>
      </c>
      <c r="S70" s="151"/>
      <c r="T70" s="151"/>
      <c r="U70" s="151"/>
      <c r="V70" s="151"/>
      <c r="W70" s="181"/>
      <c r="Y70" s="154" t="s">
        <v>3315</v>
      </c>
      <c r="Z70" s="151"/>
      <c r="AA70" s="151"/>
      <c r="AB70" s="151"/>
      <c r="AC70" s="151"/>
    </row>
    <row r="71" spans="2:29" ht="7.05" customHeight="1" x14ac:dyDescent="0.25">
      <c r="B71" s="81"/>
      <c r="C71" s="77"/>
      <c r="D71" s="152"/>
      <c r="E71" s="152"/>
      <c r="F71" s="152"/>
      <c r="G71" s="152"/>
      <c r="H71" s="152"/>
      <c r="I71" s="181"/>
      <c r="K71" s="152"/>
      <c r="L71" s="152"/>
      <c r="M71" s="152"/>
      <c r="N71" s="152"/>
      <c r="O71" s="152"/>
      <c r="P71" s="181"/>
      <c r="R71" s="152"/>
      <c r="S71" s="152"/>
      <c r="T71" s="152"/>
      <c r="U71" s="152"/>
      <c r="V71" s="152"/>
      <c r="W71" s="181"/>
      <c r="Y71" s="152"/>
      <c r="Z71" s="152"/>
      <c r="AA71" s="152"/>
      <c r="AB71" s="152"/>
      <c r="AC71" s="152"/>
    </row>
    <row r="72" spans="2:29" ht="15" customHeight="1" x14ac:dyDescent="0.25">
      <c r="B72" s="81" t="s">
        <v>127</v>
      </c>
      <c r="C72" s="514" t="s">
        <v>113</v>
      </c>
      <c r="D72" s="289">
        <v>3.5000000000000003E-2</v>
      </c>
      <c r="E72" s="289">
        <v>3.5000000000000003E-2</v>
      </c>
      <c r="F72" s="289">
        <v>3.5000000000000003E-2</v>
      </c>
      <c r="G72" s="289">
        <v>3.5000000000000003E-2</v>
      </c>
      <c r="H72" s="289">
        <v>3.5000000000000003E-2</v>
      </c>
      <c r="I72" s="181"/>
      <c r="K72" s="289">
        <v>0.115</v>
      </c>
      <c r="L72" s="289">
        <v>0.115</v>
      </c>
      <c r="M72" s="289">
        <v>0.115</v>
      </c>
      <c r="N72" s="289">
        <v>0.115</v>
      </c>
      <c r="O72" s="289">
        <v>0.115</v>
      </c>
      <c r="P72" s="181"/>
      <c r="R72" s="92">
        <v>0.2</v>
      </c>
      <c r="S72" s="92">
        <v>0.15</v>
      </c>
      <c r="T72" s="92">
        <v>0.1</v>
      </c>
      <c r="U72" s="92">
        <v>0.05</v>
      </c>
      <c r="V72" s="92">
        <v>0.05</v>
      </c>
      <c r="W72" s="420"/>
      <c r="X72" s="69"/>
      <c r="Y72" s="92">
        <v>0.02</v>
      </c>
      <c r="Z72" s="92">
        <v>0.02</v>
      </c>
      <c r="AA72" s="92">
        <v>0.02</v>
      </c>
      <c r="AB72" s="92">
        <v>0.02</v>
      </c>
      <c r="AC72" s="92">
        <v>0.02</v>
      </c>
    </row>
    <row r="73" spans="2:29" ht="15" customHeight="1" x14ac:dyDescent="0.25">
      <c r="B73" s="81" t="s">
        <v>128</v>
      </c>
      <c r="C73" s="514" t="s">
        <v>113</v>
      </c>
      <c r="D73" s="289">
        <v>3.3399999999999999E-2</v>
      </c>
      <c r="E73" s="289">
        <v>3.3399999999999999E-2</v>
      </c>
      <c r="F73" s="289">
        <v>3.3399999999999999E-2</v>
      </c>
      <c r="G73" s="289">
        <v>3.3399999999999999E-2</v>
      </c>
      <c r="H73" s="289">
        <v>3.3399999999999999E-2</v>
      </c>
      <c r="I73" s="181"/>
      <c r="K73" s="289">
        <v>0.12</v>
      </c>
      <c r="L73" s="289">
        <v>0.12</v>
      </c>
      <c r="M73" s="289">
        <v>0.12</v>
      </c>
      <c r="N73" s="289">
        <v>0.12</v>
      </c>
      <c r="O73" s="289">
        <v>0.12</v>
      </c>
      <c r="P73" s="181"/>
      <c r="R73" s="92">
        <v>0.25</v>
      </c>
      <c r="S73" s="92">
        <v>0.3</v>
      </c>
      <c r="T73" s="92">
        <v>0.25</v>
      </c>
      <c r="U73" s="92">
        <v>0.15</v>
      </c>
      <c r="V73" s="92">
        <v>0.1</v>
      </c>
      <c r="W73" s="420"/>
      <c r="X73" s="69"/>
      <c r="Y73" s="92">
        <v>1.6500000000000001E-2</v>
      </c>
      <c r="Z73" s="92">
        <v>1.6500000000000001E-2</v>
      </c>
      <c r="AA73" s="92">
        <v>1.6500000000000001E-2</v>
      </c>
      <c r="AB73" s="92">
        <v>1.6500000000000001E-2</v>
      </c>
      <c r="AC73" s="92">
        <v>1.6500000000000001E-2</v>
      </c>
    </row>
    <row r="74" spans="2:29" ht="15" customHeight="1" x14ac:dyDescent="0.25">
      <c r="B74" s="84" t="s">
        <v>129</v>
      </c>
      <c r="C74" s="515" t="s">
        <v>113</v>
      </c>
      <c r="D74" s="434">
        <v>3.2000000000000001E-2</v>
      </c>
      <c r="E74" s="434">
        <v>3.2000000000000001E-2</v>
      </c>
      <c r="F74" s="434">
        <v>3.2000000000000001E-2</v>
      </c>
      <c r="G74" s="434">
        <v>3.2000000000000001E-2</v>
      </c>
      <c r="H74" s="434">
        <v>3.2000000000000001E-2</v>
      </c>
      <c r="I74" s="181"/>
      <c r="K74" s="434">
        <v>0.125</v>
      </c>
      <c r="L74" s="434">
        <v>0.125</v>
      </c>
      <c r="M74" s="434">
        <v>0.125</v>
      </c>
      <c r="N74" s="434">
        <v>0.125</v>
      </c>
      <c r="O74" s="434">
        <v>0.125</v>
      </c>
      <c r="P74" s="181"/>
      <c r="R74" s="93">
        <v>0.3</v>
      </c>
      <c r="S74" s="93">
        <v>0.4</v>
      </c>
      <c r="T74" s="93">
        <v>0.35</v>
      </c>
      <c r="U74" s="93">
        <v>0.25</v>
      </c>
      <c r="V74" s="93">
        <v>0.15</v>
      </c>
      <c r="W74" s="420"/>
      <c r="X74" s="69"/>
      <c r="Y74" s="93">
        <v>1.4E-2</v>
      </c>
      <c r="Z74" s="93">
        <v>1.4E-2</v>
      </c>
      <c r="AA74" s="93">
        <v>1.4E-2</v>
      </c>
      <c r="AB74" s="93">
        <v>1.4E-2</v>
      </c>
      <c r="AC74" s="93">
        <v>1.4E-2</v>
      </c>
    </row>
    <row r="75" spans="2:29" ht="15" customHeight="1" x14ac:dyDescent="0.25">
      <c r="C75" s="53"/>
      <c r="I75" s="181"/>
      <c r="P75" s="181"/>
      <c r="W75" s="181"/>
    </row>
    <row r="76" spans="2:29" ht="15" customHeight="1" x14ac:dyDescent="0.25">
      <c r="B76" s="82" t="s">
        <v>3304</v>
      </c>
      <c r="C76" s="516"/>
      <c r="D76" s="151"/>
      <c r="E76" s="151"/>
      <c r="F76" s="151"/>
      <c r="G76" s="151"/>
      <c r="H76" s="151"/>
      <c r="I76" s="181"/>
      <c r="K76" s="154" t="s">
        <v>3313</v>
      </c>
      <c r="L76" s="151"/>
      <c r="M76" s="151"/>
      <c r="N76" s="151"/>
      <c r="O76" s="151"/>
      <c r="P76" s="181"/>
      <c r="R76" s="154" t="s">
        <v>3268</v>
      </c>
      <c r="S76" s="151"/>
      <c r="T76" s="151"/>
      <c r="U76" s="151"/>
      <c r="V76" s="151"/>
      <c r="W76" s="181"/>
      <c r="Y76" s="154" t="s">
        <v>3316</v>
      </c>
      <c r="Z76" s="151"/>
      <c r="AA76" s="151"/>
      <c r="AB76" s="151"/>
      <c r="AC76" s="151"/>
    </row>
    <row r="77" spans="2:29" ht="15" customHeight="1" x14ac:dyDescent="0.25">
      <c r="B77" s="81"/>
      <c r="C77" s="514"/>
      <c r="D77" s="152"/>
      <c r="E77" s="152"/>
      <c r="F77" s="152"/>
      <c r="G77" s="152"/>
      <c r="H77" s="152"/>
      <c r="I77" s="181"/>
      <c r="K77" s="152"/>
      <c r="L77" s="152"/>
      <c r="M77" s="152"/>
      <c r="N77" s="152"/>
      <c r="O77" s="152"/>
      <c r="P77" s="181"/>
      <c r="R77" s="152"/>
      <c r="S77" s="152"/>
      <c r="T77" s="152"/>
      <c r="U77" s="152"/>
      <c r="V77" s="152"/>
      <c r="W77" s="181"/>
      <c r="Y77" s="152"/>
      <c r="Z77" s="152"/>
      <c r="AA77" s="152"/>
      <c r="AB77" s="152"/>
      <c r="AC77" s="152"/>
    </row>
    <row r="78" spans="2:29" ht="15" customHeight="1" x14ac:dyDescent="0.25">
      <c r="B78" s="81" t="s">
        <v>127</v>
      </c>
      <c r="C78" s="514" t="s">
        <v>113</v>
      </c>
      <c r="D78" s="92">
        <v>0.1</v>
      </c>
      <c r="E78" s="92">
        <v>0.1</v>
      </c>
      <c r="F78" s="92">
        <v>0.1</v>
      </c>
      <c r="G78" s="92">
        <v>0.1</v>
      </c>
      <c r="H78" s="92">
        <v>0.1</v>
      </c>
      <c r="I78" s="181"/>
      <c r="K78" s="92">
        <v>2.5000000000000001E-2</v>
      </c>
      <c r="L78" s="92">
        <v>2.5999999999999999E-2</v>
      </c>
      <c r="M78" s="92">
        <v>2.7E-2</v>
      </c>
      <c r="N78" s="92">
        <v>2.5999999999999999E-2</v>
      </c>
      <c r="O78" s="92">
        <v>2.5999999999999999E-2</v>
      </c>
      <c r="P78" s="420"/>
      <c r="Q78" s="69"/>
      <c r="R78" s="289">
        <v>5.0000000000000001E-4</v>
      </c>
      <c r="S78" s="289">
        <v>1E-3</v>
      </c>
      <c r="T78" s="289">
        <v>1.5E-3</v>
      </c>
      <c r="U78" s="289">
        <v>2E-3</v>
      </c>
      <c r="V78" s="289">
        <v>2.5000000000000001E-3</v>
      </c>
      <c r="W78" s="420"/>
      <c r="X78" s="69"/>
      <c r="Y78" s="92">
        <v>2.4E-2</v>
      </c>
      <c r="Z78" s="92">
        <v>2.4E-2</v>
      </c>
      <c r="AA78" s="92">
        <v>2.4E-2</v>
      </c>
      <c r="AB78" s="92">
        <v>2.4E-2</v>
      </c>
      <c r="AC78" s="92">
        <v>2.4E-2</v>
      </c>
    </row>
    <row r="79" spans="2:29" ht="15" customHeight="1" x14ac:dyDescent="0.25">
      <c r="B79" s="81" t="s">
        <v>128</v>
      </c>
      <c r="C79" s="514" t="s">
        <v>113</v>
      </c>
      <c r="D79" s="92">
        <v>0.09</v>
      </c>
      <c r="E79" s="92">
        <v>0.09</v>
      </c>
      <c r="F79" s="92">
        <v>0.09</v>
      </c>
      <c r="G79" s="92">
        <v>0.09</v>
      </c>
      <c r="H79" s="92">
        <v>0.09</v>
      </c>
      <c r="I79" s="181"/>
      <c r="K79" s="92">
        <v>2.3E-2</v>
      </c>
      <c r="L79" s="92">
        <v>2.4E-2</v>
      </c>
      <c r="M79" s="92">
        <v>2.3E-2</v>
      </c>
      <c r="N79" s="92">
        <v>2.4E-2</v>
      </c>
      <c r="O79" s="92">
        <v>2.3E-2</v>
      </c>
      <c r="P79" s="420"/>
      <c r="Q79" s="69"/>
      <c r="R79" s="289">
        <v>1E-3</v>
      </c>
      <c r="S79" s="289">
        <v>1.5E-3</v>
      </c>
      <c r="T79" s="289">
        <v>2E-3</v>
      </c>
      <c r="U79" s="289">
        <v>2.5000000000000001E-3</v>
      </c>
      <c r="V79" s="289">
        <v>3.0000000000000001E-3</v>
      </c>
      <c r="W79" s="420"/>
      <c r="X79" s="69"/>
      <c r="Y79" s="92">
        <v>2.4899999999999999E-2</v>
      </c>
      <c r="Z79" s="92">
        <v>2.4899999999999999E-2</v>
      </c>
      <c r="AA79" s="92">
        <v>2.4899999999999999E-2</v>
      </c>
      <c r="AB79" s="92">
        <v>2.4899999999999999E-2</v>
      </c>
      <c r="AC79" s="92">
        <v>2.4899999999999999E-2</v>
      </c>
    </row>
    <row r="80" spans="2:29" ht="15" customHeight="1" x14ac:dyDescent="0.25">
      <c r="B80" s="84" t="s">
        <v>129</v>
      </c>
      <c r="C80" s="515" t="s">
        <v>113</v>
      </c>
      <c r="D80" s="93">
        <v>0.08</v>
      </c>
      <c r="E80" s="93">
        <v>0.08</v>
      </c>
      <c r="F80" s="93">
        <v>0.08</v>
      </c>
      <c r="G80" s="93">
        <v>0.08</v>
      </c>
      <c r="H80" s="93">
        <v>0.08</v>
      </c>
      <c r="I80" s="181"/>
      <c r="K80" s="92">
        <v>2.1000000000000001E-2</v>
      </c>
      <c r="L80" s="92">
        <v>2.1000000000000001E-2</v>
      </c>
      <c r="M80" s="92">
        <v>2.1999999999999999E-2</v>
      </c>
      <c r="N80" s="92">
        <v>2.1999999999999999E-2</v>
      </c>
      <c r="O80" s="92">
        <v>2.1999999999999999E-2</v>
      </c>
      <c r="P80" s="420"/>
      <c r="Q80" s="69"/>
      <c r="R80" s="434">
        <v>1.5E-3</v>
      </c>
      <c r="S80" s="434">
        <v>2E-3</v>
      </c>
      <c r="T80" s="434">
        <v>2.5000000000000001E-3</v>
      </c>
      <c r="U80" s="434">
        <v>3.5000000000000001E-3</v>
      </c>
      <c r="V80" s="434">
        <v>4.0000000000000001E-3</v>
      </c>
      <c r="W80" s="420"/>
      <c r="X80" s="69"/>
      <c r="Y80" s="93">
        <v>2.5999999999999999E-2</v>
      </c>
      <c r="Z80" s="93">
        <v>2.5999999999999999E-2</v>
      </c>
      <c r="AA80" s="93">
        <v>2.5999999999999999E-2</v>
      </c>
      <c r="AB80" s="93">
        <v>2.5999999999999999E-2</v>
      </c>
      <c r="AC80" s="93">
        <v>2.5999999999999999E-2</v>
      </c>
    </row>
    <row r="81" spans="2:29" ht="15" customHeight="1" x14ac:dyDescent="0.25">
      <c r="C81" s="53"/>
      <c r="I81" s="181"/>
      <c r="K81" s="49"/>
      <c r="L81" s="49"/>
      <c r="M81" s="49"/>
      <c r="N81" s="49"/>
      <c r="O81" s="49"/>
      <c r="P81" s="181"/>
      <c r="R81" s="49"/>
      <c r="S81" s="49"/>
      <c r="T81" s="49"/>
      <c r="U81" s="49"/>
      <c r="V81" s="49"/>
      <c r="W81" s="181"/>
      <c r="Y81" s="49"/>
      <c r="Z81" s="49"/>
      <c r="AA81" s="49"/>
      <c r="AB81" s="49"/>
      <c r="AC81" s="49"/>
    </row>
    <row r="82" spans="2:29" ht="15" customHeight="1" x14ac:dyDescent="0.25">
      <c r="B82" s="82" t="s">
        <v>3311</v>
      </c>
      <c r="C82" s="516"/>
      <c r="D82" s="151"/>
      <c r="E82" s="151"/>
      <c r="F82" s="151"/>
      <c r="G82" s="151"/>
      <c r="H82" s="151"/>
      <c r="I82" s="181"/>
      <c r="K82" s="154" t="s">
        <v>3312</v>
      </c>
      <c r="L82" s="151"/>
      <c r="M82" s="151"/>
      <c r="N82" s="151"/>
      <c r="O82" s="151"/>
      <c r="P82" s="181"/>
      <c r="R82" s="154" t="s">
        <v>3314</v>
      </c>
      <c r="S82" s="151"/>
      <c r="T82" s="151"/>
      <c r="U82" s="151"/>
      <c r="V82" s="151"/>
      <c r="W82" s="181"/>
      <c r="Y82" s="154" t="s">
        <v>3271</v>
      </c>
      <c r="Z82" s="151"/>
      <c r="AA82" s="151"/>
      <c r="AB82" s="151"/>
      <c r="AC82" s="151"/>
    </row>
    <row r="83" spans="2:29" ht="15" customHeight="1" x14ac:dyDescent="0.25">
      <c r="B83" s="81"/>
      <c r="C83" s="514"/>
      <c r="D83" s="152"/>
      <c r="E83" s="152"/>
      <c r="F83" s="152"/>
      <c r="G83" s="152"/>
      <c r="H83" s="152"/>
      <c r="I83" s="181"/>
      <c r="K83" s="155"/>
      <c r="L83" s="155"/>
      <c r="M83" s="155"/>
      <c r="N83" s="155"/>
      <c r="O83" s="155"/>
      <c r="P83" s="420"/>
      <c r="Q83" s="69"/>
      <c r="R83" s="155"/>
      <c r="S83" s="155"/>
      <c r="T83" s="155"/>
      <c r="U83" s="155"/>
      <c r="V83" s="155"/>
      <c r="W83" s="420"/>
      <c r="X83" s="69"/>
      <c r="Y83" s="155"/>
      <c r="Z83" s="155"/>
      <c r="AA83" s="155"/>
      <c r="AB83" s="155"/>
      <c r="AC83" s="155"/>
    </row>
    <row r="84" spans="2:29" ht="15" customHeight="1" x14ac:dyDescent="0.25">
      <c r="B84" s="81" t="s">
        <v>127</v>
      </c>
      <c r="C84" s="514" t="s">
        <v>113</v>
      </c>
      <c r="D84" s="92">
        <v>3.2000000000000001E-2</v>
      </c>
      <c r="E84" s="92">
        <v>3.4000000000000002E-2</v>
      </c>
      <c r="F84" s="92">
        <v>3.5999999999999997E-2</v>
      </c>
      <c r="G84" s="92">
        <v>3.7999999999999999E-2</v>
      </c>
      <c r="H84" s="92">
        <v>0.04</v>
      </c>
      <c r="I84" s="181"/>
      <c r="K84" s="92">
        <v>3.2000000000000001E-2</v>
      </c>
      <c r="L84" s="92">
        <v>3.3000000000000002E-2</v>
      </c>
      <c r="M84" s="92">
        <v>3.4000000000000002E-2</v>
      </c>
      <c r="N84" s="92">
        <v>3.5000000000000003E-2</v>
      </c>
      <c r="O84" s="92">
        <v>3.6999999999999998E-2</v>
      </c>
      <c r="P84" s="420"/>
      <c r="Q84" s="69"/>
      <c r="R84" s="92">
        <v>0.03</v>
      </c>
      <c r="S84" s="92">
        <v>0.03</v>
      </c>
      <c r="T84" s="92">
        <v>0.03</v>
      </c>
      <c r="U84" s="92">
        <v>0.03</v>
      </c>
      <c r="V84" s="92">
        <v>0.03</v>
      </c>
      <c r="W84" s="420"/>
      <c r="X84" s="69"/>
      <c r="Y84" s="92">
        <v>0.13</v>
      </c>
      <c r="Z84" s="92">
        <v>0.1</v>
      </c>
      <c r="AA84" s="92">
        <v>0.09</v>
      </c>
      <c r="AB84" s="92">
        <v>0.08</v>
      </c>
      <c r="AC84" s="92">
        <v>7.0000000000000007E-2</v>
      </c>
    </row>
    <row r="85" spans="2:29" ht="15" customHeight="1" x14ac:dyDescent="0.25">
      <c r="B85" s="81" t="s">
        <v>128</v>
      </c>
      <c r="C85" s="514" t="s">
        <v>113</v>
      </c>
      <c r="D85" s="92">
        <v>0.03</v>
      </c>
      <c r="E85" s="92">
        <v>0.03</v>
      </c>
      <c r="F85" s="92">
        <v>0.03</v>
      </c>
      <c r="G85" s="92">
        <v>3.2000000000000001E-2</v>
      </c>
      <c r="H85" s="92">
        <v>3.2000000000000001E-2</v>
      </c>
      <c r="I85" s="181"/>
      <c r="K85" s="92">
        <v>0.03</v>
      </c>
      <c r="L85" s="92">
        <v>3.1E-2</v>
      </c>
      <c r="M85" s="92">
        <v>3.2000000000000001E-2</v>
      </c>
      <c r="N85" s="92">
        <v>3.3000000000000002E-2</v>
      </c>
      <c r="O85" s="92">
        <v>3.5000000000000003E-2</v>
      </c>
      <c r="P85" s="420"/>
      <c r="Q85" s="69"/>
      <c r="R85" s="92">
        <v>3.4599999999999999E-2</v>
      </c>
      <c r="S85" s="92">
        <v>3.4599999999999999E-2</v>
      </c>
      <c r="T85" s="92">
        <v>3.4599999999999999E-2</v>
      </c>
      <c r="U85" s="92">
        <v>3.4599999999999999E-2</v>
      </c>
      <c r="V85" s="92">
        <v>3.4599999999999999E-2</v>
      </c>
      <c r="W85" s="420"/>
      <c r="X85" s="69"/>
      <c r="Y85" s="92">
        <v>0.14000000000000001</v>
      </c>
      <c r="Z85" s="92">
        <v>0.12</v>
      </c>
      <c r="AA85" s="92">
        <v>0.1</v>
      </c>
      <c r="AB85" s="92">
        <v>0.09</v>
      </c>
      <c r="AC85" s="92">
        <v>0.08</v>
      </c>
    </row>
    <row r="86" spans="2:29" ht="15" customHeight="1" x14ac:dyDescent="0.25">
      <c r="B86" s="84" t="s">
        <v>129</v>
      </c>
      <c r="C86" s="515" t="s">
        <v>113</v>
      </c>
      <c r="D86" s="93">
        <v>2.8000000000000001E-2</v>
      </c>
      <c r="E86" s="93">
        <v>2.8000000000000001E-2</v>
      </c>
      <c r="F86" s="93">
        <v>2.8000000000000001E-2</v>
      </c>
      <c r="G86" s="93">
        <v>0.03</v>
      </c>
      <c r="H86" s="93">
        <v>0.03</v>
      </c>
      <c r="I86" s="181"/>
      <c r="K86" s="93">
        <v>2.8000000000000001E-2</v>
      </c>
      <c r="L86" s="93">
        <v>2.8000000000000001E-2</v>
      </c>
      <c r="M86" s="93">
        <v>0.03</v>
      </c>
      <c r="N86" s="93">
        <v>0.03</v>
      </c>
      <c r="O86" s="93">
        <v>3.2000000000000001E-2</v>
      </c>
      <c r="P86" s="420"/>
      <c r="Q86" s="69"/>
      <c r="R86" s="93">
        <v>0.04</v>
      </c>
      <c r="S86" s="93">
        <v>0.04</v>
      </c>
      <c r="T86" s="93">
        <v>0.04</v>
      </c>
      <c r="U86" s="93">
        <v>0.04</v>
      </c>
      <c r="V86" s="93">
        <v>0.04</v>
      </c>
      <c r="W86" s="420"/>
      <c r="X86" s="69"/>
      <c r="Y86" s="93">
        <v>0.19</v>
      </c>
      <c r="Z86" s="93">
        <v>0.19</v>
      </c>
      <c r="AA86" s="93">
        <v>0.19</v>
      </c>
      <c r="AB86" s="93">
        <v>0.19</v>
      </c>
      <c r="AC86" s="93">
        <v>0.19</v>
      </c>
    </row>
    <row r="87" spans="2:29" ht="15" customHeight="1" x14ac:dyDescent="0.25">
      <c r="C87" s="53"/>
      <c r="I87" s="181"/>
      <c r="P87" s="181"/>
      <c r="W87" s="181"/>
    </row>
    <row r="88" spans="2:29" ht="15" customHeight="1" x14ac:dyDescent="0.25">
      <c r="B88" s="82" t="s">
        <v>3269</v>
      </c>
      <c r="C88" s="516"/>
      <c r="D88" s="151"/>
      <c r="E88" s="151"/>
      <c r="F88" s="151"/>
      <c r="G88" s="151"/>
      <c r="H88" s="151"/>
      <c r="I88" s="181"/>
      <c r="K88" s="154" t="s">
        <v>3260</v>
      </c>
      <c r="L88" s="151"/>
      <c r="M88" s="151"/>
      <c r="N88" s="151"/>
      <c r="O88" s="151"/>
      <c r="P88" s="181"/>
      <c r="R88" s="154" t="s">
        <v>228</v>
      </c>
      <c r="S88" s="151"/>
      <c r="T88" s="151"/>
      <c r="U88" s="151"/>
      <c r="V88" s="151"/>
      <c r="W88" s="181"/>
      <c r="Y88" s="154" t="s">
        <v>230</v>
      </c>
      <c r="Z88" s="151"/>
      <c r="AA88" s="151"/>
      <c r="AB88" s="151"/>
      <c r="AC88" s="151"/>
    </row>
    <row r="89" spans="2:29" ht="15" customHeight="1" x14ac:dyDescent="0.25">
      <c r="B89" s="81"/>
      <c r="C89" s="514"/>
      <c r="D89" s="152"/>
      <c r="E89" s="152"/>
      <c r="F89" s="152"/>
      <c r="G89" s="152"/>
      <c r="H89" s="152"/>
      <c r="I89" s="181"/>
      <c r="K89" s="155"/>
      <c r="L89" s="155"/>
      <c r="M89" s="155"/>
      <c r="N89" s="155"/>
      <c r="O89" s="155"/>
      <c r="P89" s="181"/>
      <c r="R89" s="155"/>
      <c r="S89" s="155"/>
      <c r="T89" s="155"/>
      <c r="U89" s="155"/>
      <c r="V89" s="155"/>
      <c r="W89" s="181"/>
      <c r="Y89" s="155"/>
      <c r="Z89" s="155"/>
      <c r="AA89" s="155"/>
      <c r="AB89" s="155"/>
      <c r="AC89" s="155"/>
    </row>
    <row r="90" spans="2:29" ht="15" customHeight="1" x14ac:dyDescent="0.25">
      <c r="B90" s="81" t="s">
        <v>127</v>
      </c>
      <c r="C90" s="514" t="s">
        <v>3317</v>
      </c>
      <c r="D90" s="345">
        <v>43</v>
      </c>
      <c r="E90" s="345">
        <v>42</v>
      </c>
      <c r="F90" s="345">
        <v>40</v>
      </c>
      <c r="G90" s="345">
        <v>39</v>
      </c>
      <c r="H90" s="345">
        <v>37</v>
      </c>
      <c r="I90" s="181"/>
      <c r="K90" s="92">
        <v>0.04</v>
      </c>
      <c r="L90" s="92">
        <v>0.04</v>
      </c>
      <c r="M90" s="92">
        <v>0.04</v>
      </c>
      <c r="N90" s="92">
        <v>0.04</v>
      </c>
      <c r="O90" s="92">
        <v>0.04</v>
      </c>
      <c r="P90" s="181"/>
      <c r="R90" s="345">
        <v>1</v>
      </c>
      <c r="S90" s="345">
        <v>1</v>
      </c>
      <c r="T90" s="345">
        <v>1</v>
      </c>
      <c r="U90" s="345">
        <v>1</v>
      </c>
      <c r="V90" s="345">
        <v>1</v>
      </c>
      <c r="W90" s="181"/>
      <c r="Y90" s="345">
        <v>35</v>
      </c>
      <c r="Z90" s="345">
        <v>35</v>
      </c>
      <c r="AA90" s="345">
        <v>35</v>
      </c>
      <c r="AB90" s="345">
        <v>35</v>
      </c>
      <c r="AC90" s="345">
        <v>35</v>
      </c>
    </row>
    <row r="91" spans="2:29" ht="15" customHeight="1" x14ac:dyDescent="0.25">
      <c r="B91" s="81" t="s">
        <v>128</v>
      </c>
      <c r="C91" s="514" t="s">
        <v>3317</v>
      </c>
      <c r="D91" s="345">
        <v>45</v>
      </c>
      <c r="E91" s="345">
        <v>44</v>
      </c>
      <c r="F91" s="345">
        <v>42</v>
      </c>
      <c r="G91" s="345">
        <v>41</v>
      </c>
      <c r="H91" s="345">
        <v>40</v>
      </c>
      <c r="I91" s="181"/>
      <c r="K91" s="92">
        <v>2.7E-2</v>
      </c>
      <c r="L91" s="92">
        <v>2.7E-2</v>
      </c>
      <c r="M91" s="92">
        <v>2.7E-2</v>
      </c>
      <c r="N91" s="92">
        <v>2.7E-2</v>
      </c>
      <c r="O91" s="92">
        <v>2.7E-2</v>
      </c>
      <c r="P91" s="181"/>
      <c r="R91" s="345">
        <v>1</v>
      </c>
      <c r="S91" s="345">
        <v>1</v>
      </c>
      <c r="T91" s="345">
        <v>1</v>
      </c>
      <c r="U91" s="345">
        <v>1</v>
      </c>
      <c r="V91" s="345">
        <v>1</v>
      </c>
      <c r="W91" s="181"/>
      <c r="Y91" s="345">
        <v>33</v>
      </c>
      <c r="Z91" s="345">
        <v>33</v>
      </c>
      <c r="AA91" s="345">
        <v>33</v>
      </c>
      <c r="AB91" s="345">
        <v>33</v>
      </c>
      <c r="AC91" s="345">
        <v>33</v>
      </c>
    </row>
    <row r="92" spans="2:29" ht="15" customHeight="1" x14ac:dyDescent="0.25">
      <c r="B92" s="84" t="s">
        <v>129</v>
      </c>
      <c r="C92" s="515" t="s">
        <v>3317</v>
      </c>
      <c r="D92" s="346">
        <v>46</v>
      </c>
      <c r="E92" s="346">
        <v>47</v>
      </c>
      <c r="F92" s="346">
        <v>48</v>
      </c>
      <c r="G92" s="346">
        <v>49</v>
      </c>
      <c r="H92" s="346">
        <v>50</v>
      </c>
      <c r="I92" s="181"/>
      <c r="K92" s="93">
        <v>1.4999999999999999E-2</v>
      </c>
      <c r="L92" s="93">
        <v>1.4999999999999999E-2</v>
      </c>
      <c r="M92" s="93">
        <v>1.4999999999999999E-2</v>
      </c>
      <c r="N92" s="93">
        <v>1.4999999999999999E-2</v>
      </c>
      <c r="O92" s="93">
        <v>1.4999999999999999E-2</v>
      </c>
      <c r="P92" s="181"/>
      <c r="R92" s="346">
        <v>1</v>
      </c>
      <c r="S92" s="346">
        <v>1</v>
      </c>
      <c r="T92" s="346">
        <v>1</v>
      </c>
      <c r="U92" s="346">
        <v>1</v>
      </c>
      <c r="V92" s="346">
        <v>1</v>
      </c>
      <c r="W92" s="181"/>
      <c r="Y92" s="346">
        <v>31</v>
      </c>
      <c r="Z92" s="346">
        <v>31</v>
      </c>
      <c r="AA92" s="346">
        <v>31</v>
      </c>
      <c r="AB92" s="346">
        <v>31</v>
      </c>
      <c r="AC92" s="346">
        <v>31</v>
      </c>
    </row>
    <row r="93" spans="2:29" ht="15" customHeight="1" x14ac:dyDescent="0.25">
      <c r="I93" s="181"/>
      <c r="P93" s="181"/>
      <c r="W93" s="181"/>
    </row>
    <row r="94" spans="2:29" ht="15" customHeight="1" x14ac:dyDescent="0.25">
      <c r="B94" s="986" t="s">
        <v>231</v>
      </c>
      <c r="C94" s="986"/>
      <c r="D94" s="986"/>
      <c r="E94" s="986"/>
      <c r="F94" s="986"/>
      <c r="G94" s="986"/>
      <c r="H94" s="986"/>
      <c r="I94" s="181"/>
      <c r="K94" s="990" t="s">
        <v>3324</v>
      </c>
      <c r="L94" s="990"/>
      <c r="M94" s="990"/>
      <c r="N94" s="990"/>
      <c r="O94" s="990"/>
      <c r="P94" s="181"/>
      <c r="R94" s="990" t="s">
        <v>3325</v>
      </c>
      <c r="S94" s="990"/>
      <c r="T94" s="990"/>
      <c r="U94" s="990"/>
      <c r="V94" s="990"/>
      <c r="W94" s="181"/>
      <c r="Y94" s="990" t="s">
        <v>3326</v>
      </c>
      <c r="Z94" s="990"/>
      <c r="AA94" s="990"/>
      <c r="AB94" s="990"/>
      <c r="AC94" s="990"/>
    </row>
    <row r="95" spans="2:29" ht="15" customHeight="1" x14ac:dyDescent="0.25">
      <c r="B95" s="986"/>
      <c r="C95" s="986"/>
      <c r="D95" s="986"/>
      <c r="E95" s="986"/>
      <c r="F95" s="986"/>
      <c r="G95" s="986"/>
      <c r="H95" s="986"/>
      <c r="I95" s="181"/>
      <c r="K95" s="990"/>
      <c r="L95" s="990"/>
      <c r="M95" s="990"/>
      <c r="N95" s="990"/>
      <c r="O95" s="990"/>
      <c r="P95" s="181"/>
      <c r="R95" s="990"/>
      <c r="S95" s="990"/>
      <c r="T95" s="990"/>
      <c r="U95" s="990"/>
      <c r="V95" s="990"/>
      <c r="W95" s="181"/>
      <c r="Y95" s="990"/>
      <c r="Z95" s="990"/>
      <c r="AA95" s="990"/>
      <c r="AB95" s="990"/>
      <c r="AC95" s="990"/>
    </row>
    <row r="96" spans="2:29" ht="15" customHeight="1" x14ac:dyDescent="0.25">
      <c r="I96" s="181"/>
      <c r="K96" s="49"/>
      <c r="P96" s="181"/>
      <c r="R96" s="49"/>
      <c r="W96" s="181"/>
    </row>
    <row r="97" spans="2:29" ht="15" customHeight="1" x14ac:dyDescent="0.25">
      <c r="B97" s="498" t="s">
        <v>96</v>
      </c>
      <c r="C97" s="512" t="s">
        <v>112</v>
      </c>
      <c r="D97" s="499">
        <f>'P &amp; L ASSUMPTIONS'!D56</f>
        <v>44351</v>
      </c>
      <c r="E97" s="499">
        <f>'P &amp; L ASSUMPTIONS'!E56</f>
        <v>59072</v>
      </c>
      <c r="F97" s="499">
        <f>'P &amp; L ASSUMPTIONS'!F56</f>
        <v>67302</v>
      </c>
      <c r="G97" s="499">
        <f>'P &amp; L ASSUMPTIONS'!G56</f>
        <v>67100</v>
      </c>
      <c r="H97" s="499">
        <f>'P &amp; L ASSUMPTIONS'!H56</f>
        <v>65287</v>
      </c>
      <c r="I97" s="181"/>
      <c r="K97" s="499">
        <f>'P &amp; L ASSUMPTIONS'!K56</f>
        <v>63885.004800000002</v>
      </c>
      <c r="L97" s="499">
        <f>'P &amp; L ASSUMPTIONS'!L56</f>
        <v>64523.854847999995</v>
      </c>
      <c r="M97" s="499">
        <f>'P &amp; L ASSUMPTIONS'!M56</f>
        <v>65814.331944959995</v>
      </c>
      <c r="N97" s="499">
        <f>'P &amp; L ASSUMPTIONS'!N56</f>
        <v>67130.618583859192</v>
      </c>
      <c r="O97" s="499">
        <f>'P &amp; L ASSUMPTIONS'!O56</f>
        <v>69144.537141374982</v>
      </c>
      <c r="P97" s="181"/>
      <c r="R97" s="499">
        <f>'P &amp; L ASSUMPTIONS'!R56</f>
        <v>63501.926399999997</v>
      </c>
      <c r="S97" s="499">
        <f>'P &amp; L ASSUMPTIONS'!S56</f>
        <v>62866.907135999994</v>
      </c>
      <c r="T97" s="499">
        <f>'P &amp; L ASSUMPTIONS'!T56</f>
        <v>63495.576207359998</v>
      </c>
      <c r="U97" s="499">
        <f>'P &amp; L ASSUMPTIONS'!U56</f>
        <v>64130.531969433599</v>
      </c>
      <c r="V97" s="499">
        <f>'P &amp; L ASSUMPTIONS'!V56</f>
        <v>65413.142608822272</v>
      </c>
      <c r="W97" s="181"/>
      <c r="Y97" s="499">
        <f>'P &amp; L ASSUMPTIONS'!Y56</f>
        <v>64058.726399999992</v>
      </c>
      <c r="Z97" s="499">
        <f>'P &amp; L ASSUMPTIONS'!Z56</f>
        <v>63097.84550399999</v>
      </c>
      <c r="AA97" s="499">
        <f>'P &amp; L ASSUMPTIONS'!AA56</f>
        <v>62466.867048959997</v>
      </c>
      <c r="AB97" s="499">
        <f>'P &amp; L ASSUMPTIONS'!AB56</f>
        <v>61842.198378470399</v>
      </c>
      <c r="AC97" s="499">
        <f>'P &amp; L ASSUMPTIONS'!AC56</f>
        <v>62460.620362255104</v>
      </c>
    </row>
    <row r="98" spans="2:29" ht="15" customHeight="1" x14ac:dyDescent="0.25">
      <c r="I98" s="181"/>
      <c r="P98" s="181"/>
      <c r="W98" s="181"/>
    </row>
    <row r="99" spans="2:29" ht="15" customHeight="1" x14ac:dyDescent="0.25">
      <c r="B99" s="40" t="s">
        <v>3266</v>
      </c>
      <c r="C99" s="60" t="s">
        <v>112</v>
      </c>
      <c r="D99" s="46">
        <f>'BALANCE SHEET'!D13</f>
        <v>9430</v>
      </c>
      <c r="E99" s="46">
        <f>'BALANCE SHEET'!E13</f>
        <v>11522</v>
      </c>
      <c r="F99" s="46">
        <f>'BALANCE SHEET'!F13</f>
        <v>12635</v>
      </c>
      <c r="G99" s="46">
        <f>'BALANCE SHEET'!G13</f>
        <v>11548</v>
      </c>
      <c r="H99" s="46">
        <f>'BALANCE SHEET'!H13</f>
        <v>11745</v>
      </c>
      <c r="I99" s="181"/>
      <c r="K99" s="46">
        <f>(D$90*K$41)/365</f>
        <v>11085.272767123288</v>
      </c>
      <c r="L99" s="46">
        <f>(E$90*L$41)/365</f>
        <v>10959.437562739726</v>
      </c>
      <c r="M99" s="46">
        <f>(F$90*M$41)/365</f>
        <v>10665.440911780821</v>
      </c>
      <c r="N99" s="46">
        <f>(G$90*N$41)/365</f>
        <v>10626.551982888328</v>
      </c>
      <c r="O99" s="46">
        <f>(H$90*O$41)/365</f>
        <v>10398.960510738763</v>
      </c>
      <c r="P99" s="181"/>
      <c r="R99" s="46">
        <f>(D$91*R$41)/365</f>
        <v>11376.409315068491</v>
      </c>
      <c r="S99" s="46">
        <f>(E$91*S$41)/365</f>
        <v>11041.861334794519</v>
      </c>
      <c r="T99" s="46">
        <f>(F$91*T$41)/365</f>
        <v>10665.067570126028</v>
      </c>
      <c r="U99" s="46">
        <f>(G$91*U$41)/365</f>
        <v>10535.450937537205</v>
      </c>
      <c r="V99" s="46">
        <f>(H$91*V$41)/365</f>
        <v>10499.579676213438</v>
      </c>
      <c r="W99" s="181"/>
      <c r="Y99" s="46">
        <f>(D$92*Y$41)/365</f>
        <v>11568.185863013698</v>
      </c>
      <c r="Z99" s="46">
        <f>(E$92*Z$41)/365</f>
        <v>11670.980664109587</v>
      </c>
      <c r="AA99" s="46">
        <f>(F$92*AA$41)/365</f>
        <v>11827.728989983561</v>
      </c>
      <c r="AB99" s="46">
        <f>(G$92*AB$41)/365</f>
        <v>11982.724585436932</v>
      </c>
      <c r="AC99" s="46">
        <f>(H$92*AC$41)/365</f>
        <v>12368.215550663892</v>
      </c>
    </row>
    <row r="100" spans="2:29" ht="15" customHeight="1" x14ac:dyDescent="0.3">
      <c r="B100" s="70" t="s">
        <v>227</v>
      </c>
      <c r="C100" s="90" t="s">
        <v>3338</v>
      </c>
      <c r="D100" s="78" t="s">
        <v>122</v>
      </c>
      <c r="E100" s="103">
        <f>'RATIO ANALYSIS'!D30</f>
        <v>61.432450235367831</v>
      </c>
      <c r="F100" s="103">
        <f>'RATIO ANALYSIS'!E30</f>
        <v>55.434527027876619</v>
      </c>
      <c r="G100" s="103">
        <f>'RATIO ANALYSIS'!F30</f>
        <v>48.533540440974328</v>
      </c>
      <c r="H100" s="103">
        <f>'RATIO ANALYSIS'!G30</f>
        <v>47.341386952357617</v>
      </c>
      <c r="I100" s="503"/>
      <c r="J100" s="41"/>
      <c r="K100" s="103">
        <f>D90</f>
        <v>43</v>
      </c>
      <c r="L100" s="103">
        <f t="shared" ref="L100:O100" si="129">E90</f>
        <v>42</v>
      </c>
      <c r="M100" s="103">
        <f t="shared" si="129"/>
        <v>40</v>
      </c>
      <c r="N100" s="103">
        <f t="shared" si="129"/>
        <v>39</v>
      </c>
      <c r="O100" s="103">
        <f t="shared" si="129"/>
        <v>37</v>
      </c>
      <c r="P100" s="503"/>
      <c r="Q100" s="41"/>
      <c r="R100" s="103">
        <f>D91</f>
        <v>45</v>
      </c>
      <c r="S100" s="103">
        <f t="shared" ref="S100:V100" si="130">E91</f>
        <v>44</v>
      </c>
      <c r="T100" s="103">
        <f t="shared" si="130"/>
        <v>42</v>
      </c>
      <c r="U100" s="103">
        <f t="shared" si="130"/>
        <v>41</v>
      </c>
      <c r="V100" s="103">
        <f t="shared" si="130"/>
        <v>40</v>
      </c>
      <c r="W100" s="503"/>
      <c r="X100" s="41"/>
      <c r="Y100" s="103">
        <f>D92</f>
        <v>46</v>
      </c>
      <c r="Z100" s="103">
        <f t="shared" ref="Z100:AC100" si="131">E92</f>
        <v>47</v>
      </c>
      <c r="AA100" s="103">
        <f t="shared" si="131"/>
        <v>48</v>
      </c>
      <c r="AB100" s="103">
        <f t="shared" si="131"/>
        <v>49</v>
      </c>
      <c r="AC100" s="103">
        <f t="shared" si="131"/>
        <v>50</v>
      </c>
    </row>
    <row r="101" spans="2:29" ht="15" customHeight="1" x14ac:dyDescent="0.25">
      <c r="B101" s="102"/>
      <c r="C101" s="100"/>
      <c r="D101" s="179"/>
      <c r="E101" s="104"/>
      <c r="F101" s="104"/>
      <c r="G101" s="104"/>
      <c r="H101" s="104"/>
      <c r="I101" s="181"/>
      <c r="K101" s="104"/>
      <c r="L101" s="104"/>
      <c r="M101" s="104"/>
      <c r="N101" s="104"/>
      <c r="O101" s="104"/>
      <c r="P101" s="181"/>
      <c r="R101" s="104"/>
      <c r="S101" s="104"/>
      <c r="T101" s="104"/>
      <c r="U101" s="104"/>
      <c r="V101" s="104"/>
      <c r="W101" s="181"/>
      <c r="Y101" s="104"/>
      <c r="Z101" s="104"/>
      <c r="AA101" s="104"/>
      <c r="AB101" s="104"/>
      <c r="AC101" s="104"/>
    </row>
    <row r="102" spans="2:29" ht="15" customHeight="1" x14ac:dyDescent="0.25">
      <c r="B102" s="104" t="s">
        <v>3270</v>
      </c>
      <c r="C102" s="334" t="s">
        <v>112</v>
      </c>
      <c r="D102" s="179">
        <f>'BALANCE SHEET'!D31</f>
        <v>436</v>
      </c>
      <c r="E102" s="179">
        <f>'BALANCE SHEET'!E31</f>
        <v>476</v>
      </c>
      <c r="F102" s="179">
        <f>'BALANCE SHEET'!F31</f>
        <v>86</v>
      </c>
      <c r="G102" s="179">
        <f>'BALANCE SHEET'!G31</f>
        <v>405</v>
      </c>
      <c r="H102" s="179">
        <f>'BALANCE SHEET'!H31</f>
        <v>30</v>
      </c>
      <c r="I102" s="181"/>
      <c r="K102" s="104">
        <f>K41*K103</f>
        <v>47.047960000000003</v>
      </c>
      <c r="L102" s="104">
        <f>L41*L103</f>
        <v>95.242731199999994</v>
      </c>
      <c r="M102" s="104">
        <f>M41*M103</f>
        <v>145.98322247999999</v>
      </c>
      <c r="N102" s="104">
        <f>N41*N103</f>
        <v>198.90725506432</v>
      </c>
      <c r="O102" s="104">
        <f>O41*O103</f>
        <v>256.46085043376002</v>
      </c>
      <c r="P102" s="181"/>
      <c r="R102" s="104">
        <f>R41*R103</f>
        <v>92.275319999999994</v>
      </c>
      <c r="S102" s="104">
        <f>S41*S103</f>
        <v>137.3958882</v>
      </c>
      <c r="T102" s="104">
        <f>T41*T103</f>
        <v>185.36903157600003</v>
      </c>
      <c r="U102" s="104">
        <f>U41*U103</f>
        <v>234.4780239147</v>
      </c>
      <c r="V102" s="104">
        <f>V41*V103</f>
        <v>287.42599363634281</v>
      </c>
      <c r="W102" s="181"/>
      <c r="Y102" s="104">
        <f>Y41*Y103</f>
        <v>137.68655999999999</v>
      </c>
      <c r="Z102" s="104">
        <f>Z41*Z103</f>
        <v>181.27267839999999</v>
      </c>
      <c r="AA102" s="104">
        <f>AA41*AA103</f>
        <v>224.85005632000002</v>
      </c>
      <c r="AB102" s="104">
        <f>AB41*AB103</f>
        <v>312.40674812032006</v>
      </c>
      <c r="AC102" s="104">
        <f>AC41*AC103</f>
        <v>361.15189407938561</v>
      </c>
    </row>
    <row r="103" spans="2:29" ht="15" customHeight="1" x14ac:dyDescent="0.3">
      <c r="B103" s="70" t="s">
        <v>3310</v>
      </c>
      <c r="C103" s="90" t="s">
        <v>113</v>
      </c>
      <c r="D103" s="436">
        <f>D102/D41</f>
        <v>6.7466150870406187E-3</v>
      </c>
      <c r="E103" s="436">
        <f>E102/E41</f>
        <v>5.8340482902316457E-3</v>
      </c>
      <c r="F103" s="436">
        <f>F102/F41</f>
        <v>9.2273688050557401E-4</v>
      </c>
      <c r="G103" s="436">
        <f>G102/G41</f>
        <v>4.3819312956451173E-3</v>
      </c>
      <c r="H103" s="436">
        <f>H102/H41</f>
        <v>3.2267779546530138E-4</v>
      </c>
      <c r="I103" s="503"/>
      <c r="J103" s="41"/>
      <c r="K103" s="436">
        <f>R78</f>
        <v>5.0000000000000001E-4</v>
      </c>
      <c r="L103" s="436">
        <f t="shared" ref="L103:O103" si="132">S78</f>
        <v>1E-3</v>
      </c>
      <c r="M103" s="436">
        <f t="shared" si="132"/>
        <v>1.5E-3</v>
      </c>
      <c r="N103" s="436">
        <f t="shared" si="132"/>
        <v>2E-3</v>
      </c>
      <c r="O103" s="436">
        <f t="shared" si="132"/>
        <v>2.5000000000000001E-3</v>
      </c>
      <c r="P103" s="503"/>
      <c r="Q103" s="41"/>
      <c r="R103" s="436">
        <f>R79</f>
        <v>1E-3</v>
      </c>
      <c r="S103" s="436">
        <f t="shared" ref="S103:V103" si="133">S79</f>
        <v>1.5E-3</v>
      </c>
      <c r="T103" s="436">
        <f t="shared" si="133"/>
        <v>2E-3</v>
      </c>
      <c r="U103" s="436">
        <f t="shared" si="133"/>
        <v>2.5000000000000001E-3</v>
      </c>
      <c r="V103" s="436">
        <f t="shared" si="133"/>
        <v>3.0000000000000001E-3</v>
      </c>
      <c r="W103" s="503"/>
      <c r="X103" s="41"/>
      <c r="Y103" s="436">
        <f>R80</f>
        <v>1.5E-3</v>
      </c>
      <c r="Z103" s="436">
        <f t="shared" ref="Z103:AC103" si="134">S80</f>
        <v>2E-3</v>
      </c>
      <c r="AA103" s="436">
        <f t="shared" si="134"/>
        <v>2.5000000000000001E-3</v>
      </c>
      <c r="AB103" s="436">
        <f t="shared" si="134"/>
        <v>3.5000000000000001E-3</v>
      </c>
      <c r="AC103" s="436">
        <f t="shared" si="134"/>
        <v>4.0000000000000001E-3</v>
      </c>
    </row>
    <row r="104" spans="2:29" ht="15" customHeight="1" x14ac:dyDescent="0.25">
      <c r="B104" s="102"/>
      <c r="C104" s="100"/>
      <c r="D104" s="104"/>
      <c r="E104" s="104"/>
      <c r="F104" s="104"/>
      <c r="G104" s="104"/>
      <c r="H104" s="104"/>
      <c r="I104" s="181"/>
      <c r="K104" s="104"/>
      <c r="L104" s="104"/>
      <c r="M104" s="104"/>
      <c r="N104" s="104"/>
      <c r="O104" s="104"/>
      <c r="P104" s="181"/>
      <c r="R104" s="104"/>
      <c r="S104" s="104"/>
      <c r="T104" s="104"/>
      <c r="U104" s="104"/>
      <c r="V104" s="104"/>
      <c r="W104" s="181"/>
      <c r="Y104" s="104"/>
      <c r="Z104" s="104"/>
      <c r="AA104" s="104"/>
      <c r="AB104" s="104"/>
      <c r="AC104" s="104"/>
    </row>
    <row r="105" spans="2:29" ht="15" customHeight="1" x14ac:dyDescent="0.25">
      <c r="B105" s="102" t="s">
        <v>56</v>
      </c>
      <c r="C105" s="100" t="s">
        <v>112</v>
      </c>
      <c r="D105" s="104">
        <f>'BALANCE SHEET'!D10</f>
        <v>106</v>
      </c>
      <c r="E105" s="104">
        <f>'BALANCE SHEET'!E10</f>
        <v>133</v>
      </c>
      <c r="F105" s="104">
        <f>'BALANCE SHEET'!F10</f>
        <v>119</v>
      </c>
      <c r="G105" s="104">
        <f>'BALANCE SHEET'!G10</f>
        <v>91</v>
      </c>
      <c r="H105" s="104">
        <f>'BALANCE SHEET'!H10</f>
        <v>69</v>
      </c>
      <c r="I105" s="181"/>
      <c r="K105" s="104">
        <f>(K$97*R$90)/365</f>
        <v>175.02741041095891</v>
      </c>
      <c r="L105" s="104">
        <f t="shared" ref="L105:O105" si="135">(L$97*S$90)/365</f>
        <v>176.77768451506847</v>
      </c>
      <c r="M105" s="104">
        <f t="shared" si="135"/>
        <v>180.31323820536986</v>
      </c>
      <c r="N105" s="104">
        <f t="shared" si="135"/>
        <v>183.91950296947724</v>
      </c>
      <c r="O105" s="104">
        <f t="shared" si="135"/>
        <v>189.43708805856159</v>
      </c>
      <c r="P105" s="181"/>
      <c r="R105" s="104">
        <f>(R$97*R$91)/365</f>
        <v>173.9778805479452</v>
      </c>
      <c r="S105" s="104">
        <f t="shared" ref="S105:V105" si="136">(S$97*S$91)/365</f>
        <v>172.23810174246574</v>
      </c>
      <c r="T105" s="104">
        <f t="shared" si="136"/>
        <v>173.9604827598904</v>
      </c>
      <c r="U105" s="104">
        <f t="shared" si="136"/>
        <v>175.70008758748932</v>
      </c>
      <c r="V105" s="104">
        <f t="shared" si="136"/>
        <v>179.21408933923911</v>
      </c>
      <c r="W105" s="181"/>
      <c r="Y105" s="104">
        <f>(Y$97*R$92)/365</f>
        <v>175.50335999999999</v>
      </c>
      <c r="Z105" s="104">
        <f t="shared" ref="Z105:AC105" si="137">(Z$97*S$92)/365</f>
        <v>172.87080959999997</v>
      </c>
      <c r="AA105" s="104">
        <f t="shared" si="137"/>
        <v>171.14210150399998</v>
      </c>
      <c r="AB105" s="104">
        <f t="shared" si="137"/>
        <v>169.43068048896001</v>
      </c>
      <c r="AC105" s="104">
        <f t="shared" si="137"/>
        <v>171.12498729384959</v>
      </c>
    </row>
    <row r="106" spans="2:29" ht="15" customHeight="1" x14ac:dyDescent="0.3">
      <c r="B106" s="70" t="s">
        <v>228</v>
      </c>
      <c r="C106" s="90" t="s">
        <v>3338</v>
      </c>
      <c r="D106" s="78" t="s">
        <v>122</v>
      </c>
      <c r="E106" s="103">
        <f>'RATIO ANALYSIS'!D28</f>
        <v>0.7383785888407367</v>
      </c>
      <c r="F106" s="103">
        <f>'RATIO ANALYSIS'!E28</f>
        <v>0.68333779085316937</v>
      </c>
      <c r="G106" s="103">
        <f>'RATIO ANALYSIS'!F28</f>
        <v>0.57116244411326378</v>
      </c>
      <c r="H106" s="103">
        <f>'RATIO ANALYSIS'!G28</f>
        <v>0.44725596213641305</v>
      </c>
      <c r="I106" s="503"/>
      <c r="J106" s="41"/>
      <c r="K106" s="103">
        <f>R90</f>
        <v>1</v>
      </c>
      <c r="L106" s="103">
        <f t="shared" ref="L106:O106" si="138">S90</f>
        <v>1</v>
      </c>
      <c r="M106" s="103">
        <f t="shared" si="138"/>
        <v>1</v>
      </c>
      <c r="N106" s="103">
        <f t="shared" si="138"/>
        <v>1</v>
      </c>
      <c r="O106" s="103">
        <f t="shared" si="138"/>
        <v>1</v>
      </c>
      <c r="P106" s="503"/>
      <c r="Q106" s="41"/>
      <c r="R106" s="103">
        <f t="shared" ref="R106:V106" si="139">R91</f>
        <v>1</v>
      </c>
      <c r="S106" s="103">
        <f t="shared" si="139"/>
        <v>1</v>
      </c>
      <c r="T106" s="103">
        <f t="shared" si="139"/>
        <v>1</v>
      </c>
      <c r="U106" s="103">
        <f t="shared" si="139"/>
        <v>1</v>
      </c>
      <c r="V106" s="103">
        <f t="shared" si="139"/>
        <v>1</v>
      </c>
      <c r="W106" s="503"/>
      <c r="X106" s="41"/>
      <c r="Y106" s="103">
        <f>R92</f>
        <v>1</v>
      </c>
      <c r="Z106" s="103">
        <f t="shared" ref="Z106:AC106" si="140">S92</f>
        <v>1</v>
      </c>
      <c r="AA106" s="103">
        <f t="shared" si="140"/>
        <v>1</v>
      </c>
      <c r="AB106" s="103">
        <f t="shared" si="140"/>
        <v>1</v>
      </c>
      <c r="AC106" s="103">
        <f t="shared" si="140"/>
        <v>1</v>
      </c>
    </row>
    <row r="107" spans="2:29" ht="15" customHeight="1" x14ac:dyDescent="0.25">
      <c r="B107" s="102"/>
      <c r="C107" s="100"/>
      <c r="D107" s="104"/>
      <c r="E107" s="104"/>
      <c r="F107" s="104"/>
      <c r="G107" s="104"/>
      <c r="H107" s="104"/>
      <c r="I107" s="181"/>
      <c r="K107" s="104"/>
      <c r="L107" s="104"/>
      <c r="M107" s="104"/>
      <c r="N107" s="104"/>
      <c r="O107" s="104"/>
      <c r="P107" s="181"/>
      <c r="R107" s="104"/>
      <c r="S107" s="104"/>
      <c r="T107" s="104"/>
      <c r="U107" s="104"/>
      <c r="V107" s="104"/>
      <c r="W107" s="181"/>
      <c r="Y107" s="104"/>
      <c r="Z107" s="104"/>
      <c r="AA107" s="104"/>
      <c r="AB107" s="104"/>
      <c r="AC107" s="104"/>
    </row>
    <row r="108" spans="2:29" ht="15" customHeight="1" x14ac:dyDescent="0.25">
      <c r="B108" s="102" t="s">
        <v>229</v>
      </c>
      <c r="C108" s="100" t="s">
        <v>112</v>
      </c>
      <c r="D108" s="104">
        <f>'BALANCE SHEET'!D48</f>
        <v>5182</v>
      </c>
      <c r="E108" s="104">
        <f>'BALANCE SHEET'!E48</f>
        <v>6252</v>
      </c>
      <c r="F108" s="104">
        <f>'BALANCE SHEET'!F48</f>
        <v>5972</v>
      </c>
      <c r="G108" s="104">
        <f>'BALANCE SHEET'!G48</f>
        <v>5766</v>
      </c>
      <c r="H108" s="104">
        <f>'BALANCE SHEET'!H48</f>
        <v>5867</v>
      </c>
      <c r="I108" s="181"/>
      <c r="K108" s="104">
        <f>(K$97*Y$90)/365</f>
        <v>6125.9593643835615</v>
      </c>
      <c r="L108" s="104">
        <f t="shared" ref="L108:O108" si="141">(L$97*Z$90)/365</f>
        <v>6187.2189580273971</v>
      </c>
      <c r="M108" s="104">
        <f t="shared" si="141"/>
        <v>6310.9633371879445</v>
      </c>
      <c r="N108" s="104">
        <f t="shared" si="141"/>
        <v>6437.1826039317039</v>
      </c>
      <c r="O108" s="104">
        <f t="shared" si="141"/>
        <v>6630.298082049655</v>
      </c>
      <c r="P108" s="181"/>
      <c r="R108" s="104">
        <f>(R$97*Y$91)/365</f>
        <v>5741.2700580821911</v>
      </c>
      <c r="S108" s="104">
        <f t="shared" ref="S108:V108" si="142">(S$97*Z$91)/365</f>
        <v>5683.8573575013697</v>
      </c>
      <c r="T108" s="104">
        <f t="shared" si="142"/>
        <v>5740.6959310763832</v>
      </c>
      <c r="U108" s="104">
        <f t="shared" si="142"/>
        <v>5798.1028903871465</v>
      </c>
      <c r="V108" s="104">
        <f t="shared" si="142"/>
        <v>5914.0649481948894</v>
      </c>
      <c r="W108" s="181"/>
      <c r="Y108" s="104">
        <f>(Y$97*Y$92)/365</f>
        <v>5440.604159999999</v>
      </c>
      <c r="Z108" s="104">
        <f t="shared" ref="Z108:AC108" si="143">(Z$97*Z$92)/365</f>
        <v>5358.9950975999991</v>
      </c>
      <c r="AA108" s="104">
        <f t="shared" si="143"/>
        <v>5305.4051466239998</v>
      </c>
      <c r="AB108" s="104">
        <f t="shared" si="143"/>
        <v>5252.35109515776</v>
      </c>
      <c r="AC108" s="104">
        <f t="shared" si="143"/>
        <v>5304.8746061093379</v>
      </c>
    </row>
    <row r="109" spans="2:29" ht="15" customHeight="1" x14ac:dyDescent="0.3">
      <c r="B109" s="42" t="s">
        <v>230</v>
      </c>
      <c r="C109" s="91" t="s">
        <v>3338</v>
      </c>
      <c r="D109" s="496" t="s">
        <v>122</v>
      </c>
      <c r="E109" s="495">
        <f>'RATIO ANALYSIS'!D32</f>
        <v>35.324773158179852</v>
      </c>
      <c r="F109" s="495">
        <f>'RATIO ANALYSIS'!E32</f>
        <v>33.147306172179135</v>
      </c>
      <c r="G109" s="495">
        <f>'RATIO ANALYSIS'!F32</f>
        <v>31.925260804769</v>
      </c>
      <c r="H109" s="495">
        <f>'RATIO ANALYSIS'!G32</f>
        <v>32.518303797080584</v>
      </c>
      <c r="I109" s="503"/>
      <c r="J109" s="41"/>
      <c r="K109" s="495">
        <f>Y90</f>
        <v>35</v>
      </c>
      <c r="L109" s="495">
        <f t="shared" ref="L109:O109" si="144">Z90</f>
        <v>35</v>
      </c>
      <c r="M109" s="495">
        <f t="shared" si="144"/>
        <v>35</v>
      </c>
      <c r="N109" s="495">
        <f t="shared" si="144"/>
        <v>35</v>
      </c>
      <c r="O109" s="495">
        <f t="shared" si="144"/>
        <v>35</v>
      </c>
      <c r="P109" s="503"/>
      <c r="Q109" s="41"/>
      <c r="R109" s="495">
        <f>Y91</f>
        <v>33</v>
      </c>
      <c r="S109" s="495">
        <f t="shared" ref="S109:V109" si="145">Z91</f>
        <v>33</v>
      </c>
      <c r="T109" s="495">
        <f t="shared" si="145"/>
        <v>33</v>
      </c>
      <c r="U109" s="495">
        <f t="shared" si="145"/>
        <v>33</v>
      </c>
      <c r="V109" s="495">
        <f t="shared" si="145"/>
        <v>33</v>
      </c>
      <c r="W109" s="503"/>
      <c r="X109" s="41"/>
      <c r="Y109" s="495">
        <f>Y92</f>
        <v>31</v>
      </c>
      <c r="Z109" s="495">
        <f t="shared" ref="Z109:AC109" si="146">Z92</f>
        <v>31</v>
      </c>
      <c r="AA109" s="495">
        <f t="shared" si="146"/>
        <v>31</v>
      </c>
      <c r="AB109" s="495">
        <f t="shared" si="146"/>
        <v>31</v>
      </c>
      <c r="AC109" s="495">
        <f t="shared" si="146"/>
        <v>31</v>
      </c>
    </row>
    <row r="110" spans="2:29" ht="15" customHeight="1" x14ac:dyDescent="0.25">
      <c r="I110" s="181"/>
      <c r="P110" s="181"/>
      <c r="W110" s="181"/>
    </row>
    <row r="111" spans="2:29" ht="15" customHeight="1" x14ac:dyDescent="0.25">
      <c r="B111" s="986" t="s">
        <v>556</v>
      </c>
      <c r="C111" s="986"/>
      <c r="D111" s="986"/>
      <c r="E111" s="986"/>
      <c r="F111" s="986"/>
      <c r="G111" s="986"/>
      <c r="H111" s="986"/>
      <c r="I111" s="181"/>
      <c r="K111" s="982" t="s">
        <v>3327</v>
      </c>
      <c r="L111" s="982"/>
      <c r="M111" s="982"/>
      <c r="N111" s="982"/>
      <c r="O111" s="982"/>
      <c r="P111" s="181"/>
      <c r="R111" s="982" t="s">
        <v>3328</v>
      </c>
      <c r="S111" s="982"/>
      <c r="T111" s="982"/>
      <c r="U111" s="982"/>
      <c r="V111" s="982"/>
      <c r="W111" s="181"/>
      <c r="Y111" s="982" t="s">
        <v>3329</v>
      </c>
      <c r="Z111" s="982"/>
      <c r="AA111" s="982"/>
      <c r="AB111" s="982"/>
      <c r="AC111" s="982"/>
    </row>
    <row r="112" spans="2:29" ht="15" customHeight="1" x14ac:dyDescent="0.25">
      <c r="B112" s="986"/>
      <c r="C112" s="986"/>
      <c r="D112" s="986"/>
      <c r="E112" s="986"/>
      <c r="F112" s="986"/>
      <c r="G112" s="986"/>
      <c r="H112" s="986"/>
      <c r="I112" s="181"/>
      <c r="K112" s="982"/>
      <c r="L112" s="982"/>
      <c r="M112" s="982"/>
      <c r="N112" s="982"/>
      <c r="O112" s="982"/>
      <c r="P112" s="181"/>
      <c r="R112" s="982"/>
      <c r="S112" s="982"/>
      <c r="T112" s="982"/>
      <c r="U112" s="982"/>
      <c r="V112" s="982"/>
      <c r="W112" s="181"/>
      <c r="Y112" s="982"/>
      <c r="Z112" s="982"/>
      <c r="AA112" s="982"/>
      <c r="AB112" s="982"/>
      <c r="AC112" s="982"/>
    </row>
    <row r="113" spans="2:32" ht="15" customHeight="1" x14ac:dyDescent="0.25">
      <c r="I113" s="181"/>
      <c r="P113" s="181"/>
      <c r="W113" s="181"/>
    </row>
    <row r="114" spans="2:32" ht="15" customHeight="1" x14ac:dyDescent="0.25">
      <c r="B114" s="40" t="s">
        <v>552</v>
      </c>
      <c r="C114" s="60" t="s">
        <v>112</v>
      </c>
      <c r="D114" s="62" t="s">
        <v>122</v>
      </c>
      <c r="E114" s="46">
        <f>D$118</f>
        <v>1096</v>
      </c>
      <c r="F114" s="46">
        <f t="shared" ref="F114:H114" si="147">E$118</f>
        <v>1096</v>
      </c>
      <c r="G114" s="46">
        <f t="shared" si="147"/>
        <v>1098</v>
      </c>
      <c r="H114" s="39">
        <f t="shared" si="147"/>
        <v>1045</v>
      </c>
      <c r="I114" s="181"/>
      <c r="K114" s="46">
        <f>$H$118</f>
        <v>2094</v>
      </c>
      <c r="L114" s="62">
        <f>K$118</f>
        <v>1994</v>
      </c>
      <c r="M114" s="62">
        <f t="shared" ref="M114:O114" si="148">L$118</f>
        <v>1894</v>
      </c>
      <c r="N114" s="62">
        <f t="shared" si="148"/>
        <v>1794</v>
      </c>
      <c r="O114" s="62">
        <f t="shared" si="148"/>
        <v>1694</v>
      </c>
      <c r="P114" s="181"/>
      <c r="R114" s="46">
        <f>$H$118</f>
        <v>2094</v>
      </c>
      <c r="S114" s="62">
        <f>R$118</f>
        <v>2344</v>
      </c>
      <c r="T114" s="62">
        <f t="shared" ref="T114:V114" si="149">S$118</f>
        <v>2594</v>
      </c>
      <c r="U114" s="62">
        <f t="shared" si="149"/>
        <v>2844</v>
      </c>
      <c r="V114" s="62">
        <f t="shared" si="149"/>
        <v>3094</v>
      </c>
      <c r="W114" s="181"/>
      <c r="Y114" s="46">
        <f>$H$118</f>
        <v>2094</v>
      </c>
      <c r="Z114" s="62">
        <f>Y$118</f>
        <v>2494</v>
      </c>
      <c r="AA114" s="62">
        <f t="shared" ref="AA114:AC114" si="150">Z$118</f>
        <v>2894</v>
      </c>
      <c r="AB114" s="62">
        <f t="shared" si="150"/>
        <v>3294</v>
      </c>
      <c r="AC114" s="62">
        <f t="shared" si="150"/>
        <v>3694</v>
      </c>
    </row>
    <row r="115" spans="2:32" ht="15" customHeight="1" x14ac:dyDescent="0.25">
      <c r="B115" s="102" t="s">
        <v>553</v>
      </c>
      <c r="C115" s="100" t="s">
        <v>112</v>
      </c>
      <c r="D115" s="179" t="s">
        <v>122</v>
      </c>
      <c r="E115" s="104">
        <f>E118-E114</f>
        <v>0</v>
      </c>
      <c r="F115" s="104">
        <f t="shared" ref="F115:H115" si="151">F118-F114</f>
        <v>2</v>
      </c>
      <c r="G115" s="104">
        <f t="shared" si="151"/>
        <v>-53</v>
      </c>
      <c r="H115" s="181">
        <f t="shared" si="151"/>
        <v>1049</v>
      </c>
      <c r="I115" s="181"/>
      <c r="K115" s="110">
        <v>0</v>
      </c>
      <c r="L115" s="110">
        <v>0</v>
      </c>
      <c r="M115" s="110">
        <v>0</v>
      </c>
      <c r="N115" s="110">
        <v>0</v>
      </c>
      <c r="O115" s="110">
        <v>0</v>
      </c>
      <c r="P115" s="213"/>
      <c r="Q115" s="94"/>
      <c r="R115" s="110">
        <v>250</v>
      </c>
      <c r="S115" s="110">
        <v>250</v>
      </c>
      <c r="T115" s="110">
        <v>250</v>
      </c>
      <c r="U115" s="110">
        <v>250</v>
      </c>
      <c r="V115" s="110">
        <v>250</v>
      </c>
      <c r="W115" s="213"/>
      <c r="X115" s="94"/>
      <c r="Y115" s="110">
        <v>400</v>
      </c>
      <c r="Z115" s="110">
        <v>400</v>
      </c>
      <c r="AA115" s="110">
        <v>400</v>
      </c>
      <c r="AB115" s="110">
        <v>400</v>
      </c>
      <c r="AC115" s="110">
        <v>400</v>
      </c>
    </row>
    <row r="116" spans="2:32" ht="15" customHeight="1" x14ac:dyDescent="0.25">
      <c r="B116" s="43" t="s">
        <v>554</v>
      </c>
      <c r="C116" s="58" t="s">
        <v>112</v>
      </c>
      <c r="D116" s="180" t="s">
        <v>122</v>
      </c>
      <c r="E116" s="105">
        <f>E114-E118</f>
        <v>0</v>
      </c>
      <c r="F116" s="105">
        <f>IF(F114&gt;F118,F114-F118,0)</f>
        <v>0</v>
      </c>
      <c r="G116" s="105">
        <f t="shared" ref="G116:H116" si="152">IF(G114&gt;G118,G114-G118,0)</f>
        <v>53</v>
      </c>
      <c r="H116" s="105">
        <f t="shared" si="152"/>
        <v>0</v>
      </c>
      <c r="I116" s="181"/>
      <c r="K116" s="111">
        <v>100</v>
      </c>
      <c r="L116" s="111">
        <v>100</v>
      </c>
      <c r="M116" s="111">
        <v>100</v>
      </c>
      <c r="N116" s="111">
        <v>100</v>
      </c>
      <c r="O116" s="111">
        <v>100</v>
      </c>
      <c r="P116" s="213"/>
      <c r="Q116" s="94"/>
      <c r="R116" s="111">
        <v>0</v>
      </c>
      <c r="S116" s="111">
        <v>0</v>
      </c>
      <c r="T116" s="111">
        <v>0</v>
      </c>
      <c r="U116" s="111">
        <v>0</v>
      </c>
      <c r="V116" s="111">
        <v>0</v>
      </c>
      <c r="W116" s="213"/>
      <c r="X116" s="94"/>
      <c r="Y116" s="111">
        <v>0</v>
      </c>
      <c r="Z116" s="111">
        <v>0</v>
      </c>
      <c r="AA116" s="111">
        <v>0</v>
      </c>
      <c r="AB116" s="111">
        <v>0</v>
      </c>
      <c r="AC116" s="111">
        <v>0</v>
      </c>
    </row>
    <row r="117" spans="2:32" ht="15" customHeight="1" x14ac:dyDescent="0.25">
      <c r="I117" s="181"/>
      <c r="P117" s="181"/>
      <c r="W117" s="181"/>
    </row>
    <row r="118" spans="2:32" ht="15" customHeight="1" x14ac:dyDescent="0.3">
      <c r="B118" s="483" t="s">
        <v>555</v>
      </c>
      <c r="C118" s="535" t="s">
        <v>112</v>
      </c>
      <c r="D118" s="500">
        <f>'BALANCE SHEET'!D$73</f>
        <v>1096</v>
      </c>
      <c r="E118" s="500">
        <f>'BALANCE SHEET'!E$73</f>
        <v>1096</v>
      </c>
      <c r="F118" s="500">
        <f>'BALANCE SHEET'!F$73</f>
        <v>1098</v>
      </c>
      <c r="G118" s="500">
        <f>'BALANCE SHEET'!G$73</f>
        <v>1045</v>
      </c>
      <c r="H118" s="500">
        <f>'BALANCE SHEET'!H$73</f>
        <v>2094</v>
      </c>
      <c r="I118" s="181"/>
      <c r="K118" s="500">
        <f>K114+K115-K116</f>
        <v>1994</v>
      </c>
      <c r="L118" s="500">
        <f t="shared" ref="L118:O118" si="153">L114+L115-L116</f>
        <v>1894</v>
      </c>
      <c r="M118" s="500">
        <f t="shared" si="153"/>
        <v>1794</v>
      </c>
      <c r="N118" s="500">
        <f t="shared" si="153"/>
        <v>1694</v>
      </c>
      <c r="O118" s="500">
        <f t="shared" si="153"/>
        <v>1594</v>
      </c>
      <c r="P118" s="508"/>
      <c r="R118" s="500">
        <f>R114+R115-R116</f>
        <v>2344</v>
      </c>
      <c r="S118" s="500">
        <f t="shared" ref="S118:V118" si="154">S114+S115-S116</f>
        <v>2594</v>
      </c>
      <c r="T118" s="500">
        <f t="shared" si="154"/>
        <v>2844</v>
      </c>
      <c r="U118" s="500">
        <f t="shared" si="154"/>
        <v>3094</v>
      </c>
      <c r="V118" s="500">
        <f t="shared" si="154"/>
        <v>3344</v>
      </c>
      <c r="W118" s="181"/>
      <c r="Y118" s="500">
        <f>SUM(Y114:Y115)-Y116</f>
        <v>2494</v>
      </c>
      <c r="Z118" s="500">
        <f t="shared" ref="Z118:AC118" si="155">SUM(Z114:Z115)-Z116</f>
        <v>2894</v>
      </c>
      <c r="AA118" s="500">
        <f t="shared" si="155"/>
        <v>3294</v>
      </c>
      <c r="AB118" s="500">
        <f t="shared" si="155"/>
        <v>3694</v>
      </c>
      <c r="AC118" s="500">
        <f t="shared" si="155"/>
        <v>4094</v>
      </c>
    </row>
    <row r="119" spans="2:32" ht="15" customHeight="1" x14ac:dyDescent="0.25">
      <c r="I119" s="181"/>
      <c r="P119" s="181"/>
      <c r="W119" s="181"/>
    </row>
    <row r="120" spans="2:32" ht="15" customHeight="1" x14ac:dyDescent="0.25">
      <c r="B120" s="40" t="s">
        <v>27</v>
      </c>
      <c r="C120" s="60" t="s">
        <v>112</v>
      </c>
      <c r="D120" s="62">
        <f>'BALANCE SHEET'!D$74</f>
        <v>53805</v>
      </c>
      <c r="E120" s="62">
        <f>'BALANCE SHEET'!E$74</f>
        <v>64307</v>
      </c>
      <c r="F120" s="62">
        <f>'BALANCE SHEET'!F$74</f>
        <v>76570</v>
      </c>
      <c r="G120" s="62">
        <f>'BALANCE SHEET'!G$74</f>
        <v>73488</v>
      </c>
      <c r="H120" s="62">
        <f>'BALANCE SHEET'!H$74</f>
        <v>80270</v>
      </c>
      <c r="I120" s="181"/>
      <c r="K120" s="62">
        <f>$H$120+($H$120*$K$121)</f>
        <v>85888.9</v>
      </c>
      <c r="L120" s="62">
        <f>K$120+(K$120*L$121)</f>
        <v>91901.122999999992</v>
      </c>
      <c r="M120" s="62">
        <f t="shared" ref="M120:O120" si="156">L$120+(L$120*M$121)</f>
        <v>98334.201609999989</v>
      </c>
      <c r="N120" s="62">
        <f t="shared" si="156"/>
        <v>105217.59572269999</v>
      </c>
      <c r="O120" s="62">
        <f t="shared" si="156"/>
        <v>112582.82742328898</v>
      </c>
      <c r="P120" s="181"/>
      <c r="R120" s="62">
        <f>$H$120+($H$120*$R$121)</f>
        <v>85086.2</v>
      </c>
      <c r="S120" s="62">
        <f>R$120+(R$120*S$121)</f>
        <v>90191.372000000003</v>
      </c>
      <c r="T120" s="62">
        <f t="shared" ref="T120:V120" si="157">S$120+(S$120*T$121)</f>
        <v>95602.854319999999</v>
      </c>
      <c r="U120" s="62">
        <f t="shared" si="157"/>
        <v>101339.0255792</v>
      </c>
      <c r="V120" s="62">
        <f t="shared" si="157"/>
        <v>107419.367113952</v>
      </c>
      <c r="W120" s="181"/>
      <c r="Y120" s="62">
        <f>$H$120+($H$120*$Y$121)</f>
        <v>84283.5</v>
      </c>
      <c r="Z120" s="62">
        <f>Y$120+(Y$120*Z$121)</f>
        <v>88497.675000000003</v>
      </c>
      <c r="AA120" s="62">
        <f t="shared" ref="AA120:AC120" si="158">Z$120+(Z$120*AA$121)</f>
        <v>92922.558749999997</v>
      </c>
      <c r="AB120" s="62">
        <f t="shared" si="158"/>
        <v>97568.686687499998</v>
      </c>
      <c r="AC120" s="62">
        <f t="shared" si="158"/>
        <v>102447.12102187499</v>
      </c>
    </row>
    <row r="121" spans="2:32" ht="15" customHeight="1" x14ac:dyDescent="0.3">
      <c r="B121" s="42" t="s">
        <v>557</v>
      </c>
      <c r="C121" s="91" t="s">
        <v>113</v>
      </c>
      <c r="D121" s="496" t="s">
        <v>122</v>
      </c>
      <c r="E121" s="497">
        <f>E120/D120-1</f>
        <v>0.19518632097388711</v>
      </c>
      <c r="F121" s="497">
        <f t="shared" ref="F121:H121" si="159">F120/E120-1</f>
        <v>0.19069463666474884</v>
      </c>
      <c r="G121" s="497">
        <f t="shared" si="159"/>
        <v>-4.0250750946846048E-2</v>
      </c>
      <c r="H121" s="497">
        <f t="shared" si="159"/>
        <v>9.2287176137600735E-2</v>
      </c>
      <c r="I121" s="503"/>
      <c r="J121" s="41"/>
      <c r="K121" s="521">
        <v>7.0000000000000007E-2</v>
      </c>
      <c r="L121" s="521">
        <v>7.0000000000000007E-2</v>
      </c>
      <c r="M121" s="521">
        <v>7.0000000000000007E-2</v>
      </c>
      <c r="N121" s="521">
        <v>7.0000000000000007E-2</v>
      </c>
      <c r="O121" s="521">
        <v>7.0000000000000007E-2</v>
      </c>
      <c r="P121" s="507"/>
      <c r="Q121" s="460"/>
      <c r="R121" s="521">
        <v>0.06</v>
      </c>
      <c r="S121" s="521">
        <v>0.06</v>
      </c>
      <c r="T121" s="521">
        <v>0.06</v>
      </c>
      <c r="U121" s="521">
        <v>0.06</v>
      </c>
      <c r="V121" s="521">
        <v>0.06</v>
      </c>
      <c r="W121" s="507"/>
      <c r="X121" s="460"/>
      <c r="Y121" s="521">
        <v>0.05</v>
      </c>
      <c r="Z121" s="521">
        <v>0.05</v>
      </c>
      <c r="AA121" s="521">
        <v>0.05</v>
      </c>
      <c r="AB121" s="521">
        <v>0.05</v>
      </c>
      <c r="AC121" s="521">
        <v>0.05</v>
      </c>
    </row>
    <row r="122" spans="2:32" ht="15" customHeight="1" x14ac:dyDescent="0.25">
      <c r="D122" s="32"/>
      <c r="E122" s="32"/>
      <c r="F122" s="32"/>
      <c r="G122" s="32"/>
      <c r="H122" s="32"/>
      <c r="I122" s="181"/>
      <c r="K122" s="32"/>
      <c r="P122" s="181"/>
      <c r="R122" s="32"/>
      <c r="W122" s="181"/>
      <c r="Y122" s="32"/>
    </row>
    <row r="123" spans="2:32" ht="15" customHeight="1" x14ac:dyDescent="0.25">
      <c r="B123" s="986" t="s">
        <v>560</v>
      </c>
      <c r="C123" s="986"/>
      <c r="D123" s="986"/>
      <c r="E123" s="986"/>
      <c r="F123" s="986"/>
      <c r="G123" s="986"/>
      <c r="H123" s="986"/>
      <c r="I123" s="181"/>
      <c r="K123" s="982" t="s">
        <v>3331</v>
      </c>
      <c r="L123" s="982"/>
      <c r="M123" s="982"/>
      <c r="N123" s="982"/>
      <c r="O123" s="982"/>
      <c r="P123" s="181"/>
      <c r="R123" s="982" t="s">
        <v>3330</v>
      </c>
      <c r="S123" s="982"/>
      <c r="T123" s="982"/>
      <c r="U123" s="982"/>
      <c r="V123" s="982"/>
      <c r="W123" s="181"/>
      <c r="Y123" s="982" t="s">
        <v>3332</v>
      </c>
      <c r="Z123" s="982"/>
      <c r="AA123" s="982"/>
      <c r="AB123" s="982"/>
      <c r="AC123" s="982"/>
    </row>
    <row r="124" spans="2:32" ht="15" customHeight="1" x14ac:dyDescent="0.25">
      <c r="B124" s="986"/>
      <c r="C124" s="986"/>
      <c r="D124" s="986"/>
      <c r="E124" s="986"/>
      <c r="F124" s="986"/>
      <c r="G124" s="986"/>
      <c r="H124" s="986"/>
      <c r="I124" s="181"/>
      <c r="K124" s="982"/>
      <c r="L124" s="982"/>
      <c r="M124" s="982"/>
      <c r="N124" s="982"/>
      <c r="O124" s="982"/>
      <c r="P124" s="181"/>
      <c r="R124" s="982"/>
      <c r="S124" s="982"/>
      <c r="T124" s="982"/>
      <c r="U124" s="982"/>
      <c r="V124" s="982"/>
      <c r="W124" s="181"/>
      <c r="Y124" s="982"/>
      <c r="Z124" s="982"/>
      <c r="AA124" s="982"/>
      <c r="AB124" s="982"/>
      <c r="AC124" s="982"/>
    </row>
    <row r="125" spans="2:32" ht="15" customHeight="1" x14ac:dyDescent="0.25">
      <c r="I125" s="181"/>
      <c r="P125" s="181"/>
      <c r="W125" s="181"/>
    </row>
    <row r="126" spans="2:32" ht="15" customHeight="1" x14ac:dyDescent="0.25">
      <c r="B126" s="40" t="s">
        <v>199</v>
      </c>
      <c r="C126" s="60" t="s">
        <v>112</v>
      </c>
      <c r="D126" s="46">
        <f>'BALANCE SHEET'!D19</f>
        <v>2492</v>
      </c>
      <c r="E126" s="46">
        <f>'BALANCE SHEET'!E19</f>
        <v>2893</v>
      </c>
      <c r="F126" s="46">
        <f>'BALANCE SHEET'!F19</f>
        <v>3290</v>
      </c>
      <c r="G126" s="46">
        <f>'BALANCE SHEET'!G19</f>
        <v>2960</v>
      </c>
      <c r="H126" s="46">
        <f>'BALANCE SHEET'!H19</f>
        <v>2913</v>
      </c>
      <c r="I126" s="181"/>
      <c r="K126" s="46">
        <f>K127*K41</f>
        <v>2822.8775999999998</v>
      </c>
      <c r="L126" s="46">
        <f>L127*L41</f>
        <v>2857.2819359999999</v>
      </c>
      <c r="M126" s="46">
        <f>M127*M41</f>
        <v>2919.6644495999999</v>
      </c>
      <c r="N126" s="46">
        <f>N127*N41</f>
        <v>2983.6088259648</v>
      </c>
      <c r="O126" s="46">
        <f>O127*O41</f>
        <v>3077.5302052051202</v>
      </c>
      <c r="P126" s="181"/>
      <c r="R126" s="46">
        <f>R127*R41</f>
        <v>3192.7260719999995</v>
      </c>
      <c r="S126" s="46">
        <f>S127*S41</f>
        <v>3169.2651544799996</v>
      </c>
      <c r="T126" s="46">
        <f>T127*T41</f>
        <v>3206.8842462647999</v>
      </c>
      <c r="U126" s="46">
        <f>U127*U41</f>
        <v>3245.1758509794477</v>
      </c>
      <c r="V126" s="46">
        <f>V127*V41</f>
        <v>3314.9797932724873</v>
      </c>
      <c r="W126" s="181"/>
      <c r="Y126" s="46">
        <f>Y127*Y41</f>
        <v>3671.6415999999999</v>
      </c>
      <c r="Z126" s="46">
        <f>Z127*Z41</f>
        <v>3625.4535679999994</v>
      </c>
      <c r="AA126" s="46">
        <f>AA127*AA41</f>
        <v>3597.6009011200003</v>
      </c>
      <c r="AB126" s="46">
        <f>AB127*AB41</f>
        <v>3570.3628356608006</v>
      </c>
      <c r="AC126" s="46">
        <f>AC127*AC41</f>
        <v>3611.518940793856</v>
      </c>
    </row>
    <row r="127" spans="2:32" ht="15" customHeight="1" x14ac:dyDescent="0.3">
      <c r="B127" s="70" t="s">
        <v>3310</v>
      </c>
      <c r="C127" s="90" t="s">
        <v>113</v>
      </c>
      <c r="D127" s="438">
        <f>D126/D41</f>
        <v>3.856092843326886E-2</v>
      </c>
      <c r="E127" s="438">
        <f>E126/E41</f>
        <v>3.5457776688319648E-2</v>
      </c>
      <c r="F127" s="438">
        <f>F126/F41</f>
        <v>3.5300050428643467E-2</v>
      </c>
      <c r="G127" s="438">
        <f>G126/G41</f>
        <v>3.2025967000270487E-2</v>
      </c>
      <c r="H127" s="438">
        <f>H126/H41</f>
        <v>3.1332013939680763E-2</v>
      </c>
      <c r="I127" s="503"/>
      <c r="J127" s="41"/>
      <c r="K127" s="438">
        <f>R84</f>
        <v>0.03</v>
      </c>
      <c r="L127" s="438">
        <f t="shared" ref="L127:O127" si="160">S84</f>
        <v>0.03</v>
      </c>
      <c r="M127" s="438">
        <f t="shared" si="160"/>
        <v>0.03</v>
      </c>
      <c r="N127" s="438">
        <f t="shared" si="160"/>
        <v>0.03</v>
      </c>
      <c r="O127" s="438">
        <f t="shared" si="160"/>
        <v>0.03</v>
      </c>
      <c r="P127" s="444"/>
      <c r="Q127" s="443"/>
      <c r="R127" s="438">
        <f>R85</f>
        <v>3.4599999999999999E-2</v>
      </c>
      <c r="S127" s="438">
        <f t="shared" ref="S127:V127" si="161">S85</f>
        <v>3.4599999999999999E-2</v>
      </c>
      <c r="T127" s="438">
        <f t="shared" si="161"/>
        <v>3.4599999999999999E-2</v>
      </c>
      <c r="U127" s="438">
        <f t="shared" si="161"/>
        <v>3.4599999999999999E-2</v>
      </c>
      <c r="V127" s="438">
        <f t="shared" si="161"/>
        <v>3.4599999999999999E-2</v>
      </c>
      <c r="W127" s="444"/>
      <c r="X127" s="443"/>
      <c r="Y127" s="438">
        <f>R86</f>
        <v>0.04</v>
      </c>
      <c r="Z127" s="438">
        <f t="shared" ref="Z127:AC127" si="162">S86</f>
        <v>0.04</v>
      </c>
      <c r="AA127" s="438">
        <f t="shared" si="162"/>
        <v>0.04</v>
      </c>
      <c r="AB127" s="438">
        <f t="shared" si="162"/>
        <v>0.04</v>
      </c>
      <c r="AC127" s="438">
        <f t="shared" si="162"/>
        <v>0.04</v>
      </c>
      <c r="AD127" s="49"/>
      <c r="AE127" s="49"/>
      <c r="AF127" s="49"/>
    </row>
    <row r="128" spans="2:32" ht="15" customHeight="1" x14ac:dyDescent="0.25">
      <c r="B128" s="102"/>
      <c r="C128" s="100"/>
      <c r="D128" s="104"/>
      <c r="E128" s="104"/>
      <c r="F128" s="104"/>
      <c r="G128" s="104"/>
      <c r="H128" s="181"/>
      <c r="I128" s="181"/>
      <c r="K128" s="104"/>
      <c r="L128" s="104"/>
      <c r="M128" s="104"/>
      <c r="N128" s="104"/>
      <c r="O128" s="181"/>
      <c r="P128" s="181"/>
      <c r="R128" s="104"/>
      <c r="S128" s="104"/>
      <c r="T128" s="104"/>
      <c r="U128" s="104"/>
      <c r="V128" s="181"/>
      <c r="W128" s="181"/>
      <c r="Y128" s="104"/>
      <c r="Z128" s="104"/>
      <c r="AA128" s="104"/>
      <c r="AB128" s="104"/>
      <c r="AC128" s="104"/>
    </row>
    <row r="129" spans="2:29" ht="15" customHeight="1" x14ac:dyDescent="0.25">
      <c r="B129" s="102" t="s">
        <v>3273</v>
      </c>
      <c r="C129" s="100" t="s">
        <v>112</v>
      </c>
      <c r="D129" s="104">
        <f>'BALANCE SHEET'!D60+'BALANCE SHEET'!D46</f>
        <v>2118</v>
      </c>
      <c r="E129" s="104">
        <f>'BALANCE SHEET'!E60+'BALANCE SHEET'!E46</f>
        <v>2424</v>
      </c>
      <c r="F129" s="104">
        <f>'BALANCE SHEET'!F60+'BALANCE SHEET'!F46</f>
        <v>2457</v>
      </c>
      <c r="G129" s="104">
        <f>'BALANCE SHEET'!G60+'BALANCE SHEET'!G46</f>
        <v>2318</v>
      </c>
      <c r="H129" s="104">
        <f>'BALANCE SHEET'!H60+'BALANCE SHEET'!H46</f>
        <v>3022</v>
      </c>
      <c r="I129" s="181"/>
      <c r="K129" s="104">
        <f>K41*K130</f>
        <v>3011.0694400000002</v>
      </c>
      <c r="L129" s="104">
        <f>L41*L130</f>
        <v>3143.0101295999998</v>
      </c>
      <c r="M129" s="104">
        <f>M41*M130</f>
        <v>3308.9530428799999</v>
      </c>
      <c r="N129" s="104">
        <f>N41*N130</f>
        <v>3480.8769636256002</v>
      </c>
      <c r="O129" s="104">
        <f>O41*O130</f>
        <v>3795.6205864196481</v>
      </c>
      <c r="P129" s="181"/>
      <c r="R129" s="104">
        <f>R41*R130</f>
        <v>2768.2595999999999</v>
      </c>
      <c r="S129" s="104">
        <f>S41*S130</f>
        <v>2839.5150227999998</v>
      </c>
      <c r="T129" s="104">
        <f>T41*T130</f>
        <v>2965.9045052160004</v>
      </c>
      <c r="U129" s="104">
        <f>U41*U130</f>
        <v>3095.1099156740402</v>
      </c>
      <c r="V129" s="104">
        <f>V41*V130</f>
        <v>3353.3032590906669</v>
      </c>
      <c r="W129" s="181"/>
      <c r="Y129" s="104">
        <f>Y41*Y130</f>
        <v>2570.14912</v>
      </c>
      <c r="Z129" s="104">
        <f>Z41*Z130</f>
        <v>2537.8174975999996</v>
      </c>
      <c r="AA129" s="104">
        <f>AA41*AA130</f>
        <v>2698.2006758399998</v>
      </c>
      <c r="AB129" s="104">
        <f>AB41*AB130</f>
        <v>2677.7721267456</v>
      </c>
      <c r="AC129" s="104">
        <f>AC41*AC130</f>
        <v>2889.2151526350849</v>
      </c>
    </row>
    <row r="130" spans="2:29" ht="15" customHeight="1" x14ac:dyDescent="0.3">
      <c r="B130" s="70" t="s">
        <v>3310</v>
      </c>
      <c r="C130" s="90" t="s">
        <v>113</v>
      </c>
      <c r="D130" s="438">
        <f>D129/D41</f>
        <v>3.2773694390715667E-2</v>
      </c>
      <c r="E130" s="438">
        <f>E129/E41</f>
        <v>2.9709523225885524E-2</v>
      </c>
      <c r="F130" s="438">
        <f>F129/F41</f>
        <v>2.6362378086072037E-2</v>
      </c>
      <c r="G130" s="438">
        <f>G129/G41</f>
        <v>2.5079794427914526E-2</v>
      </c>
      <c r="H130" s="438">
        <f>H129/H41</f>
        <v>3.2504409929871358E-2</v>
      </c>
      <c r="I130" s="181"/>
      <c r="K130" s="438">
        <f>K84</f>
        <v>3.2000000000000001E-2</v>
      </c>
      <c r="L130" s="438">
        <f t="shared" ref="L130:O130" si="163">L84</f>
        <v>3.3000000000000002E-2</v>
      </c>
      <c r="M130" s="438">
        <f t="shared" si="163"/>
        <v>3.4000000000000002E-2</v>
      </c>
      <c r="N130" s="438">
        <f t="shared" si="163"/>
        <v>3.5000000000000003E-2</v>
      </c>
      <c r="O130" s="438">
        <f t="shared" si="163"/>
        <v>3.6999999999999998E-2</v>
      </c>
      <c r="P130" s="503"/>
      <c r="Q130" s="41"/>
      <c r="R130" s="438">
        <f>K85</f>
        <v>0.03</v>
      </c>
      <c r="S130" s="438">
        <f t="shared" ref="S130:V130" si="164">L85</f>
        <v>3.1E-2</v>
      </c>
      <c r="T130" s="438">
        <f t="shared" si="164"/>
        <v>3.2000000000000001E-2</v>
      </c>
      <c r="U130" s="438">
        <f t="shared" si="164"/>
        <v>3.3000000000000002E-2</v>
      </c>
      <c r="V130" s="438">
        <f t="shared" si="164"/>
        <v>3.5000000000000003E-2</v>
      </c>
      <c r="W130" s="503"/>
      <c r="X130" s="41"/>
      <c r="Y130" s="438">
        <f>K86</f>
        <v>2.8000000000000001E-2</v>
      </c>
      <c r="Z130" s="438">
        <f t="shared" ref="Z130:AC130" si="165">L86</f>
        <v>2.8000000000000001E-2</v>
      </c>
      <c r="AA130" s="438">
        <f t="shared" si="165"/>
        <v>0.03</v>
      </c>
      <c r="AB130" s="438">
        <f t="shared" si="165"/>
        <v>0.03</v>
      </c>
      <c r="AC130" s="438">
        <f t="shared" si="165"/>
        <v>3.2000000000000001E-2</v>
      </c>
    </row>
    <row r="131" spans="2:29" ht="15" customHeight="1" x14ac:dyDescent="0.25">
      <c r="B131" s="439" t="s">
        <v>3274</v>
      </c>
      <c r="C131" s="541" t="s">
        <v>112</v>
      </c>
      <c r="D131" s="440">
        <f>'BALANCE SHEET'!D46</f>
        <v>767</v>
      </c>
      <c r="E131" s="440">
        <f>'BALANCE SHEET'!E46</f>
        <v>906</v>
      </c>
      <c r="F131" s="440">
        <f>'BALANCE SHEET'!F46</f>
        <v>862</v>
      </c>
      <c r="G131" s="440">
        <f>'BALANCE SHEET'!G46</f>
        <v>922</v>
      </c>
      <c r="H131" s="440">
        <f>'BALANCE SHEET'!H46</f>
        <v>803</v>
      </c>
      <c r="I131" s="181"/>
      <c r="K131" s="440">
        <f>K129*K132</f>
        <v>963.54222080000011</v>
      </c>
      <c r="L131" s="440">
        <f t="shared" ref="L131:O131" si="166">L129*L132</f>
        <v>1005.763241472</v>
      </c>
      <c r="M131" s="440">
        <f t="shared" si="166"/>
        <v>1058.8649737215999</v>
      </c>
      <c r="N131" s="440">
        <f t="shared" si="166"/>
        <v>1113.8806283601921</v>
      </c>
      <c r="O131" s="440">
        <f t="shared" si="166"/>
        <v>1214.5985876542875</v>
      </c>
      <c r="P131" s="181"/>
      <c r="R131" s="440">
        <f t="shared" ref="R131:V131" si="167">R129*R132</f>
        <v>968.89085999999986</v>
      </c>
      <c r="S131" s="440">
        <f t="shared" si="167"/>
        <v>993.83025797999983</v>
      </c>
      <c r="T131" s="440">
        <f t="shared" si="167"/>
        <v>1038.0665768256001</v>
      </c>
      <c r="U131" s="440">
        <f t="shared" si="167"/>
        <v>1083.2884704859139</v>
      </c>
      <c r="V131" s="440">
        <f t="shared" si="167"/>
        <v>1173.6561406817334</v>
      </c>
      <c r="W131" s="181"/>
      <c r="Y131" s="440">
        <f t="shared" ref="Y131:AC131" si="168">Y129*Y132</f>
        <v>976.6566656</v>
      </c>
      <c r="Z131" s="440">
        <f t="shared" si="168"/>
        <v>964.37064908799982</v>
      </c>
      <c r="AA131" s="440">
        <f t="shared" si="168"/>
        <v>1025.3162568191999</v>
      </c>
      <c r="AB131" s="440">
        <f t="shared" si="168"/>
        <v>1017.553408163328</v>
      </c>
      <c r="AC131" s="440">
        <f t="shared" si="168"/>
        <v>1097.9017580013324</v>
      </c>
    </row>
    <row r="132" spans="2:29" ht="15" customHeight="1" x14ac:dyDescent="0.3">
      <c r="B132" s="441" t="s">
        <v>3276</v>
      </c>
      <c r="C132" s="544" t="s">
        <v>113</v>
      </c>
      <c r="D132" s="442">
        <f>D131/D129</f>
        <v>0.36213408876298397</v>
      </c>
      <c r="E132" s="442">
        <f t="shared" ref="E132:H132" si="169">E131/E129</f>
        <v>0.37376237623762376</v>
      </c>
      <c r="F132" s="442">
        <f t="shared" si="169"/>
        <v>0.35083435083435083</v>
      </c>
      <c r="G132" s="442">
        <f t="shared" si="169"/>
        <v>0.39775668679896464</v>
      </c>
      <c r="H132" s="442">
        <f t="shared" si="169"/>
        <v>0.26571806750496357</v>
      </c>
      <c r="I132" s="181"/>
      <c r="K132" s="518">
        <v>0.32</v>
      </c>
      <c r="L132" s="518">
        <v>0.32</v>
      </c>
      <c r="M132" s="518">
        <v>0.32</v>
      </c>
      <c r="N132" s="518">
        <v>0.32</v>
      </c>
      <c r="O132" s="518">
        <v>0.32</v>
      </c>
      <c r="P132" s="507"/>
      <c r="Q132" s="460"/>
      <c r="R132" s="518">
        <v>0.35</v>
      </c>
      <c r="S132" s="518">
        <v>0.35</v>
      </c>
      <c r="T132" s="518">
        <v>0.35</v>
      </c>
      <c r="U132" s="518">
        <v>0.35</v>
      </c>
      <c r="V132" s="518">
        <v>0.35</v>
      </c>
      <c r="W132" s="507"/>
      <c r="X132" s="460"/>
      <c r="Y132" s="518">
        <v>0.38</v>
      </c>
      <c r="Z132" s="518">
        <v>0.38</v>
      </c>
      <c r="AA132" s="518">
        <v>0.38</v>
      </c>
      <c r="AB132" s="518">
        <v>0.38</v>
      </c>
      <c r="AC132" s="518">
        <v>0.38</v>
      </c>
    </row>
    <row r="133" spans="2:29" ht="15" customHeight="1" x14ac:dyDescent="0.25">
      <c r="B133" s="439" t="s">
        <v>3275</v>
      </c>
      <c r="C133" s="541" t="s">
        <v>112</v>
      </c>
      <c r="D133" s="440">
        <f>'BALANCE SHEET'!D60</f>
        <v>1351</v>
      </c>
      <c r="E133" s="440">
        <f>'BALANCE SHEET'!E60</f>
        <v>1518</v>
      </c>
      <c r="F133" s="440">
        <f>'BALANCE SHEET'!F60</f>
        <v>1595</v>
      </c>
      <c r="G133" s="440">
        <f>'BALANCE SHEET'!G60</f>
        <v>1396</v>
      </c>
      <c r="H133" s="440">
        <f>'BALANCE SHEET'!H60</f>
        <v>2219</v>
      </c>
      <c r="I133" s="181"/>
      <c r="K133" s="440">
        <f>K129*K134</f>
        <v>2047.5272192</v>
      </c>
      <c r="L133" s="440">
        <f t="shared" ref="L133:O133" si="170">L129*L134</f>
        <v>2137.2468881279997</v>
      </c>
      <c r="M133" s="440">
        <f t="shared" si="170"/>
        <v>2250.0880691583998</v>
      </c>
      <c r="N133" s="440">
        <f t="shared" si="170"/>
        <v>2366.9963352654081</v>
      </c>
      <c r="O133" s="440">
        <f t="shared" si="170"/>
        <v>2581.0219987653604</v>
      </c>
      <c r="P133" s="181"/>
      <c r="R133" s="440">
        <f t="shared" ref="R133" si="171">R129*R134</f>
        <v>1799.3687399999999</v>
      </c>
      <c r="S133" s="440">
        <f t="shared" ref="S133" si="172">S129*S134</f>
        <v>1845.6847648199998</v>
      </c>
      <c r="T133" s="440">
        <f t="shared" ref="T133" si="173">T129*T134</f>
        <v>1927.8379283904003</v>
      </c>
      <c r="U133" s="440">
        <f t="shared" ref="U133" si="174">U129*U134</f>
        <v>2011.8214451881263</v>
      </c>
      <c r="V133" s="440">
        <f t="shared" ref="V133" si="175">V129*V134</f>
        <v>2179.6471184089337</v>
      </c>
      <c r="W133" s="181"/>
      <c r="Y133" s="440">
        <f t="shared" ref="Y133" si="176">Y129*Y134</f>
        <v>1593.4924544</v>
      </c>
      <c r="Z133" s="440">
        <f t="shared" ref="Z133" si="177">Z129*Z134</f>
        <v>1573.4468485119996</v>
      </c>
      <c r="AA133" s="440">
        <f t="shared" ref="AA133" si="178">AA129*AA134</f>
        <v>1672.8844190207999</v>
      </c>
      <c r="AB133" s="440">
        <f t="shared" ref="AB133" si="179">AB129*AB134</f>
        <v>1660.218718582272</v>
      </c>
      <c r="AC133" s="440">
        <f t="shared" ref="AC133" si="180">AC129*AC134</f>
        <v>1791.3133946337525</v>
      </c>
    </row>
    <row r="134" spans="2:29" ht="15" customHeight="1" x14ac:dyDescent="0.3">
      <c r="B134" s="441" t="s">
        <v>3276</v>
      </c>
      <c r="C134" s="544" t="s">
        <v>113</v>
      </c>
      <c r="D134" s="442">
        <f>D133/D129</f>
        <v>0.63786591123701608</v>
      </c>
      <c r="E134" s="442">
        <f t="shared" ref="E134:H134" si="181">E133/E129</f>
        <v>0.62623762376237624</v>
      </c>
      <c r="F134" s="442">
        <f t="shared" si="181"/>
        <v>0.64916564916564912</v>
      </c>
      <c r="G134" s="442">
        <f t="shared" si="181"/>
        <v>0.60224331320103541</v>
      </c>
      <c r="H134" s="442">
        <f t="shared" si="181"/>
        <v>0.73428193249503637</v>
      </c>
      <c r="I134" s="181"/>
      <c r="K134" s="442">
        <f>100%-K132</f>
        <v>0.67999999999999994</v>
      </c>
      <c r="L134" s="442">
        <f t="shared" ref="L134:O134" si="182">100%-L132</f>
        <v>0.67999999999999994</v>
      </c>
      <c r="M134" s="442">
        <f t="shared" si="182"/>
        <v>0.67999999999999994</v>
      </c>
      <c r="N134" s="442">
        <f t="shared" si="182"/>
        <v>0.67999999999999994</v>
      </c>
      <c r="O134" s="442">
        <f t="shared" si="182"/>
        <v>0.67999999999999994</v>
      </c>
      <c r="P134" s="503"/>
      <c r="Q134" s="41"/>
      <c r="R134" s="442">
        <f t="shared" ref="R134:V134" si="183">100%-R132</f>
        <v>0.65</v>
      </c>
      <c r="S134" s="442">
        <f t="shared" si="183"/>
        <v>0.65</v>
      </c>
      <c r="T134" s="442">
        <f t="shared" si="183"/>
        <v>0.65</v>
      </c>
      <c r="U134" s="442">
        <f t="shared" si="183"/>
        <v>0.65</v>
      </c>
      <c r="V134" s="442">
        <f t="shared" si="183"/>
        <v>0.65</v>
      </c>
      <c r="W134" s="503"/>
      <c r="X134" s="41"/>
      <c r="Y134" s="442">
        <f t="shared" ref="Y134:AC134" si="184">100%-Y132</f>
        <v>0.62</v>
      </c>
      <c r="Z134" s="442">
        <f t="shared" si="184"/>
        <v>0.62</v>
      </c>
      <c r="AA134" s="442">
        <f t="shared" si="184"/>
        <v>0.62</v>
      </c>
      <c r="AB134" s="442">
        <f t="shared" si="184"/>
        <v>0.62</v>
      </c>
      <c r="AC134" s="442">
        <f t="shared" si="184"/>
        <v>0.62</v>
      </c>
    </row>
    <row r="135" spans="2:29" ht="15" customHeight="1" x14ac:dyDescent="0.25">
      <c r="B135" s="102"/>
      <c r="C135" s="100"/>
      <c r="D135" s="104"/>
      <c r="E135" s="104"/>
      <c r="F135" s="104"/>
      <c r="G135" s="104"/>
      <c r="H135" s="181"/>
      <c r="I135" s="181"/>
      <c r="K135" s="104"/>
      <c r="L135" s="104"/>
      <c r="M135" s="104"/>
      <c r="N135" s="104"/>
      <c r="O135" s="181"/>
      <c r="P135" s="181"/>
      <c r="R135" s="104"/>
      <c r="S135" s="104"/>
      <c r="T135" s="104"/>
      <c r="U135" s="104"/>
      <c r="V135" s="181"/>
      <c r="W135" s="181"/>
      <c r="Y135" s="104"/>
      <c r="Z135" s="104"/>
      <c r="AA135" s="104"/>
      <c r="AB135" s="104"/>
      <c r="AC135" s="104"/>
    </row>
    <row r="136" spans="2:29" ht="15" customHeight="1" x14ac:dyDescent="0.25">
      <c r="B136" s="102" t="s">
        <v>3254</v>
      </c>
      <c r="C136" s="100" t="s">
        <v>112</v>
      </c>
      <c r="D136" s="104">
        <f>'BALANCE SHEET'!D65</f>
        <v>478</v>
      </c>
      <c r="E136" s="104">
        <f>'BALANCE SHEET'!E65</f>
        <v>485</v>
      </c>
      <c r="F136" s="104">
        <f>'BALANCE SHEET'!F65</f>
        <v>639</v>
      </c>
      <c r="G136" s="104">
        <f>'BALANCE SHEET'!G65</f>
        <v>875</v>
      </c>
      <c r="H136" s="104">
        <f>'BALANCE SHEET'!H65</f>
        <v>1276</v>
      </c>
      <c r="I136" s="181"/>
      <c r="K136" s="104">
        <f>K41*K137</f>
        <v>1599.6306400000001</v>
      </c>
      <c r="L136" s="104">
        <f>L41*L137</f>
        <v>1714.3691615999999</v>
      </c>
      <c r="M136" s="104">
        <f>M41*M137</f>
        <v>1751.7986697599997</v>
      </c>
      <c r="N136" s="104">
        <f>N41*N137</f>
        <v>1889.61892311104</v>
      </c>
      <c r="O136" s="104">
        <f>O41*O137</f>
        <v>2051.6868034700801</v>
      </c>
      <c r="P136" s="181"/>
      <c r="R136" s="104">
        <f>R41*R137</f>
        <v>1476.4051199999999</v>
      </c>
      <c r="S136" s="104">
        <f>S41*S137</f>
        <v>1557.1533996000001</v>
      </c>
      <c r="T136" s="104">
        <f>T41*T137</f>
        <v>1668.321284184</v>
      </c>
      <c r="U136" s="104">
        <f>U41*U137</f>
        <v>1782.0329817517199</v>
      </c>
      <c r="V136" s="104">
        <f>V41*V137</f>
        <v>1916.1732909089521</v>
      </c>
      <c r="W136" s="181"/>
      <c r="Y136" s="104">
        <f>Y41*Y137</f>
        <v>1376.8655999999999</v>
      </c>
      <c r="Z136" s="104">
        <f>Z41*Z137</f>
        <v>1450.1814271999999</v>
      </c>
      <c r="AA136" s="104">
        <f>AA41*AA137</f>
        <v>1528.9803829760001</v>
      </c>
      <c r="AB136" s="104">
        <f>AB41*AB137</f>
        <v>1606.6632760473601</v>
      </c>
      <c r="AC136" s="104">
        <f>AC41*AC137</f>
        <v>1715.4714968770816</v>
      </c>
    </row>
    <row r="137" spans="2:29" ht="15" customHeight="1" x14ac:dyDescent="0.3">
      <c r="B137" s="70" t="s">
        <v>3310</v>
      </c>
      <c r="C137" s="90" t="s">
        <v>113</v>
      </c>
      <c r="D137" s="438">
        <f>D136/D41</f>
        <v>7.3965183752417799E-3</v>
      </c>
      <c r="E137" s="438">
        <f>E136/E41</f>
        <v>5.9443559259713197E-3</v>
      </c>
      <c r="F137" s="438">
        <f>F136/F41</f>
        <v>6.8561496121286253E-3</v>
      </c>
      <c r="G137" s="438">
        <f>G136/G41</f>
        <v>9.4671355152826618E-3</v>
      </c>
      <c r="H137" s="438">
        <f>H136/H41</f>
        <v>1.3724562233790819E-2</v>
      </c>
      <c r="I137" s="503"/>
      <c r="J137" s="41"/>
      <c r="K137" s="459">
        <v>1.7000000000000001E-2</v>
      </c>
      <c r="L137" s="459">
        <v>1.7999999999999999E-2</v>
      </c>
      <c r="M137" s="459">
        <v>1.7999999999999999E-2</v>
      </c>
      <c r="N137" s="459">
        <v>1.9E-2</v>
      </c>
      <c r="O137" s="507">
        <v>0.02</v>
      </c>
      <c r="P137" s="507"/>
      <c r="Q137" s="460"/>
      <c r="R137" s="459">
        <v>1.6E-2</v>
      </c>
      <c r="S137" s="459">
        <v>1.7000000000000001E-2</v>
      </c>
      <c r="T137" s="459">
        <v>1.7999999999999999E-2</v>
      </c>
      <c r="U137" s="459">
        <v>1.9E-2</v>
      </c>
      <c r="V137" s="507">
        <v>0.02</v>
      </c>
      <c r="W137" s="507"/>
      <c r="X137" s="460"/>
      <c r="Y137" s="459">
        <v>1.4999999999999999E-2</v>
      </c>
      <c r="Z137" s="459">
        <v>1.6E-2</v>
      </c>
      <c r="AA137" s="459">
        <v>1.7000000000000001E-2</v>
      </c>
      <c r="AB137" s="459">
        <v>1.7999999999999999E-2</v>
      </c>
      <c r="AC137" s="459">
        <v>1.9E-2</v>
      </c>
    </row>
    <row r="138" spans="2:29" ht="15" customHeight="1" x14ac:dyDescent="0.25">
      <c r="B138" s="102"/>
      <c r="C138" s="100"/>
      <c r="D138" s="104"/>
      <c r="E138" s="104"/>
      <c r="F138" s="104"/>
      <c r="G138" s="104"/>
      <c r="H138" s="181"/>
      <c r="I138" s="181"/>
      <c r="K138" s="104"/>
      <c r="L138" s="104"/>
      <c r="M138" s="104"/>
      <c r="N138" s="104"/>
      <c r="O138" s="181"/>
      <c r="P138" s="181"/>
      <c r="R138" s="104"/>
      <c r="S138" s="104"/>
      <c r="T138" s="104"/>
      <c r="U138" s="104"/>
      <c r="V138" s="181"/>
      <c r="W138" s="181"/>
      <c r="Y138" s="104"/>
      <c r="Z138" s="104"/>
      <c r="AA138" s="104"/>
      <c r="AB138" s="104"/>
      <c r="AC138" s="104"/>
    </row>
    <row r="139" spans="2:29" ht="15" customHeight="1" x14ac:dyDescent="0.25">
      <c r="B139" s="102" t="s">
        <v>3175</v>
      </c>
      <c r="C139" s="100" t="s">
        <v>112</v>
      </c>
      <c r="D139" s="104">
        <f>'BALANCE SHEET'!D49+'BALANCE SHEET'!D61</f>
        <v>2846</v>
      </c>
      <c r="E139" s="104">
        <f>'BALANCE SHEET'!E49+'BALANCE SHEET'!E61</f>
        <v>6803</v>
      </c>
      <c r="F139" s="104">
        <f>'BALANCE SHEET'!F49+'BALANCE SHEET'!F61</f>
        <v>3612</v>
      </c>
      <c r="G139" s="104">
        <f>'BALANCE SHEET'!G49+'BALANCE SHEET'!G61</f>
        <v>3817</v>
      </c>
      <c r="H139" s="104">
        <f>'BALANCE SHEET'!H49+'BALANCE SHEET'!H61</f>
        <v>4125</v>
      </c>
      <c r="I139" s="181"/>
      <c r="K139" s="104">
        <f>K41*K140</f>
        <v>4121.401296</v>
      </c>
      <c r="L139" s="104">
        <f>L41*L140</f>
        <v>4171.6316265599999</v>
      </c>
      <c r="M139" s="104">
        <f>M41*M140</f>
        <v>4262.7100964159999</v>
      </c>
      <c r="N139" s="104">
        <f>N41*N140</f>
        <v>4356.0688859086076</v>
      </c>
      <c r="O139" s="104">
        <f>O41*O140</f>
        <v>4493.1940995994755</v>
      </c>
      <c r="P139" s="181"/>
      <c r="R139" s="104">
        <f>R41*R140</f>
        <v>3949.3836959999994</v>
      </c>
      <c r="S139" s="104">
        <f>S41*S140</f>
        <v>3920.3626766399998</v>
      </c>
      <c r="T139" s="104">
        <f>T41*T140</f>
        <v>3966.8972757264</v>
      </c>
      <c r="U139" s="104">
        <f>U41*U140</f>
        <v>4014.2637694196637</v>
      </c>
      <c r="V139" s="104">
        <f>V41*V140</f>
        <v>4100.6108425451575</v>
      </c>
      <c r="W139" s="181"/>
      <c r="Y139" s="104">
        <f>Y41*Y140</f>
        <v>3836.8654719999995</v>
      </c>
      <c r="Z139" s="104">
        <f>Z41*Z140</f>
        <v>3788.5989785599991</v>
      </c>
      <c r="AA139" s="104">
        <f>AA41*AA140</f>
        <v>3759.4929416703999</v>
      </c>
      <c r="AB139" s="104">
        <f>AB41*AB140</f>
        <v>3731.0291632655362</v>
      </c>
      <c r="AC139" s="104">
        <f>AC41*AC140</f>
        <v>3774.0372931295792</v>
      </c>
    </row>
    <row r="140" spans="2:29" ht="15" customHeight="1" x14ac:dyDescent="0.3">
      <c r="B140" s="457" t="s">
        <v>3310</v>
      </c>
      <c r="C140" s="542" t="s">
        <v>113</v>
      </c>
      <c r="D140" s="438">
        <f>D139/D41</f>
        <v>4.4038684719535787E-2</v>
      </c>
      <c r="E140" s="438">
        <f>E139/E41</f>
        <v>8.3380316215222447E-2</v>
      </c>
      <c r="F140" s="438">
        <f>F139/F41</f>
        <v>3.8754948981234105E-2</v>
      </c>
      <c r="G140" s="438">
        <f>G139/G41</f>
        <v>4.1298350013524478E-2</v>
      </c>
      <c r="H140" s="438">
        <f>H139/H41</f>
        <v>4.4368196876478937E-2</v>
      </c>
      <c r="I140" s="444"/>
      <c r="J140" s="443"/>
      <c r="K140" s="459">
        <v>4.3799999999999999E-2</v>
      </c>
      <c r="L140" s="459">
        <v>4.3799999999999999E-2</v>
      </c>
      <c r="M140" s="459">
        <v>4.3799999999999999E-2</v>
      </c>
      <c r="N140" s="459">
        <v>4.3799999999999999E-2</v>
      </c>
      <c r="O140" s="459">
        <v>4.3799999999999999E-2</v>
      </c>
      <c r="P140" s="507"/>
      <c r="Q140" s="460"/>
      <c r="R140" s="459">
        <v>4.2799999999999998E-2</v>
      </c>
      <c r="S140" s="459">
        <v>4.2799999999999998E-2</v>
      </c>
      <c r="T140" s="459">
        <v>4.2799999999999998E-2</v>
      </c>
      <c r="U140" s="459">
        <v>4.2799999999999998E-2</v>
      </c>
      <c r="V140" s="459">
        <v>4.2799999999999998E-2</v>
      </c>
      <c r="W140" s="507"/>
      <c r="X140" s="460"/>
      <c r="Y140" s="459">
        <v>4.1799999999999997E-2</v>
      </c>
      <c r="Z140" s="459">
        <v>4.1799999999999997E-2</v>
      </c>
      <c r="AA140" s="459">
        <v>4.1799999999999997E-2</v>
      </c>
      <c r="AB140" s="459">
        <v>4.1799999999999997E-2</v>
      </c>
      <c r="AC140" s="459">
        <v>4.1799999999999997E-2</v>
      </c>
    </row>
    <row r="141" spans="2:29" ht="15" customHeight="1" x14ac:dyDescent="0.25">
      <c r="B141" s="439" t="s">
        <v>3289</v>
      </c>
      <c r="C141" s="541" t="s">
        <v>112</v>
      </c>
      <c r="D141" s="440">
        <f>'BALANCE SHEET'!D49</f>
        <v>2617</v>
      </c>
      <c r="E141" s="440">
        <f>'BALANCE SHEET'!E49</f>
        <v>6507</v>
      </c>
      <c r="F141" s="440">
        <f>'BALANCE SHEET'!F49</f>
        <v>3347</v>
      </c>
      <c r="G141" s="440">
        <f>'BALANCE SHEET'!G49</f>
        <v>3318</v>
      </c>
      <c r="H141" s="440">
        <f>'BALANCE SHEET'!H49</f>
        <v>3346</v>
      </c>
      <c r="I141" s="181"/>
      <c r="K141" s="440">
        <f>K139*K142</f>
        <v>3255.90702384</v>
      </c>
      <c r="L141" s="440">
        <f t="shared" ref="L141:O141" si="185">L139*L142</f>
        <v>3128.7237199199999</v>
      </c>
      <c r="M141" s="440">
        <f t="shared" si="185"/>
        <v>3069.1512694195198</v>
      </c>
      <c r="N141" s="440">
        <f t="shared" si="185"/>
        <v>3049.2482201360253</v>
      </c>
      <c r="O141" s="440">
        <f t="shared" si="185"/>
        <v>3055.3719877276435</v>
      </c>
      <c r="P141" s="181"/>
      <c r="R141" s="440">
        <f t="shared" ref="R141:V141" si="186">R139*R142</f>
        <v>3120.0131198399995</v>
      </c>
      <c r="S141" s="440">
        <f t="shared" si="186"/>
        <v>3018.6792610128</v>
      </c>
      <c r="T141" s="440">
        <f t="shared" si="186"/>
        <v>2975.1729567948</v>
      </c>
      <c r="U141" s="440">
        <f t="shared" si="186"/>
        <v>2930.4125516763543</v>
      </c>
      <c r="V141" s="440">
        <f t="shared" si="186"/>
        <v>2911.4336982070618</v>
      </c>
      <c r="W141" s="181"/>
      <c r="Y141" s="440">
        <f t="shared" ref="Y141:AC141" si="187">Y139*Y142</f>
        <v>3069.4923775999996</v>
      </c>
      <c r="Z141" s="440">
        <f t="shared" si="187"/>
        <v>2955.1072032767993</v>
      </c>
      <c r="AA141" s="440">
        <f t="shared" si="187"/>
        <v>2894.8095650862078</v>
      </c>
      <c r="AB141" s="440">
        <f t="shared" si="187"/>
        <v>2798.2718724491524</v>
      </c>
      <c r="AC141" s="440">
        <f t="shared" si="187"/>
        <v>2755.0472239845926</v>
      </c>
    </row>
    <row r="142" spans="2:29" ht="15" customHeight="1" x14ac:dyDescent="0.3">
      <c r="B142" s="458" t="s">
        <v>3290</v>
      </c>
      <c r="C142" s="543" t="s">
        <v>113</v>
      </c>
      <c r="D142" s="442">
        <f>D141/D139</f>
        <v>0.91953619114546736</v>
      </c>
      <c r="E142" s="442">
        <f t="shared" ref="E142:H142" si="188">E141/E139</f>
        <v>0.9564897839188593</v>
      </c>
      <c r="F142" s="442">
        <f t="shared" si="188"/>
        <v>0.92663344407530457</v>
      </c>
      <c r="G142" s="442">
        <f t="shared" si="188"/>
        <v>0.86926905947078859</v>
      </c>
      <c r="H142" s="442">
        <f t="shared" si="188"/>
        <v>0.81115151515151518</v>
      </c>
      <c r="I142" s="444"/>
      <c r="J142" s="443"/>
      <c r="K142" s="518">
        <v>0.79</v>
      </c>
      <c r="L142" s="518">
        <v>0.75</v>
      </c>
      <c r="M142" s="518">
        <v>0.72</v>
      </c>
      <c r="N142" s="518">
        <v>0.7</v>
      </c>
      <c r="O142" s="520">
        <v>0.68</v>
      </c>
      <c r="P142" s="507"/>
      <c r="Q142" s="460"/>
      <c r="R142" s="518">
        <v>0.79</v>
      </c>
      <c r="S142" s="518">
        <v>0.77</v>
      </c>
      <c r="T142" s="518">
        <v>0.75</v>
      </c>
      <c r="U142" s="518">
        <v>0.73</v>
      </c>
      <c r="V142" s="520">
        <v>0.71</v>
      </c>
      <c r="W142" s="507"/>
      <c r="X142" s="460"/>
      <c r="Y142" s="518">
        <v>0.8</v>
      </c>
      <c r="Z142" s="518">
        <v>0.78</v>
      </c>
      <c r="AA142" s="518">
        <v>0.77</v>
      </c>
      <c r="AB142" s="518">
        <v>0.75</v>
      </c>
      <c r="AC142" s="520">
        <v>0.73</v>
      </c>
    </row>
    <row r="143" spans="2:29" ht="15" customHeight="1" x14ac:dyDescent="0.25">
      <c r="B143" s="439" t="s">
        <v>3291</v>
      </c>
      <c r="C143" s="541" t="s">
        <v>112</v>
      </c>
      <c r="D143" s="440">
        <f>'BALANCE SHEET'!D61</f>
        <v>229</v>
      </c>
      <c r="E143" s="440">
        <f>'BALANCE SHEET'!E61</f>
        <v>296</v>
      </c>
      <c r="F143" s="440">
        <f>'BALANCE SHEET'!F61</f>
        <v>265</v>
      </c>
      <c r="G143" s="440">
        <f>'BALANCE SHEET'!G61</f>
        <v>499</v>
      </c>
      <c r="H143" s="440">
        <f>'BALANCE SHEET'!H61</f>
        <v>779</v>
      </c>
      <c r="I143" s="181"/>
      <c r="K143" s="440">
        <f>K139*K144</f>
        <v>865.49427215999981</v>
      </c>
      <c r="L143" s="440">
        <f t="shared" ref="L143:O143" si="189">L139*L144</f>
        <v>1042.90790664</v>
      </c>
      <c r="M143" s="440">
        <f t="shared" si="189"/>
        <v>1193.5588269964801</v>
      </c>
      <c r="N143" s="440">
        <f t="shared" si="189"/>
        <v>1306.8206657725825</v>
      </c>
      <c r="O143" s="440">
        <f t="shared" si="189"/>
        <v>1437.822111871832</v>
      </c>
      <c r="P143" s="181"/>
      <c r="R143" s="440">
        <f t="shared" ref="R143:V143" si="190">R139*R144</f>
        <v>829.3705761599997</v>
      </c>
      <c r="S143" s="440">
        <f t="shared" si="190"/>
        <v>901.68341562719991</v>
      </c>
      <c r="T143" s="440">
        <f t="shared" si="190"/>
        <v>991.72431893160001</v>
      </c>
      <c r="U143" s="440">
        <f t="shared" si="190"/>
        <v>1083.8512177433092</v>
      </c>
      <c r="V143" s="440">
        <f t="shared" si="190"/>
        <v>1189.1771443380958</v>
      </c>
      <c r="W143" s="181"/>
      <c r="Y143" s="440">
        <f t="shared" ref="Y143:AC143" si="191">Y139*Y144</f>
        <v>767.37309439999979</v>
      </c>
      <c r="Z143" s="440">
        <f t="shared" si="191"/>
        <v>833.49177528319967</v>
      </c>
      <c r="AA143" s="440">
        <f t="shared" si="191"/>
        <v>864.68337658419193</v>
      </c>
      <c r="AB143" s="440">
        <f t="shared" si="191"/>
        <v>932.75729081638406</v>
      </c>
      <c r="AC143" s="440">
        <f t="shared" si="191"/>
        <v>1018.9900691449865</v>
      </c>
    </row>
    <row r="144" spans="2:29" ht="15" customHeight="1" x14ac:dyDescent="0.3">
      <c r="B144" s="458" t="s">
        <v>3290</v>
      </c>
      <c r="C144" s="543" t="s">
        <v>113</v>
      </c>
      <c r="D144" s="442">
        <f>D143/D139</f>
        <v>8.0463808854532679E-2</v>
      </c>
      <c r="E144" s="442">
        <f t="shared" ref="E144:H144" si="192">E143/E139</f>
        <v>4.3510216081140675E-2</v>
      </c>
      <c r="F144" s="442">
        <f t="shared" si="192"/>
        <v>7.3366555924695459E-2</v>
      </c>
      <c r="G144" s="442">
        <f t="shared" si="192"/>
        <v>0.13073094052921141</v>
      </c>
      <c r="H144" s="442">
        <f t="shared" si="192"/>
        <v>0.18884848484848485</v>
      </c>
      <c r="I144" s="444"/>
      <c r="J144" s="443"/>
      <c r="K144" s="442">
        <f>100%-K142</f>
        <v>0.20999999999999996</v>
      </c>
      <c r="L144" s="442">
        <f t="shared" ref="L144:O144" si="193">100%-L142</f>
        <v>0.25</v>
      </c>
      <c r="M144" s="442">
        <f t="shared" si="193"/>
        <v>0.28000000000000003</v>
      </c>
      <c r="N144" s="442">
        <f t="shared" si="193"/>
        <v>0.30000000000000004</v>
      </c>
      <c r="O144" s="442">
        <f t="shared" si="193"/>
        <v>0.31999999999999995</v>
      </c>
      <c r="P144" s="444"/>
      <c r="Q144" s="443"/>
      <c r="R144" s="442">
        <f t="shared" ref="R144:V144" si="194">100%-R142</f>
        <v>0.20999999999999996</v>
      </c>
      <c r="S144" s="442">
        <f t="shared" si="194"/>
        <v>0.22999999999999998</v>
      </c>
      <c r="T144" s="442">
        <f t="shared" si="194"/>
        <v>0.25</v>
      </c>
      <c r="U144" s="442">
        <f t="shared" si="194"/>
        <v>0.27</v>
      </c>
      <c r="V144" s="442">
        <f t="shared" si="194"/>
        <v>0.29000000000000004</v>
      </c>
      <c r="W144" s="444"/>
      <c r="X144" s="443"/>
      <c r="Y144" s="442">
        <f t="shared" ref="Y144:AC144" si="195">100%-Y142</f>
        <v>0.19999999999999996</v>
      </c>
      <c r="Z144" s="442">
        <f t="shared" si="195"/>
        <v>0.21999999999999997</v>
      </c>
      <c r="AA144" s="442">
        <f t="shared" si="195"/>
        <v>0.22999999999999998</v>
      </c>
      <c r="AB144" s="442">
        <f t="shared" si="195"/>
        <v>0.25</v>
      </c>
      <c r="AC144" s="442">
        <f t="shared" si="195"/>
        <v>0.27</v>
      </c>
    </row>
    <row r="145" spans="2:29" ht="15" customHeight="1" x14ac:dyDescent="0.25">
      <c r="B145" s="102"/>
      <c r="C145" s="100"/>
      <c r="D145" s="104"/>
      <c r="E145" s="104"/>
      <c r="F145" s="104"/>
      <c r="G145" s="104"/>
      <c r="H145" s="181"/>
      <c r="I145" s="181"/>
      <c r="K145" s="104"/>
      <c r="L145" s="104"/>
      <c r="M145" s="104"/>
      <c r="N145" s="104"/>
      <c r="O145" s="181"/>
      <c r="P145" s="181"/>
      <c r="R145" s="104"/>
      <c r="S145" s="104"/>
      <c r="T145" s="104"/>
      <c r="U145" s="104"/>
      <c r="V145" s="181"/>
      <c r="W145" s="181"/>
      <c r="Y145" s="104"/>
      <c r="Z145" s="104"/>
      <c r="AA145" s="104"/>
      <c r="AB145" s="104"/>
      <c r="AC145" s="104"/>
    </row>
    <row r="146" spans="2:29" ht="15" customHeight="1" x14ac:dyDescent="0.25">
      <c r="B146" s="102" t="s">
        <v>558</v>
      </c>
      <c r="C146" s="100" t="s">
        <v>112</v>
      </c>
      <c r="D146" s="104">
        <f>'BALANCE SHEET'!D51</f>
        <v>975</v>
      </c>
      <c r="E146" s="104">
        <f>'BALANCE SHEET'!E51</f>
        <v>1208</v>
      </c>
      <c r="F146" s="104">
        <f>'BALANCE SHEET'!F51</f>
        <v>1430</v>
      </c>
      <c r="G146" s="104">
        <f>'BALANCE SHEET'!G51</f>
        <v>1524</v>
      </c>
      <c r="H146" s="104">
        <f>'BALANCE SHEET'!H51</f>
        <v>1508</v>
      </c>
      <c r="I146" s="181"/>
      <c r="K146" s="104">
        <f>(K$41*K$147)/365</f>
        <v>1546.7822465753425</v>
      </c>
      <c r="L146" s="104">
        <f>(L$41*L$147)/365</f>
        <v>1565.6339375342466</v>
      </c>
      <c r="M146" s="104">
        <f>(M$41*M$147)/365</f>
        <v>1599.8161367671232</v>
      </c>
      <c r="N146" s="104">
        <f>(N$41*N$147)/365</f>
        <v>1634.8541512135889</v>
      </c>
      <c r="O146" s="181">
        <f>(O$41*O$147)/365</f>
        <v>1686.3179206603397</v>
      </c>
      <c r="P146" s="181"/>
      <c r="R146" s="104">
        <f>(R$41*R$147)/365</f>
        <v>1516.8545753424655</v>
      </c>
      <c r="S146" s="104">
        <f>(S$41*S$147)/365</f>
        <v>1505.7083638356162</v>
      </c>
      <c r="T146" s="104">
        <f>(T$41*T$147)/365</f>
        <v>1523.5810814465754</v>
      </c>
      <c r="U146" s="104">
        <f>(U$41*U$147)/365</f>
        <v>1541.7733079322738</v>
      </c>
      <c r="V146" s="181">
        <f>(V$41*V$147)/365</f>
        <v>1574.9369514320153</v>
      </c>
      <c r="W146" s="181"/>
      <c r="Y146" s="104">
        <f>(Y$41*Y$147)/365</f>
        <v>1508.893808219178</v>
      </c>
      <c r="Z146" s="104">
        <f>(Z$41*Z$147)/365</f>
        <v>1489.9124252054792</v>
      </c>
      <c r="AA146" s="104">
        <f>(AA$41*AA$147)/365</f>
        <v>1478.4661237479452</v>
      </c>
      <c r="AB146" s="104">
        <f>(AB$41*AB$147)/365</f>
        <v>1467.2723982167672</v>
      </c>
      <c r="AC146" s="104">
        <f>(AC$41*AC$147)/365</f>
        <v>1484.185866079667</v>
      </c>
    </row>
    <row r="147" spans="2:29" ht="15" customHeight="1" x14ac:dyDescent="0.3">
      <c r="B147" s="42" t="s">
        <v>559</v>
      </c>
      <c r="C147" s="91" t="s">
        <v>3338</v>
      </c>
      <c r="D147" s="495">
        <f>(D146/D$41)*365</f>
        <v>5.5067698259187621</v>
      </c>
      <c r="E147" s="495">
        <f t="shared" ref="E147:H147" si="196">(E146/E$41)*365</f>
        <v>5.404093638926339</v>
      </c>
      <c r="F147" s="495">
        <f t="shared" si="196"/>
        <v>5.6002617997660966</v>
      </c>
      <c r="G147" s="495">
        <f t="shared" si="196"/>
        <v>6.0185014876927241</v>
      </c>
      <c r="H147" s="540">
        <f t="shared" si="196"/>
        <v>5.9202770726670391</v>
      </c>
      <c r="I147" s="181"/>
      <c r="K147" s="111">
        <v>6</v>
      </c>
      <c r="L147" s="111">
        <v>6</v>
      </c>
      <c r="M147" s="111">
        <v>6</v>
      </c>
      <c r="N147" s="111">
        <v>6</v>
      </c>
      <c r="O147" s="111">
        <v>6</v>
      </c>
      <c r="P147" s="213"/>
      <c r="Q147" s="94"/>
      <c r="R147" s="111">
        <v>6</v>
      </c>
      <c r="S147" s="111">
        <v>6</v>
      </c>
      <c r="T147" s="111">
        <v>6</v>
      </c>
      <c r="U147" s="111">
        <v>6</v>
      </c>
      <c r="V147" s="111">
        <v>6</v>
      </c>
      <c r="W147" s="213"/>
      <c r="X147" s="94"/>
      <c r="Y147" s="111">
        <v>6</v>
      </c>
      <c r="Z147" s="111">
        <v>6</v>
      </c>
      <c r="AA147" s="111">
        <v>6</v>
      </c>
      <c r="AB147" s="111">
        <v>6</v>
      </c>
      <c r="AC147" s="111">
        <v>6</v>
      </c>
    </row>
    <row r="148" spans="2:29" ht="15" customHeight="1" x14ac:dyDescent="0.25">
      <c r="I148" s="181"/>
      <c r="P148" s="181"/>
      <c r="W148" s="181"/>
    </row>
    <row r="149" spans="2:29" ht="15" customHeight="1" x14ac:dyDescent="0.25">
      <c r="B149" s="986" t="s">
        <v>3295</v>
      </c>
      <c r="C149" s="986"/>
      <c r="D149" s="986"/>
      <c r="E149" s="986"/>
      <c r="F149" s="986"/>
      <c r="G149" s="986"/>
      <c r="H149" s="986"/>
      <c r="I149" s="181"/>
      <c r="K149" s="982" t="s">
        <v>3333</v>
      </c>
      <c r="L149" s="982"/>
      <c r="M149" s="982"/>
      <c r="N149" s="982"/>
      <c r="O149" s="982"/>
      <c r="P149" s="181"/>
      <c r="R149" s="982" t="s">
        <v>3334</v>
      </c>
      <c r="S149" s="982"/>
      <c r="T149" s="982"/>
      <c r="U149" s="982"/>
      <c r="V149" s="982"/>
      <c r="W149" s="181"/>
      <c r="Y149" s="982" t="s">
        <v>3335</v>
      </c>
      <c r="Z149" s="982"/>
      <c r="AA149" s="982"/>
      <c r="AB149" s="982"/>
      <c r="AC149" s="982"/>
    </row>
    <row r="150" spans="2:29" ht="15" customHeight="1" x14ac:dyDescent="0.25">
      <c r="B150" s="986"/>
      <c r="C150" s="986"/>
      <c r="D150" s="986"/>
      <c r="E150" s="986"/>
      <c r="F150" s="986"/>
      <c r="G150" s="986"/>
      <c r="H150" s="986"/>
      <c r="I150" s="181"/>
      <c r="K150" s="982"/>
      <c r="L150" s="982"/>
      <c r="M150" s="982"/>
      <c r="N150" s="982"/>
      <c r="O150" s="982"/>
      <c r="P150" s="181"/>
      <c r="R150" s="982"/>
      <c r="S150" s="982"/>
      <c r="T150" s="982"/>
      <c r="U150" s="982"/>
      <c r="V150" s="982"/>
      <c r="W150" s="181"/>
      <c r="Y150" s="982"/>
      <c r="Z150" s="982"/>
      <c r="AA150" s="982"/>
      <c r="AB150" s="982"/>
      <c r="AC150" s="982"/>
    </row>
    <row r="151" spans="2:29" ht="15" customHeight="1" x14ac:dyDescent="0.25">
      <c r="I151" s="181"/>
      <c r="P151" s="181"/>
      <c r="W151" s="181"/>
    </row>
    <row r="152" spans="2:29" ht="15" customHeight="1" x14ac:dyDescent="0.25">
      <c r="B152" s="40" t="s">
        <v>3280</v>
      </c>
      <c r="C152" s="60" t="s">
        <v>112</v>
      </c>
      <c r="D152" s="46">
        <f>'BALANCE SHEET'!D62+'BALANCE SHEET'!D52</f>
        <v>2090</v>
      </c>
      <c r="E152" s="46">
        <f>'BALANCE SHEET'!E62+'BALANCE SHEET'!E52</f>
        <v>2080</v>
      </c>
      <c r="F152" s="46">
        <f>'BALANCE SHEET'!F62+'BALANCE SHEET'!F52</f>
        <v>2138</v>
      </c>
      <c r="G152" s="46">
        <f>'BALANCE SHEET'!G62+'BALANCE SHEET'!G52</f>
        <v>2225</v>
      </c>
      <c r="H152" s="46">
        <f>'BALANCE SHEET'!H62+'BALANCE SHEET'!H52</f>
        <v>2230</v>
      </c>
      <c r="I152" s="181"/>
      <c r="K152" s="46">
        <f>K41*K153</f>
        <v>2117.1581999999999</v>
      </c>
      <c r="L152" s="46">
        <f>L41*L153</f>
        <v>2142.961452</v>
      </c>
      <c r="M152" s="46">
        <f>M41*M153</f>
        <v>2189.7483371999997</v>
      </c>
      <c r="N152" s="46">
        <f>N41*N153</f>
        <v>2237.7066194735999</v>
      </c>
      <c r="O152" s="46">
        <f>O41*O153</f>
        <v>2308.1476539038399</v>
      </c>
      <c r="P152" s="181"/>
      <c r="R152" s="46">
        <f>R41*R153</f>
        <v>2260.7453399999999</v>
      </c>
      <c r="S152" s="46">
        <f>S41*S153</f>
        <v>2244.1328405999998</v>
      </c>
      <c r="T152" s="46">
        <f>T41*T153</f>
        <v>2270.7706368060003</v>
      </c>
      <c r="U152" s="46">
        <f>U41*U153</f>
        <v>2297.8846343640598</v>
      </c>
      <c r="V152" s="46">
        <f>V41*V153</f>
        <v>2347.3122813634664</v>
      </c>
      <c r="W152" s="181"/>
      <c r="Y152" s="46">
        <f>Y41*Y153</f>
        <v>2432.4625599999999</v>
      </c>
      <c r="Z152" s="46">
        <f>Z41*Z153</f>
        <v>2401.8629887999996</v>
      </c>
      <c r="AA152" s="46">
        <f>AA41*AA153</f>
        <v>2383.4105969920001</v>
      </c>
      <c r="AB152" s="46">
        <f>AB41*AB153</f>
        <v>2365.3653786252803</v>
      </c>
      <c r="AC152" s="46">
        <f>AC41*AC153</f>
        <v>2392.6312982759296</v>
      </c>
    </row>
    <row r="153" spans="2:29" ht="15" customHeight="1" x14ac:dyDescent="0.3">
      <c r="B153" s="103" t="s">
        <v>3310</v>
      </c>
      <c r="C153" s="90" t="s">
        <v>113</v>
      </c>
      <c r="D153" s="438">
        <f>D152/D41</f>
        <v>3.2340425531914893E-2</v>
      </c>
      <c r="E153" s="438">
        <f>E152/E41</f>
        <v>2.5493320259835764E-2</v>
      </c>
      <c r="F153" s="438">
        <f>F152/F41</f>
        <v>2.2939668029312989E-2</v>
      </c>
      <c r="G153" s="438">
        <f>G152/G41</f>
        <v>2.4073573167433054E-2</v>
      </c>
      <c r="H153" s="438">
        <f>H152/H41</f>
        <v>2.3985716129587404E-2</v>
      </c>
      <c r="I153" s="503"/>
      <c r="J153" s="41"/>
      <c r="K153" s="459">
        <v>2.2499999999999999E-2</v>
      </c>
      <c r="L153" s="459">
        <v>2.2499999999999999E-2</v>
      </c>
      <c r="M153" s="459">
        <v>2.2499999999999999E-2</v>
      </c>
      <c r="N153" s="459">
        <v>2.2499999999999999E-2</v>
      </c>
      <c r="O153" s="459">
        <v>2.2499999999999999E-2</v>
      </c>
      <c r="P153" s="507"/>
      <c r="Q153" s="460"/>
      <c r="R153" s="459">
        <v>2.4500000000000001E-2</v>
      </c>
      <c r="S153" s="459">
        <v>2.4500000000000001E-2</v>
      </c>
      <c r="T153" s="459">
        <v>2.4500000000000001E-2</v>
      </c>
      <c r="U153" s="459">
        <v>2.4500000000000001E-2</v>
      </c>
      <c r="V153" s="459">
        <v>2.4500000000000001E-2</v>
      </c>
      <c r="W153" s="507"/>
      <c r="X153" s="460"/>
      <c r="Y153" s="459">
        <v>2.6499999999999999E-2</v>
      </c>
      <c r="Z153" s="459">
        <v>2.6499999999999999E-2</v>
      </c>
      <c r="AA153" s="459">
        <v>2.6499999999999999E-2</v>
      </c>
      <c r="AB153" s="459">
        <v>2.6499999999999999E-2</v>
      </c>
      <c r="AC153" s="459">
        <v>2.6499999999999999E-2</v>
      </c>
    </row>
    <row r="154" spans="2:29" ht="15" customHeight="1" x14ac:dyDescent="0.25">
      <c r="B154" s="440" t="s">
        <v>3281</v>
      </c>
      <c r="C154" s="541" t="s">
        <v>112</v>
      </c>
      <c r="D154" s="440">
        <f>'BALANCE SHEET'!D52</f>
        <v>1784</v>
      </c>
      <c r="E154" s="440">
        <f>'BALANCE SHEET'!E52</f>
        <v>1808</v>
      </c>
      <c r="F154" s="440">
        <f>'BALANCE SHEET'!F52</f>
        <v>1843</v>
      </c>
      <c r="G154" s="440">
        <f>'BALANCE SHEET'!G52</f>
        <v>1803</v>
      </c>
      <c r="H154" s="440">
        <f>'BALANCE SHEET'!H52</f>
        <v>1764</v>
      </c>
      <c r="I154" s="181"/>
      <c r="K154" s="440">
        <f>K152*K155</f>
        <v>1672.5549779999999</v>
      </c>
      <c r="L154" s="440">
        <f t="shared" ref="L154:O154" si="197">L152*L155</f>
        <v>1671.5099325600002</v>
      </c>
      <c r="M154" s="440">
        <f t="shared" si="197"/>
        <v>1686.1062196439998</v>
      </c>
      <c r="N154" s="440">
        <f t="shared" si="197"/>
        <v>1723.0340969946719</v>
      </c>
      <c r="O154" s="440">
        <f t="shared" si="197"/>
        <v>1777.2736935059568</v>
      </c>
      <c r="P154" s="181"/>
      <c r="R154" s="440">
        <f t="shared" ref="R154" si="198">R152*R155</f>
        <v>1785.9888186000001</v>
      </c>
      <c r="S154" s="440">
        <f t="shared" ref="S154" si="199">S152*S155</f>
        <v>1750.4236156679999</v>
      </c>
      <c r="T154" s="440">
        <f t="shared" ref="T154" si="200">T152*T155</f>
        <v>1748.4933903406202</v>
      </c>
      <c r="U154" s="440">
        <f t="shared" ref="U154" si="201">U152*U155</f>
        <v>1746.3923221166856</v>
      </c>
      <c r="V154" s="440">
        <f t="shared" ref="V154" si="202">V152*V155</f>
        <v>1737.011088208965</v>
      </c>
      <c r="W154" s="181"/>
      <c r="Y154" s="440">
        <f t="shared" ref="Y154" si="203">Y152*Y155</f>
        <v>1897.3207967999999</v>
      </c>
      <c r="Z154" s="440">
        <f t="shared" ref="Z154" si="204">Z152*Z155</f>
        <v>1825.4158714879998</v>
      </c>
      <c r="AA154" s="440">
        <f t="shared" ref="AA154" si="205">AA152*AA155</f>
        <v>1763.72384177408</v>
      </c>
      <c r="AB154" s="440">
        <f t="shared" ref="AB154" si="206">AB152*AB155</f>
        <v>1703.0630726102017</v>
      </c>
      <c r="AC154" s="440">
        <f t="shared" ref="AC154" si="207">AC152*AC155</f>
        <v>1722.6945347586693</v>
      </c>
    </row>
    <row r="155" spans="2:29" ht="15" customHeight="1" x14ac:dyDescent="0.3">
      <c r="B155" s="456" t="s">
        <v>3282</v>
      </c>
      <c r="C155" s="544" t="s">
        <v>113</v>
      </c>
      <c r="D155" s="442">
        <f>D154/D152</f>
        <v>0.85358851674641145</v>
      </c>
      <c r="E155" s="442">
        <f t="shared" ref="E155:H155" si="208">E154/E152</f>
        <v>0.86923076923076925</v>
      </c>
      <c r="F155" s="442">
        <f t="shared" si="208"/>
        <v>0.86202057998129089</v>
      </c>
      <c r="G155" s="442">
        <f t="shared" si="208"/>
        <v>0.81033707865168536</v>
      </c>
      <c r="H155" s="442">
        <f t="shared" si="208"/>
        <v>0.79103139013452917</v>
      </c>
      <c r="I155" s="503"/>
      <c r="J155" s="41"/>
      <c r="K155" s="442">
        <f>100%-K157</f>
        <v>0.79</v>
      </c>
      <c r="L155" s="442">
        <f t="shared" ref="L155:O155" si="209">100%-L157</f>
        <v>0.78</v>
      </c>
      <c r="M155" s="442">
        <f t="shared" si="209"/>
        <v>0.77</v>
      </c>
      <c r="N155" s="442">
        <f t="shared" si="209"/>
        <v>0.77</v>
      </c>
      <c r="O155" s="442">
        <f t="shared" si="209"/>
        <v>0.77</v>
      </c>
      <c r="P155" s="444"/>
      <c r="Q155" s="443"/>
      <c r="R155" s="442">
        <f t="shared" ref="R155:V155" si="210">100%-R157</f>
        <v>0.79</v>
      </c>
      <c r="S155" s="442">
        <f t="shared" si="210"/>
        <v>0.78</v>
      </c>
      <c r="T155" s="442">
        <f t="shared" si="210"/>
        <v>0.77</v>
      </c>
      <c r="U155" s="442">
        <f t="shared" si="210"/>
        <v>0.76</v>
      </c>
      <c r="V155" s="442">
        <f t="shared" si="210"/>
        <v>0.74</v>
      </c>
      <c r="W155" s="444"/>
      <c r="X155" s="443"/>
      <c r="Y155" s="442">
        <f t="shared" ref="Y155:AC155" si="211">100%-Y157</f>
        <v>0.78</v>
      </c>
      <c r="Z155" s="442">
        <f t="shared" si="211"/>
        <v>0.76</v>
      </c>
      <c r="AA155" s="442">
        <f t="shared" si="211"/>
        <v>0.74</v>
      </c>
      <c r="AB155" s="442">
        <f t="shared" si="211"/>
        <v>0.72</v>
      </c>
      <c r="AC155" s="442">
        <f t="shared" si="211"/>
        <v>0.72</v>
      </c>
    </row>
    <row r="156" spans="2:29" ht="15" customHeight="1" x14ac:dyDescent="0.25">
      <c r="B156" s="440" t="s">
        <v>3283</v>
      </c>
      <c r="C156" s="541" t="s">
        <v>112</v>
      </c>
      <c r="D156" s="440">
        <f>'BALANCE SHEET'!D62</f>
        <v>306</v>
      </c>
      <c r="E156" s="440">
        <f>'BALANCE SHEET'!E62</f>
        <v>272</v>
      </c>
      <c r="F156" s="440">
        <f>'BALANCE SHEET'!F62</f>
        <v>295</v>
      </c>
      <c r="G156" s="440">
        <f>'BALANCE SHEET'!G62</f>
        <v>422</v>
      </c>
      <c r="H156" s="440">
        <f>'BALANCE SHEET'!H62</f>
        <v>466</v>
      </c>
      <c r="I156" s="181"/>
      <c r="K156" s="440">
        <f>K152*K157</f>
        <v>444.60322199999996</v>
      </c>
      <c r="L156" s="440">
        <f t="shared" ref="L156:O156" si="212">L152*L157</f>
        <v>471.45151944000003</v>
      </c>
      <c r="M156" s="440">
        <f t="shared" si="212"/>
        <v>503.64211755599996</v>
      </c>
      <c r="N156" s="440">
        <f t="shared" si="212"/>
        <v>514.67252247892804</v>
      </c>
      <c r="O156" s="440">
        <f t="shared" si="212"/>
        <v>530.87396039788325</v>
      </c>
      <c r="P156" s="181"/>
      <c r="R156" s="440">
        <f t="shared" ref="R156" si="213">R152*R157</f>
        <v>474.7565214</v>
      </c>
      <c r="S156" s="440">
        <f t="shared" ref="S156" si="214">S152*S157</f>
        <v>493.70922493199993</v>
      </c>
      <c r="T156" s="440">
        <f t="shared" ref="T156" si="215">T152*T157</f>
        <v>522.27724646538013</v>
      </c>
      <c r="U156" s="440">
        <f t="shared" ref="U156" si="216">U152*U157</f>
        <v>551.49231224737434</v>
      </c>
      <c r="V156" s="440">
        <f t="shared" ref="V156" si="217">V152*V157</f>
        <v>610.30119315450122</v>
      </c>
      <c r="W156" s="181"/>
      <c r="Y156" s="440">
        <f t="shared" ref="Y156" si="218">Y152*Y157</f>
        <v>535.14176320000001</v>
      </c>
      <c r="Z156" s="440">
        <f t="shared" ref="Z156" si="219">Z152*Z157</f>
        <v>576.44711731199993</v>
      </c>
      <c r="AA156" s="440">
        <f t="shared" ref="AA156" si="220">AA152*AA157</f>
        <v>619.68675521792011</v>
      </c>
      <c r="AB156" s="440">
        <f t="shared" ref="AB156" si="221">AB152*AB157</f>
        <v>662.30230601507856</v>
      </c>
      <c r="AC156" s="440">
        <f t="shared" ref="AC156" si="222">AC152*AC157</f>
        <v>669.93676351726037</v>
      </c>
    </row>
    <row r="157" spans="2:29" ht="15" customHeight="1" x14ac:dyDescent="0.3">
      <c r="B157" s="456" t="s">
        <v>3282</v>
      </c>
      <c r="C157" s="544" t="s">
        <v>113</v>
      </c>
      <c r="D157" s="442">
        <f>D156/D152</f>
        <v>0.14641148325358852</v>
      </c>
      <c r="E157" s="442">
        <f t="shared" ref="E157:H157" si="223">E156/E152</f>
        <v>0.13076923076923078</v>
      </c>
      <c r="F157" s="442">
        <f t="shared" si="223"/>
        <v>0.13797942001870908</v>
      </c>
      <c r="G157" s="442">
        <f t="shared" si="223"/>
        <v>0.18966292134831461</v>
      </c>
      <c r="H157" s="442">
        <f t="shared" si="223"/>
        <v>0.20896860986547086</v>
      </c>
      <c r="I157" s="503"/>
      <c r="J157" s="41"/>
      <c r="K157" s="518">
        <v>0.21</v>
      </c>
      <c r="L157" s="518">
        <v>0.22</v>
      </c>
      <c r="M157" s="518">
        <v>0.23</v>
      </c>
      <c r="N157" s="518">
        <v>0.23</v>
      </c>
      <c r="O157" s="518">
        <v>0.23</v>
      </c>
      <c r="P157" s="507"/>
      <c r="Q157" s="460"/>
      <c r="R157" s="518">
        <v>0.21</v>
      </c>
      <c r="S157" s="518">
        <v>0.22</v>
      </c>
      <c r="T157" s="518">
        <v>0.23</v>
      </c>
      <c r="U157" s="518">
        <v>0.24</v>
      </c>
      <c r="V157" s="518">
        <v>0.26</v>
      </c>
      <c r="W157" s="507"/>
      <c r="X157" s="460"/>
      <c r="Y157" s="518">
        <v>0.22</v>
      </c>
      <c r="Z157" s="518">
        <v>0.24</v>
      </c>
      <c r="AA157" s="518">
        <v>0.26</v>
      </c>
      <c r="AB157" s="518">
        <v>0.28000000000000003</v>
      </c>
      <c r="AC157" s="518">
        <v>0.28000000000000003</v>
      </c>
    </row>
    <row r="158" spans="2:29" ht="15" customHeight="1" x14ac:dyDescent="0.25">
      <c r="B158" s="104"/>
      <c r="C158" s="100"/>
      <c r="D158" s="104"/>
      <c r="E158" s="104"/>
      <c r="F158" s="104"/>
      <c r="G158" s="104"/>
      <c r="H158" s="104"/>
      <c r="I158" s="181"/>
      <c r="K158" s="104"/>
      <c r="L158" s="104"/>
      <c r="M158" s="104"/>
      <c r="N158" s="104"/>
      <c r="O158" s="104"/>
      <c r="P158" s="181"/>
      <c r="R158" s="104"/>
      <c r="S158" s="104"/>
      <c r="T158" s="104"/>
      <c r="U158" s="104"/>
      <c r="V158" s="104"/>
      <c r="W158" s="181"/>
      <c r="Y158" s="104"/>
      <c r="Z158" s="104"/>
      <c r="AA158" s="104"/>
      <c r="AB158" s="104"/>
      <c r="AC158" s="104"/>
    </row>
    <row r="159" spans="2:29" ht="15" customHeight="1" x14ac:dyDescent="0.25">
      <c r="B159" s="104" t="s">
        <v>3253</v>
      </c>
      <c r="C159" s="100" t="s">
        <v>112</v>
      </c>
      <c r="D159" s="104">
        <f>'BALANCE SHEET'!D64+'BALANCE SHEET'!D53</f>
        <v>2839</v>
      </c>
      <c r="E159" s="104">
        <f>'BALANCE SHEET'!E64+'BALANCE SHEET'!E53</f>
        <v>3105</v>
      </c>
      <c r="F159" s="104">
        <f>'BALANCE SHEET'!F64+'BALANCE SHEET'!F53</f>
        <v>4063</v>
      </c>
      <c r="G159" s="104">
        <f>'BALANCE SHEET'!G64+'BALANCE SHEET'!G53</f>
        <v>5885</v>
      </c>
      <c r="H159" s="104">
        <f>'BALANCE SHEET'!H64+'BALANCE SHEET'!H53</f>
        <v>7650</v>
      </c>
      <c r="I159" s="181"/>
      <c r="K159" s="104">
        <f>K160+K162</f>
        <v>8622.1831119999988</v>
      </c>
      <c r="L159" s="104">
        <f t="shared" ref="L159:O159" si="224">L160+L162</f>
        <v>9695.7260629327993</v>
      </c>
      <c r="M159" s="104">
        <f t="shared" si="224"/>
        <v>11013.080912235071</v>
      </c>
      <c r="N159" s="104">
        <f t="shared" si="224"/>
        <v>12576.446010161606</v>
      </c>
      <c r="O159" s="104">
        <f t="shared" si="224"/>
        <v>14472.439343838456</v>
      </c>
      <c r="P159" s="181"/>
      <c r="R159" s="104">
        <f t="shared" ref="R159:V159" si="225">R160+R162</f>
        <v>8463.7114337599996</v>
      </c>
      <c r="S159" s="104">
        <f t="shared" si="225"/>
        <v>9174.2706082609293</v>
      </c>
      <c r="T159" s="104">
        <f t="shared" si="225"/>
        <v>10074.382557037437</v>
      </c>
      <c r="U159" s="104">
        <f t="shared" si="225"/>
        <v>11101.198093167803</v>
      </c>
      <c r="V159" s="104">
        <f t="shared" si="225"/>
        <v>12313.020839701701</v>
      </c>
      <c r="W159" s="181"/>
      <c r="Y159" s="104">
        <f t="shared" ref="Y159:AC159" si="226">Y160+Y162</f>
        <v>8377.7037909999999</v>
      </c>
      <c r="Z159" s="104">
        <f t="shared" si="226"/>
        <v>8802.894738029001</v>
      </c>
      <c r="AA159" s="104">
        <f t="shared" si="226"/>
        <v>9294.7786627457808</v>
      </c>
      <c r="AB159" s="104">
        <f t="shared" si="226"/>
        <v>9837.1265697876006</v>
      </c>
      <c r="AC159" s="104">
        <f t="shared" si="226"/>
        <v>10512.768950921294</v>
      </c>
    </row>
    <row r="160" spans="2:29" ht="15" customHeight="1" x14ac:dyDescent="0.25">
      <c r="B160" s="440" t="s">
        <v>3292</v>
      </c>
      <c r="C160" s="541" t="s">
        <v>112</v>
      </c>
      <c r="D160" s="440">
        <f>'BALANCE SHEET'!D53</f>
        <v>1732</v>
      </c>
      <c r="E160" s="440">
        <f>'BALANCE SHEET'!E53</f>
        <v>1323</v>
      </c>
      <c r="F160" s="440">
        <f>'BALANCE SHEET'!F53</f>
        <v>1885</v>
      </c>
      <c r="G160" s="440">
        <f>'BALANCE SHEET'!G53</f>
        <v>2176</v>
      </c>
      <c r="H160" s="440">
        <f>'BALANCE SHEET'!H53</f>
        <v>3448</v>
      </c>
      <c r="I160" s="181"/>
      <c r="K160" s="440">
        <f>'P &amp; L ASSUMPTIONS'!K99*'BALANCE SHEET ASSUMPTION'!K161</f>
        <v>3579.7831119999996</v>
      </c>
      <c r="L160" s="440">
        <f>'P &amp; L ASSUMPTIONS'!L99*'BALANCE SHEET ASSUMPTION'!L161</f>
        <v>3644.8460629328001</v>
      </c>
      <c r="M160" s="440">
        <f>'P &amp; L ASSUMPTIONS'!M99*'BALANCE SHEET ASSUMPTION'!M161</f>
        <v>3752.024912235072</v>
      </c>
      <c r="N160" s="440">
        <f>'P &amp; L ASSUMPTIONS'!N99*'BALANCE SHEET ASSUMPTION'!N161</f>
        <v>3863.1788101616075</v>
      </c>
      <c r="O160" s="440">
        <f>'P &amp; L ASSUMPTIONS'!O99*'BALANCE SHEET ASSUMPTION'!O161</f>
        <v>4016.518703838457</v>
      </c>
      <c r="P160" s="181"/>
      <c r="R160" s="440">
        <f>'P &amp; L ASSUMPTIONS'!R99*'BALANCE SHEET ASSUMPTION'!R161</f>
        <v>3631.411433759999</v>
      </c>
      <c r="S160" s="440">
        <f>'P &amp; L ASSUMPTIONS'!S99*'BALANCE SHEET ASSUMPTION'!S161</f>
        <v>3617.1256082609279</v>
      </c>
      <c r="T160" s="440">
        <f>'P &amp; L ASSUMPTIONS'!T99*'BALANCE SHEET ASSUMPTION'!T161</f>
        <v>3683.6658070374365</v>
      </c>
      <c r="U160" s="440">
        <f>'P &amp; L ASSUMPTIONS'!U99*'BALANCE SHEET ASSUMPTION'!U161</f>
        <v>3751.8738306678024</v>
      </c>
      <c r="V160" s="440">
        <f>'P &amp; L ASSUMPTIONS'!V99*'BALANCE SHEET ASSUMPTION'!V161</f>
        <v>3861.2979378267014</v>
      </c>
      <c r="W160" s="181"/>
      <c r="Y160" s="440">
        <f>'P &amp; L ASSUMPTIONS'!Y99*'BALANCE SHEET ASSUMPTION'!Y161</f>
        <v>3755.5037909999996</v>
      </c>
      <c r="Z160" s="440">
        <f>'P &amp; L ASSUMPTIONS'!Z99*'BALANCE SHEET ASSUMPTION'!Z161</f>
        <v>3718.474738029</v>
      </c>
      <c r="AA160" s="440">
        <f>'P &amp; L ASSUMPTIONS'!AA99*'BALANCE SHEET ASSUMPTION'!AA161</f>
        <v>3701.9166627457812</v>
      </c>
      <c r="AB160" s="440">
        <f>'P &amp; L ASSUMPTIONS'!AB99*'BALANCE SHEET ASSUMPTION'!AB161</f>
        <v>3684.9783697876014</v>
      </c>
      <c r="AC160" s="440">
        <f>'P &amp; L ASSUMPTIONS'!AC99*'BALANCE SHEET ASSUMPTION'!AC161</f>
        <v>3745.4059309212944</v>
      </c>
    </row>
    <row r="161" spans="2:29" ht="15" customHeight="1" x14ac:dyDescent="0.3">
      <c r="B161" s="456" t="s">
        <v>3272</v>
      </c>
      <c r="C161" s="544" t="s">
        <v>113</v>
      </c>
      <c r="D161" s="442">
        <f>D160/'PROFIT &amp; LOSS'!D35</f>
        <v>0.57067545304777589</v>
      </c>
      <c r="E161" s="442">
        <f>E160/'PROFIT &amp; LOSS'!E35</f>
        <v>0.45667932343803935</v>
      </c>
      <c r="F161" s="442">
        <f>F160/'PROFIT &amp; LOSS'!F35</f>
        <v>0.55457487496322444</v>
      </c>
      <c r="G161" s="442">
        <f>G160/'PROFIT &amp; LOSS'!G35</f>
        <v>0.60293710169021886</v>
      </c>
      <c r="H161" s="442">
        <f>H160/'PROFIT &amp; LOSS'!H35</f>
        <v>0.80598410472183268</v>
      </c>
      <c r="I161" s="503"/>
      <c r="J161" s="41"/>
      <c r="K161" s="442">
        <f>100%-K163</f>
        <v>0.8</v>
      </c>
      <c r="L161" s="442">
        <f t="shared" ref="L161:O161" si="227">100%-L163</f>
        <v>0.8</v>
      </c>
      <c r="M161" s="442">
        <f t="shared" si="227"/>
        <v>0.8</v>
      </c>
      <c r="N161" s="442">
        <f t="shared" si="227"/>
        <v>0.8</v>
      </c>
      <c r="O161" s="442">
        <f t="shared" si="227"/>
        <v>0.8</v>
      </c>
      <c r="P161" s="444"/>
      <c r="Q161" s="443"/>
      <c r="R161" s="442">
        <f t="shared" ref="R161:V161" si="228">100%-R163</f>
        <v>0.85</v>
      </c>
      <c r="S161" s="442">
        <f t="shared" si="228"/>
        <v>0.85</v>
      </c>
      <c r="T161" s="442">
        <f t="shared" si="228"/>
        <v>0.85</v>
      </c>
      <c r="U161" s="442">
        <f t="shared" si="228"/>
        <v>0.85</v>
      </c>
      <c r="V161" s="442">
        <f t="shared" si="228"/>
        <v>0.85</v>
      </c>
      <c r="W161" s="444"/>
      <c r="X161" s="443"/>
      <c r="Y161" s="442">
        <f t="shared" ref="Y161:AC161" si="229">100%-Y163</f>
        <v>0.9</v>
      </c>
      <c r="Z161" s="442">
        <f t="shared" si="229"/>
        <v>0.9</v>
      </c>
      <c r="AA161" s="442">
        <f t="shared" si="229"/>
        <v>0.9</v>
      </c>
      <c r="AB161" s="442">
        <f t="shared" si="229"/>
        <v>0.9</v>
      </c>
      <c r="AC161" s="442">
        <f t="shared" si="229"/>
        <v>0.9</v>
      </c>
    </row>
    <row r="162" spans="2:29" ht="15" customHeight="1" x14ac:dyDescent="0.25">
      <c r="B162" s="440" t="s">
        <v>3293</v>
      </c>
      <c r="C162" s="541" t="s">
        <v>112</v>
      </c>
      <c r="D162" s="440">
        <f>'BALANCE SHEET'!D64</f>
        <v>1107</v>
      </c>
      <c r="E162" s="440">
        <f>'BALANCE SHEET'!E64</f>
        <v>1782</v>
      </c>
      <c r="F162" s="440">
        <f>'BALANCE SHEET'!F64</f>
        <v>2178</v>
      </c>
      <c r="G162" s="440">
        <f>'BALANCE SHEET'!G64</f>
        <v>3709</v>
      </c>
      <c r="H162" s="440">
        <f>'BALANCE SHEET'!H64</f>
        <v>4202</v>
      </c>
      <c r="I162" s="181"/>
      <c r="K162" s="440">
        <f>$H$162+($H$162*$K$163)</f>
        <v>5042.3999999999996</v>
      </c>
      <c r="L162" s="440">
        <f>K$162+(K$162*L$163)</f>
        <v>6050.8799999999992</v>
      </c>
      <c r="M162" s="440">
        <f t="shared" ref="M162:O162" si="230">L$162+(L$162*M$163)</f>
        <v>7261.0559999999987</v>
      </c>
      <c r="N162" s="440">
        <f t="shared" si="230"/>
        <v>8713.2671999999984</v>
      </c>
      <c r="O162" s="440">
        <f t="shared" si="230"/>
        <v>10455.920639999998</v>
      </c>
      <c r="P162" s="181"/>
      <c r="R162" s="440">
        <f>$H$162+($H$162*$R$163)</f>
        <v>4832.3</v>
      </c>
      <c r="S162" s="440">
        <f>R$162+(R$162*S$163)</f>
        <v>5557.1450000000004</v>
      </c>
      <c r="T162" s="440">
        <f t="shared" ref="T162:V162" si="231">S$162+(S$162*T$163)</f>
        <v>6390.7167500000005</v>
      </c>
      <c r="U162" s="440">
        <f t="shared" si="231"/>
        <v>7349.3242625000003</v>
      </c>
      <c r="V162" s="440">
        <f t="shared" si="231"/>
        <v>8451.7229018750004</v>
      </c>
      <c r="W162" s="181"/>
      <c r="Y162" s="440">
        <f>$H$162+($H$162*$Y$163)</f>
        <v>4622.2</v>
      </c>
      <c r="Z162" s="440">
        <f>Y$162+(Y$162*Z$163)</f>
        <v>5084.42</v>
      </c>
      <c r="AA162" s="440">
        <f t="shared" ref="AA162:AC162" si="232">Z$162+(Z$162*AA$163)</f>
        <v>5592.8620000000001</v>
      </c>
      <c r="AB162" s="440">
        <f t="shared" si="232"/>
        <v>6152.1481999999996</v>
      </c>
      <c r="AC162" s="440">
        <f t="shared" si="232"/>
        <v>6767.3630199999998</v>
      </c>
    </row>
    <row r="163" spans="2:29" ht="15" customHeight="1" x14ac:dyDescent="0.3">
      <c r="B163" s="456" t="s">
        <v>249</v>
      </c>
      <c r="C163" s="544" t="s">
        <v>113</v>
      </c>
      <c r="D163" s="461" t="s">
        <v>122</v>
      </c>
      <c r="E163" s="442">
        <f>E162/D162-1</f>
        <v>0.60975609756097571</v>
      </c>
      <c r="F163" s="442">
        <f t="shared" ref="F163:H163" si="233">F162/E162-1</f>
        <v>0.22222222222222232</v>
      </c>
      <c r="G163" s="442">
        <f t="shared" si="233"/>
        <v>0.70293847566574841</v>
      </c>
      <c r="H163" s="442">
        <f t="shared" si="233"/>
        <v>0.13291992450795354</v>
      </c>
      <c r="I163" s="503"/>
      <c r="J163" s="41"/>
      <c r="K163" s="519">
        <v>0.2</v>
      </c>
      <c r="L163" s="518">
        <v>0.2</v>
      </c>
      <c r="M163" s="518">
        <v>0.2</v>
      </c>
      <c r="N163" s="518">
        <v>0.2</v>
      </c>
      <c r="O163" s="518">
        <v>0.2</v>
      </c>
      <c r="P163" s="444"/>
      <c r="Q163" s="443"/>
      <c r="R163" s="519">
        <v>0.15</v>
      </c>
      <c r="S163" s="518">
        <v>0.15</v>
      </c>
      <c r="T163" s="518">
        <v>0.15</v>
      </c>
      <c r="U163" s="518">
        <v>0.15</v>
      </c>
      <c r="V163" s="518">
        <v>0.15</v>
      </c>
      <c r="W163" s="507"/>
      <c r="X163" s="460"/>
      <c r="Y163" s="519">
        <v>0.1</v>
      </c>
      <c r="Z163" s="519">
        <v>0.1</v>
      </c>
      <c r="AA163" s="519">
        <v>0.1</v>
      </c>
      <c r="AB163" s="519">
        <v>0.1</v>
      </c>
      <c r="AC163" s="519">
        <v>0.1</v>
      </c>
    </row>
    <row r="164" spans="2:29" ht="15" customHeight="1" x14ac:dyDescent="0.25">
      <c r="B164" s="104"/>
      <c r="C164" s="100"/>
      <c r="D164" s="104"/>
      <c r="E164" s="104"/>
      <c r="F164" s="104"/>
      <c r="G164" s="104"/>
      <c r="H164" s="104"/>
      <c r="I164" s="181"/>
      <c r="K164" s="104"/>
      <c r="L164" s="104"/>
      <c r="M164" s="104"/>
      <c r="N164" s="104"/>
      <c r="O164" s="104"/>
      <c r="P164" s="181"/>
      <c r="R164" s="104"/>
      <c r="S164" s="104"/>
      <c r="T164" s="104"/>
      <c r="U164" s="104"/>
      <c r="V164" s="104"/>
      <c r="W164" s="181"/>
      <c r="Y164" s="104"/>
      <c r="Z164" s="104"/>
      <c r="AA164" s="104"/>
      <c r="AB164" s="104"/>
      <c r="AC164" s="104"/>
    </row>
    <row r="165" spans="2:29" ht="15" customHeight="1" x14ac:dyDescent="0.25">
      <c r="B165" s="104" t="s">
        <v>3177</v>
      </c>
      <c r="C165" s="100" t="s">
        <v>112</v>
      </c>
      <c r="D165" s="104">
        <f>'BALANCE SHEET'!D63</f>
        <v>461</v>
      </c>
      <c r="E165" s="104">
        <f>'BALANCE SHEET'!E63</f>
        <v>1214</v>
      </c>
      <c r="F165" s="104">
        <f>'BALANCE SHEET'!F63</f>
        <v>1515</v>
      </c>
      <c r="G165" s="104">
        <f>'BALANCE SHEET'!G63</f>
        <v>1747</v>
      </c>
      <c r="H165" s="104">
        <f>'BALANCE SHEET'!H63</f>
        <v>1644</v>
      </c>
      <c r="I165" s="181"/>
      <c r="K165" s="104">
        <f>'BALANCE SHEET ASSUMPTION'!K18*'BALANCE SHEET ASSUMPTION'!K166</f>
        <v>1635.8298179999997</v>
      </c>
      <c r="L165" s="104">
        <f>'BALANCE SHEET ASSUMPTION'!L18*'BALANCE SHEET ASSUMPTION'!L166</f>
        <v>1912.6490804080004</v>
      </c>
      <c r="M165" s="104">
        <f>'BALANCE SHEET ASSUMPTION'!M18*'BALANCE SHEET ASSUMPTION'!M166</f>
        <v>1959.6866746386606</v>
      </c>
      <c r="N165" s="104">
        <f>'BALANCE SHEET ASSUMPTION'!N18*'BALANCE SHEET ASSUMPTION'!N166</f>
        <v>2097.7059802538574</v>
      </c>
      <c r="O165" s="104">
        <f>'BALANCE SHEET ASSUMPTION'!O18*'BALANCE SHEET ASSUMPTION'!O166</f>
        <v>2122.4146879017399</v>
      </c>
      <c r="P165" s="181"/>
      <c r="R165" s="104">
        <f>'BALANCE SHEET ASSUMPTION'!R18*'BALANCE SHEET ASSUMPTION'!R166</f>
        <v>1517.2377616000006</v>
      </c>
      <c r="S165" s="104">
        <f>'BALANCE SHEET ASSUMPTION'!S18*'BALANCE SHEET ASSUMPTION'!S166</f>
        <v>1758.5834382043206</v>
      </c>
      <c r="T165" s="104">
        <f>'BALANCE SHEET ASSUMPTION'!T18*'BALANCE SHEET ASSUMPTION'!T166</f>
        <v>1772.842210210445</v>
      </c>
      <c r="U165" s="104">
        <f>'BALANCE SHEET ASSUMPTION'!U18*'BALANCE SHEET ASSUMPTION'!U166</f>
        <v>1873.1496517699607</v>
      </c>
      <c r="V165" s="104">
        <f>'BALANCE SHEET ASSUMPTION'!V18*'BALANCE SHEET ASSUMPTION'!V166</f>
        <v>1867.035795115806</v>
      </c>
      <c r="W165" s="181"/>
      <c r="Y165" s="104">
        <f>'BALANCE SHEET ASSUMPTION'!Y18*'BALANCE SHEET ASSUMPTION'!Y166</f>
        <v>1458.0008643999995</v>
      </c>
      <c r="Z165" s="104">
        <f>'BALANCE SHEET ASSUMPTION'!Z18*'BALANCE SHEET ASSUMPTION'!Z166</f>
        <v>1573.6840036480005</v>
      </c>
      <c r="AA165" s="104">
        <f>'BALANCE SHEET ASSUMPTION'!AA18*'BALANCE SHEET ASSUMPTION'!AA166</f>
        <v>1578.5807760963596</v>
      </c>
      <c r="AB165" s="104">
        <f>'BALANCE SHEET ASSUMPTION'!AB18*'BALANCE SHEET ASSUMPTION'!AB166</f>
        <v>1658.8521591213009</v>
      </c>
      <c r="AC165" s="104">
        <f>'BALANCE SHEET ASSUMPTION'!AC18*'BALANCE SHEET ASSUMPTION'!AC166</f>
        <v>1611.678066522029</v>
      </c>
    </row>
    <row r="166" spans="2:29" ht="15" customHeight="1" x14ac:dyDescent="0.3">
      <c r="B166" s="103" t="s">
        <v>3294</v>
      </c>
      <c r="C166" s="90" t="s">
        <v>113</v>
      </c>
      <c r="D166" s="438">
        <f>D165/'BALANCE SHEET'!D25</f>
        <v>7.0114068441064645E-2</v>
      </c>
      <c r="E166" s="438">
        <f>E165/'BALANCE SHEET'!E25</f>
        <v>0.16271277308671761</v>
      </c>
      <c r="F166" s="438">
        <f>F165/'BALANCE SHEET'!F25</f>
        <v>0.18399319893126062</v>
      </c>
      <c r="G166" s="438">
        <f>G165/'BALANCE SHEET'!G25</f>
        <v>0.23566707136112236</v>
      </c>
      <c r="H166" s="438">
        <f>H165/'BALANCE SHEET'!H25</f>
        <v>0.20950681789218809</v>
      </c>
      <c r="I166" s="503"/>
      <c r="J166" s="41"/>
      <c r="K166" s="459">
        <v>0.21</v>
      </c>
      <c r="L166" s="459">
        <v>0.22</v>
      </c>
      <c r="M166" s="459">
        <v>0.22</v>
      </c>
      <c r="N166" s="459">
        <v>0.23</v>
      </c>
      <c r="O166" s="459">
        <v>0.23</v>
      </c>
      <c r="P166" s="507"/>
      <c r="Q166" s="460"/>
      <c r="R166" s="459">
        <v>0.2</v>
      </c>
      <c r="S166" s="459">
        <v>0.21</v>
      </c>
      <c r="T166" s="459">
        <v>0.21</v>
      </c>
      <c r="U166" s="459">
        <v>0.22</v>
      </c>
      <c r="V166" s="459">
        <v>0.22</v>
      </c>
      <c r="W166" s="507"/>
      <c r="X166" s="460"/>
      <c r="Y166" s="459">
        <v>0.19</v>
      </c>
      <c r="Z166" s="459">
        <v>0.2</v>
      </c>
      <c r="AA166" s="459">
        <v>0.2</v>
      </c>
      <c r="AB166" s="459">
        <v>0.21</v>
      </c>
      <c r="AC166" s="459">
        <v>0.21</v>
      </c>
    </row>
    <row r="167" spans="2:29" ht="15" customHeight="1" x14ac:dyDescent="0.25">
      <c r="B167" s="104"/>
      <c r="C167" s="100"/>
      <c r="D167" s="104"/>
      <c r="E167" s="104"/>
      <c r="F167" s="104"/>
      <c r="G167" s="104"/>
      <c r="H167" s="104"/>
      <c r="I167" s="181"/>
      <c r="K167" s="104"/>
      <c r="L167" s="104"/>
      <c r="M167" s="104"/>
      <c r="N167" s="104"/>
      <c r="O167" s="104"/>
      <c r="P167" s="181"/>
      <c r="R167" s="104"/>
      <c r="S167" s="104"/>
      <c r="T167" s="104"/>
      <c r="U167" s="104"/>
      <c r="V167" s="104"/>
      <c r="W167" s="181"/>
      <c r="Y167" s="104"/>
      <c r="Z167" s="104"/>
      <c r="AA167" s="104"/>
      <c r="AB167" s="104"/>
      <c r="AC167" s="104"/>
    </row>
    <row r="168" spans="2:29" ht="15" customHeight="1" x14ac:dyDescent="0.25">
      <c r="B168" s="104" t="s">
        <v>3184</v>
      </c>
      <c r="C168" s="100" t="s">
        <v>112</v>
      </c>
      <c r="D168" s="104">
        <f>'BALANCE SHEET'!D50</f>
        <v>2253</v>
      </c>
      <c r="E168" s="104">
        <f>'BALANCE SHEET'!E50</f>
        <v>2792</v>
      </c>
      <c r="F168" s="104">
        <f>'BALANCE SHEET'!F50</f>
        <v>2268</v>
      </c>
      <c r="G168" s="104">
        <f>'BALANCE SHEET'!G50</f>
        <v>1765</v>
      </c>
      <c r="H168" s="104">
        <f>'BALANCE SHEET'!H50</f>
        <v>2006</v>
      </c>
      <c r="I168" s="181"/>
      <c r="K168" s="104">
        <f>'P &amp; L ASSUMPTIONS'!K22*'BALANCE SHEET ASSUMPTION'!K169</f>
        <v>2699.3663999999999</v>
      </c>
      <c r="L168" s="104">
        <f>'P &amp; L ASSUMPTIONS'!L22*'BALANCE SHEET ASSUMPTION'!L169</f>
        <v>2726.360064</v>
      </c>
      <c r="M168" s="104">
        <f>'P &amp; L ASSUMPTIONS'!M22*'BALANCE SHEET ASSUMPTION'!M169</f>
        <v>2780.8872652800001</v>
      </c>
      <c r="N168" s="104">
        <f>'P &amp; L ASSUMPTIONS'!N22*'BALANCE SHEET ASSUMPTION'!N169</f>
        <v>2836.5050105855998</v>
      </c>
      <c r="O168" s="104">
        <f>'P &amp; L ASSUMPTIONS'!O22*'BALANCE SHEET ASSUMPTION'!O169</f>
        <v>2921.6001609031682</v>
      </c>
      <c r="P168" s="181"/>
      <c r="R168" s="104">
        <f>'P &amp; L ASSUMPTIONS'!R22*'BALANCE SHEET ASSUMPTION'!R169</f>
        <v>2443.0602239999998</v>
      </c>
      <c r="S168" s="104">
        <f>'P &amp; L ASSUMPTIONS'!S22*'BALANCE SHEET ASSUMPTION'!S169</f>
        <v>2418.6296217599997</v>
      </c>
      <c r="T168" s="104">
        <f>'P &amp; L ASSUMPTIONS'!T22*'BALANCE SHEET ASSUMPTION'!T169</f>
        <v>2442.8159179775998</v>
      </c>
      <c r="U168" s="104">
        <f>'P &amp; L ASSUMPTIONS'!U22*'BALANCE SHEET ASSUMPTION'!U169</f>
        <v>2467.2440771573761</v>
      </c>
      <c r="V168" s="104">
        <f>'P &amp; L ASSUMPTIONS'!V22*'BALANCE SHEET ASSUMPTION'!V169</f>
        <v>2516.5889587005236</v>
      </c>
      <c r="W168" s="181"/>
      <c r="Y168" s="104">
        <f>'P &amp; L ASSUMPTIONS'!Y22*'BALANCE SHEET ASSUMPTION'!Y169</f>
        <v>2106.0403200000001</v>
      </c>
      <c r="Z168" s="104">
        <f>'P &amp; L ASSUMPTIONS'!Z22*'BALANCE SHEET ASSUMPTION'!Z169</f>
        <v>2074.4497151999999</v>
      </c>
      <c r="AA168" s="104">
        <f>'P &amp; L ASSUMPTIONS'!AA22*'BALANCE SHEET ASSUMPTION'!AA169</f>
        <v>2053.705218048</v>
      </c>
      <c r="AB168" s="104">
        <f>'P &amp; L ASSUMPTIONS'!AB22*'BALANCE SHEET ASSUMPTION'!AB169</f>
        <v>2033.16816586752</v>
      </c>
      <c r="AC168" s="104">
        <f>'P &amp; L ASSUMPTIONS'!AC22*'BALANCE SHEET ASSUMPTION'!AC169</f>
        <v>2053.4998475261955</v>
      </c>
    </row>
    <row r="169" spans="2:29" ht="15" customHeight="1" x14ac:dyDescent="0.3">
      <c r="B169" s="495" t="s">
        <v>3309</v>
      </c>
      <c r="C169" s="91" t="s">
        <v>113</v>
      </c>
      <c r="D169" s="421">
        <f>D168/'PROFIT &amp; LOSS'!D6</f>
        <v>3.6196841411885672E-2</v>
      </c>
      <c r="E169" s="421">
        <f>E168/'PROFIT &amp; LOSS'!E6</f>
        <v>3.5106690641149768E-2</v>
      </c>
      <c r="F169" s="421">
        <f>F168/'PROFIT &amp; LOSS'!F6</f>
        <v>2.4940891845823942E-2</v>
      </c>
      <c r="G169" s="421">
        <f>G168/'PROFIT &amp; LOSS'!G6</f>
        <v>1.9656101743991804E-2</v>
      </c>
      <c r="H169" s="421">
        <f>H168/'PROFIT &amp; LOSS'!H6</f>
        <v>2.2517061781609195E-2</v>
      </c>
      <c r="I169" s="503"/>
      <c r="J169" s="41"/>
      <c r="K169" s="517">
        <v>0.03</v>
      </c>
      <c r="L169" s="517">
        <v>0.03</v>
      </c>
      <c r="M169" s="517">
        <v>0.03</v>
      </c>
      <c r="N169" s="517">
        <v>0.03</v>
      </c>
      <c r="O169" s="517">
        <v>0.03</v>
      </c>
      <c r="P169" s="507"/>
      <c r="Q169" s="460"/>
      <c r="R169" s="517">
        <v>2.7699999999999999E-2</v>
      </c>
      <c r="S169" s="517">
        <v>2.7699999999999999E-2</v>
      </c>
      <c r="T169" s="517">
        <v>2.7699999999999999E-2</v>
      </c>
      <c r="U169" s="517">
        <v>2.7699999999999999E-2</v>
      </c>
      <c r="V169" s="517">
        <v>2.7699999999999999E-2</v>
      </c>
      <c r="W169" s="507"/>
      <c r="X169" s="460"/>
      <c r="Y169" s="517">
        <v>2.4E-2</v>
      </c>
      <c r="Z169" s="517">
        <v>2.4E-2</v>
      </c>
      <c r="AA169" s="517">
        <v>2.4E-2</v>
      </c>
      <c r="AB169" s="517">
        <v>2.4E-2</v>
      </c>
      <c r="AC169" s="517">
        <v>2.4E-2</v>
      </c>
    </row>
    <row r="171" spans="2:29" ht="15" customHeight="1" x14ac:dyDescent="0.25">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row>
  </sheetData>
  <mergeCells count="38">
    <mergeCell ref="Y20:AC21"/>
    <mergeCell ref="K94:O95"/>
    <mergeCell ref="R94:V95"/>
    <mergeCell ref="Y94:AC95"/>
    <mergeCell ref="K111:O112"/>
    <mergeCell ref="R111:V112"/>
    <mergeCell ref="Y111:AC112"/>
    <mergeCell ref="Y66:AC67"/>
    <mergeCell ref="K66:O67"/>
    <mergeCell ref="R66:V67"/>
    <mergeCell ref="Y1:AC2"/>
    <mergeCell ref="B38:H39"/>
    <mergeCell ref="B6:H7"/>
    <mergeCell ref="B1:B3"/>
    <mergeCell ref="D1:H2"/>
    <mergeCell ref="K1:O2"/>
    <mergeCell ref="R1:V2"/>
    <mergeCell ref="K38:O39"/>
    <mergeCell ref="R38:V39"/>
    <mergeCell ref="Y38:AC39"/>
    <mergeCell ref="B20:H21"/>
    <mergeCell ref="K6:O7"/>
    <mergeCell ref="R6:V7"/>
    <mergeCell ref="Y6:AC7"/>
    <mergeCell ref="K20:O21"/>
    <mergeCell ref="R20:V21"/>
    <mergeCell ref="B111:H112"/>
    <mergeCell ref="B123:H124"/>
    <mergeCell ref="B149:H150"/>
    <mergeCell ref="B94:H95"/>
    <mergeCell ref="B67:B68"/>
    <mergeCell ref="D66:H67"/>
    <mergeCell ref="K123:O124"/>
    <mergeCell ref="R123:V124"/>
    <mergeCell ref="Y123:AC124"/>
    <mergeCell ref="K149:O150"/>
    <mergeCell ref="R149:V150"/>
    <mergeCell ref="Y149:AC150"/>
  </mergeCells>
  <printOptions horizontalCentered="1" verticalCentered="1"/>
  <pageMargins left="0" right="0" top="0" bottom="0" header="0" footer="0"/>
  <pageSetup scale="23" orientation="landscape" horizontalDpi="1200" verticalDpi="1200" r:id="rId1"/>
  <ignoredErrors>
    <ignoredError sqref="D9"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1219A-3173-45DF-9154-63F347F6A7E3}">
  <sheetPr>
    <pageSetUpPr fitToPage="1"/>
  </sheetPr>
  <dimension ref="B1:T91"/>
  <sheetViews>
    <sheetView zoomScale="70" zoomScaleNormal="70" workbookViewId="0"/>
  </sheetViews>
  <sheetFormatPr defaultColWidth="15.77734375" defaultRowHeight="15" customHeight="1" x14ac:dyDescent="0.25"/>
  <cols>
    <col min="1" max="1" width="2" style="114" customWidth="1"/>
    <col min="2" max="2" width="44.77734375" style="114" customWidth="1"/>
    <col min="3" max="3" width="8.88671875" style="114" customWidth="1"/>
    <col min="4" max="8" width="15.77734375" style="114"/>
    <col min="9" max="10" width="2" style="114" customWidth="1"/>
    <col min="11" max="16384" width="15.77734375" style="114"/>
  </cols>
  <sheetData>
    <row r="1" spans="2:15" x14ac:dyDescent="0.25">
      <c r="B1" s="974" t="s">
        <v>3336</v>
      </c>
      <c r="C1" s="30"/>
      <c r="D1" s="975" t="s">
        <v>26</v>
      </c>
      <c r="E1" s="975"/>
      <c r="F1" s="975"/>
      <c r="G1" s="975"/>
      <c r="H1" s="975"/>
      <c r="I1" s="987">
        <v>2</v>
      </c>
      <c r="J1" s="987"/>
      <c r="K1" s="975" t="s">
        <v>194</v>
      </c>
      <c r="L1" s="975"/>
      <c r="M1" s="975"/>
      <c r="N1" s="975"/>
      <c r="O1" s="975"/>
    </row>
    <row r="2" spans="2:15" x14ac:dyDescent="0.25">
      <c r="B2" s="974"/>
      <c r="C2" s="30"/>
      <c r="D2" s="975"/>
      <c r="E2" s="975"/>
      <c r="F2" s="975"/>
      <c r="G2" s="975"/>
      <c r="H2" s="975"/>
      <c r="I2" s="987"/>
      <c r="J2" s="987"/>
      <c r="K2" s="975"/>
      <c r="L2" s="975"/>
      <c r="M2" s="975"/>
      <c r="N2" s="975"/>
      <c r="O2" s="975"/>
    </row>
    <row r="3" spans="2:15" ht="24.6" customHeight="1" x14ac:dyDescent="0.4">
      <c r="B3" s="974"/>
      <c r="C3" s="34" t="s">
        <v>82</v>
      </c>
      <c r="D3" s="35" t="s">
        <v>83</v>
      </c>
      <c r="E3" s="35" t="s">
        <v>84</v>
      </c>
      <c r="F3" s="35" t="s">
        <v>85</v>
      </c>
      <c r="G3" s="35" t="s">
        <v>86</v>
      </c>
      <c r="H3" s="35" t="s">
        <v>87</v>
      </c>
      <c r="I3" s="35"/>
      <c r="J3" s="35"/>
      <c r="K3" s="35" t="s">
        <v>88</v>
      </c>
      <c r="L3" s="35" t="s">
        <v>89</v>
      </c>
      <c r="M3" s="35" t="s">
        <v>90</v>
      </c>
      <c r="N3" s="35" t="s">
        <v>91</v>
      </c>
      <c r="O3" s="35" t="s">
        <v>92</v>
      </c>
    </row>
    <row r="4" spans="2:15" ht="28.2" customHeight="1" x14ac:dyDescent="0.5">
      <c r="B4" s="38" t="s">
        <v>121</v>
      </c>
      <c r="C4" s="33"/>
      <c r="D4" s="36">
        <v>44276</v>
      </c>
      <c r="E4" s="36">
        <f>EDATE(D4,12)</f>
        <v>44641</v>
      </c>
      <c r="F4" s="36">
        <f t="shared" ref="F4:H4" si="0">EDATE(E4,12)</f>
        <v>45006</v>
      </c>
      <c r="G4" s="36">
        <f t="shared" si="0"/>
        <v>45372</v>
      </c>
      <c r="H4" s="36">
        <f t="shared" si="0"/>
        <v>45737</v>
      </c>
      <c r="I4" s="37"/>
      <c r="J4" s="37"/>
      <c r="K4" s="68">
        <f>EDATE(H4,12)</f>
        <v>46102</v>
      </c>
      <c r="L4" s="68">
        <f>EDATE(K4,12)</f>
        <v>46467</v>
      </c>
      <c r="M4" s="68">
        <f t="shared" ref="M4:O4" si="1">EDATE(L4,12)</f>
        <v>46833</v>
      </c>
      <c r="N4" s="68">
        <f t="shared" si="1"/>
        <v>47198</v>
      </c>
      <c r="O4" s="68">
        <f t="shared" si="1"/>
        <v>47563</v>
      </c>
    </row>
    <row r="5" spans="2:15" ht="15" customHeight="1" x14ac:dyDescent="0.5">
      <c r="I5" s="37"/>
    </row>
    <row r="6" spans="2:15" ht="15" customHeight="1" x14ac:dyDescent="0.5">
      <c r="B6" s="115" t="s">
        <v>195</v>
      </c>
      <c r="I6" s="37"/>
      <c r="K6" s="466">
        <f>K79-K39</f>
        <v>0</v>
      </c>
      <c r="L6" s="466">
        <f t="shared" ref="L6:O6" si="2">L79-L39</f>
        <v>0</v>
      </c>
      <c r="M6" s="466">
        <f t="shared" si="2"/>
        <v>0</v>
      </c>
      <c r="N6" s="466">
        <f t="shared" si="2"/>
        <v>0</v>
      </c>
      <c r="O6" s="466">
        <f t="shared" si="2"/>
        <v>0</v>
      </c>
    </row>
    <row r="7" spans="2:15" ht="7.05" customHeight="1" x14ac:dyDescent="0.5">
      <c r="I7" s="37"/>
    </row>
    <row r="8" spans="2:15" ht="15" customHeight="1" x14ac:dyDescent="0.5">
      <c r="B8" s="121" t="s">
        <v>196</v>
      </c>
      <c r="C8" s="176"/>
      <c r="D8" s="116"/>
      <c r="E8" s="116"/>
      <c r="F8" s="116"/>
      <c r="G8" s="116"/>
      <c r="H8" s="116"/>
      <c r="I8" s="465"/>
      <c r="K8" s="116"/>
      <c r="L8" s="116"/>
      <c r="M8" s="116"/>
      <c r="N8" s="116"/>
      <c r="O8" s="116"/>
    </row>
    <row r="9" spans="2:15" ht="7.05" customHeight="1" x14ac:dyDescent="0.25">
      <c r="B9" s="122"/>
      <c r="C9" s="177"/>
      <c r="D9" s="128"/>
      <c r="E9" s="128"/>
      <c r="F9" s="128"/>
      <c r="G9" s="128"/>
      <c r="H9" s="128"/>
      <c r="I9" s="545"/>
      <c r="K9" s="128"/>
      <c r="L9" s="128"/>
      <c r="M9" s="128"/>
      <c r="N9" s="128"/>
      <c r="O9" s="128"/>
    </row>
    <row r="10" spans="2:15" ht="15" customHeight="1" x14ac:dyDescent="0.25">
      <c r="B10" s="122" t="s">
        <v>49</v>
      </c>
      <c r="C10" s="177" t="s">
        <v>112</v>
      </c>
      <c r="D10" s="128">
        <f>STATEMENTS!C19</f>
        <v>106</v>
      </c>
      <c r="E10" s="128">
        <f>STATEMENTS!D19</f>
        <v>133</v>
      </c>
      <c r="F10" s="128">
        <f>STATEMENTS!E19</f>
        <v>119</v>
      </c>
      <c r="G10" s="128">
        <f>STATEMENTS!F19</f>
        <v>91</v>
      </c>
      <c r="H10" s="128">
        <f>STATEMENTS!G19</f>
        <v>69</v>
      </c>
      <c r="I10" s="545"/>
      <c r="K10" s="128">
        <f>CHOOSE($I$1,'BALANCE SHEET ASSUMPTION'!K$105,'BALANCE SHEET ASSUMPTION'!R$105,'BALANCE SHEET ASSUMPTION'!Y$105)</f>
        <v>173.9778805479452</v>
      </c>
      <c r="L10" s="128">
        <f>CHOOSE($I$1,'BALANCE SHEET ASSUMPTION'!L$105,'BALANCE SHEET ASSUMPTION'!S$105,'BALANCE SHEET ASSUMPTION'!Z$105)</f>
        <v>172.23810174246574</v>
      </c>
      <c r="M10" s="128">
        <f>CHOOSE($I$1,'BALANCE SHEET ASSUMPTION'!M$105,'BALANCE SHEET ASSUMPTION'!T$105,'BALANCE SHEET ASSUMPTION'!AA$105)</f>
        <v>173.9604827598904</v>
      </c>
      <c r="N10" s="128">
        <f>CHOOSE($I$1,'BALANCE SHEET ASSUMPTION'!N$105,'BALANCE SHEET ASSUMPTION'!U$105,'BALANCE SHEET ASSUMPTION'!AB$105)</f>
        <v>175.70008758748932</v>
      </c>
      <c r="O10" s="128">
        <f>CHOOSE($I$1,'BALANCE SHEET ASSUMPTION'!O$105,'BALANCE SHEET ASSUMPTION'!V$105,'BALANCE SHEET ASSUMPTION'!AC$105)</f>
        <v>179.21408933923911</v>
      </c>
    </row>
    <row r="11" spans="2:15" ht="15" customHeight="1" x14ac:dyDescent="0.25">
      <c r="B11" s="122" t="s">
        <v>47</v>
      </c>
      <c r="C11" s="177" t="s">
        <v>112</v>
      </c>
      <c r="D11" s="128">
        <f>STATEMENTS!C20</f>
        <v>17571</v>
      </c>
      <c r="E11" s="128">
        <f>STATEMENTS!D20</f>
        <v>24166</v>
      </c>
      <c r="F11" s="128">
        <f>STATEMENTS!E20</f>
        <v>30923</v>
      </c>
      <c r="G11" s="128">
        <f>STATEMENTS!F20</f>
        <v>31117</v>
      </c>
      <c r="H11" s="128">
        <f>STATEMENTS!G20</f>
        <v>41147</v>
      </c>
      <c r="I11" s="545"/>
      <c r="K11" s="128">
        <f>CHOOSE($I$1,'BALANCE SHEET ASSUMPTION'!K$52,'BALANCE SHEET ASSUMPTION'!R$52,'BALANCE SHEET ASSUMPTION'!Y$52)</f>
        <v>48000</v>
      </c>
      <c r="L11" s="128">
        <f>CHOOSE($I$1,'BALANCE SHEET ASSUMPTION'!L$52,'BALANCE SHEET ASSUMPTION'!S$52,'BALANCE SHEET ASSUMPTION'!Z$52)</f>
        <v>53000</v>
      </c>
      <c r="M11" s="128">
        <f>CHOOSE($I$1,'BALANCE SHEET ASSUMPTION'!M$52,'BALANCE SHEET ASSUMPTION'!T$52,'BALANCE SHEET ASSUMPTION'!AA$52)</f>
        <v>59000</v>
      </c>
      <c r="N11" s="128">
        <f>CHOOSE($I$1,'BALANCE SHEET ASSUMPTION'!N$52,'BALANCE SHEET ASSUMPTION'!U$52,'BALANCE SHEET ASSUMPTION'!AB$52)</f>
        <v>66000</v>
      </c>
      <c r="O11" s="128">
        <f>CHOOSE($I$1,'BALANCE SHEET ASSUMPTION'!O$52,'BALANCE SHEET ASSUMPTION'!V$52,'BALANCE SHEET ASSUMPTION'!AC$52)</f>
        <v>73000</v>
      </c>
    </row>
    <row r="12" spans="2:15" ht="15" customHeight="1" x14ac:dyDescent="0.25">
      <c r="B12" s="122" t="s">
        <v>3156</v>
      </c>
      <c r="C12" s="177" t="s">
        <v>112</v>
      </c>
      <c r="D12" s="128">
        <f>STATEMENTS!C21</f>
        <v>41</v>
      </c>
      <c r="E12" s="128">
        <f>STATEMENTS!D21</f>
        <v>303</v>
      </c>
      <c r="F12" s="128">
        <f>STATEMENTS!E21</f>
        <v>184</v>
      </c>
      <c r="G12" s="128">
        <f>STATEMENTS!F21</f>
        <v>133</v>
      </c>
      <c r="H12" s="128">
        <f>STATEMENTS!G21</f>
        <v>182</v>
      </c>
      <c r="I12" s="545"/>
      <c r="K12" s="437">
        <f>AVERAGE(D12:H12)</f>
        <v>168.6</v>
      </c>
      <c r="L12" s="437">
        <f>$K$12</f>
        <v>168.6</v>
      </c>
      <c r="M12" s="437">
        <f t="shared" ref="M12:O12" si="3">$K$12</f>
        <v>168.6</v>
      </c>
      <c r="N12" s="437">
        <f t="shared" si="3"/>
        <v>168.6</v>
      </c>
      <c r="O12" s="437">
        <f t="shared" si="3"/>
        <v>168.6</v>
      </c>
    </row>
    <row r="13" spans="2:15" ht="15" customHeight="1" x14ac:dyDescent="0.25">
      <c r="B13" s="122" t="s">
        <v>197</v>
      </c>
      <c r="C13" s="177" t="s">
        <v>112</v>
      </c>
      <c r="D13" s="128">
        <f>STATEMENTS!C22</f>
        <v>9430</v>
      </c>
      <c r="E13" s="128">
        <f>STATEMENTS!D22</f>
        <v>11522</v>
      </c>
      <c r="F13" s="128">
        <f>STATEMENTS!E22</f>
        <v>12635</v>
      </c>
      <c r="G13" s="128">
        <f>STATEMENTS!F22</f>
        <v>11548</v>
      </c>
      <c r="H13" s="128">
        <f>STATEMENTS!G22</f>
        <v>11745</v>
      </c>
      <c r="I13" s="545"/>
      <c r="K13" s="128">
        <f>CHOOSE($I$1,'BALANCE SHEET ASSUMPTION'!K$99,'BALANCE SHEET ASSUMPTION'!R$99,'BALANCE SHEET ASSUMPTION'!Y$99)</f>
        <v>11376.409315068491</v>
      </c>
      <c r="L13" s="128">
        <f>CHOOSE($I$1,'BALANCE SHEET ASSUMPTION'!L$99,'BALANCE SHEET ASSUMPTION'!S$99,'BALANCE SHEET ASSUMPTION'!Z$99)</f>
        <v>11041.861334794519</v>
      </c>
      <c r="M13" s="128">
        <f>CHOOSE($I$1,'BALANCE SHEET ASSUMPTION'!M$99,'BALANCE SHEET ASSUMPTION'!T$99,'BALANCE SHEET ASSUMPTION'!AA$99)</f>
        <v>10665.067570126028</v>
      </c>
      <c r="N13" s="128">
        <f>CHOOSE($I$1,'BALANCE SHEET ASSUMPTION'!N$99,'BALANCE SHEET ASSUMPTION'!U$99,'BALANCE SHEET ASSUMPTION'!AB$99)</f>
        <v>10535.450937537205</v>
      </c>
      <c r="O13" s="128">
        <f>CHOOSE($I$1,'BALANCE SHEET ASSUMPTION'!O$99,'BALANCE SHEET ASSUMPTION'!V$99,'BALANCE SHEET ASSUMPTION'!AC$99)</f>
        <v>10499.579676213438</v>
      </c>
    </row>
    <row r="14" spans="2:15" ht="15" customHeight="1" x14ac:dyDescent="0.25">
      <c r="B14" s="122" t="s">
        <v>3157</v>
      </c>
      <c r="C14" s="177" t="s">
        <v>112</v>
      </c>
      <c r="D14" s="128">
        <f>STATEMENTS!C23</f>
        <v>2712</v>
      </c>
      <c r="E14" s="128">
        <f>STATEMENTS!D23</f>
        <v>6081</v>
      </c>
      <c r="F14" s="128">
        <f>STATEMENTS!E23</f>
        <v>6052</v>
      </c>
      <c r="G14" s="128">
        <f>STATEMENTS!F23</f>
        <v>5835</v>
      </c>
      <c r="H14" s="128">
        <f>STATEMENTS!G23</f>
        <v>6428</v>
      </c>
      <c r="I14" s="545"/>
      <c r="K14" s="128">
        <f>CHOOSE($I$1,'BALANCE SHEET ASSUMPTION'!K$23,'BALANCE SHEET ASSUMPTION'!R$23,'BALANCE SHEET ASSUMPTION'!Y$23)</f>
        <v>5706.3536639999993</v>
      </c>
      <c r="L14" s="128">
        <f>CHOOSE($I$1,'BALANCE SHEET ASSUMPTION'!L$23,'BALANCE SHEET ASSUMPTION'!S$23,'BALANCE SHEET ASSUMPTION'!Z$23)</f>
        <v>5649.2901273599991</v>
      </c>
      <c r="M14" s="128">
        <f>CHOOSE($I$1,'BALANCE SHEET ASSUMPTION'!M$23,'BALANCE SHEET ASSUMPTION'!T$23,'BALANCE SHEET ASSUMPTION'!AA$23)</f>
        <v>5705.7830286335993</v>
      </c>
      <c r="N14" s="128">
        <f>CHOOSE($I$1,'BALANCE SHEET ASSUMPTION'!N$23,'BALANCE SHEET ASSUMPTION'!U$23,'BALANCE SHEET ASSUMPTION'!AB$23)</f>
        <v>5762.8408589199353</v>
      </c>
      <c r="O14" s="128">
        <f>CHOOSE($I$1,'BALANCE SHEET ASSUMPTION'!O$23,'BALANCE SHEET ASSUMPTION'!V$23,'BALANCE SHEET ASSUMPTION'!AC$23)</f>
        <v>5878.097676098334</v>
      </c>
    </row>
    <row r="15" spans="2:15" ht="15" customHeight="1" x14ac:dyDescent="0.25">
      <c r="B15" s="122" t="s">
        <v>51</v>
      </c>
      <c r="C15" s="177" t="s">
        <v>112</v>
      </c>
      <c r="D15" s="128">
        <f>STATEMENTS!C24</f>
        <v>17473</v>
      </c>
      <c r="E15" s="128">
        <f>STATEMENTS!D24</f>
        <v>10002</v>
      </c>
      <c r="F15" s="128">
        <f>STATEMENTS!E24</f>
        <v>9247</v>
      </c>
      <c r="G15" s="128">
        <f>STATEMENTS!F24</f>
        <v>9802</v>
      </c>
      <c r="H15" s="128">
        <f>STATEMENTS!G24</f>
        <v>12358</v>
      </c>
      <c r="I15" s="545"/>
      <c r="K15" s="128">
        <f>CHOOSE($I$1,'CASH FLOW ASSUMPTION'!D62,'CASH FLOW ASSUMPTION'!K62,'CASH FLOW ASSUMPTION'!R62)</f>
        <v>10833.767974585178</v>
      </c>
      <c r="L15" s="128">
        <f>CHOOSE($I$1,'CASH FLOW ASSUMPTION'!E62,'CASH FLOW ASSUMPTION'!L62,'CASH FLOW ASSUMPTION'!S62)</f>
        <v>10683.265226411109</v>
      </c>
      <c r="M15" s="128">
        <f>CHOOSE($I$1,'CASH FLOW ASSUMPTION'!F62,'CASH FLOW ASSUMPTION'!M62,'CASH FLOW ASSUMPTION'!T62)</f>
        <v>11140.237603936956</v>
      </c>
      <c r="N15" s="128">
        <f>CHOOSE($I$1,'CASH FLOW ASSUMPTION'!G62,'CASH FLOW ASSUMPTION'!N62,'CASH FLOW ASSUMPTION'!U62)</f>
        <v>10616.362193573354</v>
      </c>
      <c r="O15" s="128">
        <f>CHOOSE($I$1,'CASH FLOW ASSUMPTION'!H62,'CASH FLOW ASSUMPTION'!O62,'CASH FLOW ASSUMPTION'!V62)</f>
        <v>10863.194645485462</v>
      </c>
    </row>
    <row r="16" spans="2:15" ht="15" customHeight="1" x14ac:dyDescent="0.25">
      <c r="B16" s="122" t="s">
        <v>3159</v>
      </c>
      <c r="C16" s="177" t="s">
        <v>112</v>
      </c>
      <c r="D16" s="128">
        <f>STATEMENTS!C25</f>
        <v>745</v>
      </c>
      <c r="E16" s="128">
        <f>STATEMENTS!D25</f>
        <v>4291</v>
      </c>
      <c r="F16" s="128">
        <f>STATEMENTS!E25</f>
        <v>910</v>
      </c>
      <c r="G16" s="128">
        <f>STATEMENTS!F25</f>
        <v>1054</v>
      </c>
      <c r="H16" s="128">
        <f>STATEMENTS!G25</f>
        <v>845</v>
      </c>
      <c r="I16" s="545"/>
      <c r="K16" s="128">
        <f>CHOOSE($I$1,'BALANCE SHEET ASSUMPTION'!K28,'BALANCE SHEET ASSUMPTION'!R28,'BALANCE SHEET ASSUMPTION'!Y28)</f>
        <v>989.65280700000005</v>
      </c>
      <c r="L16" s="128">
        <f>CHOOSE($I$1,'BALANCE SHEET ASSUMPTION'!L28,'BALANCE SHEET ASSUMPTION'!S28,'BALANCE SHEET ASSUMPTION'!Z28)</f>
        <v>982.38060063000012</v>
      </c>
      <c r="M16" s="128">
        <f>CHOOSE($I$1,'BALANCE SHEET ASSUMPTION'!M28,'BALANCE SHEET ASSUMPTION'!T28,'BALANCE SHEET ASSUMPTION'!AA28)</f>
        <v>994.04143182630014</v>
      </c>
      <c r="N16" s="128">
        <f>CHOOSE($I$1,'BALANCE SHEET ASSUMPTION'!N28,'BALANCE SHEET ASSUMPTION'!U28,'BALANCE SHEET ASSUMPTION'!AB28)</f>
        <v>1005.9107225940631</v>
      </c>
      <c r="O16" s="128">
        <f>CHOOSE($I$1,'BALANCE SHEET ASSUMPTION'!O28,'BALANCE SHEET ASSUMPTION'!V28,'BALANCE SHEET ASSUMPTION'!AC28)</f>
        <v>1027.5479272499258</v>
      </c>
    </row>
    <row r="17" spans="2:15" ht="15" customHeight="1" x14ac:dyDescent="0.25">
      <c r="B17" s="122" t="s">
        <v>3160</v>
      </c>
      <c r="C17" s="177" t="s">
        <v>112</v>
      </c>
      <c r="D17" s="128">
        <f>STATEMENTS!C26</f>
        <v>246</v>
      </c>
      <c r="E17" s="128">
        <f>STATEMENTS!D26</f>
        <v>237</v>
      </c>
      <c r="F17" s="128">
        <f>STATEMENTS!E26</f>
        <v>509</v>
      </c>
      <c r="G17" s="128">
        <f>STATEMENTS!F26</f>
        <v>648</v>
      </c>
      <c r="H17" s="128">
        <f>STATEMENTS!G26</f>
        <v>642</v>
      </c>
      <c r="I17" s="545"/>
      <c r="K17" s="128">
        <f>CHOOSE($I$1,'BALANCE SHEET ASSUMPTION'!K$33,'BALANCE SHEET ASSUMPTION'!R$33,'BALANCE SHEET ASSUMPTION'!Y$33)</f>
        <v>600</v>
      </c>
      <c r="L17" s="128">
        <f>CHOOSE($I$1,'BALANCE SHEET ASSUMPTION'!L$33,'BALANCE SHEET ASSUMPTION'!S$33,'BALANCE SHEET ASSUMPTION'!Z$33)</f>
        <v>630</v>
      </c>
      <c r="M17" s="128">
        <f>CHOOSE($I$1,'BALANCE SHEET ASSUMPTION'!M$33,'BALANCE SHEET ASSUMPTION'!T$33,'BALANCE SHEET ASSUMPTION'!AA$33)</f>
        <v>660</v>
      </c>
      <c r="N17" s="128">
        <f>CHOOSE($I$1,'BALANCE SHEET ASSUMPTION'!N$33,'BALANCE SHEET ASSUMPTION'!U$33,'BALANCE SHEET ASSUMPTION'!AB$33)</f>
        <v>690</v>
      </c>
      <c r="O17" s="128">
        <f>CHOOSE($I$1,'BALANCE SHEET ASSUMPTION'!O$33,'BALANCE SHEET ASSUMPTION'!V$33,'BALANCE SHEET ASSUMPTION'!AC$33)</f>
        <v>720</v>
      </c>
    </row>
    <row r="18" spans="2:15" ht="15" customHeight="1" x14ac:dyDescent="0.25">
      <c r="B18" s="122" t="s">
        <v>3161</v>
      </c>
      <c r="C18" s="177" t="s">
        <v>112</v>
      </c>
      <c r="D18" s="128">
        <f>STATEMENTS!C27</f>
        <v>1651</v>
      </c>
      <c r="E18" s="128">
        <f>STATEMENTS!D27</f>
        <v>2065</v>
      </c>
      <c r="F18" s="128">
        <f>STATEMENTS!E27</f>
        <v>2300</v>
      </c>
      <c r="G18" s="128">
        <f>STATEMENTS!F27</f>
        <v>1985</v>
      </c>
      <c r="H18" s="128">
        <f>STATEMENTS!G27</f>
        <v>1580</v>
      </c>
      <c r="I18" s="545"/>
      <c r="K18" s="128">
        <f>CHOOSE($I$1,'BALANCE SHEET ASSUMPTION'!K$35,'BALANCE SHEET ASSUMPTION'!R$35,'BALANCE SHEET ASSUMPTION'!Y$35)</f>
        <v>2074.8312654790534</v>
      </c>
      <c r="L18" s="128">
        <f>CHOOSE($I$1,'BALANCE SHEET ASSUMPTION'!L$35,'BALANCE SHEET ASSUMPTION'!S$35,'BALANCE SHEET ASSUMPTION'!Z$35)</f>
        <v>2054.0829528242625</v>
      </c>
      <c r="M18" s="128">
        <f>CHOOSE($I$1,'BALANCE SHEET ASSUMPTION'!M$35,'BALANCE SHEET ASSUMPTION'!T$35,'BALANCE SHEET ASSUMPTION'!AA$35)</f>
        <v>2074.6237823525053</v>
      </c>
      <c r="N18" s="128">
        <f>CHOOSE($I$1,'BALANCE SHEET ASSUMPTION'!N$35,'BALANCE SHEET ASSUMPTION'!U$35,'BALANCE SHEET ASSUMPTION'!AB$35)</f>
        <v>2095.3700201760307</v>
      </c>
      <c r="O18" s="128">
        <f>CHOOSE($I$1,'BALANCE SHEET ASSUMPTION'!O$35,'BALANCE SHEET ASSUMPTION'!V$35,'BALANCE SHEET ASSUMPTION'!AC$35)</f>
        <v>2137.2774205795513</v>
      </c>
    </row>
    <row r="19" spans="2:15" ht="15" customHeight="1" x14ac:dyDescent="0.25">
      <c r="B19" s="123" t="s">
        <v>199</v>
      </c>
      <c r="C19" s="178" t="s">
        <v>112</v>
      </c>
      <c r="D19" s="129">
        <f>STATEMENTS!C28</f>
        <v>2492</v>
      </c>
      <c r="E19" s="129">
        <f>STATEMENTS!D28</f>
        <v>2893</v>
      </c>
      <c r="F19" s="129">
        <f>STATEMENTS!E28</f>
        <v>3290</v>
      </c>
      <c r="G19" s="129">
        <f>STATEMENTS!F28</f>
        <v>2960</v>
      </c>
      <c r="H19" s="129">
        <f>STATEMENTS!G28</f>
        <v>2913</v>
      </c>
      <c r="I19" s="545"/>
      <c r="K19" s="129">
        <f>CHOOSE($I$1,'BALANCE SHEET ASSUMPTION'!K$126,'BALANCE SHEET ASSUMPTION'!R$126,'BALANCE SHEET ASSUMPTION'!Y$126)</f>
        <v>3192.7260719999995</v>
      </c>
      <c r="L19" s="129">
        <f>CHOOSE($I$1,'BALANCE SHEET ASSUMPTION'!L$126,'BALANCE SHEET ASSUMPTION'!S$126,'BALANCE SHEET ASSUMPTION'!Z$126)</f>
        <v>3169.2651544799996</v>
      </c>
      <c r="M19" s="129">
        <f>CHOOSE($I$1,'BALANCE SHEET ASSUMPTION'!M$126,'BALANCE SHEET ASSUMPTION'!T$126,'BALANCE SHEET ASSUMPTION'!AA$126)</f>
        <v>3206.8842462647999</v>
      </c>
      <c r="N19" s="129">
        <f>CHOOSE($I$1,'BALANCE SHEET ASSUMPTION'!N$126,'BALANCE SHEET ASSUMPTION'!U$126,'BALANCE SHEET ASSUMPTION'!AB$126)</f>
        <v>3245.1758509794477</v>
      </c>
      <c r="O19" s="129">
        <f>CHOOSE($I$1,'BALANCE SHEET ASSUMPTION'!O$126,'BALANCE SHEET ASSUMPTION'!V$126,'BALANCE SHEET ASSUMPTION'!AC$126)</f>
        <v>3314.9797932724873</v>
      </c>
    </row>
    <row r="20" spans="2:15" ht="15" customHeight="1" x14ac:dyDescent="0.25">
      <c r="B20" s="124"/>
      <c r="C20" s="479"/>
      <c r="D20" s="130"/>
      <c r="E20" s="130"/>
      <c r="F20" s="130"/>
      <c r="G20" s="130"/>
      <c r="H20" s="130"/>
      <c r="I20" s="545"/>
      <c r="K20" s="130"/>
      <c r="L20" s="130"/>
      <c r="M20" s="130"/>
      <c r="N20" s="130"/>
      <c r="O20" s="130"/>
    </row>
    <row r="21" spans="2:15" ht="15" customHeight="1" x14ac:dyDescent="0.3">
      <c r="B21" s="481" t="s">
        <v>200</v>
      </c>
      <c r="C21" s="482" t="s">
        <v>112</v>
      </c>
      <c r="D21" s="546">
        <f>SUM(D10:D19)</f>
        <v>52467</v>
      </c>
      <c r="E21" s="546">
        <f t="shared" ref="E21:H21" si="4">SUM(E10:E19)</f>
        <v>61693</v>
      </c>
      <c r="F21" s="546">
        <f t="shared" si="4"/>
        <v>66169</v>
      </c>
      <c r="G21" s="546">
        <f t="shared" si="4"/>
        <v>65173</v>
      </c>
      <c r="H21" s="546">
        <f t="shared" si="4"/>
        <v>77909</v>
      </c>
      <c r="I21" s="545"/>
      <c r="K21" s="546">
        <f>SUM(K10:K19)</f>
        <v>83116.318978680676</v>
      </c>
      <c r="L21" s="546">
        <f>SUM(L10:L19)</f>
        <v>87550.983498242349</v>
      </c>
      <c r="M21" s="546">
        <f>SUM(M10:M19)</f>
        <v>93789.198145900082</v>
      </c>
      <c r="N21" s="546">
        <f>SUM(N10:N19)</f>
        <v>100295.41067136754</v>
      </c>
      <c r="O21" s="546">
        <f>SUM(O10:O19)</f>
        <v>107788.49122823845</v>
      </c>
    </row>
    <row r="22" spans="2:15" ht="15" customHeight="1" x14ac:dyDescent="0.25">
      <c r="B22" s="124"/>
      <c r="C22" s="479"/>
      <c r="D22" s="130">
        <f>P21-T21</f>
        <v>0</v>
      </c>
      <c r="E22" s="130"/>
      <c r="F22" s="130"/>
      <c r="G22" s="130"/>
      <c r="H22" s="130"/>
      <c r="I22" s="545"/>
    </row>
    <row r="23" spans="2:15" ht="15" customHeight="1" x14ac:dyDescent="0.25">
      <c r="B23" s="121" t="s">
        <v>201</v>
      </c>
      <c r="C23" s="176"/>
      <c r="D23" s="131"/>
      <c r="E23" s="131"/>
      <c r="F23" s="131"/>
      <c r="G23" s="131"/>
      <c r="H23" s="131"/>
      <c r="I23" s="545"/>
      <c r="K23" s="131"/>
      <c r="L23" s="131"/>
      <c r="M23" s="131"/>
      <c r="N23" s="131"/>
      <c r="O23" s="131"/>
    </row>
    <row r="24" spans="2:15" ht="7.05" customHeight="1" x14ac:dyDescent="0.25">
      <c r="B24" s="122"/>
      <c r="C24" s="177"/>
      <c r="D24" s="128"/>
      <c r="E24" s="128"/>
      <c r="F24" s="128"/>
      <c r="G24" s="128"/>
      <c r="H24" s="128"/>
      <c r="I24" s="545"/>
      <c r="K24" s="128"/>
      <c r="L24" s="128"/>
      <c r="M24" s="128"/>
      <c r="N24" s="128"/>
      <c r="O24" s="128"/>
    </row>
    <row r="25" spans="2:15" ht="15" customHeight="1" x14ac:dyDescent="0.25">
      <c r="B25" s="122" t="s">
        <v>185</v>
      </c>
      <c r="C25" s="177" t="s">
        <v>112</v>
      </c>
      <c r="D25" s="128">
        <f>STATEMENTS!C7</f>
        <v>6575</v>
      </c>
      <c r="E25" s="128">
        <f>STATEMENTS!D7</f>
        <v>7461</v>
      </c>
      <c r="F25" s="128">
        <f>STATEMENTS!E7</f>
        <v>8234</v>
      </c>
      <c r="G25" s="128">
        <f>STATEMENTS!F7</f>
        <v>7413</v>
      </c>
      <c r="H25" s="128">
        <f>STATEMENTS!G7</f>
        <v>7847</v>
      </c>
      <c r="I25" s="545"/>
      <c r="K25" s="128">
        <f>CHOOSE($I$1,'BALANCE SHEET ASSUMPTION'!K$18,'BALANCE SHEET ASSUMPTION'!R$18,'BALANCE SHEET ASSUMPTION'!Y$18)</f>
        <v>7586.1888080000026</v>
      </c>
      <c r="L25" s="128">
        <f>CHOOSE($I$1,'BALANCE SHEET ASSUMPTION'!L$18,'BALANCE SHEET ASSUMPTION'!S$18,'BALANCE SHEET ASSUMPTION'!Z$18)</f>
        <v>8374.2068485920026</v>
      </c>
      <c r="M25" s="128">
        <f>CHOOSE($I$1,'BALANCE SHEET ASSUMPTION'!M$18,'BALANCE SHEET ASSUMPTION'!T$18,'BALANCE SHEET ASSUMPTION'!AA$18)</f>
        <v>8442.1057629068819</v>
      </c>
      <c r="N25" s="128">
        <f>CHOOSE($I$1,'BALANCE SHEET ASSUMPTION'!N$18,'BALANCE SHEET ASSUMPTION'!U$18,'BALANCE SHEET ASSUMPTION'!AB$18)</f>
        <v>8514.3165989543668</v>
      </c>
      <c r="O25" s="128">
        <f>CHOOSE($I$1,'BALANCE SHEET ASSUMPTION'!O$18,'BALANCE SHEET ASSUMPTION'!V$18,'BALANCE SHEET ASSUMPTION'!AC$18)</f>
        <v>8486.5263414354813</v>
      </c>
    </row>
    <row r="26" spans="2:15" ht="15" customHeight="1" x14ac:dyDescent="0.25">
      <c r="B26" s="122" t="s">
        <v>3249</v>
      </c>
      <c r="C26" s="177" t="s">
        <v>112</v>
      </c>
      <c r="D26" s="128">
        <f>STATEMENTS!C8</f>
        <v>1642</v>
      </c>
      <c r="E26" s="128">
        <f>STATEMENTS!D8</f>
        <v>1887</v>
      </c>
      <c r="F26" s="128">
        <f>STATEMENTS!E8</f>
        <v>1870</v>
      </c>
      <c r="G26" s="128">
        <f>STATEMENTS!F8</f>
        <v>1796</v>
      </c>
      <c r="H26" s="128">
        <f>STATEMENTS!G8</f>
        <v>2560</v>
      </c>
      <c r="I26" s="545"/>
      <c r="K26" s="128">
        <f>CHOOSE($I$1,'BALANCE SHEET ASSUMPTION'!K$46,'BALANCE SHEET ASSUMPTION'!R$46,'BALANCE SHEET ASSUMPTION'!Y$46)</f>
        <v>2122.3323599999999</v>
      </c>
      <c r="L26" s="128">
        <f>CHOOSE($I$1,'BALANCE SHEET ASSUMPTION'!L$46,'BALANCE SHEET ASSUMPTION'!S$46,'BALANCE SHEET ASSUMPTION'!Z$46)</f>
        <v>2198.3342112</v>
      </c>
      <c r="M26" s="128">
        <f>CHOOSE($I$1,'BALANCE SHEET ASSUMPTION'!M$46,'BALANCE SHEET ASSUMPTION'!T$46,'BALANCE SHEET ASSUMPTION'!AA$46)</f>
        <v>2131.7438631240002</v>
      </c>
      <c r="N26" s="128">
        <f>CHOOSE($I$1,'BALANCE SHEET ASSUMPTION'!N$46,'BALANCE SHEET ASSUMPTION'!U$46,'BALANCE SHEET ASSUMPTION'!AB$46)</f>
        <v>2250.9890295811201</v>
      </c>
      <c r="O26" s="128">
        <f>CHOOSE($I$1,'BALANCE SHEET ASSUMPTION'!O$46,'BALANCE SHEET ASSUMPTION'!V$46,'BALANCE SHEET ASSUMPTION'!AC$46)</f>
        <v>2203.5992845452952</v>
      </c>
    </row>
    <row r="27" spans="2:15" ht="15" customHeight="1" x14ac:dyDescent="0.25">
      <c r="B27" s="122" t="s">
        <v>46</v>
      </c>
      <c r="C27" s="177" t="s">
        <v>112</v>
      </c>
      <c r="D27" s="128">
        <f>STATEMENTS!C9</f>
        <v>1853</v>
      </c>
      <c r="E27" s="128">
        <f>STATEMENTS!D9</f>
        <v>1602</v>
      </c>
      <c r="F27" s="128">
        <f>STATEMENTS!E9</f>
        <v>617</v>
      </c>
      <c r="G27" s="128">
        <f>STATEMENTS!F9</f>
        <v>723</v>
      </c>
      <c r="H27" s="128">
        <f>STATEMENTS!G9</f>
        <v>196</v>
      </c>
      <c r="I27" s="545"/>
      <c r="K27" s="128">
        <f>CHOOSE($I$1,'BALANCE SHEET ASSUMPTION'!K$43,'BALANCE SHEET ASSUMPTION'!R$43,'BALANCE SHEET ASSUMPTION'!Y$43)</f>
        <v>736.44595199999992</v>
      </c>
      <c r="L27" s="128">
        <f>CHOOSE($I$1,'BALANCE SHEET ASSUMPTION'!L$43,'BALANCE SHEET ASSUMPTION'!S$43,'BALANCE SHEET ASSUMPTION'!Z$43)</f>
        <v>874.8977909759999</v>
      </c>
      <c r="M27" s="128">
        <f>CHOOSE($I$1,'BALANCE SHEET ASSUMPTION'!M$43,'BALANCE SHEET ASSUMPTION'!T$43,'BALANCE SHEET ASSUMPTION'!AA$43)</f>
        <v>736.37230740479993</v>
      </c>
      <c r="N27" s="128">
        <f>CHOOSE($I$1,'BALANCE SHEET ASSUMPTION'!N$43,'BALANCE SHEET ASSUMPTION'!U$43,'BALANCE SHEET ASSUMPTION'!AB$43)</f>
        <v>446.24161828730877</v>
      </c>
      <c r="O27" s="128">
        <f>CHOOSE($I$1,'BALANCE SHEET ASSUMPTION'!O$43,'BALANCE SHEET ASSUMPTION'!V$43,'BALANCE SHEET ASSUMPTION'!AC$43)</f>
        <v>303.44430043537</v>
      </c>
    </row>
    <row r="28" spans="2:15" ht="15" customHeight="1" x14ac:dyDescent="0.25">
      <c r="B28" s="122" t="s">
        <v>3146</v>
      </c>
      <c r="C28" s="177" t="s">
        <v>112</v>
      </c>
      <c r="D28" s="128">
        <f>STATEMENTS!C10</f>
        <v>13515</v>
      </c>
      <c r="E28" s="128">
        <f>STATEMENTS!D10</f>
        <v>24286</v>
      </c>
      <c r="F28" s="128">
        <f>STATEMENTS!E10</f>
        <v>30349</v>
      </c>
      <c r="G28" s="128">
        <f>STATEMENTS!F10</f>
        <v>31145</v>
      </c>
      <c r="H28" s="128">
        <f>STATEMENTS!G10</f>
        <v>32035</v>
      </c>
      <c r="I28" s="545"/>
      <c r="K28" s="128">
        <f>CHOOSE($I$1,'BALANCE SHEET ASSUMPTION'!K$49,'BALANCE SHEET ASSUMPTION'!R$49,'BALANCE SHEET ASSUMPTION'!Y$49)</f>
        <v>32899.945</v>
      </c>
      <c r="L28" s="128">
        <f>CHOOSE($I$1,'BALANCE SHEET ASSUMPTION'!L$49,'BALANCE SHEET ASSUMPTION'!S$49,'BALANCE SHEET ASSUMPTION'!Z$49)</f>
        <v>33788.243515000002</v>
      </c>
      <c r="M28" s="128">
        <f>CHOOSE($I$1,'BALANCE SHEET ASSUMPTION'!M$49,'BALANCE SHEET ASSUMPTION'!T$49,'BALANCE SHEET ASSUMPTION'!AA$49)</f>
        <v>34700.526089905004</v>
      </c>
      <c r="N28" s="128">
        <f>CHOOSE($I$1,'BALANCE SHEET ASSUMPTION'!N$49,'BALANCE SHEET ASSUMPTION'!U$49,'BALANCE SHEET ASSUMPTION'!AB$49)</f>
        <v>35637.440294332438</v>
      </c>
      <c r="O28" s="128">
        <f>CHOOSE($I$1,'BALANCE SHEET ASSUMPTION'!O$49,'BALANCE SHEET ASSUMPTION'!V$49,'BALANCE SHEET ASSUMPTION'!AC$49)</f>
        <v>36599.651182279413</v>
      </c>
    </row>
    <row r="29" spans="2:15" ht="15" customHeight="1" x14ac:dyDescent="0.25">
      <c r="B29" s="122" t="s">
        <v>3250</v>
      </c>
      <c r="C29" s="177" t="s">
        <v>112</v>
      </c>
      <c r="D29" s="128">
        <f>STATEMENTS!C11</f>
        <v>1309</v>
      </c>
      <c r="E29" s="128">
        <f>STATEMENTS!D11</f>
        <v>4356</v>
      </c>
      <c r="F29" s="128">
        <f>STATEMENTS!E11</f>
        <v>4305</v>
      </c>
      <c r="G29" s="128">
        <f>STATEMENTS!F11</f>
        <v>3275</v>
      </c>
      <c r="H29" s="128">
        <f>STATEMENTS!G11</f>
        <v>2745</v>
      </c>
      <c r="I29" s="545"/>
      <c r="K29" s="128">
        <f>CHOOSE($I$1,'BALANCE SHEET ASSUMPTION'!K$55,'BALANCE SHEET ASSUMPTION'!R$55,'BALANCE SHEET ASSUMPTION'!Y$55)</f>
        <v>2768.2595999999999</v>
      </c>
      <c r="L29" s="128">
        <f>CHOOSE($I$1,'BALANCE SHEET ASSUMPTION'!L$55,'BALANCE SHEET ASSUMPTION'!S$55,'BALANCE SHEET ASSUMPTION'!Z$55)</f>
        <v>2747.9177639999998</v>
      </c>
      <c r="M29" s="128">
        <f>CHOOSE($I$1,'BALANCE SHEET ASSUMPTION'!M$55,'BALANCE SHEET ASSUMPTION'!T$55,'BALANCE SHEET ASSUMPTION'!AA$55)</f>
        <v>2780.53547364</v>
      </c>
      <c r="N29" s="128">
        <f>CHOOSE($I$1,'BALANCE SHEET ASSUMPTION'!N$55,'BALANCE SHEET ASSUMPTION'!U$55,'BALANCE SHEET ASSUMPTION'!AB$55)</f>
        <v>3001.3187061081599</v>
      </c>
      <c r="O29" s="128">
        <f>CHOOSE($I$1,'BALANCE SHEET ASSUMPTION'!O$55,'BALANCE SHEET ASSUMPTION'!V$55,'BALANCE SHEET ASSUMPTION'!AC$55)</f>
        <v>3065.8772654543236</v>
      </c>
    </row>
    <row r="30" spans="2:15" ht="15" customHeight="1" x14ac:dyDescent="0.25">
      <c r="B30" s="122" t="s">
        <v>47</v>
      </c>
      <c r="C30" s="177" t="s">
        <v>112</v>
      </c>
      <c r="D30" s="128">
        <f>STATEMENTS!C12</f>
        <v>1058</v>
      </c>
      <c r="E30" s="128">
        <f>STATEMENTS!D12</f>
        <v>1911</v>
      </c>
      <c r="F30" s="128">
        <f>STATEMENTS!E12</f>
        <v>2072</v>
      </c>
      <c r="G30" s="128">
        <f>STATEMENTS!F12</f>
        <v>2163</v>
      </c>
      <c r="H30" s="128">
        <f>STATEMENTS!G12</f>
        <v>2646</v>
      </c>
      <c r="I30" s="545"/>
      <c r="K30" s="128">
        <f>CHOOSE($I$1,'BALANCE SHEET ASSUMPTION'!K$58,'BALANCE SHEET ASSUMPTION'!R$58,'BALANCE SHEET ASSUMPTION'!Y$58)</f>
        <v>2746</v>
      </c>
      <c r="L30" s="128">
        <f>CHOOSE($I$1,'BALANCE SHEET ASSUMPTION'!L$58,'BALANCE SHEET ASSUMPTION'!S$58,'BALANCE SHEET ASSUMPTION'!Z$58)</f>
        <v>2846</v>
      </c>
      <c r="M30" s="128">
        <f>CHOOSE($I$1,'BALANCE SHEET ASSUMPTION'!M$58,'BALANCE SHEET ASSUMPTION'!T$58,'BALANCE SHEET ASSUMPTION'!AA$58)</f>
        <v>2946</v>
      </c>
      <c r="N30" s="128">
        <f>CHOOSE($I$1,'BALANCE SHEET ASSUMPTION'!N$58,'BALANCE SHEET ASSUMPTION'!U$58,'BALANCE SHEET ASSUMPTION'!AB$58)</f>
        <v>3046</v>
      </c>
      <c r="O30" s="128">
        <f>CHOOSE($I$1,'BALANCE SHEET ASSUMPTION'!O$58,'BALANCE SHEET ASSUMPTION'!V$58,'BALANCE SHEET ASSUMPTION'!AC$58)</f>
        <v>3146</v>
      </c>
    </row>
    <row r="31" spans="2:15" ht="15" customHeight="1" x14ac:dyDescent="0.25">
      <c r="B31" s="122" t="s">
        <v>197</v>
      </c>
      <c r="C31" s="549" t="s">
        <v>112</v>
      </c>
      <c r="D31" s="128">
        <f>STATEMENTS!C13</f>
        <v>436</v>
      </c>
      <c r="E31" s="128">
        <f>STATEMENTS!D13</f>
        <v>476</v>
      </c>
      <c r="F31" s="128">
        <f>STATEMENTS!E13</f>
        <v>86</v>
      </c>
      <c r="G31" s="128">
        <f>STATEMENTS!F13</f>
        <v>405</v>
      </c>
      <c r="H31" s="128">
        <f>STATEMENTS!G13</f>
        <v>30</v>
      </c>
      <c r="I31" s="545"/>
      <c r="K31" s="128">
        <f>CHOOSE($I$1,'BALANCE SHEET ASSUMPTION'!K$102,'BALANCE SHEET ASSUMPTION'!R102,'BALANCE SHEET ASSUMPTION'!Y102)</f>
        <v>92.275319999999994</v>
      </c>
      <c r="L31" s="128">
        <f>CHOOSE($I$1,'BALANCE SHEET ASSUMPTION'!L$102,'BALANCE SHEET ASSUMPTION'!S102,'BALANCE SHEET ASSUMPTION'!Z102)</f>
        <v>137.3958882</v>
      </c>
      <c r="M31" s="128">
        <f>CHOOSE($I$1,'BALANCE SHEET ASSUMPTION'!M$102,'BALANCE SHEET ASSUMPTION'!T102,'BALANCE SHEET ASSUMPTION'!AA102)</f>
        <v>185.36903157600003</v>
      </c>
      <c r="N31" s="128">
        <f>CHOOSE($I$1,'BALANCE SHEET ASSUMPTION'!N$102,'BALANCE SHEET ASSUMPTION'!U102,'BALANCE SHEET ASSUMPTION'!AB102)</f>
        <v>234.4780239147</v>
      </c>
      <c r="O31" s="128">
        <f>CHOOSE($I$1,'BALANCE SHEET ASSUMPTION'!O$102,'BALANCE SHEET ASSUMPTION'!V102,'BALANCE SHEET ASSUMPTION'!AC102)</f>
        <v>287.42599363634281</v>
      </c>
    </row>
    <row r="32" spans="2:15" ht="15" customHeight="1" x14ac:dyDescent="0.25">
      <c r="B32" s="122" t="s">
        <v>3159</v>
      </c>
      <c r="C32" s="549" t="s">
        <v>112</v>
      </c>
      <c r="D32" s="128">
        <f>STATEMENTS!C14</f>
        <v>609</v>
      </c>
      <c r="E32" s="128">
        <f>STATEMENTS!D14</f>
        <v>608</v>
      </c>
      <c r="F32" s="128">
        <f>STATEMENTS!E14</f>
        <v>633</v>
      </c>
      <c r="G32" s="128">
        <f>STATEMENTS!F14</f>
        <v>555</v>
      </c>
      <c r="H32" s="128">
        <f>STATEMENTS!G14</f>
        <v>466</v>
      </c>
      <c r="I32" s="545"/>
      <c r="K32" s="128">
        <f>CHOOSE($I$1,'BALANCE SHEET ASSUMPTION'!K30,'BALANCE SHEET ASSUMPTION'!R30,'BALANCE SHEET ASSUMPTION'!Y30)</f>
        <v>532.88997299999994</v>
      </c>
      <c r="L32" s="128">
        <f>CHOOSE($I$1,'BALANCE SHEET ASSUMPTION'!L30,'BALANCE SHEET ASSUMPTION'!S30,'BALANCE SHEET ASSUMPTION'!Z30)</f>
        <v>528.97416956999996</v>
      </c>
      <c r="M32" s="128">
        <f>CHOOSE($I$1,'BALANCE SHEET ASSUMPTION'!M30,'BALANCE SHEET ASSUMPTION'!T30,'BALANCE SHEET ASSUMPTION'!AA30)</f>
        <v>535.25307867569995</v>
      </c>
      <c r="N32" s="128">
        <f>CHOOSE($I$1,'BALANCE SHEET ASSUMPTION'!N30,'BALANCE SHEET ASSUMPTION'!U30,'BALANCE SHEET ASSUMPTION'!AB30)</f>
        <v>541.64423524295694</v>
      </c>
      <c r="O32" s="128">
        <f>CHOOSE($I$1,'BALANCE SHEET ASSUMPTION'!O30,'BALANCE SHEET ASSUMPTION'!V30,'BALANCE SHEET ASSUMPTION'!AC30)</f>
        <v>553.29503774995999</v>
      </c>
    </row>
    <row r="33" spans="2:20" ht="15" customHeight="1" x14ac:dyDescent="0.25">
      <c r="B33" s="122" t="s">
        <v>3151</v>
      </c>
      <c r="C33" s="549" t="s">
        <v>112</v>
      </c>
      <c r="D33" s="128">
        <f>STATEMENTS!C15</f>
        <v>166</v>
      </c>
      <c r="E33" s="128">
        <f>STATEMENTS!D15</f>
        <v>230</v>
      </c>
      <c r="F33" s="128">
        <f>STATEMENTS!E15</f>
        <v>210</v>
      </c>
      <c r="G33" s="128">
        <f>STATEMENTS!F15</f>
        <v>182</v>
      </c>
      <c r="H33" s="128">
        <f>STATEMENTS!G15</f>
        <v>256</v>
      </c>
      <c r="I33" s="545"/>
      <c r="K33" s="437">
        <f>AVERAGE(D33:H33)</f>
        <v>208.8</v>
      </c>
      <c r="L33" s="437">
        <f t="shared" ref="L33:O33" si="5">AVERAGE(E33:I33)</f>
        <v>219.5</v>
      </c>
      <c r="M33" s="437">
        <f t="shared" si="5"/>
        <v>216</v>
      </c>
      <c r="N33" s="437">
        <f t="shared" si="5"/>
        <v>215.6</v>
      </c>
      <c r="O33" s="437">
        <f t="shared" si="5"/>
        <v>228.1</v>
      </c>
    </row>
    <row r="34" spans="2:20" ht="15" customHeight="1" x14ac:dyDescent="0.25">
      <c r="B34" s="122" t="s">
        <v>3251</v>
      </c>
      <c r="C34" s="549" t="s">
        <v>112</v>
      </c>
      <c r="D34" s="128">
        <f>STATEMENTS!C16</f>
        <v>1432</v>
      </c>
      <c r="E34" s="128">
        <f>STATEMENTS!D16</f>
        <v>1026</v>
      </c>
      <c r="F34" s="128">
        <f>STATEMENTS!E16</f>
        <v>1192</v>
      </c>
      <c r="G34" s="128">
        <f>STATEMENTS!F16</f>
        <v>904</v>
      </c>
      <c r="H34" s="128">
        <f>STATEMENTS!G16</f>
        <v>723</v>
      </c>
      <c r="I34" s="545"/>
      <c r="K34" s="128">
        <f>CHOOSE($I$1,'BALANCE SHEET ASSUMPTION'!K$61,'BALANCE SHEET ASSUMPTION'!R$61,'BALANCE SHEET ASSUMPTION'!Y$61)</f>
        <v>598.11482438399992</v>
      </c>
      <c r="L34" s="128">
        <f>CHOOSE($I$1,'BALANCE SHEET ASSUMPTION'!L$61,'BALANCE SHEET ASSUMPTION'!S$61,'BALANCE SHEET ASSUMPTION'!Z$61)</f>
        <v>510.65302704860159</v>
      </c>
      <c r="M34" s="128">
        <f>CHOOSE($I$1,'BALANCE SHEET ASSUMPTION'!M$61,'BALANCE SHEET ASSUMPTION'!T$61,'BALANCE SHEET ASSUMPTION'!AA$61)</f>
        <v>433.3724478867573</v>
      </c>
      <c r="N34" s="128">
        <f>CHOOSE($I$1,'BALANCE SHEET ASSUMPTION'!N$61,'BALANCE SHEET ASSUMPTION'!U$61,'BALANCE SHEET ASSUMPTION'!AB$61)</f>
        <v>397.25722912953205</v>
      </c>
      <c r="O34" s="128">
        <f>CHOOSE($I$1,'BALANCE SHEET ASSUMPTION'!O$61,'BALANCE SHEET ASSUMPTION'!V$61,'BALANCE SHEET ASSUMPTION'!AC$61)</f>
        <v>363.4162765013366</v>
      </c>
    </row>
    <row r="35" spans="2:20" ht="15" customHeight="1" x14ac:dyDescent="0.25">
      <c r="B35" s="123" t="s">
        <v>205</v>
      </c>
      <c r="C35" s="550" t="s">
        <v>112</v>
      </c>
      <c r="D35" s="129">
        <f>STATEMENTS!C17</f>
        <v>1671</v>
      </c>
      <c r="E35" s="129">
        <f>STATEMENTS!D17</f>
        <v>1510</v>
      </c>
      <c r="F35" s="129">
        <f>STATEMENTS!E17</f>
        <v>1376</v>
      </c>
      <c r="G35" s="129">
        <f>STATEMENTS!F17</f>
        <v>1058</v>
      </c>
      <c r="H35" s="129">
        <f>STATEMENTS!G17</f>
        <v>771</v>
      </c>
      <c r="I35" s="545"/>
      <c r="K35" s="129">
        <f>CHOOSE($I$1,'BALANCE SHEET ASSUMPTION'!K64,'BALANCE SHEET ASSUMPTION'!R64,'BALANCE SHEET ASSUMPTION'!Y64)</f>
        <v>682.7569927200002</v>
      </c>
      <c r="L35" s="129">
        <f>CHOOSE($I$1,'BALANCE SHEET ASSUMPTION'!L64,'BALANCE SHEET ASSUMPTION'!S64,'BALANCE SHEET ASSUMPTION'!Z64)</f>
        <v>753.67861637328019</v>
      </c>
      <c r="M35" s="129">
        <f>CHOOSE($I$1,'BALANCE SHEET ASSUMPTION'!M64,'BALANCE SHEET ASSUMPTION'!T64,'BALANCE SHEET ASSUMPTION'!AA64)</f>
        <v>759.78951866161935</v>
      </c>
      <c r="N35" s="129">
        <f>CHOOSE($I$1,'BALANCE SHEET ASSUMPTION'!N64,'BALANCE SHEET ASSUMPTION'!U64,'BALANCE SHEET ASSUMPTION'!AB64)</f>
        <v>766.28849390589301</v>
      </c>
      <c r="O35" s="129">
        <f>CHOOSE($I$1,'BALANCE SHEET ASSUMPTION'!O64,'BALANCE SHEET ASSUMPTION'!V64,'BALANCE SHEET ASSUMPTION'!AC64)</f>
        <v>763.7873707291933</v>
      </c>
    </row>
    <row r="36" spans="2:20" ht="15" customHeight="1" x14ac:dyDescent="0.25">
      <c r="B36" s="124"/>
      <c r="C36" s="479"/>
      <c r="D36" s="130"/>
      <c r="E36" s="130"/>
      <c r="F36" s="130"/>
      <c r="G36" s="130"/>
      <c r="H36" s="130"/>
      <c r="I36" s="545"/>
    </row>
    <row r="37" spans="2:20" ht="15" customHeight="1" x14ac:dyDescent="0.3">
      <c r="B37" s="481" t="s">
        <v>206</v>
      </c>
      <c r="C37" s="482" t="s">
        <v>112</v>
      </c>
      <c r="D37" s="546">
        <f>SUM(D25:D35)</f>
        <v>30266</v>
      </c>
      <c r="E37" s="546">
        <f t="shared" ref="E37:H37" si="6">SUM(E25:E35)</f>
        <v>45353</v>
      </c>
      <c r="F37" s="546">
        <f t="shared" si="6"/>
        <v>50944</v>
      </c>
      <c r="G37" s="546">
        <f t="shared" si="6"/>
        <v>49619</v>
      </c>
      <c r="H37" s="546">
        <f t="shared" si="6"/>
        <v>50275</v>
      </c>
      <c r="I37" s="545"/>
      <c r="K37" s="546">
        <f t="shared" ref="K37:O37" si="7">SUM(K25:K35)</f>
        <v>50974.008830104001</v>
      </c>
      <c r="L37" s="546">
        <f t="shared" si="7"/>
        <v>52979.801830959892</v>
      </c>
      <c r="M37" s="546">
        <f t="shared" si="7"/>
        <v>53867.067573780761</v>
      </c>
      <c r="N37" s="546">
        <f t="shared" si="7"/>
        <v>55051.574229456477</v>
      </c>
      <c r="O37" s="546">
        <f t="shared" si="7"/>
        <v>56001.123052766714</v>
      </c>
    </row>
    <row r="38" spans="2:20" ht="15" customHeight="1" x14ac:dyDescent="0.25">
      <c r="B38" s="124"/>
      <c r="C38" s="479"/>
      <c r="D38" s="130"/>
      <c r="E38" s="130"/>
      <c r="F38" s="130"/>
      <c r="G38" s="130"/>
      <c r="H38" s="130"/>
      <c r="I38" s="545"/>
    </row>
    <row r="39" spans="2:20" ht="15" customHeight="1" x14ac:dyDescent="0.3">
      <c r="B39" s="481" t="s">
        <v>52</v>
      </c>
      <c r="C39" s="482" t="s">
        <v>112</v>
      </c>
      <c r="D39" s="546">
        <f>D21+D37</f>
        <v>82733</v>
      </c>
      <c r="E39" s="546">
        <f t="shared" ref="E39:H39" si="8">E21+E37</f>
        <v>107046</v>
      </c>
      <c r="F39" s="546">
        <f t="shared" si="8"/>
        <v>117113</v>
      </c>
      <c r="G39" s="546">
        <f t="shared" si="8"/>
        <v>114792</v>
      </c>
      <c r="H39" s="546">
        <f t="shared" si="8"/>
        <v>128184</v>
      </c>
      <c r="I39" s="545"/>
      <c r="K39" s="546">
        <f>K21+K37</f>
        <v>134090.32780878467</v>
      </c>
      <c r="L39" s="546">
        <f t="shared" ref="L39:O39" si="9">L21+L37</f>
        <v>140530.78532920225</v>
      </c>
      <c r="M39" s="546">
        <f t="shared" si="9"/>
        <v>147656.26571968084</v>
      </c>
      <c r="N39" s="546">
        <f t="shared" si="9"/>
        <v>155346.98490082403</v>
      </c>
      <c r="O39" s="546">
        <f t="shared" si="9"/>
        <v>163789.61428100517</v>
      </c>
      <c r="P39" s="114">
        <f>K79-K39</f>
        <v>0</v>
      </c>
      <c r="Q39" s="114">
        <f t="shared" ref="Q39:T39" si="10">L79-L39</f>
        <v>0</v>
      </c>
      <c r="R39" s="114">
        <f t="shared" si="10"/>
        <v>0</v>
      </c>
      <c r="S39" s="114">
        <f t="shared" si="10"/>
        <v>0</v>
      </c>
      <c r="T39" s="114">
        <f t="shared" si="10"/>
        <v>0</v>
      </c>
    </row>
    <row r="40" spans="2:20" ht="15" customHeight="1" x14ac:dyDescent="0.25">
      <c r="B40" s="124"/>
      <c r="C40" s="479"/>
      <c r="D40" s="130"/>
      <c r="E40" s="130"/>
      <c r="F40" s="130"/>
      <c r="G40" s="130"/>
      <c r="H40" s="130"/>
      <c r="I40" s="545"/>
      <c r="K40" s="130"/>
      <c r="L40" s="130"/>
      <c r="M40" s="130"/>
      <c r="N40" s="130"/>
      <c r="O40" s="130"/>
    </row>
    <row r="41" spans="2:20" ht="15" customHeight="1" x14ac:dyDescent="0.25">
      <c r="B41" s="125" t="s">
        <v>207</v>
      </c>
      <c r="C41" s="479"/>
      <c r="D41" s="130"/>
      <c r="E41" s="130"/>
      <c r="F41" s="130"/>
      <c r="G41" s="130"/>
      <c r="H41" s="130"/>
      <c r="I41" s="545"/>
      <c r="K41" s="130"/>
      <c r="L41" s="130"/>
      <c r="M41" s="130"/>
      <c r="N41" s="130"/>
      <c r="O41" s="130"/>
    </row>
    <row r="42" spans="2:20" ht="7.05" customHeight="1" x14ac:dyDescent="0.25">
      <c r="B42" s="124"/>
      <c r="C42" s="479"/>
      <c r="D42" s="130"/>
      <c r="E42" s="130"/>
      <c r="F42" s="130"/>
      <c r="G42" s="130"/>
      <c r="H42" s="130"/>
      <c r="I42" s="545"/>
      <c r="K42" s="130"/>
      <c r="L42" s="130"/>
      <c r="M42" s="130"/>
      <c r="N42" s="130"/>
      <c r="O42" s="130"/>
    </row>
    <row r="43" spans="2:20" ht="15" customHeight="1" x14ac:dyDescent="0.25">
      <c r="B43" s="121" t="s">
        <v>208</v>
      </c>
      <c r="C43" s="176"/>
      <c r="D43" s="132"/>
      <c r="E43" s="132"/>
      <c r="F43" s="132"/>
      <c r="G43" s="132"/>
      <c r="H43" s="132"/>
      <c r="I43" s="545"/>
      <c r="K43" s="131"/>
      <c r="L43" s="132"/>
      <c r="M43" s="132"/>
      <c r="N43" s="132"/>
      <c r="O43" s="132"/>
    </row>
    <row r="44" spans="2:20" ht="7.05" customHeight="1" x14ac:dyDescent="0.25">
      <c r="B44" s="122"/>
      <c r="C44" s="177"/>
      <c r="D44" s="133"/>
      <c r="E44" s="133"/>
      <c r="F44" s="133"/>
      <c r="G44" s="133"/>
      <c r="H44" s="133"/>
      <c r="I44" s="545"/>
      <c r="K44" s="128"/>
      <c r="L44" s="133"/>
      <c r="M44" s="133"/>
      <c r="N44" s="133"/>
      <c r="O44" s="133"/>
    </row>
    <row r="45" spans="2:20" ht="15" customHeight="1" x14ac:dyDescent="0.25">
      <c r="B45" s="122" t="s">
        <v>209</v>
      </c>
      <c r="C45" s="177" t="s">
        <v>112</v>
      </c>
      <c r="D45" s="133">
        <f>STATEMENTS!C45</f>
        <v>7587</v>
      </c>
      <c r="E45" s="133">
        <f>STATEMENTS!D45</f>
        <v>9523</v>
      </c>
      <c r="F45" s="133">
        <f>STATEMENTS!E45</f>
        <v>8882</v>
      </c>
      <c r="G45" s="133">
        <f>STATEMENTS!F45</f>
        <v>7917</v>
      </c>
      <c r="H45" s="133">
        <f>STATEMENTS!G45</f>
        <v>9786</v>
      </c>
      <c r="I45" s="545"/>
      <c r="K45" s="128">
        <f>CHOOSE($I$1,'P &amp; L ASSUMPTIONS'!K88,'P &amp; L ASSUMPTIONS'!R88,'P &amp; L ASSUMPTIONS'!Y88)</f>
        <v>9442.98</v>
      </c>
      <c r="L45" s="128">
        <f>CHOOSE($I$1,'P &amp; L ASSUMPTIONS'!L88,'P &amp; L ASSUMPTIONS'!S88,'P &amp; L ASSUMPTIONS'!Z88)</f>
        <v>9184.5600000000013</v>
      </c>
      <c r="M45" s="128">
        <f>CHOOSE($I$1,'P &amp; L ASSUMPTIONS'!M88,'P &amp; L ASSUMPTIONS'!T88,'P &amp; L ASSUMPTIONS'!AA88)</f>
        <v>8932.1400000000012</v>
      </c>
      <c r="N45" s="128">
        <f>CHOOSE($I$1,'P &amp; L ASSUMPTIONS'!N88,'P &amp; L ASSUMPTIONS'!U88,'P &amp; L ASSUMPTIONS'!AB88)</f>
        <v>8684.52</v>
      </c>
      <c r="O45" s="128">
        <f>CHOOSE($I$1,'P &amp; L ASSUMPTIONS'!O88,'P &amp; L ASSUMPTIONS'!V88,'P &amp; L ASSUMPTIONS'!AC88)</f>
        <v>8440.5</v>
      </c>
    </row>
    <row r="46" spans="2:20" ht="15" customHeight="1" x14ac:dyDescent="0.25">
      <c r="B46" s="122" t="s">
        <v>31</v>
      </c>
      <c r="C46" s="177" t="s">
        <v>112</v>
      </c>
      <c r="D46" s="133">
        <f>STATEMENTS!C46</f>
        <v>767</v>
      </c>
      <c r="E46" s="133">
        <f>STATEMENTS!D46</f>
        <v>906</v>
      </c>
      <c r="F46" s="133">
        <f>STATEMENTS!E46</f>
        <v>862</v>
      </c>
      <c r="G46" s="133">
        <f>STATEMENTS!F46</f>
        <v>922</v>
      </c>
      <c r="H46" s="133">
        <f>STATEMENTS!G46</f>
        <v>803</v>
      </c>
      <c r="I46" s="545"/>
      <c r="K46" s="128">
        <f>CHOOSE($I$1,'BALANCE SHEET ASSUMPTION'!K131,'BALANCE SHEET ASSUMPTION'!R131,'BALANCE SHEET ASSUMPTION'!Y131)</f>
        <v>968.89085999999986</v>
      </c>
      <c r="L46" s="128">
        <f>CHOOSE($I$1,'BALANCE SHEET ASSUMPTION'!L131,'BALANCE SHEET ASSUMPTION'!S131,'BALANCE SHEET ASSUMPTION'!Z131)</f>
        <v>993.83025797999983</v>
      </c>
      <c r="M46" s="128">
        <f>CHOOSE($I$1,'BALANCE SHEET ASSUMPTION'!M131,'BALANCE SHEET ASSUMPTION'!T131,'BALANCE SHEET ASSUMPTION'!AA131)</f>
        <v>1038.0665768256001</v>
      </c>
      <c r="N46" s="128">
        <f>CHOOSE($I$1,'BALANCE SHEET ASSUMPTION'!N131,'BALANCE SHEET ASSUMPTION'!U131,'BALANCE SHEET ASSUMPTION'!AB131)</f>
        <v>1083.2884704859139</v>
      </c>
      <c r="O46" s="128">
        <f>CHOOSE($I$1,'BALANCE SHEET ASSUMPTION'!O131,'BALANCE SHEET ASSUMPTION'!V131,'BALANCE SHEET ASSUMPTION'!AC131)</f>
        <v>1173.6561406817334</v>
      </c>
    </row>
    <row r="47" spans="2:20" ht="15" customHeight="1" x14ac:dyDescent="0.25">
      <c r="B47" s="122" t="s">
        <v>3183</v>
      </c>
      <c r="C47" s="177" t="s">
        <v>112</v>
      </c>
      <c r="D47" s="133">
        <f>STATEMENTS!C47</f>
        <v>107</v>
      </c>
      <c r="E47" s="133">
        <f>STATEMENTS!D47</f>
        <v>59</v>
      </c>
      <c r="F47" s="133">
        <f>STATEMENTS!E47</f>
        <v>283</v>
      </c>
      <c r="G47" s="133">
        <f>STATEMENTS!F47</f>
        <v>56</v>
      </c>
      <c r="H47" s="133">
        <f>STATEMENTS!G47</f>
        <v>97</v>
      </c>
      <c r="I47" s="545"/>
      <c r="K47" s="437">
        <f>AVERAGE(D47:H47)</f>
        <v>120.4</v>
      </c>
      <c r="L47" s="437">
        <f>K47</f>
        <v>120.4</v>
      </c>
      <c r="M47" s="437">
        <f t="shared" ref="M47:O47" si="11">L47</f>
        <v>120.4</v>
      </c>
      <c r="N47" s="437">
        <f t="shared" si="11"/>
        <v>120.4</v>
      </c>
      <c r="O47" s="437">
        <f t="shared" si="11"/>
        <v>120.4</v>
      </c>
    </row>
    <row r="48" spans="2:20" ht="15" customHeight="1" x14ac:dyDescent="0.25">
      <c r="B48" s="122" t="s">
        <v>34</v>
      </c>
      <c r="C48" s="177" t="s">
        <v>112</v>
      </c>
      <c r="D48" s="133">
        <f>STATEMENTS!C48</f>
        <v>5182</v>
      </c>
      <c r="E48" s="133">
        <f>STATEMENTS!D48</f>
        <v>6252</v>
      </c>
      <c r="F48" s="133">
        <f>STATEMENTS!E48</f>
        <v>5972</v>
      </c>
      <c r="G48" s="133">
        <f>STATEMENTS!F48</f>
        <v>5766</v>
      </c>
      <c r="H48" s="133">
        <f>STATEMENTS!G48</f>
        <v>5867</v>
      </c>
      <c r="I48" s="545"/>
      <c r="K48" s="128">
        <f>CHOOSE($I$1,'BALANCE SHEET ASSUMPTION'!K$108,'BALANCE SHEET ASSUMPTION'!R$108,'BALANCE SHEET ASSUMPTION'!Y$108)</f>
        <v>5741.2700580821911</v>
      </c>
      <c r="L48" s="128">
        <f>CHOOSE($I$1,'BALANCE SHEET ASSUMPTION'!L$108,'BALANCE SHEET ASSUMPTION'!S$108,'BALANCE SHEET ASSUMPTION'!Z$108)</f>
        <v>5683.8573575013697</v>
      </c>
      <c r="M48" s="128">
        <f>CHOOSE($I$1,'BALANCE SHEET ASSUMPTION'!M$108,'BALANCE SHEET ASSUMPTION'!T$108,'BALANCE SHEET ASSUMPTION'!AA$108)</f>
        <v>5740.6959310763832</v>
      </c>
      <c r="N48" s="128">
        <f>CHOOSE($I$1,'BALANCE SHEET ASSUMPTION'!N$108,'BALANCE SHEET ASSUMPTION'!U$108,'BALANCE SHEET ASSUMPTION'!AB$108)</f>
        <v>5798.1028903871465</v>
      </c>
      <c r="O48" s="128">
        <f>CHOOSE($I$1,'BALANCE SHEET ASSUMPTION'!O$108,'BALANCE SHEET ASSUMPTION'!V$108,'BALANCE SHEET ASSUMPTION'!AC$108)</f>
        <v>5914.0649481948894</v>
      </c>
    </row>
    <row r="49" spans="2:15" ht="15" customHeight="1" x14ac:dyDescent="0.25">
      <c r="B49" s="122" t="s">
        <v>3175</v>
      </c>
      <c r="C49" s="177" t="s">
        <v>112</v>
      </c>
      <c r="D49" s="133">
        <f>STATEMENTS!C49</f>
        <v>2617</v>
      </c>
      <c r="E49" s="133">
        <f>STATEMENTS!D49</f>
        <v>6507</v>
      </c>
      <c r="F49" s="133">
        <f>STATEMENTS!E49</f>
        <v>3347</v>
      </c>
      <c r="G49" s="133">
        <f>STATEMENTS!F49</f>
        <v>3318</v>
      </c>
      <c r="H49" s="133">
        <f>STATEMENTS!G49</f>
        <v>3346</v>
      </c>
      <c r="I49" s="545"/>
      <c r="K49" s="128">
        <f>CHOOSE($I$1,'BALANCE SHEET ASSUMPTION'!K141,'BALANCE SHEET ASSUMPTION'!R141,'BALANCE SHEET ASSUMPTION'!Y141)</f>
        <v>3120.0131198399995</v>
      </c>
      <c r="L49" s="128">
        <f>CHOOSE($I$1,'BALANCE SHEET ASSUMPTION'!L141,'BALANCE SHEET ASSUMPTION'!S141,'BALANCE SHEET ASSUMPTION'!Z141)</f>
        <v>3018.6792610128</v>
      </c>
      <c r="M49" s="128">
        <f>CHOOSE($I$1,'BALANCE SHEET ASSUMPTION'!M141,'BALANCE SHEET ASSUMPTION'!T141,'BALANCE SHEET ASSUMPTION'!AA141)</f>
        <v>2975.1729567948</v>
      </c>
      <c r="N49" s="128">
        <f>CHOOSE($I$1,'BALANCE SHEET ASSUMPTION'!N141,'BALANCE SHEET ASSUMPTION'!U141,'BALANCE SHEET ASSUMPTION'!AB141)</f>
        <v>2930.4125516763543</v>
      </c>
      <c r="O49" s="128">
        <f>CHOOSE($I$1,'BALANCE SHEET ASSUMPTION'!O141,'BALANCE SHEET ASSUMPTION'!V141,'BALANCE SHEET ASSUMPTION'!AC141)</f>
        <v>2911.4336982070618</v>
      </c>
    </row>
    <row r="50" spans="2:15" ht="15" customHeight="1" x14ac:dyDescent="0.25">
      <c r="B50" s="122" t="s">
        <v>3184</v>
      </c>
      <c r="C50" s="177" t="s">
        <v>112</v>
      </c>
      <c r="D50" s="133">
        <f>STATEMENTS!C50</f>
        <v>2253</v>
      </c>
      <c r="E50" s="133">
        <f>STATEMENTS!D50</f>
        <v>2792</v>
      </c>
      <c r="F50" s="133">
        <f>STATEMENTS!E50</f>
        <v>2268</v>
      </c>
      <c r="G50" s="133">
        <f>STATEMENTS!F50</f>
        <v>1765</v>
      </c>
      <c r="H50" s="133">
        <f>STATEMENTS!G50</f>
        <v>2006</v>
      </c>
      <c r="I50" s="545"/>
      <c r="K50" s="128">
        <f>CHOOSE($I$1,'BALANCE SHEET ASSUMPTION'!K168,'BALANCE SHEET ASSUMPTION'!R168,'BALANCE SHEET ASSUMPTION'!Y168)</f>
        <v>2443.0602239999998</v>
      </c>
      <c r="L50" s="128">
        <f>CHOOSE($I$1,'BALANCE SHEET ASSUMPTION'!L168,'BALANCE SHEET ASSUMPTION'!S168,'BALANCE SHEET ASSUMPTION'!Z168)</f>
        <v>2418.6296217599997</v>
      </c>
      <c r="M50" s="128">
        <f>CHOOSE($I$1,'BALANCE SHEET ASSUMPTION'!M168,'BALANCE SHEET ASSUMPTION'!T168,'BALANCE SHEET ASSUMPTION'!AA168)</f>
        <v>2442.8159179775998</v>
      </c>
      <c r="N50" s="128">
        <f>CHOOSE($I$1,'BALANCE SHEET ASSUMPTION'!N168,'BALANCE SHEET ASSUMPTION'!U168,'BALANCE SHEET ASSUMPTION'!AB168)</f>
        <v>2467.2440771573761</v>
      </c>
      <c r="O50" s="128">
        <f>CHOOSE($I$1,'BALANCE SHEET ASSUMPTION'!O168,'BALANCE SHEET ASSUMPTION'!V168,'BALANCE SHEET ASSUMPTION'!AC168)</f>
        <v>2516.5889587005236</v>
      </c>
    </row>
    <row r="51" spans="2:15" ht="15" customHeight="1" x14ac:dyDescent="0.25">
      <c r="B51" s="122" t="s">
        <v>558</v>
      </c>
      <c r="C51" s="177" t="s">
        <v>112</v>
      </c>
      <c r="D51" s="133">
        <f>STATEMENTS!C51</f>
        <v>975</v>
      </c>
      <c r="E51" s="133">
        <f>STATEMENTS!D51</f>
        <v>1208</v>
      </c>
      <c r="F51" s="133">
        <f>STATEMENTS!E51</f>
        <v>1430</v>
      </c>
      <c r="G51" s="133">
        <f>STATEMENTS!F51</f>
        <v>1524</v>
      </c>
      <c r="H51" s="133">
        <f>STATEMENTS!G51</f>
        <v>1508</v>
      </c>
      <c r="I51" s="545"/>
      <c r="K51" s="128">
        <f>CHOOSE($I$1,'BALANCE SHEET ASSUMPTION'!K146,'BALANCE SHEET ASSUMPTION'!R146,'BALANCE SHEET ASSUMPTION'!Y146)</f>
        <v>1516.8545753424655</v>
      </c>
      <c r="L51" s="128">
        <f>CHOOSE($I$1,'BALANCE SHEET ASSUMPTION'!L146,'BALANCE SHEET ASSUMPTION'!S146,'BALANCE SHEET ASSUMPTION'!Z146)</f>
        <v>1505.7083638356162</v>
      </c>
      <c r="M51" s="128">
        <f>CHOOSE($I$1,'BALANCE SHEET ASSUMPTION'!M146,'BALANCE SHEET ASSUMPTION'!T146,'BALANCE SHEET ASSUMPTION'!AA146)</f>
        <v>1523.5810814465754</v>
      </c>
      <c r="N51" s="128">
        <f>CHOOSE($I$1,'BALANCE SHEET ASSUMPTION'!N146,'BALANCE SHEET ASSUMPTION'!U146,'BALANCE SHEET ASSUMPTION'!AB146)</f>
        <v>1541.7733079322738</v>
      </c>
      <c r="O51" s="128">
        <f>CHOOSE($I$1,'BALANCE SHEET ASSUMPTION'!O146,'BALANCE SHEET ASSUMPTION'!V146,'BALANCE SHEET ASSUMPTION'!AC146)</f>
        <v>1574.9369514320153</v>
      </c>
    </row>
    <row r="52" spans="2:15" ht="15" customHeight="1" x14ac:dyDescent="0.25">
      <c r="B52" s="122" t="s">
        <v>3252</v>
      </c>
      <c r="C52" s="177" t="s">
        <v>112</v>
      </c>
      <c r="D52" s="133">
        <f>STATEMENTS!C52</f>
        <v>1784</v>
      </c>
      <c r="E52" s="133">
        <f>STATEMENTS!D52</f>
        <v>1808</v>
      </c>
      <c r="F52" s="133">
        <f>STATEMENTS!E52</f>
        <v>1843</v>
      </c>
      <c r="G52" s="133">
        <f>STATEMENTS!F52</f>
        <v>1803</v>
      </c>
      <c r="H52" s="133">
        <f>STATEMENTS!G52</f>
        <v>1764</v>
      </c>
      <c r="I52" s="545"/>
      <c r="K52" s="128">
        <f>CHOOSE($I$1,'BALANCE SHEET ASSUMPTION'!K154,'BALANCE SHEET ASSUMPTION'!R154,'BALANCE SHEET ASSUMPTION'!Y154)</f>
        <v>1785.9888186000001</v>
      </c>
      <c r="L52" s="128">
        <f>CHOOSE($I$1,'BALANCE SHEET ASSUMPTION'!L154,'BALANCE SHEET ASSUMPTION'!S154,'BALANCE SHEET ASSUMPTION'!Z154)</f>
        <v>1750.4236156679999</v>
      </c>
      <c r="M52" s="128">
        <f>CHOOSE($I$1,'BALANCE SHEET ASSUMPTION'!M154,'BALANCE SHEET ASSUMPTION'!T154,'BALANCE SHEET ASSUMPTION'!AA154)</f>
        <v>1748.4933903406202</v>
      </c>
      <c r="N52" s="128">
        <f>CHOOSE($I$1,'BALANCE SHEET ASSUMPTION'!N154,'BALANCE SHEET ASSUMPTION'!U154,'BALANCE SHEET ASSUMPTION'!AB154)</f>
        <v>1746.3923221166856</v>
      </c>
      <c r="O52" s="128">
        <f>CHOOSE($I$1,'BALANCE SHEET ASSUMPTION'!O154,'BALANCE SHEET ASSUMPTION'!V154,'BALANCE SHEET ASSUMPTION'!AC154)</f>
        <v>1737.011088208965</v>
      </c>
    </row>
    <row r="53" spans="2:15" ht="15" customHeight="1" x14ac:dyDescent="0.25">
      <c r="B53" s="123" t="s">
        <v>3253</v>
      </c>
      <c r="C53" s="178" t="s">
        <v>112</v>
      </c>
      <c r="D53" s="129">
        <f>STATEMENTS!C53</f>
        <v>1732</v>
      </c>
      <c r="E53" s="134">
        <f>STATEMENTS!D53</f>
        <v>1323</v>
      </c>
      <c r="F53" s="134">
        <f>STATEMENTS!E53</f>
        <v>1885</v>
      </c>
      <c r="G53" s="134">
        <f>STATEMENTS!F53</f>
        <v>2176</v>
      </c>
      <c r="H53" s="134">
        <f>STATEMENTS!G53</f>
        <v>3448</v>
      </c>
      <c r="I53" s="545"/>
      <c r="K53" s="129">
        <f>CHOOSE($I$1,'BALANCE SHEET ASSUMPTION'!K160,'BALANCE SHEET ASSUMPTION'!R160,'BALANCE SHEET ASSUMPTION'!Y160)</f>
        <v>3631.411433759999</v>
      </c>
      <c r="L53" s="129">
        <f>CHOOSE($I$1,'BALANCE SHEET ASSUMPTION'!L160,'BALANCE SHEET ASSUMPTION'!S160,'BALANCE SHEET ASSUMPTION'!Z160)</f>
        <v>3617.1256082609279</v>
      </c>
      <c r="M53" s="129">
        <f>CHOOSE($I$1,'BALANCE SHEET ASSUMPTION'!M160,'BALANCE SHEET ASSUMPTION'!T160,'BALANCE SHEET ASSUMPTION'!AA160)</f>
        <v>3683.6658070374365</v>
      </c>
      <c r="N53" s="129">
        <f>CHOOSE($I$1,'BALANCE SHEET ASSUMPTION'!N160,'BALANCE SHEET ASSUMPTION'!U160,'BALANCE SHEET ASSUMPTION'!AB160)</f>
        <v>3751.8738306678024</v>
      </c>
      <c r="O53" s="129">
        <f>CHOOSE($I$1,'BALANCE SHEET ASSUMPTION'!O160,'BALANCE SHEET ASSUMPTION'!V160,'BALANCE SHEET ASSUMPTION'!AC160)</f>
        <v>3861.2979378267014</v>
      </c>
    </row>
    <row r="54" spans="2:15" ht="15" customHeight="1" x14ac:dyDescent="0.25">
      <c r="B54" s="124"/>
      <c r="C54" s="479"/>
      <c r="D54" s="130"/>
      <c r="E54" s="130"/>
      <c r="F54" s="130"/>
      <c r="G54" s="130"/>
      <c r="H54" s="130"/>
      <c r="I54" s="545"/>
      <c r="K54" s="130"/>
      <c r="L54" s="130"/>
      <c r="M54" s="130"/>
      <c r="N54" s="130"/>
      <c r="O54" s="130"/>
    </row>
    <row r="55" spans="2:15" ht="15" customHeight="1" x14ac:dyDescent="0.3">
      <c r="B55" s="481" t="s">
        <v>210</v>
      </c>
      <c r="C55" s="482" t="s">
        <v>112</v>
      </c>
      <c r="D55" s="546">
        <f>SUM(D45:D53)</f>
        <v>23004</v>
      </c>
      <c r="E55" s="546">
        <f>SUM(E45:E53)</f>
        <v>30378</v>
      </c>
      <c r="F55" s="546">
        <f>SUM(F45:F53)</f>
        <v>26772</v>
      </c>
      <c r="G55" s="546">
        <f>SUM(G45:G53)</f>
        <v>25247</v>
      </c>
      <c r="H55" s="546">
        <f>SUM(H45:H53)</f>
        <v>28625</v>
      </c>
      <c r="I55" s="545"/>
      <c r="K55" s="546">
        <f>SUM(K45:K53)</f>
        <v>28770.869089624655</v>
      </c>
      <c r="L55" s="546">
        <f>SUM(L45:L53)</f>
        <v>28293.214086018717</v>
      </c>
      <c r="M55" s="546">
        <f>SUM(M45:M53)</f>
        <v>28205.031661499019</v>
      </c>
      <c r="N55" s="546">
        <f>SUM(N45:N53)</f>
        <v>28124.007450423553</v>
      </c>
      <c r="O55" s="546">
        <f>SUM(O45:O53)</f>
        <v>28249.889723251887</v>
      </c>
    </row>
    <row r="56" spans="2:15" ht="15" customHeight="1" x14ac:dyDescent="0.25">
      <c r="B56" s="124"/>
      <c r="C56" s="479"/>
      <c r="D56" s="130"/>
      <c r="E56" s="130"/>
      <c r="F56" s="130"/>
      <c r="G56" s="130"/>
      <c r="H56" s="130"/>
      <c r="I56" s="545"/>
      <c r="K56" s="130"/>
      <c r="L56" s="130"/>
      <c r="M56" s="130"/>
      <c r="N56" s="130"/>
      <c r="O56" s="130"/>
    </row>
    <row r="57" spans="2:15" ht="15" customHeight="1" x14ac:dyDescent="0.25">
      <c r="B57" s="121" t="s">
        <v>211</v>
      </c>
      <c r="C57" s="176"/>
      <c r="D57" s="131"/>
      <c r="E57" s="131"/>
      <c r="F57" s="131"/>
      <c r="G57" s="131"/>
      <c r="H57" s="131"/>
      <c r="I57" s="545"/>
      <c r="K57" s="131"/>
      <c r="L57" s="131"/>
      <c r="M57" s="131"/>
      <c r="N57" s="131"/>
      <c r="O57" s="131"/>
    </row>
    <row r="58" spans="2:15" ht="7.05" customHeight="1" x14ac:dyDescent="0.25">
      <c r="B58" s="122"/>
      <c r="C58" s="177"/>
      <c r="D58" s="128"/>
      <c r="E58" s="128"/>
      <c r="F58" s="128"/>
      <c r="G58" s="128"/>
      <c r="H58" s="128"/>
      <c r="I58" s="545"/>
      <c r="K58" s="128"/>
      <c r="L58" s="128"/>
      <c r="M58" s="128"/>
      <c r="N58" s="128"/>
      <c r="O58" s="128"/>
    </row>
    <row r="59" spans="2:15" ht="15" customHeight="1" x14ac:dyDescent="0.25">
      <c r="B59" s="122" t="s">
        <v>212</v>
      </c>
      <c r="C59" s="549" t="s">
        <v>112</v>
      </c>
      <c r="D59" s="128">
        <f>STATEMENTS!C37</f>
        <v>746</v>
      </c>
      <c r="E59" s="128">
        <f>STATEMENTS!D37</f>
        <v>5646</v>
      </c>
      <c r="F59" s="128">
        <f>STATEMENTS!E37</f>
        <v>6127</v>
      </c>
      <c r="G59" s="128">
        <f>STATEMENTS!F37</f>
        <v>6230</v>
      </c>
      <c r="H59" s="128">
        <f>STATEMENTS!G37</f>
        <v>6395</v>
      </c>
      <c r="I59" s="545"/>
      <c r="K59" s="128">
        <f>CHOOSE($I$1,'P &amp; L ASSUMPTIONS'!K90,'P &amp; L ASSUMPTIONS'!R90,'P &amp; L ASSUMPTIONS'!Y90)</f>
        <v>6838.02</v>
      </c>
      <c r="L59" s="128">
        <f>CHOOSE($I$1,'P &amp; L ASSUMPTIONS'!L90,'P &amp; L ASSUMPTIONS'!S90,'P &amp; L ASSUMPTIONS'!Z90)</f>
        <v>7216.4399999999987</v>
      </c>
      <c r="M59" s="128">
        <f>CHOOSE($I$1,'P &amp; L ASSUMPTIONS'!M90,'P &amp; L ASSUMPTIONS'!T90,'P &amp; L ASSUMPTIONS'!AA90)</f>
        <v>7608.86</v>
      </c>
      <c r="N59" s="128">
        <f>CHOOSE($I$1,'P &amp; L ASSUMPTIONS'!N90,'P &amp; L ASSUMPTIONS'!U90,'P &amp; L ASSUMPTIONS'!AB90)</f>
        <v>8016.48</v>
      </c>
      <c r="O59" s="128">
        <f>CHOOSE($I$1,'P &amp; L ASSUMPTIONS'!O90,'P &amp; L ASSUMPTIONS'!V90,'P &amp; L ASSUMPTIONS'!AC90)</f>
        <v>8440.5</v>
      </c>
    </row>
    <row r="60" spans="2:15" ht="15" customHeight="1" x14ac:dyDescent="0.25">
      <c r="B60" s="122" t="s">
        <v>31</v>
      </c>
      <c r="C60" s="549" t="s">
        <v>112</v>
      </c>
      <c r="D60" s="128">
        <f>STATEMENTS!C38</f>
        <v>1351</v>
      </c>
      <c r="E60" s="128">
        <f>STATEMENTS!D38</f>
        <v>1518</v>
      </c>
      <c r="F60" s="128">
        <f>STATEMENTS!E38</f>
        <v>1595</v>
      </c>
      <c r="G60" s="128">
        <f>STATEMENTS!F38</f>
        <v>1396</v>
      </c>
      <c r="H60" s="128">
        <f>STATEMENTS!G38</f>
        <v>2219</v>
      </c>
      <c r="I60" s="545"/>
      <c r="K60" s="128">
        <f>CHOOSE($I$1,'BALANCE SHEET ASSUMPTION'!K133,'BALANCE SHEET ASSUMPTION'!R133,'BALANCE SHEET ASSUMPTION'!Y133)</f>
        <v>1799.3687399999999</v>
      </c>
      <c r="L60" s="128">
        <f>CHOOSE($I$1,'BALANCE SHEET ASSUMPTION'!L133,'BALANCE SHEET ASSUMPTION'!S133,'BALANCE SHEET ASSUMPTION'!Z133)</f>
        <v>1845.6847648199998</v>
      </c>
      <c r="M60" s="128">
        <f>CHOOSE($I$1,'BALANCE SHEET ASSUMPTION'!M133,'BALANCE SHEET ASSUMPTION'!T133,'BALANCE SHEET ASSUMPTION'!AA133)</f>
        <v>1927.8379283904003</v>
      </c>
      <c r="N60" s="128">
        <f>CHOOSE($I$1,'BALANCE SHEET ASSUMPTION'!N133,'BALANCE SHEET ASSUMPTION'!U133,'BALANCE SHEET ASSUMPTION'!AB133)</f>
        <v>2011.8214451881263</v>
      </c>
      <c r="O60" s="128">
        <f>CHOOSE($I$1,'BALANCE SHEET ASSUMPTION'!O133,'BALANCE SHEET ASSUMPTION'!V133,'BALANCE SHEET ASSUMPTION'!AC133)</f>
        <v>2179.6471184089337</v>
      </c>
    </row>
    <row r="61" spans="2:15" ht="15" customHeight="1" x14ac:dyDescent="0.25">
      <c r="B61" s="122" t="s">
        <v>3175</v>
      </c>
      <c r="C61" s="549" t="s">
        <v>112</v>
      </c>
      <c r="D61" s="128">
        <f>STATEMENTS!C39</f>
        <v>229</v>
      </c>
      <c r="E61" s="128">
        <f>STATEMENTS!D39</f>
        <v>296</v>
      </c>
      <c r="F61" s="128">
        <f>STATEMENTS!E39</f>
        <v>265</v>
      </c>
      <c r="G61" s="128">
        <f>STATEMENTS!F39</f>
        <v>499</v>
      </c>
      <c r="H61" s="128">
        <f>STATEMENTS!G39</f>
        <v>779</v>
      </c>
      <c r="I61" s="545"/>
      <c r="K61" s="128">
        <f>CHOOSE($I$1,'BALANCE SHEET ASSUMPTION'!K143,'BALANCE SHEET ASSUMPTION'!R143,'BALANCE SHEET ASSUMPTION'!Y143)</f>
        <v>829.3705761599997</v>
      </c>
      <c r="L61" s="128">
        <f>CHOOSE($I$1,'BALANCE SHEET ASSUMPTION'!L143,'BALANCE SHEET ASSUMPTION'!S143,'BALANCE SHEET ASSUMPTION'!Z143)</f>
        <v>901.68341562719991</v>
      </c>
      <c r="M61" s="128">
        <f>CHOOSE($I$1,'BALANCE SHEET ASSUMPTION'!M143,'BALANCE SHEET ASSUMPTION'!T143,'BALANCE SHEET ASSUMPTION'!AA143)</f>
        <v>991.72431893160001</v>
      </c>
      <c r="N61" s="128">
        <f>CHOOSE($I$1,'BALANCE SHEET ASSUMPTION'!N143,'BALANCE SHEET ASSUMPTION'!U143,'BALANCE SHEET ASSUMPTION'!AB143)</f>
        <v>1083.8512177433092</v>
      </c>
      <c r="O61" s="128">
        <f>CHOOSE($I$1,'BALANCE SHEET ASSUMPTION'!O143,'BALANCE SHEET ASSUMPTION'!V143,'BALANCE SHEET ASSUMPTION'!AC143)</f>
        <v>1189.1771443380958</v>
      </c>
    </row>
    <row r="62" spans="2:15" ht="15" customHeight="1" x14ac:dyDescent="0.25">
      <c r="B62" s="122" t="s">
        <v>3252</v>
      </c>
      <c r="C62" s="549" t="s">
        <v>112</v>
      </c>
      <c r="D62" s="128">
        <f>STATEMENTS!C40</f>
        <v>306</v>
      </c>
      <c r="E62" s="128">
        <f>STATEMENTS!D40</f>
        <v>272</v>
      </c>
      <c r="F62" s="128">
        <f>STATEMENTS!E40</f>
        <v>295</v>
      </c>
      <c r="G62" s="128">
        <f>STATEMENTS!F40</f>
        <v>422</v>
      </c>
      <c r="H62" s="128">
        <f>STATEMENTS!G40</f>
        <v>466</v>
      </c>
      <c r="I62" s="545"/>
      <c r="K62" s="128">
        <f>CHOOSE($I$1,'BALANCE SHEET ASSUMPTION'!K156,'BALANCE SHEET ASSUMPTION'!R156,'BALANCE SHEET ASSUMPTION'!Y156)</f>
        <v>474.7565214</v>
      </c>
      <c r="L62" s="128">
        <f>CHOOSE($I$1,'BALANCE SHEET ASSUMPTION'!L156,'BALANCE SHEET ASSUMPTION'!S156,'BALANCE SHEET ASSUMPTION'!Z156)</f>
        <v>493.70922493199993</v>
      </c>
      <c r="M62" s="128">
        <f>CHOOSE($I$1,'BALANCE SHEET ASSUMPTION'!M156,'BALANCE SHEET ASSUMPTION'!T156,'BALANCE SHEET ASSUMPTION'!AA156)</f>
        <v>522.27724646538013</v>
      </c>
      <c r="N62" s="128">
        <f>CHOOSE($I$1,'BALANCE SHEET ASSUMPTION'!N156,'BALANCE SHEET ASSUMPTION'!U156,'BALANCE SHEET ASSUMPTION'!AB156)</f>
        <v>551.49231224737434</v>
      </c>
      <c r="O62" s="128">
        <f>CHOOSE($I$1,'BALANCE SHEET ASSUMPTION'!O156,'BALANCE SHEET ASSUMPTION'!V156,'BALANCE SHEET ASSUMPTION'!AC156)</f>
        <v>610.30119315450122</v>
      </c>
    </row>
    <row r="63" spans="2:15" ht="15" customHeight="1" x14ac:dyDescent="0.25">
      <c r="B63" s="122" t="s">
        <v>3177</v>
      </c>
      <c r="C63" s="549" t="s">
        <v>112</v>
      </c>
      <c r="D63" s="128">
        <f>STATEMENTS!C41</f>
        <v>461</v>
      </c>
      <c r="E63" s="128">
        <f>STATEMENTS!D41</f>
        <v>1214</v>
      </c>
      <c r="F63" s="128">
        <f>STATEMENTS!E41</f>
        <v>1515</v>
      </c>
      <c r="G63" s="128">
        <f>STATEMENTS!F41</f>
        <v>1747</v>
      </c>
      <c r="H63" s="128">
        <f>STATEMENTS!G41</f>
        <v>1644</v>
      </c>
      <c r="I63" s="545"/>
      <c r="K63" s="128">
        <f>CHOOSE($I$1,'BALANCE SHEET ASSUMPTION'!K165,'BALANCE SHEET ASSUMPTION'!R165,'BALANCE SHEET ASSUMPTION'!Y165)</f>
        <v>1517.2377616000006</v>
      </c>
      <c r="L63" s="128">
        <f>CHOOSE($I$1,'BALANCE SHEET ASSUMPTION'!L165,'BALANCE SHEET ASSUMPTION'!S165,'BALANCE SHEET ASSUMPTION'!Z165)</f>
        <v>1758.5834382043206</v>
      </c>
      <c r="M63" s="128">
        <f>CHOOSE($I$1,'BALANCE SHEET ASSUMPTION'!M165,'BALANCE SHEET ASSUMPTION'!T165,'BALANCE SHEET ASSUMPTION'!AA165)</f>
        <v>1772.842210210445</v>
      </c>
      <c r="N63" s="128">
        <f>CHOOSE($I$1,'BALANCE SHEET ASSUMPTION'!N165,'BALANCE SHEET ASSUMPTION'!U165,'BALANCE SHEET ASSUMPTION'!AB165)</f>
        <v>1873.1496517699607</v>
      </c>
      <c r="O63" s="128">
        <f>CHOOSE($I$1,'BALANCE SHEET ASSUMPTION'!O165,'BALANCE SHEET ASSUMPTION'!V165,'BALANCE SHEET ASSUMPTION'!AC165)</f>
        <v>1867.035795115806</v>
      </c>
    </row>
    <row r="64" spans="2:15" ht="15" customHeight="1" x14ac:dyDescent="0.25">
      <c r="B64" s="122" t="s">
        <v>3253</v>
      </c>
      <c r="C64" s="549" t="s">
        <v>112</v>
      </c>
      <c r="D64" s="128">
        <f>STATEMENTS!C42</f>
        <v>1107</v>
      </c>
      <c r="E64" s="128">
        <f>STATEMENTS!D42</f>
        <v>1782</v>
      </c>
      <c r="F64" s="128">
        <f>STATEMENTS!E42</f>
        <v>2178</v>
      </c>
      <c r="G64" s="128">
        <f>STATEMENTS!F42</f>
        <v>3709</v>
      </c>
      <c r="H64" s="128">
        <f>STATEMENTS!G42</f>
        <v>4202</v>
      </c>
      <c r="I64" s="545"/>
      <c r="K64" s="128">
        <f>CHOOSE($I$1,'BALANCE SHEET ASSUMPTION'!K162,'BALANCE SHEET ASSUMPTION'!R162,'BALANCE SHEET ASSUMPTION'!Y162)</f>
        <v>4832.3</v>
      </c>
      <c r="L64" s="128">
        <f>CHOOSE($I$1,'BALANCE SHEET ASSUMPTION'!L162,'BALANCE SHEET ASSUMPTION'!S162,'BALANCE SHEET ASSUMPTION'!Z162)</f>
        <v>5557.1450000000004</v>
      </c>
      <c r="M64" s="128">
        <f>CHOOSE($I$1,'BALANCE SHEET ASSUMPTION'!M162,'BALANCE SHEET ASSUMPTION'!T162,'BALANCE SHEET ASSUMPTION'!AA162)</f>
        <v>6390.7167500000005</v>
      </c>
      <c r="N64" s="128">
        <f>CHOOSE($I$1,'BALANCE SHEET ASSUMPTION'!N162,'BALANCE SHEET ASSUMPTION'!U162,'BALANCE SHEET ASSUMPTION'!AB162)</f>
        <v>7349.3242625000003</v>
      </c>
      <c r="O64" s="128">
        <f>CHOOSE($I$1,'BALANCE SHEET ASSUMPTION'!O162,'BALANCE SHEET ASSUMPTION'!V162,'BALANCE SHEET ASSUMPTION'!AC162)</f>
        <v>8451.7229018750004</v>
      </c>
    </row>
    <row r="65" spans="2:15" ht="15" customHeight="1" x14ac:dyDescent="0.25">
      <c r="B65" s="123" t="s">
        <v>3254</v>
      </c>
      <c r="C65" s="550" t="s">
        <v>112</v>
      </c>
      <c r="D65" s="129">
        <f>STATEMENTS!C43</f>
        <v>478</v>
      </c>
      <c r="E65" s="129">
        <f>STATEMENTS!D43</f>
        <v>485</v>
      </c>
      <c r="F65" s="129">
        <f>STATEMENTS!E43</f>
        <v>639</v>
      </c>
      <c r="G65" s="129">
        <f>STATEMENTS!F43</f>
        <v>875</v>
      </c>
      <c r="H65" s="129">
        <f>STATEMENTS!G43</f>
        <v>1276</v>
      </c>
      <c r="I65" s="545"/>
      <c r="K65" s="129">
        <f>CHOOSE($I$1,'BALANCE SHEET ASSUMPTION'!K136,'BALANCE SHEET ASSUMPTION'!R136,'BALANCE SHEET ASSUMPTION'!Y136)</f>
        <v>1476.4051199999999</v>
      </c>
      <c r="L65" s="129">
        <f>CHOOSE($I$1,'BALANCE SHEET ASSUMPTION'!L136,'BALANCE SHEET ASSUMPTION'!S136,'BALANCE SHEET ASSUMPTION'!Z136)</f>
        <v>1557.1533996000001</v>
      </c>
      <c r="M65" s="129">
        <f>CHOOSE($I$1,'BALANCE SHEET ASSUMPTION'!M136,'BALANCE SHEET ASSUMPTION'!T136,'BALANCE SHEET ASSUMPTION'!AA136)</f>
        <v>1668.321284184</v>
      </c>
      <c r="N65" s="129">
        <f>CHOOSE($I$1,'BALANCE SHEET ASSUMPTION'!N136,'BALANCE SHEET ASSUMPTION'!U136,'BALANCE SHEET ASSUMPTION'!AB136)</f>
        <v>1782.0329817517199</v>
      </c>
      <c r="O65" s="129">
        <f>CHOOSE($I$1,'BALANCE SHEET ASSUMPTION'!O136,'BALANCE SHEET ASSUMPTION'!V136,'BALANCE SHEET ASSUMPTION'!AC136)</f>
        <v>1916.1732909089521</v>
      </c>
    </row>
    <row r="66" spans="2:15" ht="15" customHeight="1" x14ac:dyDescent="0.25">
      <c r="B66" s="124"/>
      <c r="C66" s="479"/>
      <c r="D66" s="130"/>
      <c r="E66" s="130"/>
      <c r="F66" s="130"/>
      <c r="G66" s="130"/>
      <c r="H66" s="130"/>
      <c r="I66" s="545"/>
      <c r="K66" s="130"/>
      <c r="L66" s="130"/>
      <c r="M66" s="130"/>
      <c r="N66" s="130"/>
      <c r="O66" s="130"/>
    </row>
    <row r="67" spans="2:15" ht="15" customHeight="1" x14ac:dyDescent="0.3">
      <c r="B67" s="481" t="s">
        <v>213</v>
      </c>
      <c r="C67" s="482" t="s">
        <v>112</v>
      </c>
      <c r="D67" s="546">
        <f>SUM(D59:D65)</f>
        <v>4678</v>
      </c>
      <c r="E67" s="546">
        <f t="shared" ref="E67:H67" si="12">SUM(E59:E65)</f>
        <v>11213</v>
      </c>
      <c r="F67" s="546">
        <f t="shared" si="12"/>
        <v>12614</v>
      </c>
      <c r="G67" s="546">
        <f t="shared" si="12"/>
        <v>14878</v>
      </c>
      <c r="H67" s="546">
        <f t="shared" si="12"/>
        <v>16981</v>
      </c>
      <c r="I67" s="545"/>
      <c r="K67" s="546">
        <f t="shared" ref="K67:O67" si="13">SUM(K59:K65)</f>
        <v>17767.45871916</v>
      </c>
      <c r="L67" s="546">
        <f t="shared" si="13"/>
        <v>19330.399243183521</v>
      </c>
      <c r="M67" s="546">
        <f t="shared" si="13"/>
        <v>20882.579738181827</v>
      </c>
      <c r="N67" s="546">
        <f t="shared" si="13"/>
        <v>22668.151871200491</v>
      </c>
      <c r="O67" s="546">
        <f t="shared" si="13"/>
        <v>24654.557443801288</v>
      </c>
    </row>
    <row r="68" spans="2:15" ht="15" customHeight="1" x14ac:dyDescent="0.25">
      <c r="B68" s="124"/>
      <c r="C68" s="479"/>
      <c r="D68" s="130"/>
      <c r="E68" s="130"/>
      <c r="F68" s="130"/>
      <c r="G68" s="130"/>
      <c r="H68" s="130"/>
      <c r="I68" s="545"/>
      <c r="K68" s="130"/>
      <c r="L68" s="130"/>
      <c r="M68" s="130"/>
      <c r="N68" s="130"/>
      <c r="O68" s="130"/>
    </row>
    <row r="69" spans="2:15" ht="15" customHeight="1" x14ac:dyDescent="0.3">
      <c r="B69" s="481" t="s">
        <v>37</v>
      </c>
      <c r="C69" s="482" t="s">
        <v>112</v>
      </c>
      <c r="D69" s="546">
        <f>SUM(D67,D55)</f>
        <v>27682</v>
      </c>
      <c r="E69" s="546">
        <f t="shared" ref="E69:H69" si="14">SUM(E67,E55)</f>
        <v>41591</v>
      </c>
      <c r="F69" s="546">
        <f t="shared" si="14"/>
        <v>39386</v>
      </c>
      <c r="G69" s="546">
        <f t="shared" si="14"/>
        <v>40125</v>
      </c>
      <c r="H69" s="546">
        <f t="shared" si="14"/>
        <v>45606</v>
      </c>
      <c r="I69" s="545"/>
      <c r="K69" s="546">
        <f t="shared" ref="K69:O69" si="15">SUM(K67,K55)</f>
        <v>46538.327808784656</v>
      </c>
      <c r="L69" s="546">
        <f t="shared" si="15"/>
        <v>47623.613329202242</v>
      </c>
      <c r="M69" s="546">
        <f t="shared" si="15"/>
        <v>49087.611399680842</v>
      </c>
      <c r="N69" s="546">
        <f t="shared" si="15"/>
        <v>50792.159321624044</v>
      </c>
      <c r="O69" s="546">
        <f t="shared" si="15"/>
        <v>52904.447167053178</v>
      </c>
    </row>
    <row r="70" spans="2:15" ht="15" customHeight="1" x14ac:dyDescent="0.25">
      <c r="B70" s="124"/>
      <c r="C70" s="479"/>
      <c r="D70" s="130"/>
      <c r="E70" s="130"/>
      <c r="F70" s="130"/>
      <c r="G70" s="130"/>
      <c r="H70" s="130"/>
      <c r="I70" s="545"/>
      <c r="K70" s="130"/>
      <c r="L70" s="130"/>
      <c r="M70" s="130"/>
      <c r="N70" s="130"/>
      <c r="O70" s="130"/>
    </row>
    <row r="71" spans="2:15" ht="15" customHeight="1" x14ac:dyDescent="0.25">
      <c r="B71" s="126" t="s">
        <v>214</v>
      </c>
      <c r="C71" s="176"/>
      <c r="D71" s="131"/>
      <c r="E71" s="131"/>
      <c r="F71" s="131"/>
      <c r="G71" s="131"/>
      <c r="H71" s="131"/>
      <c r="I71" s="545"/>
      <c r="K71" s="131"/>
      <c r="L71" s="131"/>
      <c r="M71" s="131"/>
      <c r="N71" s="131"/>
      <c r="O71" s="131"/>
    </row>
    <row r="72" spans="2:15" ht="7.05" customHeight="1" x14ac:dyDescent="0.25">
      <c r="B72" s="122"/>
      <c r="C72" s="177"/>
      <c r="D72" s="128"/>
      <c r="E72" s="128"/>
      <c r="F72" s="128"/>
      <c r="G72" s="128"/>
      <c r="H72" s="128"/>
      <c r="I72" s="545"/>
      <c r="K72" s="128"/>
      <c r="L72" s="128"/>
      <c r="M72" s="128"/>
      <c r="N72" s="128"/>
      <c r="O72" s="128"/>
    </row>
    <row r="73" spans="2:15" ht="15" customHeight="1" x14ac:dyDescent="0.25">
      <c r="B73" s="122" t="s">
        <v>3168</v>
      </c>
      <c r="C73" s="177" t="s">
        <v>112</v>
      </c>
      <c r="D73" s="128">
        <f>STATEMENTS!C32</f>
        <v>1096</v>
      </c>
      <c r="E73" s="128">
        <f>STATEMENTS!D32</f>
        <v>1096</v>
      </c>
      <c r="F73" s="128">
        <f>STATEMENTS!E32</f>
        <v>1098</v>
      </c>
      <c r="G73" s="128">
        <f>STATEMENTS!F32</f>
        <v>1045</v>
      </c>
      <c r="H73" s="128">
        <f>STATEMENTS!G32</f>
        <v>2094</v>
      </c>
      <c r="I73" s="545"/>
      <c r="K73" s="128">
        <f>CHOOSE($I$1,'BALANCE SHEET ASSUMPTION'!K$118,'BALANCE SHEET ASSUMPTION'!R$118,'BALANCE SHEET ASSUMPTION'!Y$118)</f>
        <v>2344</v>
      </c>
      <c r="L73" s="128">
        <f>CHOOSE($I$1,'BALANCE SHEET ASSUMPTION'!L$118,'BALANCE SHEET ASSUMPTION'!S$118,'BALANCE SHEET ASSUMPTION'!Z$118)</f>
        <v>2594</v>
      </c>
      <c r="M73" s="128">
        <f>CHOOSE($I$1,'BALANCE SHEET ASSUMPTION'!M$118,'BALANCE SHEET ASSUMPTION'!T$118,'BALANCE SHEET ASSUMPTION'!AA$118)</f>
        <v>2844</v>
      </c>
      <c r="N73" s="128">
        <f>CHOOSE($I$1,'BALANCE SHEET ASSUMPTION'!N$118,'BALANCE SHEET ASSUMPTION'!U$118,'BALANCE SHEET ASSUMPTION'!AB$118)</f>
        <v>3094</v>
      </c>
      <c r="O73" s="128">
        <f>CHOOSE($I$1,'BALANCE SHEET ASSUMPTION'!O$118,'BALANCE SHEET ASSUMPTION'!V$118,'BALANCE SHEET ASSUMPTION'!AC$118)</f>
        <v>3344</v>
      </c>
    </row>
    <row r="74" spans="2:15" ht="15" customHeight="1" x14ac:dyDescent="0.25">
      <c r="B74" s="122" t="s">
        <v>3169</v>
      </c>
      <c r="C74" s="177" t="s">
        <v>112</v>
      </c>
      <c r="D74" s="128">
        <f>STATEMENTS!C33</f>
        <v>53805</v>
      </c>
      <c r="E74" s="128">
        <f>STATEMENTS!D33</f>
        <v>64307</v>
      </c>
      <c r="F74" s="128">
        <f>STATEMENTS!E33</f>
        <v>76570</v>
      </c>
      <c r="G74" s="128">
        <f>STATEMENTS!F33</f>
        <v>73488</v>
      </c>
      <c r="H74" s="128">
        <f>STATEMENTS!G33</f>
        <v>80270</v>
      </c>
      <c r="I74" s="545"/>
      <c r="K74" s="128">
        <f>CHOOSE($I$1,'BALANCE SHEET ASSUMPTION'!K$120,'BALANCE SHEET ASSUMPTION'!R$120,'BALANCE SHEET ASSUMPTION'!Y$120)</f>
        <v>85086.2</v>
      </c>
      <c r="L74" s="128">
        <f>CHOOSE($I$1,'BALANCE SHEET ASSUMPTION'!L$120,'BALANCE SHEET ASSUMPTION'!S$120,'BALANCE SHEET ASSUMPTION'!Z$120)</f>
        <v>90191.372000000003</v>
      </c>
      <c r="M74" s="128">
        <f>CHOOSE($I$1,'BALANCE SHEET ASSUMPTION'!M$120,'BALANCE SHEET ASSUMPTION'!T$120,'BALANCE SHEET ASSUMPTION'!AA$120)</f>
        <v>95602.854319999999</v>
      </c>
      <c r="N74" s="128">
        <f>CHOOSE($I$1,'BALANCE SHEET ASSUMPTION'!N$120,'BALANCE SHEET ASSUMPTION'!U$120,'BALANCE SHEET ASSUMPTION'!AB$120)</f>
        <v>101339.0255792</v>
      </c>
      <c r="O74" s="128">
        <f>CHOOSE($I$1,'BALANCE SHEET ASSUMPTION'!O$120,'BALANCE SHEET ASSUMPTION'!V$120,'BALANCE SHEET ASSUMPTION'!AC$120)</f>
        <v>107419.367113952</v>
      </c>
    </row>
    <row r="75" spans="2:15" ht="15" customHeight="1" x14ac:dyDescent="0.25">
      <c r="B75" s="123" t="s">
        <v>216</v>
      </c>
      <c r="C75" s="178" t="s">
        <v>112</v>
      </c>
      <c r="D75" s="129">
        <f>STATEMENTS!C35</f>
        <v>150</v>
      </c>
      <c r="E75" s="129">
        <f>STATEMENTS!D35</f>
        <v>52</v>
      </c>
      <c r="F75" s="129">
        <f>STATEMENTS!E35</f>
        <v>59</v>
      </c>
      <c r="G75" s="129">
        <f>STATEMENTS!F35</f>
        <v>134</v>
      </c>
      <c r="H75" s="129">
        <f>STATEMENTS!G35</f>
        <v>214</v>
      </c>
      <c r="I75" s="545"/>
      <c r="K75" s="445">
        <f>AVERAGE(D75:H75)</f>
        <v>121.8</v>
      </c>
      <c r="L75" s="445">
        <f>$K$75</f>
        <v>121.8</v>
      </c>
      <c r="M75" s="445">
        <f t="shared" ref="M75:O75" si="16">$K$75</f>
        <v>121.8</v>
      </c>
      <c r="N75" s="445">
        <f t="shared" si="16"/>
        <v>121.8</v>
      </c>
      <c r="O75" s="445">
        <f t="shared" si="16"/>
        <v>121.8</v>
      </c>
    </row>
    <row r="76" spans="2:15" ht="15" customHeight="1" x14ac:dyDescent="0.25">
      <c r="B76" s="124"/>
      <c r="C76" s="479"/>
      <c r="D76" s="130"/>
      <c r="E76" s="130"/>
      <c r="F76" s="130"/>
      <c r="G76" s="130"/>
      <c r="H76" s="130"/>
      <c r="I76" s="545"/>
      <c r="K76" s="130"/>
      <c r="L76" s="130"/>
      <c r="M76" s="130"/>
      <c r="N76" s="130"/>
      <c r="O76" s="130"/>
    </row>
    <row r="77" spans="2:15" ht="15" customHeight="1" x14ac:dyDescent="0.3">
      <c r="B77" s="481" t="s">
        <v>217</v>
      </c>
      <c r="C77" s="482" t="s">
        <v>112</v>
      </c>
      <c r="D77" s="546">
        <f>SUM(D73:D75)</f>
        <v>55051</v>
      </c>
      <c r="E77" s="546">
        <f>SUM(E73:E75)</f>
        <v>65455</v>
      </c>
      <c r="F77" s="546">
        <f>SUM(F73:F75)</f>
        <v>77727</v>
      </c>
      <c r="G77" s="546">
        <f>SUM(G73:G75)</f>
        <v>74667</v>
      </c>
      <c r="H77" s="546">
        <f>SUM(H73:H75)</f>
        <v>82578</v>
      </c>
      <c r="I77" s="545"/>
      <c r="K77" s="546">
        <f>SUM(K73:K75)</f>
        <v>87552</v>
      </c>
      <c r="L77" s="546">
        <f>SUM(L73:L75)</f>
        <v>92907.172000000006</v>
      </c>
      <c r="M77" s="546">
        <f>SUM(M73:M75)</f>
        <v>98568.654320000001</v>
      </c>
      <c r="N77" s="546">
        <f>SUM(N73:N75)</f>
        <v>104554.8255792</v>
      </c>
      <c r="O77" s="546">
        <f>SUM(O73:O75)</f>
        <v>110885.167113952</v>
      </c>
    </row>
    <row r="78" spans="2:15" ht="15" customHeight="1" x14ac:dyDescent="0.25">
      <c r="B78" s="124"/>
      <c r="C78" s="479"/>
      <c r="D78" s="130"/>
      <c r="E78" s="130"/>
      <c r="F78" s="130"/>
      <c r="G78" s="130"/>
      <c r="H78" s="130"/>
      <c r="I78" s="545"/>
      <c r="K78" s="130"/>
      <c r="L78" s="130"/>
      <c r="M78" s="130"/>
      <c r="N78" s="130"/>
      <c r="O78" s="130"/>
    </row>
    <row r="79" spans="2:15" ht="15" customHeight="1" x14ac:dyDescent="0.3">
      <c r="B79" s="547" t="s">
        <v>218</v>
      </c>
      <c r="C79" s="551" t="s">
        <v>112</v>
      </c>
      <c r="D79" s="548">
        <f>SUM(D77,D69)</f>
        <v>82733</v>
      </c>
      <c r="E79" s="548">
        <f>SUM(E77,E69)</f>
        <v>107046</v>
      </c>
      <c r="F79" s="548">
        <f>SUM(F77,F69)</f>
        <v>117113</v>
      </c>
      <c r="G79" s="548">
        <f>SUM(G77,G69)</f>
        <v>114792</v>
      </c>
      <c r="H79" s="548">
        <f>SUM(H77,H69)</f>
        <v>128184</v>
      </c>
      <c r="I79" s="545"/>
      <c r="K79" s="548">
        <f>SUM(K77,K69)</f>
        <v>134090.32780878467</v>
      </c>
      <c r="L79" s="548">
        <f>SUM(L77,L69)</f>
        <v>140530.78532920225</v>
      </c>
      <c r="M79" s="548">
        <f>SUM(M77,M69)</f>
        <v>147656.26571968084</v>
      </c>
      <c r="N79" s="548">
        <f>SUM(N77,N69)</f>
        <v>155346.98490082403</v>
      </c>
      <c r="O79" s="548">
        <f>SUM(O77,O69)</f>
        <v>163789.61428100517</v>
      </c>
    </row>
    <row r="80" spans="2:15" ht="15" customHeight="1" x14ac:dyDescent="0.25">
      <c r="B80" s="124"/>
      <c r="D80" s="130"/>
      <c r="E80" s="130"/>
      <c r="F80" s="130"/>
      <c r="G80" s="130"/>
      <c r="H80" s="130"/>
      <c r="I80" s="545"/>
      <c r="K80" s="130"/>
      <c r="L80" s="130"/>
      <c r="M80" s="130"/>
      <c r="N80" s="130"/>
      <c r="O80" s="130"/>
    </row>
    <row r="81" spans="2:15" ht="15" customHeight="1" x14ac:dyDescent="0.3">
      <c r="B81" s="127" t="s">
        <v>219</v>
      </c>
      <c r="C81" s="117"/>
      <c r="D81" s="135" t="str">
        <f>IF(D79=D39,"--","Nope")</f>
        <v>--</v>
      </c>
      <c r="E81" s="135" t="str">
        <f>IF(E79=E39,"--","Nope")</f>
        <v>--</v>
      </c>
      <c r="F81" s="135" t="str">
        <f>IF(F79=F39,"--","Nope")</f>
        <v>--</v>
      </c>
      <c r="G81" s="135" t="str">
        <f>IF(G79=G39,"--","Nope")</f>
        <v>--</v>
      </c>
      <c r="H81" s="135" t="str">
        <f>IF(H79=H39,"--","Nope")</f>
        <v>--</v>
      </c>
      <c r="I81" s="545"/>
      <c r="K81" s="135" t="str">
        <f>IF(K79=K39,"--","Nope")</f>
        <v>--</v>
      </c>
      <c r="L81" s="135" t="str">
        <f>IF(L79=L39,"--","Nope")</f>
        <v>--</v>
      </c>
      <c r="M81" s="135" t="str">
        <f>IF(M79=M39,"--","Nope")</f>
        <v>--</v>
      </c>
      <c r="N81" s="135" t="str">
        <f>IF(N79=N39,"--","Nope")</f>
        <v>--</v>
      </c>
      <c r="O81" s="135" t="str">
        <f>IF(O79=O39,"--","Nope")</f>
        <v>--</v>
      </c>
    </row>
    <row r="82" spans="2:15" ht="15" customHeight="1" x14ac:dyDescent="0.25">
      <c r="D82" s="130"/>
      <c r="E82" s="130"/>
      <c r="F82" s="130"/>
      <c r="G82" s="130"/>
      <c r="H82" s="130"/>
      <c r="I82" s="130"/>
    </row>
    <row r="83" spans="2:15" ht="15" customHeight="1" x14ac:dyDescent="0.25">
      <c r="B83" s="173"/>
      <c r="C83" s="173"/>
      <c r="D83" s="174"/>
      <c r="E83" s="174"/>
      <c r="F83" s="174"/>
      <c r="G83" s="174"/>
      <c r="H83" s="174"/>
      <c r="I83" s="174"/>
      <c r="J83" s="173"/>
      <c r="K83" s="173"/>
      <c r="L83" s="173"/>
      <c r="M83" s="173"/>
      <c r="N83" s="173"/>
      <c r="O83" s="173"/>
    </row>
    <row r="84" spans="2:15" ht="15" customHeight="1" x14ac:dyDescent="0.25">
      <c r="D84" s="130"/>
      <c r="E84" s="130"/>
      <c r="F84" s="130"/>
      <c r="G84" s="130"/>
      <c r="H84" s="130"/>
      <c r="I84" s="130"/>
    </row>
    <row r="85" spans="2:15" ht="15" customHeight="1" x14ac:dyDescent="0.25">
      <c r="D85" s="130"/>
      <c r="E85" s="130"/>
      <c r="F85" s="130"/>
      <c r="G85" s="130"/>
      <c r="H85" s="130"/>
      <c r="I85" s="130"/>
    </row>
    <row r="86" spans="2:15" ht="15" customHeight="1" x14ac:dyDescent="0.25">
      <c r="D86" s="130"/>
      <c r="E86" s="130"/>
      <c r="F86" s="130"/>
      <c r="G86" s="130"/>
      <c r="H86" s="130"/>
      <c r="I86" s="130"/>
    </row>
    <row r="87" spans="2:15" ht="15" customHeight="1" x14ac:dyDescent="0.25">
      <c r="D87" s="130"/>
      <c r="E87" s="130"/>
      <c r="F87" s="130"/>
      <c r="G87" s="130"/>
      <c r="H87" s="130"/>
      <c r="I87" s="130"/>
    </row>
    <row r="88" spans="2:15" ht="15" customHeight="1" x14ac:dyDescent="0.25">
      <c r="D88" s="130"/>
      <c r="E88" s="130"/>
      <c r="F88" s="130"/>
      <c r="G88" s="130"/>
      <c r="H88" s="130"/>
      <c r="I88" s="130"/>
    </row>
    <row r="89" spans="2:15" ht="15" customHeight="1" x14ac:dyDescent="0.25">
      <c r="D89" s="130"/>
      <c r="E89" s="130"/>
      <c r="F89" s="130"/>
      <c r="G89" s="130"/>
      <c r="H89" s="130"/>
      <c r="I89" s="130"/>
    </row>
    <row r="90" spans="2:15" ht="15" customHeight="1" x14ac:dyDescent="0.25">
      <c r="D90" s="130"/>
      <c r="E90" s="130"/>
      <c r="F90" s="130"/>
      <c r="G90" s="130"/>
      <c r="H90" s="130"/>
      <c r="I90" s="130"/>
    </row>
    <row r="91" spans="2:15" ht="15" customHeight="1" x14ac:dyDescent="0.25">
      <c r="D91" s="130"/>
      <c r="E91" s="130"/>
      <c r="F91" s="130"/>
      <c r="G91" s="130"/>
      <c r="H91" s="130"/>
      <c r="I91" s="130"/>
    </row>
  </sheetData>
  <mergeCells count="4">
    <mergeCell ref="B1:B3"/>
    <mergeCell ref="D1:H2"/>
    <mergeCell ref="I1:J2"/>
    <mergeCell ref="K1:O2"/>
  </mergeCells>
  <printOptions horizontalCentered="1" verticalCentered="1"/>
  <pageMargins left="0" right="0" top="0" bottom="0" header="0" footer="0"/>
  <pageSetup scale="49" orientation="landscape"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927E0-CEB6-4AB0-BB7D-6FCABC3ACD90}">
  <sheetPr>
    <pageSetUpPr fitToPage="1"/>
  </sheetPr>
  <dimension ref="B1:V64"/>
  <sheetViews>
    <sheetView zoomScale="70" zoomScaleNormal="70" workbookViewId="0"/>
  </sheetViews>
  <sheetFormatPr defaultColWidth="15.77734375" defaultRowHeight="15" x14ac:dyDescent="0.25"/>
  <cols>
    <col min="1" max="1" width="2" style="1" customWidth="1"/>
    <col min="2" max="2" width="44.77734375" style="1" customWidth="1"/>
    <col min="3" max="3" width="8.88671875" style="1" customWidth="1"/>
    <col min="4" max="8" width="15.77734375" style="1"/>
    <col min="9" max="10" width="2" style="1" customWidth="1"/>
    <col min="11" max="15" width="15.77734375" style="1"/>
    <col min="16" max="17" width="2" style="1" customWidth="1"/>
    <col min="18" max="16384" width="15.77734375" style="1"/>
  </cols>
  <sheetData>
    <row r="1" spans="2:22" x14ac:dyDescent="0.25">
      <c r="B1" s="974" t="s">
        <v>3336</v>
      </c>
      <c r="C1" s="30"/>
      <c r="D1" s="975" t="s">
        <v>186</v>
      </c>
      <c r="E1" s="975"/>
      <c r="F1" s="975"/>
      <c r="G1" s="975"/>
      <c r="H1" s="975"/>
      <c r="I1" s="30"/>
      <c r="J1" s="30"/>
      <c r="K1" s="975" t="s">
        <v>187</v>
      </c>
      <c r="L1" s="975"/>
      <c r="M1" s="975"/>
      <c r="N1" s="975"/>
      <c r="O1" s="975"/>
      <c r="P1" s="30"/>
      <c r="Q1" s="30"/>
      <c r="R1" s="975" t="s">
        <v>188</v>
      </c>
      <c r="S1" s="975"/>
      <c r="T1" s="975"/>
      <c r="U1" s="975"/>
      <c r="V1" s="975"/>
    </row>
    <row r="2" spans="2:22" x14ac:dyDescent="0.25">
      <c r="B2" s="974"/>
      <c r="C2" s="30"/>
      <c r="D2" s="975"/>
      <c r="E2" s="975"/>
      <c r="F2" s="975"/>
      <c r="G2" s="975"/>
      <c r="H2" s="975"/>
      <c r="I2" s="30"/>
      <c r="J2" s="30"/>
      <c r="K2" s="975"/>
      <c r="L2" s="975"/>
      <c r="M2" s="975"/>
      <c r="N2" s="975"/>
      <c r="O2" s="975"/>
      <c r="P2" s="30"/>
      <c r="Q2" s="30"/>
      <c r="R2" s="975"/>
      <c r="S2" s="975"/>
      <c r="T2" s="975"/>
      <c r="U2" s="975"/>
      <c r="V2" s="975"/>
    </row>
    <row r="3" spans="2:22" ht="24.6" x14ac:dyDescent="0.4">
      <c r="B3" s="974"/>
      <c r="C3" s="34" t="s">
        <v>82</v>
      </c>
      <c r="D3" s="35" t="s">
        <v>88</v>
      </c>
      <c r="E3" s="35" t="s">
        <v>89</v>
      </c>
      <c r="F3" s="35" t="s">
        <v>90</v>
      </c>
      <c r="G3" s="35" t="s">
        <v>91</v>
      </c>
      <c r="H3" s="35" t="s">
        <v>92</v>
      </c>
      <c r="I3" s="31"/>
      <c r="J3" s="31"/>
      <c r="K3" s="35" t="s">
        <v>88</v>
      </c>
      <c r="L3" s="35" t="s">
        <v>89</v>
      </c>
      <c r="M3" s="35" t="s">
        <v>90</v>
      </c>
      <c r="N3" s="35" t="s">
        <v>91</v>
      </c>
      <c r="O3" s="35" t="s">
        <v>92</v>
      </c>
      <c r="P3" s="31"/>
      <c r="Q3" s="31"/>
      <c r="R3" s="35" t="s">
        <v>88</v>
      </c>
      <c r="S3" s="35" t="s">
        <v>89</v>
      </c>
      <c r="T3" s="35" t="s">
        <v>90</v>
      </c>
      <c r="U3" s="35" t="s">
        <v>91</v>
      </c>
      <c r="V3" s="35" t="s">
        <v>92</v>
      </c>
    </row>
    <row r="4" spans="2:22" ht="28.2" x14ac:dyDescent="0.5">
      <c r="B4" s="38" t="s">
        <v>121</v>
      </c>
      <c r="C4" s="33"/>
      <c r="D4" s="68">
        <f>'PROFIT &amp; LOSS'!K4</f>
        <v>46102</v>
      </c>
      <c r="E4" s="68">
        <f>'PROFIT &amp; LOSS'!L4</f>
        <v>46467</v>
      </c>
      <c r="F4" s="68">
        <f>'PROFIT &amp; LOSS'!M4</f>
        <v>46833</v>
      </c>
      <c r="G4" s="68">
        <f>'PROFIT &amp; LOSS'!N4</f>
        <v>47198</v>
      </c>
      <c r="H4" s="68">
        <f>'PROFIT &amp; LOSS'!O4</f>
        <v>47563</v>
      </c>
      <c r="I4" s="504"/>
      <c r="J4" s="32"/>
      <c r="K4" s="68">
        <f>D$4</f>
        <v>46102</v>
      </c>
      <c r="L4" s="68">
        <f t="shared" ref="L4:O4" si="0">E$4</f>
        <v>46467</v>
      </c>
      <c r="M4" s="68">
        <f t="shared" si="0"/>
        <v>46833</v>
      </c>
      <c r="N4" s="68">
        <f t="shared" si="0"/>
        <v>47198</v>
      </c>
      <c r="O4" s="68">
        <f t="shared" si="0"/>
        <v>47563</v>
      </c>
      <c r="P4" s="504"/>
      <c r="Q4" s="32"/>
      <c r="R4" s="68">
        <f>K$4</f>
        <v>46102</v>
      </c>
      <c r="S4" s="68">
        <f t="shared" ref="S4:V4" si="1">L$4</f>
        <v>46467</v>
      </c>
      <c r="T4" s="68">
        <f t="shared" si="1"/>
        <v>46833</v>
      </c>
      <c r="U4" s="68">
        <f t="shared" si="1"/>
        <v>47198</v>
      </c>
      <c r="V4" s="68">
        <f t="shared" si="1"/>
        <v>47563</v>
      </c>
    </row>
    <row r="6" spans="2:22" ht="15.6" x14ac:dyDescent="0.3">
      <c r="B6" s="165" t="s">
        <v>233</v>
      </c>
      <c r="C6" s="46"/>
      <c r="D6" s="46"/>
      <c r="E6" s="46"/>
      <c r="F6" s="46"/>
      <c r="G6" s="46"/>
      <c r="H6" s="46"/>
      <c r="I6" s="293"/>
      <c r="K6" s="46"/>
      <c r="L6" s="46"/>
      <c r="M6" s="46"/>
      <c r="N6" s="46"/>
      <c r="O6" s="46"/>
      <c r="P6" s="293"/>
      <c r="R6" s="46"/>
      <c r="S6" s="46"/>
      <c r="T6" s="46"/>
      <c r="U6" s="46"/>
      <c r="V6" s="46"/>
    </row>
    <row r="7" spans="2:22" ht="7.05" customHeight="1" x14ac:dyDescent="0.25">
      <c r="B7" s="102"/>
      <c r="C7" s="104"/>
      <c r="D7" s="104"/>
      <c r="E7" s="104"/>
      <c r="F7" s="104"/>
      <c r="G7" s="104"/>
      <c r="H7" s="104"/>
      <c r="I7" s="293"/>
      <c r="K7" s="104"/>
      <c r="L7" s="104"/>
      <c r="M7" s="104"/>
      <c r="N7" s="104"/>
      <c r="O7" s="104"/>
      <c r="P7" s="293"/>
      <c r="R7" s="104"/>
      <c r="S7" s="104"/>
      <c r="T7" s="104"/>
      <c r="U7" s="104"/>
      <c r="V7" s="104"/>
    </row>
    <row r="8" spans="2:22" x14ac:dyDescent="0.25">
      <c r="B8" s="167" t="s">
        <v>106</v>
      </c>
      <c r="C8" s="100" t="s">
        <v>112</v>
      </c>
      <c r="D8" s="104">
        <f>'P &amp; L ASSUMPTIONS'!K96-'P &amp; L ASSUMPTIONS'!K99</f>
        <v>14980.614109999999</v>
      </c>
      <c r="E8" s="104">
        <f>'P &amp; L ASSUMPTIONS'!L96-'P &amp; L ASSUMPTIONS'!L99</f>
        <v>15252.888415533998</v>
      </c>
      <c r="F8" s="104">
        <f>'P &amp; L ASSUMPTIONS'!M96-'P &amp; L ASSUMPTIONS'!M99</f>
        <v>15701.408600114159</v>
      </c>
      <c r="G8" s="104">
        <f>'P &amp; L ASSUMPTIONS'!N96-'P &amp; L ASSUMPTIONS'!N99</f>
        <v>16166.563499045857</v>
      </c>
      <c r="H8" s="104">
        <f>'P &amp; L ASSUMPTIONS'!O96-'P &amp; L ASSUMPTIONS'!O99</f>
        <v>16808.257619323973</v>
      </c>
      <c r="I8" s="293"/>
      <c r="K8" s="104">
        <f>'P &amp; L ASSUMPTIONS'!R96-'P &amp; L ASSUMPTIONS'!R99</f>
        <v>13528.787694399998</v>
      </c>
      <c r="L8" s="104">
        <f>'P &amp; L ASSUMPTIONS'!S96-'P &amp; L ASSUMPTIONS'!S99</f>
        <v>13475.565991560319</v>
      </c>
      <c r="M8" s="104">
        <f>'P &amp; L ASSUMPTIONS'!T96-'P &amp; L ASSUMPTIONS'!T99</f>
        <v>13723.460849747315</v>
      </c>
      <c r="N8" s="104">
        <f>'P &amp; L ASSUMPTIONS'!U96-'P &amp; L ASSUMPTIONS'!U99</f>
        <v>13977.569173076128</v>
      </c>
      <c r="O8" s="104">
        <f>'P &amp; L ASSUMPTIONS'!V96-'P &amp; L ASSUMPTIONS'!V99</f>
        <v>14385.227611511244</v>
      </c>
      <c r="P8" s="293"/>
      <c r="R8" s="104">
        <f>'P &amp; L ASSUMPTIONS'!Y96-'P &amp; L ASSUMPTIONS'!Y99</f>
        <v>12518.345969999998</v>
      </c>
      <c r="S8" s="104">
        <f>'P &amp; L ASSUMPTIONS'!Z96-'P &amp; L ASSUMPTIONS'!Z99</f>
        <v>12394.915793429998</v>
      </c>
      <c r="T8" s="104">
        <f>'P &amp; L ASSUMPTIONS'!AA96-'P &amp; L ASSUMPTIONS'!AA99</f>
        <v>12339.722209152604</v>
      </c>
      <c r="U8" s="104">
        <f>'P &amp; L ASSUMPTIONS'!AB96-'P &amp; L ASSUMPTIONS'!AB99</f>
        <v>12283.261232625338</v>
      </c>
      <c r="V8" s="104">
        <f>'P &amp; L ASSUMPTIONS'!AC96-'P &amp; L ASSUMPTIONS'!AC99</f>
        <v>12484.686436404314</v>
      </c>
    </row>
    <row r="9" spans="2:22" x14ac:dyDescent="0.25">
      <c r="B9" s="167" t="s">
        <v>3261</v>
      </c>
      <c r="C9" s="100" t="s">
        <v>112</v>
      </c>
      <c r="D9" s="104">
        <f>'P &amp; L ASSUMPTIONS'!K70</f>
        <v>3378.45</v>
      </c>
      <c r="E9" s="104">
        <f>'P &amp; L ASSUMPTIONS'!L70</f>
        <v>3485.3994857999996</v>
      </c>
      <c r="F9" s="104">
        <f>'P &amp; L ASSUMPTIONS'!M70</f>
        <v>3588.4807354319996</v>
      </c>
      <c r="G9" s="104">
        <f>'P &amp; L ASSUMPTIONS'!N70</f>
        <v>3693.0872846233351</v>
      </c>
      <c r="H9" s="104">
        <f>'P &amp; L ASSUMPTIONS'!O70</f>
        <v>3799.3696225967446</v>
      </c>
      <c r="I9" s="293"/>
      <c r="K9" s="104">
        <f>'P &amp; L ASSUMPTIONS'!R70</f>
        <v>3265.8349999999996</v>
      </c>
      <c r="L9" s="104">
        <f>'P &amp; L ASSUMPTIONS'!S70</f>
        <v>3323.839475968</v>
      </c>
      <c r="M9" s="104">
        <f>'P &amp; L ASSUMPTIONS'!T70</f>
        <v>3373.7127573811204</v>
      </c>
      <c r="N9" s="104">
        <f>'P &amp; L ASSUMPTIONS'!U70</f>
        <v>3424.9960081694721</v>
      </c>
      <c r="O9" s="104">
        <f>'P &amp; L ASSUMPTIONS'!V70</f>
        <v>3477.6280024841858</v>
      </c>
      <c r="P9" s="293"/>
      <c r="R9" s="104">
        <f>'P &amp; L ASSUMPTIONS'!Y70</f>
        <v>2927.9900000000002</v>
      </c>
      <c r="S9" s="104">
        <f>'P &amp; L ASSUMPTIONS'!Z70</f>
        <v>2949.5539175600002</v>
      </c>
      <c r="T9" s="104">
        <f>'P &amp; L ASSUMPTIONS'!AA70</f>
        <v>2965.6640466551999</v>
      </c>
      <c r="U9" s="104">
        <f>'P &amp; L ASSUMPTIONS'!AB70</f>
        <v>2978.805190708837</v>
      </c>
      <c r="V9" s="104">
        <f>'P &amp; L ASSUMPTIONS'!AC70</f>
        <v>2989.3113234090156</v>
      </c>
    </row>
    <row r="10" spans="2:22" ht="7.05" customHeight="1" x14ac:dyDescent="0.25">
      <c r="B10" s="167"/>
      <c r="C10" s="100"/>
      <c r="D10" s="104"/>
      <c r="E10" s="104"/>
      <c r="F10" s="104"/>
      <c r="G10" s="104"/>
      <c r="H10" s="104"/>
      <c r="I10" s="293"/>
      <c r="K10" s="104"/>
      <c r="L10" s="104"/>
      <c r="M10" s="104"/>
      <c r="N10" s="104"/>
      <c r="O10" s="104"/>
      <c r="P10" s="293"/>
      <c r="R10" s="104"/>
      <c r="S10" s="104"/>
      <c r="T10" s="104"/>
      <c r="U10" s="104"/>
      <c r="V10" s="104"/>
    </row>
    <row r="11" spans="2:22" ht="15.6" x14ac:dyDescent="0.25">
      <c r="B11" s="477" t="s">
        <v>3296</v>
      </c>
      <c r="C11" s="60"/>
      <c r="D11" s="46"/>
      <c r="E11" s="46"/>
      <c r="F11" s="46"/>
      <c r="G11" s="46"/>
      <c r="H11" s="46"/>
      <c r="I11" s="293"/>
      <c r="K11" s="46"/>
      <c r="L11" s="46"/>
      <c r="M11" s="46"/>
      <c r="N11" s="46"/>
      <c r="O11" s="46"/>
      <c r="P11" s="293"/>
      <c r="R11" s="46"/>
      <c r="S11" s="46"/>
      <c r="T11" s="46"/>
      <c r="U11" s="46"/>
      <c r="V11" s="46"/>
    </row>
    <row r="12" spans="2:22" ht="7.05" customHeight="1" x14ac:dyDescent="0.25">
      <c r="B12" s="472"/>
      <c r="C12" s="100"/>
      <c r="D12" s="104"/>
      <c r="E12" s="104"/>
      <c r="F12" s="104"/>
      <c r="G12" s="104"/>
      <c r="H12" s="104"/>
      <c r="I12" s="293"/>
      <c r="K12" s="104"/>
      <c r="L12" s="104"/>
      <c r="M12" s="104"/>
      <c r="N12" s="104"/>
      <c r="O12" s="104"/>
      <c r="P12" s="293"/>
      <c r="R12" s="104"/>
      <c r="S12" s="104"/>
      <c r="T12" s="104"/>
      <c r="U12" s="104"/>
      <c r="V12" s="104"/>
    </row>
    <row r="13" spans="2:22" ht="15.6" x14ac:dyDescent="0.25">
      <c r="B13" s="471" t="s">
        <v>196</v>
      </c>
      <c r="C13" s="100"/>
      <c r="D13" s="32"/>
      <c r="E13" s="104"/>
      <c r="F13" s="104"/>
      <c r="G13" s="104"/>
      <c r="H13" s="104"/>
      <c r="I13" s="293"/>
      <c r="K13" s="179"/>
      <c r="L13" s="104"/>
      <c r="M13" s="104"/>
      <c r="N13" s="104"/>
      <c r="O13" s="104"/>
      <c r="P13" s="293"/>
      <c r="R13" s="179"/>
      <c r="S13" s="104"/>
      <c r="T13" s="104"/>
      <c r="U13" s="104"/>
      <c r="V13" s="104"/>
    </row>
    <row r="14" spans="2:22" ht="7.05" customHeight="1" x14ac:dyDescent="0.25">
      <c r="B14" s="471"/>
      <c r="C14" s="100"/>
      <c r="D14" s="32"/>
      <c r="E14" s="104"/>
      <c r="F14" s="104"/>
      <c r="G14" s="104"/>
      <c r="H14" s="104"/>
      <c r="I14" s="293"/>
      <c r="K14" s="179"/>
      <c r="L14" s="104"/>
      <c r="M14" s="104"/>
      <c r="N14" s="104"/>
      <c r="O14" s="104"/>
      <c r="P14" s="293"/>
      <c r="R14" s="179"/>
      <c r="S14" s="104"/>
      <c r="T14" s="104"/>
      <c r="U14" s="104"/>
      <c r="V14" s="104"/>
    </row>
    <row r="15" spans="2:22" x14ac:dyDescent="0.25">
      <c r="B15" s="167" t="s">
        <v>49</v>
      </c>
      <c r="C15" s="100" t="s">
        <v>112</v>
      </c>
      <c r="D15" s="32">
        <f>('BALANCE SHEET ASSUMPTION'!K105-'BALANCE SHEET ASSUMPTION'!H105)*-1</f>
        <v>-106.02741041095891</v>
      </c>
      <c r="E15" s="104">
        <f>('BALANCE SHEET ASSUMPTION'!L105-'BALANCE SHEET ASSUMPTION'!K105)*-1</f>
        <v>-1.7502741041095646</v>
      </c>
      <c r="F15" s="104">
        <f>('BALANCE SHEET ASSUMPTION'!M105-'BALANCE SHEET ASSUMPTION'!L105)*-1</f>
        <v>-3.5355536903013842</v>
      </c>
      <c r="G15" s="104">
        <f>('BALANCE SHEET ASSUMPTION'!N105-'BALANCE SHEET ASSUMPTION'!M105)*-1</f>
        <v>-3.6062647641073795</v>
      </c>
      <c r="H15" s="104">
        <f>('BALANCE SHEET ASSUMPTION'!O105-'BALANCE SHEET ASSUMPTION'!N105)*-1</f>
        <v>-5.5175850890843492</v>
      </c>
      <c r="I15" s="293"/>
      <c r="K15" s="179">
        <f>('BALANCE SHEET ASSUMPTION'!R105-'BALANCE SHEET ASSUMPTION'!H105)*-1</f>
        <v>-104.9778805479452</v>
      </c>
      <c r="L15" s="104">
        <f>('BALANCE SHEET ASSUMPTION'!S105-'BALANCE SHEET ASSUMPTION'!R105)*-1</f>
        <v>1.7397788054794603</v>
      </c>
      <c r="M15" s="104">
        <f>('BALANCE SHEET ASSUMPTION'!T105-'BALANCE SHEET ASSUMPTION'!S105)*-1</f>
        <v>-1.7223810174246523</v>
      </c>
      <c r="N15" s="104">
        <f>('BALANCE SHEET ASSUMPTION'!U105-'BALANCE SHEET ASSUMPTION'!T105)*-1</f>
        <v>-1.7396048275989244</v>
      </c>
      <c r="O15" s="104">
        <f>('BALANCE SHEET ASSUMPTION'!V105-'BALANCE SHEET ASSUMPTION'!U105)*-1</f>
        <v>-3.5140017517497881</v>
      </c>
      <c r="P15" s="293"/>
      <c r="R15" s="179">
        <f>('BALANCE SHEET ASSUMPTION'!Y105-'BALANCE SHEET ASSUMPTION'!H105)*-1</f>
        <v>-106.50335999999999</v>
      </c>
      <c r="S15" s="104">
        <f>('BALANCE SHEET ASSUMPTION'!Z105-'BALANCE SHEET ASSUMPTION'!Y105)*-1</f>
        <v>2.6325504000000137</v>
      </c>
      <c r="T15" s="104">
        <f>('BALANCE SHEET ASSUMPTION'!AA105-'BALANCE SHEET ASSUMPTION'!Z105)*-1</f>
        <v>1.7287080959999912</v>
      </c>
      <c r="U15" s="104">
        <f>('BALANCE SHEET ASSUMPTION'!AB105-'BALANCE SHEET ASSUMPTION'!AA105)*-1</f>
        <v>1.7114210150399742</v>
      </c>
      <c r="V15" s="104">
        <f>('BALANCE SHEET ASSUMPTION'!AC105-'BALANCE SHEET ASSUMPTION'!AB105)*-1</f>
        <v>-1.6943068048895782</v>
      </c>
    </row>
    <row r="16" spans="2:22" x14ac:dyDescent="0.25">
      <c r="B16" s="167" t="s">
        <v>197</v>
      </c>
      <c r="C16" s="100" t="s">
        <v>112</v>
      </c>
      <c r="D16" s="32">
        <f>('BALANCE SHEET ASSUMPTION'!K99-'BALANCE SHEET ASSUMPTION'!H99)*-1</f>
        <v>659.72723287671215</v>
      </c>
      <c r="E16" s="104">
        <f>('BALANCE SHEET ASSUMPTION'!L99-'BALANCE SHEET ASSUMPTION'!K99)*-1</f>
        <v>125.83520438356209</v>
      </c>
      <c r="F16" s="104">
        <f>('BALANCE SHEET ASSUMPTION'!M99-'BALANCE SHEET ASSUMPTION'!L99)*-1</f>
        <v>293.99665095890487</v>
      </c>
      <c r="G16" s="104">
        <f>('BALANCE SHEET ASSUMPTION'!N99-'BALANCE SHEET ASSUMPTION'!M99)*-1</f>
        <v>38.888928892492913</v>
      </c>
      <c r="H16" s="104">
        <f>('BALANCE SHEET ASSUMPTION'!O99-'BALANCE SHEET ASSUMPTION'!N99)*-1</f>
        <v>227.59147214956465</v>
      </c>
      <c r="I16" s="293"/>
      <c r="K16" s="179">
        <f>('BALANCE SHEET ASSUMPTION'!R99-'BALANCE SHEET ASSUMPTION'!H99)*-1</f>
        <v>368.5906849315088</v>
      </c>
      <c r="L16" s="104">
        <f>('BALANCE SHEET ASSUMPTION'!S99-'BALANCE SHEET ASSUMPTION'!R99)*-1</f>
        <v>334.54798027397192</v>
      </c>
      <c r="M16" s="104">
        <f>('BALANCE SHEET ASSUMPTION'!T99-'BALANCE SHEET ASSUMPTION'!S99)*-1</f>
        <v>376.79376466849135</v>
      </c>
      <c r="N16" s="104">
        <f>('BALANCE SHEET ASSUMPTION'!U99-'BALANCE SHEET ASSUMPTION'!T99)*-1</f>
        <v>129.61663258882254</v>
      </c>
      <c r="O16" s="104">
        <f>('BALANCE SHEET ASSUMPTION'!V99-'BALANCE SHEET ASSUMPTION'!U99)*-1</f>
        <v>35.871261323767612</v>
      </c>
      <c r="P16" s="293"/>
      <c r="R16" s="179">
        <f>('BALANCE SHEET ASSUMPTION'!Y99-'BALANCE SHEET ASSUMPTION'!H99)*-1</f>
        <v>176.8141369863024</v>
      </c>
      <c r="S16" s="104">
        <f>('BALANCE SHEET ASSUMPTION'!Z99-'BALANCE SHEET ASSUMPTION'!Y99)*-1</f>
        <v>-102.79480109588985</v>
      </c>
      <c r="T16" s="104">
        <f>('BALANCE SHEET ASSUMPTION'!AA99-'BALANCE SHEET ASSUMPTION'!Z99)*-1</f>
        <v>-156.74832587397395</v>
      </c>
      <c r="U16" s="104">
        <f>('BALANCE SHEET ASSUMPTION'!AB99-'BALANCE SHEET ASSUMPTION'!AA99)*-1</f>
        <v>-154.9955954533707</v>
      </c>
      <c r="V16" s="104">
        <f>('BALANCE SHEET ASSUMPTION'!AC99-'BALANCE SHEET ASSUMPTION'!AB99)*-1</f>
        <v>-385.49096522695982</v>
      </c>
    </row>
    <row r="17" spans="2:22" x14ac:dyDescent="0.25">
      <c r="B17" s="167" t="s">
        <v>3157</v>
      </c>
      <c r="C17" s="100" t="s">
        <v>112</v>
      </c>
      <c r="D17" s="32">
        <f>('BALANCE SHEET ASSUMPTION'!K23-'BALANCE SHEET ASSUMPTION'!H23)*-1</f>
        <v>1029.2672000000002</v>
      </c>
      <c r="E17" s="104">
        <f>('BALANCE SHEET ASSUMPTION'!L23-'BALANCE SHEET ASSUMPTION'!K23)*-1</f>
        <v>-53.987328000000161</v>
      </c>
      <c r="F17" s="104">
        <f>('BALANCE SHEET ASSUMPTION'!M23-'BALANCE SHEET ASSUMPTION'!L23)*-1</f>
        <v>-109.0544025600002</v>
      </c>
      <c r="G17" s="104">
        <f>('BALANCE SHEET ASSUMPTION'!N23-'BALANCE SHEET ASSUMPTION'!M23)*-1</f>
        <v>-111.23549061119957</v>
      </c>
      <c r="H17" s="104">
        <f>('BALANCE SHEET ASSUMPTION'!O23-'BALANCE SHEET ASSUMPTION'!N23)*-1</f>
        <v>-170.19030063513674</v>
      </c>
      <c r="I17" s="293"/>
      <c r="K17" s="179">
        <f>('BALANCE SHEET ASSUMPTION'!R23-'BALANCE SHEET ASSUMPTION'!H23)*-1</f>
        <v>721.6463360000007</v>
      </c>
      <c r="L17" s="104">
        <f>('BALANCE SHEET ASSUMPTION'!S23-'BALANCE SHEET ASSUMPTION'!R23)*-1</f>
        <v>57.063536640000166</v>
      </c>
      <c r="M17" s="104">
        <f>('BALANCE SHEET ASSUMPTION'!T23-'BALANCE SHEET ASSUMPTION'!S23)*-1</f>
        <v>-56.492901273600182</v>
      </c>
      <c r="N17" s="104">
        <f>('BALANCE SHEET ASSUMPTION'!U23-'BALANCE SHEET ASSUMPTION'!T23)*-1</f>
        <v>-57.057830286335957</v>
      </c>
      <c r="O17" s="104">
        <f>('BALANCE SHEET ASSUMPTION'!V23-'BALANCE SHEET ASSUMPTION'!U23)*-1</f>
        <v>-115.25681717839871</v>
      </c>
      <c r="P17" s="293"/>
      <c r="R17" s="179">
        <f>('BALANCE SHEET ASSUMPTION'!Y23-'BALANCE SHEET ASSUMPTION'!H23)*-1</f>
        <v>197.63072000000102</v>
      </c>
      <c r="S17" s="104">
        <f>('BALANCE SHEET ASSUMPTION'!Z23-'BALANCE SHEET ASSUMPTION'!Y23)*-1</f>
        <v>93.455539200000203</v>
      </c>
      <c r="T17" s="104">
        <f>('BALANCE SHEET ASSUMPTION'!AA23-'BALANCE SHEET ASSUMPTION'!Z23)*-1</f>
        <v>61.369137407999915</v>
      </c>
      <c r="U17" s="104">
        <f>('BALANCE SHEET ASSUMPTION'!AB23-'BALANCE SHEET ASSUMPTION'!AA23)*-1</f>
        <v>60.755446033919725</v>
      </c>
      <c r="V17" s="104">
        <f>('BALANCE SHEET ASSUMPTION'!AC23-'BALANCE SHEET ASSUMPTION'!AB23)*-1</f>
        <v>-60.147891573581546</v>
      </c>
    </row>
    <row r="18" spans="2:22" x14ac:dyDescent="0.25">
      <c r="B18" s="167" t="s">
        <v>3159</v>
      </c>
      <c r="C18" s="100" t="s">
        <v>112</v>
      </c>
      <c r="D18" s="32">
        <f>('BALANCE SHEET ASSUMPTION'!K139-'BALANCE SHEET ASSUMPTION'!H139)*-1</f>
        <v>3.5987039999999979</v>
      </c>
      <c r="E18" s="104">
        <f>('BALANCE SHEET ASSUMPTION'!L139-'BALANCE SHEET ASSUMPTION'!K139)*-1</f>
        <v>-50.230330559999857</v>
      </c>
      <c r="F18" s="104">
        <f>('BALANCE SHEET ASSUMPTION'!M139-'BALANCE SHEET ASSUMPTION'!L139)*-1</f>
        <v>-91.078469856000083</v>
      </c>
      <c r="G18" s="104">
        <f>('BALANCE SHEET ASSUMPTION'!N139-'BALANCE SHEET ASSUMPTION'!M139)*-1</f>
        <v>-93.358789492607684</v>
      </c>
      <c r="H18" s="104">
        <f>('BALANCE SHEET ASSUMPTION'!O139-'BALANCE SHEET ASSUMPTION'!N139)*-1</f>
        <v>-137.12521369086789</v>
      </c>
      <c r="I18" s="293"/>
      <c r="K18" s="179">
        <f>('BALANCE SHEET ASSUMPTION'!R139-'BALANCE SHEET ASSUMPTION'!H139)*-1</f>
        <v>175.61630400000058</v>
      </c>
      <c r="L18" s="104">
        <f>('BALANCE SHEET ASSUMPTION'!S139-'BALANCE SHEET ASSUMPTION'!R139)*-1</f>
        <v>29.021019359999627</v>
      </c>
      <c r="M18" s="104">
        <f>('BALANCE SHEET ASSUMPTION'!T139-'BALANCE SHEET ASSUMPTION'!S139)*-1</f>
        <v>-46.534599086400249</v>
      </c>
      <c r="N18" s="104">
        <f>('BALANCE SHEET ASSUMPTION'!U139-'BALANCE SHEET ASSUMPTION'!T139)*-1</f>
        <v>-47.366493693263692</v>
      </c>
      <c r="O18" s="104">
        <f>('BALANCE SHEET ASSUMPTION'!V139-'BALANCE SHEET ASSUMPTION'!U139)*-1</f>
        <v>-86.347073125493807</v>
      </c>
      <c r="P18" s="293"/>
      <c r="R18" s="179">
        <f>('BALANCE SHEET ASSUMPTION'!Y139-'BALANCE SHEET ASSUMPTION'!H139)*-1</f>
        <v>288.1345280000005</v>
      </c>
      <c r="S18" s="104">
        <f>('BALANCE SHEET ASSUMPTION'!Z139-'BALANCE SHEET ASSUMPTION'!Y139)*-1</f>
        <v>48.266493440000431</v>
      </c>
      <c r="T18" s="104">
        <f>('BALANCE SHEET ASSUMPTION'!AA139-'BALANCE SHEET ASSUMPTION'!Z139)*-1</f>
        <v>29.106036889599181</v>
      </c>
      <c r="U18" s="104">
        <f>('BALANCE SHEET ASSUMPTION'!AB139-'BALANCE SHEET ASSUMPTION'!AA139)*-1</f>
        <v>28.46377840486366</v>
      </c>
      <c r="V18" s="104">
        <f>('BALANCE SHEET ASSUMPTION'!AC139-'BALANCE SHEET ASSUMPTION'!AB139)*-1</f>
        <v>-43.008129864042985</v>
      </c>
    </row>
    <row r="19" spans="2:22" x14ac:dyDescent="0.25">
      <c r="B19" s="167" t="s">
        <v>3160</v>
      </c>
      <c r="C19" s="100" t="s">
        <v>112</v>
      </c>
      <c r="D19" s="32">
        <f>('BALANCE SHEET ASSUMPTION'!K33-'BALANCE SHEET ASSUMPTION'!H33)*-1</f>
        <v>-8</v>
      </c>
      <c r="E19" s="104">
        <f>('BALANCE SHEET ASSUMPTION'!L33-'BALANCE SHEET ASSUMPTION'!K33)*-1</f>
        <v>-30</v>
      </c>
      <c r="F19" s="104">
        <f>('BALANCE SHEET ASSUMPTION'!M33-'BALANCE SHEET ASSUMPTION'!L33)*-1</f>
        <v>-30</v>
      </c>
      <c r="G19" s="104">
        <f>('BALANCE SHEET ASSUMPTION'!N33-'BALANCE SHEET ASSUMPTION'!M33)*-1</f>
        <v>-30</v>
      </c>
      <c r="H19" s="104">
        <f>('BALANCE SHEET ASSUMPTION'!O33-'BALANCE SHEET ASSUMPTION'!N33)*-1</f>
        <v>-30</v>
      </c>
      <c r="I19" s="293"/>
      <c r="K19" s="179">
        <f>('BALANCE SHEET ASSUMPTION'!R33-'BALANCE SHEET ASSUMPTION'!H33)*-1</f>
        <v>42</v>
      </c>
      <c r="L19" s="104">
        <f>('BALANCE SHEET ASSUMPTION'!S33-'BALANCE SHEET ASSUMPTION'!R33)*-1</f>
        <v>-30</v>
      </c>
      <c r="M19" s="104">
        <f>('BALANCE SHEET ASSUMPTION'!T33-'BALANCE SHEET ASSUMPTION'!S33)*-1</f>
        <v>-30</v>
      </c>
      <c r="N19" s="104">
        <f>('BALANCE SHEET ASSUMPTION'!U33-'BALANCE SHEET ASSUMPTION'!T33)*-1</f>
        <v>-30</v>
      </c>
      <c r="O19" s="104">
        <f>('BALANCE SHEET ASSUMPTION'!V33-'BALANCE SHEET ASSUMPTION'!U33)*-1</f>
        <v>-30</v>
      </c>
      <c r="P19" s="293"/>
      <c r="R19" s="179">
        <f>('BALANCE SHEET ASSUMPTION'!Y33-'BALANCE SHEET ASSUMPTION'!H33)*-1</f>
        <v>32</v>
      </c>
      <c r="S19" s="104">
        <f>('BALANCE SHEET ASSUMPTION'!Z33-'BALANCE SHEET ASSUMPTION'!Y33)*-1</f>
        <v>-10</v>
      </c>
      <c r="T19" s="104">
        <f>('BALANCE SHEET ASSUMPTION'!AA33-'BALANCE SHEET ASSUMPTION'!Z33)*-1</f>
        <v>-10</v>
      </c>
      <c r="U19" s="104">
        <f>('BALANCE SHEET ASSUMPTION'!AB33-'BALANCE SHEET ASSUMPTION'!AA33)*-1</f>
        <v>-10</v>
      </c>
      <c r="V19" s="104">
        <f>('BALANCE SHEET ASSUMPTION'!AC33-'BALANCE SHEET ASSUMPTION'!AB33)*-1</f>
        <v>-10</v>
      </c>
    </row>
    <row r="20" spans="2:22" x14ac:dyDescent="0.25">
      <c r="B20" s="167" t="s">
        <v>3161</v>
      </c>
      <c r="C20" s="100" t="s">
        <v>112</v>
      </c>
      <c r="D20" s="32">
        <f>('BALANCE SHEET ASSUMPTION'!K35-'BALANCE SHEET ASSUMPTION'!H35)*-1</f>
        <v>-221.82096862004437</v>
      </c>
      <c r="E20" s="104">
        <f>('BALANCE SHEET ASSUMPTION'!L35-'BALANCE SHEET ASSUMPTION'!K35)*-1</f>
        <v>-18.018209686200407</v>
      </c>
      <c r="F20" s="104">
        <f>('BALANCE SHEET ASSUMPTION'!M35-'BALANCE SHEET ASSUMPTION'!L35)*-1</f>
        <v>-36.396783566124896</v>
      </c>
      <c r="G20" s="104">
        <f>('BALANCE SHEET ASSUMPTION'!N35-'BALANCE SHEET ASSUMPTION'!M35)*-1</f>
        <v>-37.12471923744738</v>
      </c>
      <c r="H20" s="104">
        <f>('BALANCE SHEET ASSUMPTION'!O35-'BALANCE SHEET ASSUMPTION'!N35)*-1</f>
        <v>-56.800820433294575</v>
      </c>
      <c r="I20" s="293"/>
      <c r="K20" s="179">
        <f>('BALANCE SHEET ASSUMPTION'!R35-'BALANCE SHEET ASSUMPTION'!H35)*-1</f>
        <v>-494.8312654790534</v>
      </c>
      <c r="L20" s="104">
        <f>('BALANCE SHEET ASSUMPTION'!S35-'BALANCE SHEET ASSUMPTION'!R35)*-1</f>
        <v>20.74831265479088</v>
      </c>
      <c r="M20" s="104">
        <f>('BALANCE SHEET ASSUMPTION'!T35-'BALANCE SHEET ASSUMPTION'!S35)*-1</f>
        <v>-20.540829528242739</v>
      </c>
      <c r="N20" s="104">
        <f>('BALANCE SHEET ASSUMPTION'!U35-'BALANCE SHEET ASSUMPTION'!T35)*-1</f>
        <v>-20.746237823525462</v>
      </c>
      <c r="O20" s="104">
        <f>('BALANCE SHEET ASSUMPTION'!V35-'BALANCE SHEET ASSUMPTION'!U35)*-1</f>
        <v>-41.907400403520569</v>
      </c>
      <c r="P20" s="293"/>
      <c r="R20" s="179">
        <f>('BALANCE SHEET ASSUMPTION'!Y35-'BALANCE SHEET ASSUMPTION'!H35)*-1</f>
        <v>-791.48319969380555</v>
      </c>
      <c r="S20" s="104">
        <f>('BALANCE SHEET ASSUMPTION'!Z35-'BALANCE SHEET ASSUMPTION'!Y35)*-1</f>
        <v>35.572247995407452</v>
      </c>
      <c r="T20" s="104">
        <f>('BALANCE SHEET ASSUMPTION'!AA35-'BALANCE SHEET ASSUMPTION'!Z35)*-1</f>
        <v>23.359109516983608</v>
      </c>
      <c r="U20" s="104">
        <f>('BALANCE SHEET ASSUMPTION'!AB35-'BALANCE SHEET ASSUMPTION'!AA35)*-1</f>
        <v>23.125518421813922</v>
      </c>
      <c r="V20" s="104">
        <f>('BALANCE SHEET ASSUMPTION'!AC35-'BALANCE SHEET ASSUMPTION'!AB35)*-1</f>
        <v>-22.894263237596078</v>
      </c>
    </row>
    <row r="21" spans="2:22" x14ac:dyDescent="0.25">
      <c r="B21" s="168" t="s">
        <v>199</v>
      </c>
      <c r="C21" s="58" t="s">
        <v>112</v>
      </c>
      <c r="D21" s="475">
        <f>('BALANCE SHEET ASSUMPTION'!K126-'BALANCE SHEET ASSUMPTION'!H126)*-1</f>
        <v>90.122400000000198</v>
      </c>
      <c r="E21" s="105">
        <f>('BALANCE SHEET ASSUMPTION'!L126-'BALANCE SHEET ASSUMPTION'!K126)*-1</f>
        <v>-34.404336000000058</v>
      </c>
      <c r="F21" s="105">
        <f>('BALANCE SHEET ASSUMPTION'!M126-'BALANCE SHEET ASSUMPTION'!L126)*-1</f>
        <v>-62.382513600000038</v>
      </c>
      <c r="G21" s="105">
        <f>('BALANCE SHEET ASSUMPTION'!N126-'BALANCE SHEET ASSUMPTION'!M126)*-1</f>
        <v>-63.944376364800064</v>
      </c>
      <c r="H21" s="105">
        <f>('BALANCE SHEET ASSUMPTION'!O126-'BALANCE SHEET ASSUMPTION'!N126)*-1</f>
        <v>-93.921379240320221</v>
      </c>
      <c r="I21" s="293"/>
      <c r="K21" s="180">
        <f>('BALANCE SHEET ASSUMPTION'!R126-'BALANCE SHEET ASSUMPTION'!H126)*-1</f>
        <v>-279.72607199999948</v>
      </c>
      <c r="L21" s="105">
        <f>('BALANCE SHEET ASSUMPTION'!S126-'BALANCE SHEET ASSUMPTION'!R126)*-1</f>
        <v>23.460917519999839</v>
      </c>
      <c r="M21" s="105">
        <f>('BALANCE SHEET ASSUMPTION'!T126-'BALANCE SHEET ASSUMPTION'!S126)*-1</f>
        <v>-37.619091784800275</v>
      </c>
      <c r="N21" s="105">
        <f>('BALANCE SHEET ASSUMPTION'!U126-'BALANCE SHEET ASSUMPTION'!T126)*-1</f>
        <v>-38.291604714647747</v>
      </c>
      <c r="O21" s="105">
        <f>('BALANCE SHEET ASSUMPTION'!V126-'BALANCE SHEET ASSUMPTION'!U126)*-1</f>
        <v>-69.803942293039654</v>
      </c>
      <c r="P21" s="293"/>
      <c r="R21" s="180">
        <f>('BALANCE SHEET ASSUMPTION'!Y126-'BALANCE SHEET ASSUMPTION'!H126)*-1</f>
        <v>-758.64159999999993</v>
      </c>
      <c r="S21" s="105">
        <f>('BALANCE SHEET ASSUMPTION'!Z126-'BALANCE SHEET ASSUMPTION'!Y126)*-1</f>
        <v>46.188032000000476</v>
      </c>
      <c r="T21" s="105">
        <f>('BALANCE SHEET ASSUMPTION'!AA126-'BALANCE SHEET ASSUMPTION'!Z126)*-1</f>
        <v>27.852666879999106</v>
      </c>
      <c r="U21" s="105">
        <f>('BALANCE SHEET ASSUMPTION'!AB126-'BALANCE SHEET ASSUMPTION'!AA126)*-1</f>
        <v>27.238065459199788</v>
      </c>
      <c r="V21" s="105">
        <f>('BALANCE SHEET ASSUMPTION'!AC126-'BALANCE SHEET ASSUMPTION'!AB126)*-1</f>
        <v>-41.156105133055462</v>
      </c>
    </row>
    <row r="22" spans="2:22" ht="15.6" x14ac:dyDescent="0.25">
      <c r="B22" s="553"/>
      <c r="C22" s="53"/>
      <c r="D22" s="32"/>
      <c r="E22" s="29"/>
      <c r="F22" s="29"/>
      <c r="G22" s="29"/>
      <c r="H22" s="29"/>
      <c r="I22" s="293"/>
      <c r="K22" s="32"/>
      <c r="L22" s="29"/>
      <c r="M22" s="29"/>
      <c r="N22" s="29"/>
      <c r="O22" s="29"/>
      <c r="P22" s="293"/>
      <c r="R22" s="32"/>
      <c r="S22" s="29"/>
      <c r="T22" s="29"/>
      <c r="U22" s="29"/>
      <c r="V22" s="29"/>
    </row>
    <row r="23" spans="2:22" ht="15.6" x14ac:dyDescent="0.3">
      <c r="B23" s="552" t="s">
        <v>200</v>
      </c>
      <c r="C23" s="560" t="s">
        <v>112</v>
      </c>
      <c r="D23" s="561">
        <f>SUM(D15:D21)</f>
        <v>1446.8671578457092</v>
      </c>
      <c r="E23" s="562">
        <f t="shared" ref="E23:H23" si="2">SUM(E15:E21)</f>
        <v>-62.555273966747961</v>
      </c>
      <c r="F23" s="561">
        <f t="shared" si="2"/>
        <v>-38.451072313521763</v>
      </c>
      <c r="G23" s="561">
        <f t="shared" si="2"/>
        <v>-300.38071157766916</v>
      </c>
      <c r="H23" s="561">
        <f t="shared" si="2"/>
        <v>-265.96382693913915</v>
      </c>
      <c r="I23" s="563"/>
      <c r="J23" s="205"/>
      <c r="K23" s="561">
        <f t="shared" ref="K23:O23" si="3">SUM(K15:K21)</f>
        <v>428.31810690451198</v>
      </c>
      <c r="L23" s="562">
        <f t="shared" si="3"/>
        <v>436.58154525424186</v>
      </c>
      <c r="M23" s="561">
        <f t="shared" si="3"/>
        <v>183.88396197802325</v>
      </c>
      <c r="N23" s="561">
        <f t="shared" si="3"/>
        <v>-65.585138756549242</v>
      </c>
      <c r="O23" s="561">
        <f t="shared" si="3"/>
        <v>-310.95797342843491</v>
      </c>
      <c r="P23" s="563"/>
      <c r="Q23" s="205"/>
      <c r="R23" s="561">
        <f t="shared" ref="R23:V23" si="4">SUM(R15:R21)</f>
        <v>-962.04877470750148</v>
      </c>
      <c r="S23" s="562">
        <f t="shared" si="4"/>
        <v>113.32006193951872</v>
      </c>
      <c r="T23" s="561">
        <f t="shared" si="4"/>
        <v>-23.332667083392153</v>
      </c>
      <c r="U23" s="561">
        <f t="shared" si="4"/>
        <v>-23.701366118533628</v>
      </c>
      <c r="V23" s="561">
        <f t="shared" si="4"/>
        <v>-564.39166184012549</v>
      </c>
    </row>
    <row r="24" spans="2:22" ht="15.6" x14ac:dyDescent="0.25">
      <c r="B24" s="554"/>
      <c r="C24" s="534"/>
      <c r="D24" s="475"/>
      <c r="E24" s="162"/>
      <c r="F24" s="162"/>
      <c r="G24" s="162"/>
      <c r="H24" s="162"/>
      <c r="I24" s="293"/>
      <c r="K24" s="475"/>
      <c r="L24" s="162"/>
      <c r="M24" s="162"/>
      <c r="N24" s="162"/>
      <c r="O24" s="162"/>
      <c r="P24" s="293"/>
      <c r="R24" s="475"/>
      <c r="S24" s="162"/>
      <c r="T24" s="162"/>
      <c r="U24" s="162"/>
      <c r="V24" s="162"/>
    </row>
    <row r="25" spans="2:22" ht="15.6" x14ac:dyDescent="0.25">
      <c r="B25" s="471" t="s">
        <v>3306</v>
      </c>
      <c r="C25" s="100"/>
      <c r="D25" s="179"/>
      <c r="E25" s="104"/>
      <c r="F25" s="104"/>
      <c r="G25" s="104"/>
      <c r="H25" s="181"/>
      <c r="I25" s="293"/>
      <c r="K25" s="179"/>
      <c r="L25" s="104"/>
      <c r="M25" s="104"/>
      <c r="N25" s="104"/>
      <c r="O25" s="181"/>
      <c r="P25" s="293"/>
      <c r="R25" s="179"/>
      <c r="S25" s="104"/>
      <c r="T25" s="104"/>
      <c r="U25" s="104"/>
      <c r="V25" s="181"/>
    </row>
    <row r="26" spans="2:22" ht="7.05" customHeight="1" x14ac:dyDescent="0.25">
      <c r="B26" s="167"/>
      <c r="C26" s="100"/>
      <c r="D26" s="179"/>
      <c r="E26" s="104"/>
      <c r="F26" s="104"/>
      <c r="G26" s="104"/>
      <c r="H26" s="181"/>
      <c r="I26" s="293"/>
      <c r="K26" s="179"/>
      <c r="L26" s="104"/>
      <c r="M26" s="104"/>
      <c r="N26" s="104"/>
      <c r="O26" s="181"/>
      <c r="P26" s="293"/>
      <c r="R26" s="179"/>
      <c r="S26" s="104"/>
      <c r="T26" s="104"/>
      <c r="U26" s="104"/>
      <c r="V26" s="181"/>
    </row>
    <row r="27" spans="2:22" x14ac:dyDescent="0.25">
      <c r="B27" s="167" t="s">
        <v>34</v>
      </c>
      <c r="C27" s="100" t="s">
        <v>112</v>
      </c>
      <c r="D27" s="179">
        <f>'BALANCE SHEET ASSUMPTION'!K108-'BALANCE SHEET ASSUMPTION'!H108</f>
        <v>258.95936438356148</v>
      </c>
      <c r="E27" s="104">
        <f>'BALANCE SHEET ASSUMPTION'!L108-'BALANCE SHEET ASSUMPTION'!K108</f>
        <v>61.259593643835615</v>
      </c>
      <c r="F27" s="104">
        <f>'BALANCE SHEET ASSUMPTION'!M108-'BALANCE SHEET ASSUMPTION'!L108</f>
        <v>123.7443791605474</v>
      </c>
      <c r="G27" s="104">
        <f>'BALANCE SHEET ASSUMPTION'!N108-'BALANCE SHEET ASSUMPTION'!M108</f>
        <v>126.21926674375936</v>
      </c>
      <c r="H27" s="104">
        <f>'BALANCE SHEET ASSUMPTION'!O108-'BALANCE SHEET ASSUMPTION'!N108</f>
        <v>193.11547811795117</v>
      </c>
      <c r="I27" s="293"/>
      <c r="K27" s="179">
        <f>('BALANCE SHEET ASSUMPTION'!R108-'BALANCE SHEET ASSUMPTION'!H108)</f>
        <v>-125.7299419178089</v>
      </c>
      <c r="L27" s="104">
        <f>('BALANCE SHEET ASSUMPTION'!S108-'BALANCE SHEET ASSUMPTION'!R108)</f>
        <v>-57.412700580821365</v>
      </c>
      <c r="M27" s="104">
        <f>('BALANCE SHEET ASSUMPTION'!T108-'BALANCE SHEET ASSUMPTION'!S108)</f>
        <v>56.83857357501347</v>
      </c>
      <c r="N27" s="104">
        <f>('BALANCE SHEET ASSUMPTION'!U108-'BALANCE SHEET ASSUMPTION'!T108)</f>
        <v>57.406959310763341</v>
      </c>
      <c r="O27" s="104">
        <f>('BALANCE SHEET ASSUMPTION'!V108-'BALANCE SHEET ASSUMPTION'!U108)</f>
        <v>115.96205780774289</v>
      </c>
      <c r="P27" s="293"/>
      <c r="R27" s="179">
        <f>('BALANCE SHEET ASSUMPTION'!Y108-'BALANCE SHEET ASSUMPTION'!H108)</f>
        <v>-426.39584000000104</v>
      </c>
      <c r="S27" s="104">
        <f>('BALANCE SHEET ASSUMPTION'!Z108-'BALANCE SHEET ASSUMPTION'!Y108)</f>
        <v>-81.609062399999857</v>
      </c>
      <c r="T27" s="104">
        <f>('BALANCE SHEET ASSUMPTION'!AA108-'BALANCE SHEET ASSUMPTION'!Z108)</f>
        <v>-53.589950975999272</v>
      </c>
      <c r="U27" s="104">
        <f>('BALANCE SHEET ASSUMPTION'!AB108-'BALANCE SHEET ASSUMPTION'!AA108)</f>
        <v>-53.054051466239798</v>
      </c>
      <c r="V27" s="104">
        <f>('BALANCE SHEET ASSUMPTION'!AC108-'BALANCE SHEET ASSUMPTION'!AB108)</f>
        <v>52.523510951577919</v>
      </c>
    </row>
    <row r="28" spans="2:22" x14ac:dyDescent="0.25">
      <c r="B28" s="167" t="s">
        <v>3175</v>
      </c>
      <c r="C28" s="100" t="s">
        <v>112</v>
      </c>
      <c r="D28" s="179">
        <f>'BALANCE SHEET ASSUMPTION'!K139-'BALANCE SHEET ASSUMPTION'!H139</f>
        <v>-3.5987039999999979</v>
      </c>
      <c r="E28" s="104">
        <f>'BALANCE SHEET ASSUMPTION'!L139-'BALANCE SHEET ASSUMPTION'!K139</f>
        <v>50.230330559999857</v>
      </c>
      <c r="F28" s="104">
        <f>'BALANCE SHEET ASSUMPTION'!M139-'BALANCE SHEET ASSUMPTION'!L139</f>
        <v>91.078469856000083</v>
      </c>
      <c r="G28" s="104">
        <f>'BALANCE SHEET ASSUMPTION'!N139-'BALANCE SHEET ASSUMPTION'!M139</f>
        <v>93.358789492607684</v>
      </c>
      <c r="H28" s="104">
        <f>'BALANCE SHEET ASSUMPTION'!O139-'BALANCE SHEET ASSUMPTION'!N139</f>
        <v>137.12521369086789</v>
      </c>
      <c r="I28" s="293"/>
      <c r="K28" s="179">
        <f>'BALANCE SHEET ASSUMPTION'!R139-'BALANCE SHEET ASSUMPTION'!H139</f>
        <v>-175.61630400000058</v>
      </c>
      <c r="L28" s="104">
        <f>'BALANCE SHEET ASSUMPTION'!S139-'BALANCE SHEET ASSUMPTION'!R139</f>
        <v>-29.021019359999627</v>
      </c>
      <c r="M28" s="104">
        <f>'BALANCE SHEET ASSUMPTION'!T139-'BALANCE SHEET ASSUMPTION'!S139</f>
        <v>46.534599086400249</v>
      </c>
      <c r="N28" s="104">
        <f>'BALANCE SHEET ASSUMPTION'!U139-'BALANCE SHEET ASSUMPTION'!T139</f>
        <v>47.366493693263692</v>
      </c>
      <c r="O28" s="104">
        <f>'BALANCE SHEET ASSUMPTION'!V139-'BALANCE SHEET ASSUMPTION'!U139</f>
        <v>86.347073125493807</v>
      </c>
      <c r="P28" s="293"/>
      <c r="R28" s="179">
        <f>'BALANCE SHEET ASSUMPTION'!Y139-'BALANCE SHEET ASSUMPTION'!H139</f>
        <v>-288.1345280000005</v>
      </c>
      <c r="S28" s="104">
        <f>'BALANCE SHEET ASSUMPTION'!Z139-'BALANCE SHEET ASSUMPTION'!Y139</f>
        <v>-48.266493440000431</v>
      </c>
      <c r="T28" s="104">
        <f>'BALANCE SHEET ASSUMPTION'!AA139-'BALANCE SHEET ASSUMPTION'!Z139</f>
        <v>-29.106036889599181</v>
      </c>
      <c r="U28" s="104">
        <f>'BALANCE SHEET ASSUMPTION'!AB139-'BALANCE SHEET ASSUMPTION'!AA139</f>
        <v>-28.46377840486366</v>
      </c>
      <c r="V28" s="104">
        <f>'BALANCE SHEET ASSUMPTION'!AC139-'BALANCE SHEET ASSUMPTION'!AB139</f>
        <v>43.008129864042985</v>
      </c>
    </row>
    <row r="29" spans="2:22" x14ac:dyDescent="0.25">
      <c r="B29" s="167" t="s">
        <v>3184</v>
      </c>
      <c r="C29" s="100" t="s">
        <v>112</v>
      </c>
      <c r="D29" s="32">
        <f>'BALANCE SHEET ASSUMPTION'!K168-'BALANCE SHEET ASSUMPTION'!H168</f>
        <v>693.36639999999989</v>
      </c>
      <c r="E29" s="104">
        <f>'BALANCE SHEET ASSUMPTION'!L168-'BALANCE SHEET ASSUMPTION'!K168</f>
        <v>26.993664000000081</v>
      </c>
      <c r="F29" s="104">
        <f>'BALANCE SHEET ASSUMPTION'!M168-'BALANCE SHEET ASSUMPTION'!L168</f>
        <v>54.527201280000099</v>
      </c>
      <c r="G29" s="104">
        <f>'BALANCE SHEET ASSUMPTION'!N168-'BALANCE SHEET ASSUMPTION'!M168</f>
        <v>55.617745305599783</v>
      </c>
      <c r="H29" s="104">
        <f>'BALANCE SHEET ASSUMPTION'!O168-'BALANCE SHEET ASSUMPTION'!N168</f>
        <v>85.095150317568368</v>
      </c>
      <c r="I29" s="293"/>
      <c r="K29" s="179">
        <f>'BALANCE SHEET ASSUMPTION'!R168-'BALANCE SHEET ASSUMPTION'!H168</f>
        <v>437.06022399999983</v>
      </c>
      <c r="L29" s="104">
        <f>'BALANCE SHEET ASSUMPTION'!S168-'BALANCE SHEET ASSUMPTION'!R168</f>
        <v>-24.430602240000098</v>
      </c>
      <c r="M29" s="104">
        <f>'BALANCE SHEET ASSUMPTION'!T168-'BALANCE SHEET ASSUMPTION'!S168</f>
        <v>24.186296217600102</v>
      </c>
      <c r="N29" s="104">
        <f>'BALANCE SHEET ASSUMPTION'!U168-'BALANCE SHEET ASSUMPTION'!T168</f>
        <v>24.42815917977623</v>
      </c>
      <c r="O29" s="104">
        <f>'BALANCE SHEET ASSUMPTION'!V168-'BALANCE SHEET ASSUMPTION'!U168</f>
        <v>49.344881543147494</v>
      </c>
      <c r="P29" s="293"/>
      <c r="R29" s="179">
        <f>'BALANCE SHEET ASSUMPTION'!Y168-'BALANCE SHEET ASSUMPTION'!H168</f>
        <v>100.04032000000007</v>
      </c>
      <c r="S29" s="104">
        <f>'BALANCE SHEET ASSUMPTION'!Z168-'BALANCE SHEET ASSUMPTION'!Y168</f>
        <v>-31.590604800000165</v>
      </c>
      <c r="T29" s="104">
        <f>'BALANCE SHEET ASSUMPTION'!AA168-'BALANCE SHEET ASSUMPTION'!Z168</f>
        <v>-20.744497151999894</v>
      </c>
      <c r="U29" s="104">
        <f>'BALANCE SHEET ASSUMPTION'!AB168-'BALANCE SHEET ASSUMPTION'!AA168</f>
        <v>-20.537052180480032</v>
      </c>
      <c r="V29" s="104">
        <f>'BALANCE SHEET ASSUMPTION'!AC168-'BALANCE SHEET ASSUMPTION'!AB168</f>
        <v>20.331681658675507</v>
      </c>
    </row>
    <row r="30" spans="2:22" x14ac:dyDescent="0.25">
      <c r="B30" s="167" t="s">
        <v>558</v>
      </c>
      <c r="C30" s="100" t="s">
        <v>112</v>
      </c>
      <c r="D30" s="32">
        <f>'BALANCE SHEET ASSUMPTION'!K146-'BALANCE SHEET ASSUMPTION'!H146</f>
        <v>38.782246575342469</v>
      </c>
      <c r="E30" s="104">
        <f>'BALANCE SHEET ASSUMPTION'!L146-'BALANCE SHEET ASSUMPTION'!K146</f>
        <v>18.851690958904101</v>
      </c>
      <c r="F30" s="104">
        <f>'BALANCE SHEET ASSUMPTION'!M146-'BALANCE SHEET ASSUMPTION'!L146</f>
        <v>34.182199232876656</v>
      </c>
      <c r="G30" s="104">
        <f>'BALANCE SHEET ASSUMPTION'!N146-'BALANCE SHEET ASSUMPTION'!M146</f>
        <v>35.038014446465695</v>
      </c>
      <c r="H30" s="104">
        <f>'BALANCE SHEET ASSUMPTION'!O146-'BALANCE SHEET ASSUMPTION'!N146</f>
        <v>51.463769446750803</v>
      </c>
      <c r="I30" s="293"/>
      <c r="K30" s="179">
        <f>'BALANCE SHEET ASSUMPTION'!R146-'BALANCE SHEET ASSUMPTION'!H146</f>
        <v>8.8545753424655231</v>
      </c>
      <c r="L30" s="104">
        <f>'BALANCE SHEET ASSUMPTION'!S146-'BALANCE SHEET ASSUMPTION'!I146</f>
        <v>1505.7083638356162</v>
      </c>
      <c r="M30" s="104">
        <f>'BALANCE SHEET ASSUMPTION'!T146-'BALANCE SHEET ASSUMPTION'!J146</f>
        <v>1523.5810814465754</v>
      </c>
      <c r="N30" s="104">
        <f>'BALANCE SHEET ASSUMPTION'!U146-'BALANCE SHEET ASSUMPTION'!K146</f>
        <v>-5.0089386430686318</v>
      </c>
      <c r="O30" s="104">
        <f>'BALANCE SHEET ASSUMPTION'!V146-'BALANCE SHEET ASSUMPTION'!L146</f>
        <v>9.3030138977687784</v>
      </c>
      <c r="P30" s="293"/>
      <c r="R30" s="179">
        <f>'BALANCE SHEET ASSUMPTION'!Y146-'BALANCE SHEET ASSUMPTION'!H146</f>
        <v>0.89380821917802677</v>
      </c>
      <c r="S30" s="104">
        <f>'BALANCE SHEET ASSUMPTION'!Z146-'BALANCE SHEET ASSUMPTION'!Y146</f>
        <v>-18.98138301369886</v>
      </c>
      <c r="T30" s="104">
        <f>'BALANCE SHEET ASSUMPTION'!AA146-'BALANCE SHEET ASSUMPTION'!Z146</f>
        <v>-11.446301457533991</v>
      </c>
      <c r="U30" s="104">
        <f>'BALANCE SHEET ASSUMPTION'!AB146-'BALANCE SHEET ASSUMPTION'!AA146</f>
        <v>-11.193725531177961</v>
      </c>
      <c r="V30" s="104">
        <f>'BALANCE SHEET ASSUMPTION'!AC146-'BALANCE SHEET ASSUMPTION'!AB146</f>
        <v>16.913467862899779</v>
      </c>
    </row>
    <row r="31" spans="2:22" x14ac:dyDescent="0.25">
      <c r="B31" s="167" t="s">
        <v>3252</v>
      </c>
      <c r="C31" s="100" t="s">
        <v>112</v>
      </c>
      <c r="D31" s="32">
        <f>'BALANCE SHEET ASSUMPTION'!K152-'BALANCE SHEET ASSUMPTION'!H152</f>
        <v>-112.84180000000015</v>
      </c>
      <c r="E31" s="104">
        <f>'BALANCE SHEET ASSUMPTION'!L152-'BALANCE SHEET ASSUMPTION'!K152</f>
        <v>25.803252000000157</v>
      </c>
      <c r="F31" s="104">
        <f>'BALANCE SHEET ASSUMPTION'!M152-'BALANCE SHEET ASSUMPTION'!L152</f>
        <v>46.786885199999688</v>
      </c>
      <c r="G31" s="104">
        <f>'BALANCE SHEET ASSUMPTION'!N152-'BALANCE SHEET ASSUMPTION'!M152</f>
        <v>47.958282273600162</v>
      </c>
      <c r="H31" s="104">
        <f>'BALANCE SHEET ASSUMPTION'!O152-'BALANCE SHEET ASSUMPTION'!N152</f>
        <v>70.441034430240052</v>
      </c>
      <c r="I31" s="293"/>
      <c r="K31" s="179">
        <f>'BALANCE SHEET ASSUMPTION'!R152-'BALANCE SHEET ASSUMPTION'!H152</f>
        <v>30.745339999999942</v>
      </c>
      <c r="L31" s="104">
        <f>'BALANCE SHEET ASSUMPTION'!S152-'BALANCE SHEET ASSUMPTION'!R152</f>
        <v>-16.612499400000161</v>
      </c>
      <c r="M31" s="104">
        <f>'BALANCE SHEET ASSUMPTION'!T152-'BALANCE SHEET ASSUMPTION'!S152</f>
        <v>26.63779620600053</v>
      </c>
      <c r="N31" s="104">
        <f>'BALANCE SHEET ASSUMPTION'!U152-'BALANCE SHEET ASSUMPTION'!T152</f>
        <v>27.113997558059509</v>
      </c>
      <c r="O31" s="104">
        <f>'BALANCE SHEET ASSUMPTION'!V152-'BALANCE SHEET ASSUMPTION'!U152</f>
        <v>49.427646999406534</v>
      </c>
      <c r="P31" s="293"/>
      <c r="R31" s="179">
        <f>'BALANCE SHEET ASSUMPTION'!Y152-'BALANCE SHEET ASSUMPTION'!H152</f>
        <v>202.46255999999994</v>
      </c>
      <c r="S31" s="104">
        <f>'BALANCE SHEET ASSUMPTION'!Z152-'BALANCE SHEET ASSUMPTION'!Y152</f>
        <v>-30.599571200000355</v>
      </c>
      <c r="T31" s="104">
        <f>'BALANCE SHEET ASSUMPTION'!AA152-'BALANCE SHEET ASSUMPTION'!Z152</f>
        <v>-18.452391807999447</v>
      </c>
      <c r="U31" s="104">
        <f>'BALANCE SHEET ASSUMPTION'!AB152-'BALANCE SHEET ASSUMPTION'!AA152</f>
        <v>-18.045218366719837</v>
      </c>
      <c r="V31" s="104">
        <f>'BALANCE SHEET ASSUMPTION'!AC152-'BALANCE SHEET ASSUMPTION'!AB152</f>
        <v>27.265919650649266</v>
      </c>
    </row>
    <row r="32" spans="2:22" x14ac:dyDescent="0.25">
      <c r="B32" s="473" t="s">
        <v>3253</v>
      </c>
      <c r="C32" s="58" t="s">
        <v>112</v>
      </c>
      <c r="D32" s="180">
        <f>'BALANCE SHEET ASSUMPTION'!K159-'BALANCE SHEET ASSUMPTION'!H159</f>
        <v>972.1831119999988</v>
      </c>
      <c r="E32" s="105">
        <f>'BALANCE SHEET ASSUMPTION'!L159-'BALANCE SHEET ASSUMPTION'!K159</f>
        <v>1073.5429509328005</v>
      </c>
      <c r="F32" s="105">
        <f>'BALANCE SHEET ASSUMPTION'!M159-'BALANCE SHEET ASSUMPTION'!L159</f>
        <v>1317.3548493022718</v>
      </c>
      <c r="G32" s="105">
        <f>'BALANCE SHEET ASSUMPTION'!N159-'BALANCE SHEET ASSUMPTION'!M159</f>
        <v>1563.3650979265349</v>
      </c>
      <c r="H32" s="105">
        <f>'BALANCE SHEET ASSUMPTION'!O159-'BALANCE SHEET ASSUMPTION'!N159</f>
        <v>1895.9933336768499</v>
      </c>
      <c r="I32" s="293"/>
      <c r="K32" s="180">
        <f>'BALANCE SHEET ASSUMPTION'!R159-'BALANCE SHEET ASSUMPTION'!H159</f>
        <v>813.71143375999964</v>
      </c>
      <c r="L32" s="105">
        <f>'BALANCE SHEET ASSUMPTION'!S159-'BALANCE SHEET ASSUMPTION'!R159</f>
        <v>710.55917450092966</v>
      </c>
      <c r="M32" s="105">
        <f>'BALANCE SHEET ASSUMPTION'!T159-'BALANCE SHEET ASSUMPTION'!S159</f>
        <v>900.11194877650814</v>
      </c>
      <c r="N32" s="105">
        <f>'BALANCE SHEET ASSUMPTION'!U159-'BALANCE SHEET ASSUMPTION'!T159</f>
        <v>1026.8155361303652</v>
      </c>
      <c r="O32" s="105">
        <f>'BALANCE SHEET ASSUMPTION'!V159-'BALANCE SHEET ASSUMPTION'!U159</f>
        <v>1211.8227465338987</v>
      </c>
      <c r="P32" s="293"/>
      <c r="R32" s="180">
        <f>'BALANCE SHEET ASSUMPTION'!Y159-'BALANCE SHEET ASSUMPTION'!H159</f>
        <v>727.70379099999991</v>
      </c>
      <c r="S32" s="105">
        <f>'BALANCE SHEET ASSUMPTION'!Z159-'BALANCE SHEET ASSUMPTION'!Y159</f>
        <v>425.19094702900111</v>
      </c>
      <c r="T32" s="105">
        <f>'BALANCE SHEET ASSUMPTION'!AA159-'BALANCE SHEET ASSUMPTION'!Z159</f>
        <v>491.8839247167798</v>
      </c>
      <c r="U32" s="105">
        <f>'BALANCE SHEET ASSUMPTION'!AB159-'BALANCE SHEET ASSUMPTION'!AA159</f>
        <v>542.34790704181978</v>
      </c>
      <c r="V32" s="105">
        <f>'BALANCE SHEET ASSUMPTION'!AC159-'BALANCE SHEET ASSUMPTION'!AB159</f>
        <v>675.64238113369356</v>
      </c>
    </row>
    <row r="33" spans="2:22" x14ac:dyDescent="0.25">
      <c r="B33" s="555"/>
      <c r="C33" s="559"/>
      <c r="D33" s="557"/>
      <c r="E33" s="556"/>
      <c r="F33" s="556"/>
      <c r="G33" s="556"/>
      <c r="H33" s="556"/>
      <c r="I33" s="293"/>
      <c r="K33" s="557"/>
      <c r="L33" s="556"/>
      <c r="M33" s="556"/>
      <c r="N33" s="556"/>
      <c r="O33" s="556"/>
      <c r="P33" s="293"/>
      <c r="R33" s="557"/>
      <c r="S33" s="556"/>
      <c r="T33" s="556"/>
      <c r="U33" s="556"/>
      <c r="V33" s="556"/>
    </row>
    <row r="34" spans="2:22" ht="15" customHeight="1" x14ac:dyDescent="0.3">
      <c r="B34" s="476" t="s">
        <v>3307</v>
      </c>
      <c r="C34" s="564" t="s">
        <v>112</v>
      </c>
      <c r="D34" s="565">
        <f>SUM(D27:D32)</f>
        <v>1846.8506189589025</v>
      </c>
      <c r="E34" s="565">
        <f t="shared" ref="E34:H34" si="5">SUM(E27:E32)</f>
        <v>1256.6814820955403</v>
      </c>
      <c r="F34" s="565">
        <f t="shared" si="5"/>
        <v>1667.6739840316957</v>
      </c>
      <c r="G34" s="565">
        <f t="shared" si="5"/>
        <v>1921.5571961885676</v>
      </c>
      <c r="H34" s="565">
        <f t="shared" si="5"/>
        <v>2433.233979680228</v>
      </c>
      <c r="I34" s="563"/>
      <c r="J34" s="205"/>
      <c r="K34" s="565">
        <f t="shared" ref="K34:O34" si="6">SUM(K27:K32)</f>
        <v>989.02532718465545</v>
      </c>
      <c r="L34" s="565">
        <f t="shared" si="6"/>
        <v>2088.7907167557246</v>
      </c>
      <c r="M34" s="565">
        <f t="shared" si="6"/>
        <v>2577.8902953080978</v>
      </c>
      <c r="N34" s="565">
        <f t="shared" si="6"/>
        <v>1178.1222072291594</v>
      </c>
      <c r="O34" s="565">
        <f t="shared" si="6"/>
        <v>1522.2074199074582</v>
      </c>
      <c r="P34" s="563"/>
      <c r="Q34" s="205"/>
      <c r="R34" s="565">
        <f t="shared" ref="R34:V34" si="7">SUM(R27:R32)</f>
        <v>316.5701112191764</v>
      </c>
      <c r="S34" s="565">
        <f t="shared" si="7"/>
        <v>214.14383217530144</v>
      </c>
      <c r="T34" s="565">
        <f t="shared" si="7"/>
        <v>358.54474643364802</v>
      </c>
      <c r="U34" s="565">
        <f t="shared" si="7"/>
        <v>411.05408109233849</v>
      </c>
      <c r="V34" s="565">
        <f t="shared" si="7"/>
        <v>835.68509112153902</v>
      </c>
    </row>
    <row r="35" spans="2:22" x14ac:dyDescent="0.25">
      <c r="B35" s="462"/>
      <c r="C35" s="53"/>
      <c r="D35" s="29"/>
      <c r="E35" s="29"/>
      <c r="F35" s="29"/>
      <c r="G35" s="29"/>
      <c r="H35" s="29"/>
      <c r="I35" s="293"/>
      <c r="K35" s="29"/>
      <c r="L35" s="29"/>
      <c r="M35" s="29"/>
      <c r="N35" s="29"/>
      <c r="O35" s="29"/>
      <c r="P35" s="293"/>
      <c r="R35" s="29"/>
      <c r="S35" s="29"/>
      <c r="T35" s="29"/>
      <c r="U35" s="29"/>
      <c r="V35" s="29"/>
    </row>
    <row r="36" spans="2:22" ht="15.6" x14ac:dyDescent="0.3">
      <c r="B36" s="566" t="s">
        <v>3297</v>
      </c>
      <c r="C36" s="567" t="s">
        <v>112</v>
      </c>
      <c r="D36" s="568">
        <f>-D23+D34</f>
        <v>399.98346111319324</v>
      </c>
      <c r="E36" s="568">
        <f>-E23+E34</f>
        <v>1319.2367560622884</v>
      </c>
      <c r="F36" s="568">
        <f t="shared" ref="F36:H36" si="8">-F23+F34</f>
        <v>1706.1250563452174</v>
      </c>
      <c r="G36" s="568">
        <f t="shared" si="8"/>
        <v>2221.9379077662365</v>
      </c>
      <c r="H36" s="568">
        <f t="shared" si="8"/>
        <v>2699.1978066193669</v>
      </c>
      <c r="I36" s="563"/>
      <c r="J36" s="205"/>
      <c r="K36" s="568">
        <f>-K23+K34</f>
        <v>560.70722028014347</v>
      </c>
      <c r="L36" s="568">
        <f t="shared" ref="L36:M36" si="9">-L23+L34</f>
        <v>1652.2091715014826</v>
      </c>
      <c r="M36" s="568">
        <f t="shared" si="9"/>
        <v>2394.0063333300745</v>
      </c>
      <c r="N36" s="568">
        <f>-N23+N34</f>
        <v>1243.7073459857086</v>
      </c>
      <c r="O36" s="568">
        <f t="shared" ref="O36" si="10">-O23+O34</f>
        <v>1833.165393335893</v>
      </c>
      <c r="P36" s="563"/>
      <c r="Q36" s="205"/>
      <c r="R36" s="568">
        <f>-R23+R34</f>
        <v>1278.6188859266779</v>
      </c>
      <c r="S36" s="568">
        <f>-S23+S34</f>
        <v>100.82377023578272</v>
      </c>
      <c r="T36" s="568">
        <f>-T23+T34</f>
        <v>381.87741351704017</v>
      </c>
      <c r="U36" s="568">
        <f t="shared" ref="U36:V36" si="11">-U23+U34</f>
        <v>434.75544721087215</v>
      </c>
      <c r="V36" s="568">
        <f t="shared" si="11"/>
        <v>1400.0767529616646</v>
      </c>
    </row>
    <row r="37" spans="2:22" x14ac:dyDescent="0.25">
      <c r="B37" s="29"/>
      <c r="C37" s="53"/>
      <c r="D37" s="29"/>
      <c r="E37" s="29"/>
      <c r="F37" s="29"/>
      <c r="G37" s="29"/>
      <c r="H37" s="29"/>
      <c r="I37" s="293"/>
      <c r="K37" s="29"/>
      <c r="L37" s="29"/>
      <c r="M37" s="29"/>
      <c r="N37" s="29"/>
      <c r="O37" s="29"/>
      <c r="P37" s="293"/>
      <c r="R37" s="29"/>
      <c r="S37" s="29"/>
      <c r="T37" s="29"/>
      <c r="U37" s="29"/>
      <c r="V37" s="29"/>
    </row>
    <row r="38" spans="2:22" ht="15.6" x14ac:dyDescent="0.3">
      <c r="B38" s="483" t="s">
        <v>242</v>
      </c>
      <c r="C38" s="535" t="s">
        <v>112</v>
      </c>
      <c r="D38" s="558">
        <f>D36+D9+D8</f>
        <v>18759.047571113191</v>
      </c>
      <c r="E38" s="558">
        <f t="shared" ref="E38:H38" si="12">E36+E9+E8</f>
        <v>20057.524657396287</v>
      </c>
      <c r="F38" s="558">
        <f t="shared" si="12"/>
        <v>20996.014391891375</v>
      </c>
      <c r="G38" s="558">
        <f t="shared" si="12"/>
        <v>22081.588691435427</v>
      </c>
      <c r="H38" s="558">
        <f t="shared" si="12"/>
        <v>23306.825048540086</v>
      </c>
      <c r="I38" s="293"/>
      <c r="K38" s="558">
        <f t="shared" ref="K38:O38" si="13">K36+K9+K8</f>
        <v>17355.32991468014</v>
      </c>
      <c r="L38" s="558">
        <f t="shared" si="13"/>
        <v>18451.614639029802</v>
      </c>
      <c r="M38" s="558">
        <f t="shared" si="13"/>
        <v>19491.179940458511</v>
      </c>
      <c r="N38" s="558">
        <f t="shared" si="13"/>
        <v>18646.272527231311</v>
      </c>
      <c r="O38" s="558">
        <f t="shared" si="13"/>
        <v>19696.021007331321</v>
      </c>
      <c r="P38" s="293"/>
      <c r="R38" s="558">
        <f t="shared" ref="R38:V38" si="14">R36+R9+R8</f>
        <v>16724.954855926677</v>
      </c>
      <c r="S38" s="558">
        <f t="shared" si="14"/>
        <v>15445.293481225781</v>
      </c>
      <c r="T38" s="558">
        <f t="shared" si="14"/>
        <v>15687.263669324844</v>
      </c>
      <c r="U38" s="558">
        <f t="shared" si="14"/>
        <v>15696.821870545047</v>
      </c>
      <c r="V38" s="558">
        <f t="shared" si="14"/>
        <v>16874.074512774994</v>
      </c>
    </row>
    <row r="39" spans="2:22" x14ac:dyDescent="0.25">
      <c r="B39" s="29"/>
      <c r="C39" s="53"/>
      <c r="D39" s="29"/>
      <c r="E39" s="29"/>
      <c r="F39" s="29"/>
      <c r="G39" s="29"/>
      <c r="H39" s="29"/>
      <c r="I39" s="293"/>
      <c r="K39" s="29"/>
      <c r="L39" s="29"/>
      <c r="M39" s="29"/>
      <c r="N39" s="29"/>
      <c r="O39" s="29"/>
      <c r="P39" s="293"/>
      <c r="R39" s="29"/>
      <c r="S39" s="29"/>
      <c r="T39" s="29"/>
      <c r="U39" s="29"/>
      <c r="V39" s="29"/>
    </row>
    <row r="40" spans="2:22" ht="15.6" x14ac:dyDescent="0.3">
      <c r="B40" s="165" t="s">
        <v>234</v>
      </c>
      <c r="C40" s="60"/>
      <c r="D40" s="46"/>
      <c r="E40" s="46"/>
      <c r="F40" s="46"/>
      <c r="G40" s="46"/>
      <c r="H40" s="46"/>
      <c r="I40" s="293"/>
      <c r="K40" s="46"/>
      <c r="L40" s="46"/>
      <c r="M40" s="46"/>
      <c r="N40" s="46"/>
      <c r="O40" s="46"/>
      <c r="P40" s="293"/>
      <c r="R40" s="46"/>
      <c r="S40" s="46"/>
      <c r="T40" s="46"/>
      <c r="U40" s="46"/>
      <c r="V40" s="46"/>
    </row>
    <row r="41" spans="2:22" ht="7.05" customHeight="1" x14ac:dyDescent="0.25">
      <c r="B41" s="102"/>
      <c r="C41" s="100"/>
      <c r="D41" s="104"/>
      <c r="E41" s="104"/>
      <c r="F41" s="104"/>
      <c r="G41" s="104"/>
      <c r="H41" s="104"/>
      <c r="I41" s="293"/>
      <c r="K41" s="104"/>
      <c r="L41" s="104"/>
      <c r="M41" s="104"/>
      <c r="N41" s="104"/>
      <c r="O41" s="104"/>
      <c r="P41" s="293"/>
      <c r="R41" s="104"/>
      <c r="S41" s="104"/>
      <c r="T41" s="104"/>
      <c r="U41" s="104"/>
      <c r="V41" s="104"/>
    </row>
    <row r="42" spans="2:22" x14ac:dyDescent="0.25">
      <c r="B42" s="169" t="s">
        <v>3298</v>
      </c>
      <c r="C42" s="100" t="s">
        <v>112</v>
      </c>
      <c r="D42" s="104">
        <f>('BALANCE SHEET ASSUMPTION'!K10)*-1</f>
        <v>-3149.2608000000005</v>
      </c>
      <c r="E42" s="181">
        <f>('BALANCE SHEET ASSUMPTION'!L10)*-1</f>
        <v>-3180.7534080000005</v>
      </c>
      <c r="F42" s="104">
        <f>('BALANCE SHEET ASSUMPTION'!M10)*-1</f>
        <v>-3244.3684761600002</v>
      </c>
      <c r="G42" s="104">
        <f>('BALANCE SHEET ASSUMPTION'!N10)*-1</f>
        <v>-3309.2558456832003</v>
      </c>
      <c r="H42" s="104">
        <f>('BALANCE SHEET ASSUMPTION'!O10)*-1</f>
        <v>-3408.5335210536964</v>
      </c>
      <c r="I42" s="293"/>
      <c r="K42" s="104">
        <f>('BALANCE SHEET ASSUMPTION'!R10)*-1</f>
        <v>-2945.7838079999997</v>
      </c>
      <c r="L42" s="181">
        <f>('BALANCE SHEET ASSUMPTION'!S10)*-1</f>
        <v>-2916.3259699199998</v>
      </c>
      <c r="M42" s="104">
        <f>('BALANCE SHEET ASSUMPTION'!T10)*-1</f>
        <v>-2945.4892296191997</v>
      </c>
      <c r="N42" s="104">
        <f>('BALANCE SHEET ASSUMPTION'!U10)*-1</f>
        <v>-2974.9441219153919</v>
      </c>
      <c r="O42" s="104">
        <f>('BALANCE SHEET ASSUMPTION'!V10)*-1</f>
        <v>-3034.4430043537</v>
      </c>
      <c r="P42" s="293"/>
      <c r="R42" s="104">
        <f>('BALANCE SHEET ASSUMPTION'!Y10)*-1</f>
        <v>-2808.0537599999998</v>
      </c>
      <c r="S42" s="181">
        <f>('BALANCE SHEET ASSUMPTION'!Z10)*-1</f>
        <v>-2765.9329535999996</v>
      </c>
      <c r="T42" s="104">
        <f>('BALANCE SHEET ASSUMPTION'!AA10)*-1</f>
        <v>-2738.2736240639997</v>
      </c>
      <c r="U42" s="104">
        <f>('BALANCE SHEET ASSUMPTION'!AB10)*-1</f>
        <v>-2710.8908878233601</v>
      </c>
      <c r="V42" s="104">
        <f>('BALANCE SHEET ASSUMPTION'!AC10)*-1</f>
        <v>-2737.9997967015938</v>
      </c>
    </row>
    <row r="43" spans="2:22" x14ac:dyDescent="0.25">
      <c r="B43" s="169" t="s">
        <v>3308</v>
      </c>
      <c r="C43" s="100" t="s">
        <v>112</v>
      </c>
      <c r="D43" s="104">
        <f>'BALANCE SHEET ASSUMPTION'!K12</f>
        <v>2590.145</v>
      </c>
      <c r="E43" s="104">
        <f>'BALANCE SHEET ASSUMPTION'!L12</f>
        <v>2654.4433170000002</v>
      </c>
      <c r="F43" s="104">
        <f>'BALANCE SHEET ASSUMPTION'!M12</f>
        <v>2714.9689774650001</v>
      </c>
      <c r="G43" s="104">
        <f>'BALANCE SHEET ASSUMPTION'!N12</f>
        <v>2775.8499198149252</v>
      </c>
      <c r="H43" s="104">
        <f>'BALANCE SHEET ASSUMPTION'!O12</f>
        <v>2837.1916012897768</v>
      </c>
      <c r="I43" s="293"/>
      <c r="K43" s="104">
        <f>'BALANCE SHEET ASSUMPTION'!R12</f>
        <v>2702.7599999999998</v>
      </c>
      <c r="L43" s="104">
        <f>'BALANCE SHEET ASSUMPTION'!S12</f>
        <v>2731.92285696</v>
      </c>
      <c r="M43" s="104">
        <f>'BALANCE SHEET ASSUMPTION'!T12</f>
        <v>2754.0512305152001</v>
      </c>
      <c r="N43" s="104">
        <f>'BALANCE SHEET ASSUMPTION'!U12</f>
        <v>2777.0237904076803</v>
      </c>
      <c r="O43" s="104">
        <f>'BALANCE SHEET ASSUMPTION'!V12</f>
        <v>2800.774230188606</v>
      </c>
      <c r="P43" s="293"/>
      <c r="R43" s="104">
        <f>'BALANCE SHEET ASSUMPTION'!Y12</f>
        <v>2815.375</v>
      </c>
      <c r="S43" s="104">
        <f>'BALANCE SHEET ASSUMPTION'!Z12</f>
        <v>2814.4598449999999</v>
      </c>
      <c r="T43" s="104">
        <f>'BALANCE SHEET ASSUMPTION'!AA12</f>
        <v>2808.3939835749998</v>
      </c>
      <c r="U43" s="104">
        <f>'BALANCE SHEET ASSUMPTION'!AB12</f>
        <v>2799.628938636125</v>
      </c>
      <c r="V43" s="104">
        <f>'BALANCE SHEET ASSUMPTION'!AC12</f>
        <v>2788.5366822845294</v>
      </c>
    </row>
    <row r="44" spans="2:22" x14ac:dyDescent="0.25">
      <c r="B44" s="169" t="s">
        <v>3263</v>
      </c>
      <c r="C44" s="100" t="s">
        <v>112</v>
      </c>
      <c r="D44" s="32">
        <f>-(('BALANCE SHEET ASSUMPTION'!K52+'BALANCE SHEET ASSUMPTION'!K58)-('BALANCE SHEET ASSUMPTION'!H52+'BALANCE SHEET ASSUMPTION'!H58))</f>
        <v>-6973</v>
      </c>
      <c r="E44" s="104">
        <f>-(('BALANCE SHEET ASSUMPTION'!L52+'BALANCE SHEET ASSUMPTION'!L58)-('BALANCE SHEET ASSUMPTION'!K52+'BALANCE SHEET ASSUMPTION'!K58))</f>
        <v>-5120</v>
      </c>
      <c r="F44" s="104">
        <f>-(('BALANCE SHEET ASSUMPTION'!M52+'BALANCE SHEET ASSUMPTION'!M58)-('BALANCE SHEET ASSUMPTION'!L52+'BALANCE SHEET ASSUMPTION'!L58))</f>
        <v>-7120</v>
      </c>
      <c r="G44" s="104">
        <f>-(('BALANCE SHEET ASSUMPTION'!N52+'BALANCE SHEET ASSUMPTION'!N58)-('BALANCE SHEET ASSUMPTION'!M52+'BALANCE SHEET ASSUMPTION'!M58))</f>
        <v>-7120</v>
      </c>
      <c r="H44" s="104">
        <f>-(('BALANCE SHEET ASSUMPTION'!O52+'BALANCE SHEET ASSUMPTION'!O58)-('BALANCE SHEET ASSUMPTION'!N52+'BALANCE SHEET ASSUMPTION'!N58))</f>
        <v>-7120</v>
      </c>
      <c r="I44" s="293"/>
      <c r="K44" s="179">
        <f>(('BALANCE SHEET ASSUMPTION'!R52+'BALANCE SHEET ASSUMPTION'!R58)-('BALANCE SHEET ASSUMPTION'!H52+'BALANCE SHEET ASSUMPTION'!H58))*-1</f>
        <v>-6953</v>
      </c>
      <c r="L44" s="104">
        <f>(('BALANCE SHEET ASSUMPTION'!S52+'BALANCE SHEET ASSUMPTION'!S58)-('BALANCE SHEET ASSUMPTION'!R52+'BALANCE SHEET ASSUMPTION'!R58))*-1</f>
        <v>-5100</v>
      </c>
      <c r="M44" s="104">
        <f>(('BALANCE SHEET ASSUMPTION'!T52+'BALANCE SHEET ASSUMPTION'!T58)-('BALANCE SHEET ASSUMPTION'!S52+'BALANCE SHEET ASSUMPTION'!S58))*-1</f>
        <v>-6100</v>
      </c>
      <c r="N44" s="104">
        <f>(('BALANCE SHEET ASSUMPTION'!U52+'BALANCE SHEET ASSUMPTION'!U58)-('BALANCE SHEET ASSUMPTION'!T52+'BALANCE SHEET ASSUMPTION'!T58))*-1</f>
        <v>-7100</v>
      </c>
      <c r="O44" s="104">
        <f>(('BALANCE SHEET ASSUMPTION'!V52+'BALANCE SHEET ASSUMPTION'!V58)-('BALANCE SHEET ASSUMPTION'!U52+'BALANCE SHEET ASSUMPTION'!U58))*-1</f>
        <v>-7100</v>
      </c>
      <c r="P44" s="293"/>
      <c r="R44" s="179">
        <f>(('BALANCE SHEET ASSUMPTION'!Y52+'BALANCE SHEET ASSUMPTION'!Y58)-('BALANCE SHEET ASSUMPTION'!H52+'BALANCE SHEET ASSUMPTION'!H58))*-1</f>
        <v>-4903</v>
      </c>
      <c r="S44" s="104">
        <f>(('BALANCE SHEET ASSUMPTION'!Z52+'BALANCE SHEET ASSUMPTION'!Z58)-('BALANCE SHEET ASSUMPTION'!Y52+'BALANCE SHEET ASSUMPTION'!Y58))*-1</f>
        <v>-5050</v>
      </c>
      <c r="T44" s="104">
        <f>(('BALANCE SHEET ASSUMPTION'!AA52+'BALANCE SHEET ASSUMPTION'!AA58)-('BALANCE SHEET ASSUMPTION'!Z52+'BALANCE SHEET ASSUMPTION'!Z58))*-1</f>
        <v>-5050</v>
      </c>
      <c r="U44" s="104">
        <f>(('BALANCE SHEET ASSUMPTION'!AB52+'BALANCE SHEET ASSUMPTION'!AB58)-('BALANCE SHEET ASSUMPTION'!AA52+'BALANCE SHEET ASSUMPTION'!AA58))*-1</f>
        <v>-6050</v>
      </c>
      <c r="V44" s="104">
        <f>(('BALANCE SHEET ASSUMPTION'!AC52+'BALANCE SHEET ASSUMPTION'!AC58)-('BALANCE SHEET ASSUMPTION'!AB52+'BALANCE SHEET ASSUMPTION'!AB58))*-1</f>
        <v>-6050</v>
      </c>
    </row>
    <row r="45" spans="2:22" x14ac:dyDescent="0.25">
      <c r="B45" s="43" t="s">
        <v>3300</v>
      </c>
      <c r="C45" s="58" t="s">
        <v>112</v>
      </c>
      <c r="D45" s="180">
        <f>(('BALANCE SHEET ASSUMPTION'!K49+'BALANCE SHEET ASSUMPTION'!K55)-('BALANCE SHEET ASSUMPTION'!H49+'BALANCE SHEET ASSUMPTION'!H55))*-1</f>
        <v>-1547.4694400000008</v>
      </c>
      <c r="E45" s="105">
        <f>(('BALANCE SHEET ASSUMPTION'!L49+'BALANCE SHEET ASSUMPTION'!L55)-('BALANCE SHEET ASSUMPTION'!K49+'BALANCE SHEET ASSUMPTION'!K55))*-1</f>
        <v>-1559.8394208000027</v>
      </c>
      <c r="F45" s="105">
        <f>(('BALANCE SHEET ASSUMPTION'!M49+'BALANCE SHEET ASSUMPTION'!M55)-('BALANCE SHEET ASSUMPTION'!L49+'BALANCE SHEET ASSUMPTION'!L55))*-1</f>
        <v>-1651.3067187199995</v>
      </c>
      <c r="G45" s="105">
        <f>(('BALANCE SHEET ASSUMPTION'!N49+'BALANCE SHEET ASSUMPTION'!N55)-('BALANCE SHEET ASSUMPTION'!M49+'BALANCE SHEET ASSUMPTION'!M55))*-1</f>
        <v>-1717.0412363020805</v>
      </c>
      <c r="H45" s="105">
        <f>(('BALANCE SHEET ASSUMPTION'!O49+'BALANCE SHEET ASSUMPTION'!O55)-('BALANCE SHEET ASSUMPTION'!N49+'BALANCE SHEET ASSUMPTION'!N55))*-1</f>
        <v>-1823.1925195020813</v>
      </c>
      <c r="I45" s="293"/>
      <c r="K45" s="180">
        <f>(('BALANCE SHEET ASSUMPTION'!R49+'BALANCE SHEET ASSUMPTION'!R55)-('BALANCE SHEET ASSUMPTION'!H49+'BALANCE SHEET ASSUMPTION'!H55))*-1</f>
        <v>-888.2045999999973</v>
      </c>
      <c r="L45" s="105">
        <f>('BALANCE SHEET ASSUMPTION'!S49-'BALANCE SHEET ASSUMPTION'!R49)*-1</f>
        <v>-888.29851500000223</v>
      </c>
      <c r="M45" s="105">
        <f>(('BALANCE SHEET ASSUMPTION'!T49+'BALANCE SHEET ASSUMPTION'!T55)-('BALANCE SHEET ASSUMPTION'!S49+'BALANCE SHEET ASSUMPTION'!S55))*-1</f>
        <v>-944.90028454500134</v>
      </c>
      <c r="N45" s="105">
        <f>(('BALANCE SHEET ASSUMPTION'!U49+'BALANCE SHEET ASSUMPTION'!U55)-('BALANCE SHEET ASSUMPTION'!T49+'BALANCE SHEET ASSUMPTION'!T55))*-1</f>
        <v>-1157.6974368955998</v>
      </c>
      <c r="O45" s="105">
        <f>(('BALANCE SHEET ASSUMPTION'!V49+'BALANCE SHEET ASSUMPTION'!V55)-('BALANCE SHEET ASSUMPTION'!U49+'BALANCE SHEET ASSUMPTION'!U55))*-1</f>
        <v>-1026.7694472931325</v>
      </c>
      <c r="P45" s="293"/>
      <c r="R45" s="180">
        <f>('BALANCE SHEET ASSUMPTION'!Y49-'BALANCE SHEET ASSUMPTION'!H49)*-1</f>
        <v>-480.52500000000146</v>
      </c>
      <c r="S45" s="105">
        <f>('BALANCE SHEET ASSUMPTION'!Z49-'BALANCE SHEET ASSUMPTION'!Y49)*-1</f>
        <v>-487.73287500000151</v>
      </c>
      <c r="T45" s="105">
        <f>('BALANCE SHEET ASSUMPTION'!AA49-'BALANCE SHEET ASSUMPTION'!Z49)*-1</f>
        <v>-495.04886812499899</v>
      </c>
      <c r="U45" s="105">
        <f>(('BALANCE SHEET ASSUMPTION'!AB49+'BALANCE SHEET ASSUMPTION'!AB55)-('BALANCE SHEET ASSUMPTION'!AA49+'BALANCE SHEET ASSUMPTION'!AA55))*-1</f>
        <v>-661.92609710847319</v>
      </c>
      <c r="V45" s="105">
        <f>(('BALANCE SHEET ASSUMPTION'!AC49+'BALANCE SHEET ASSUMPTION'!AC55)-('BALANCE SHEET ASSUMPTION'!AB49+'BALANCE SHEET ASSUMPTION'!AB55))*-1</f>
        <v>-540.87879901386623</v>
      </c>
    </row>
    <row r="46" spans="2:22" x14ac:dyDescent="0.25">
      <c r="B46" s="29"/>
      <c r="C46" s="53"/>
      <c r="D46" s="29"/>
      <c r="E46" s="29"/>
      <c r="F46" s="29"/>
      <c r="G46" s="29"/>
      <c r="H46" s="29"/>
      <c r="I46" s="293"/>
      <c r="K46" s="29"/>
      <c r="L46" s="29"/>
      <c r="M46" s="29"/>
      <c r="N46" s="29"/>
      <c r="O46" s="29"/>
      <c r="P46" s="293"/>
      <c r="R46" s="29"/>
      <c r="S46" s="29"/>
      <c r="T46" s="29"/>
      <c r="U46" s="29"/>
      <c r="V46" s="29"/>
    </row>
    <row r="47" spans="2:22" ht="15.6" x14ac:dyDescent="0.3">
      <c r="B47" s="483" t="s">
        <v>241</v>
      </c>
      <c r="C47" s="535" t="s">
        <v>112</v>
      </c>
      <c r="D47" s="558">
        <f>SUM(D42:D45)</f>
        <v>-9079.5852400000003</v>
      </c>
      <c r="E47" s="558">
        <f t="shared" ref="E47:H47" si="15">SUM(E42:E45)</f>
        <v>-7206.149511800003</v>
      </c>
      <c r="F47" s="558">
        <f t="shared" si="15"/>
        <v>-9300.7062174149996</v>
      </c>
      <c r="G47" s="558">
        <f t="shared" si="15"/>
        <v>-9370.447162170356</v>
      </c>
      <c r="H47" s="558">
        <f t="shared" si="15"/>
        <v>-9514.5344392660008</v>
      </c>
      <c r="I47" s="293"/>
      <c r="K47" s="558">
        <f t="shared" ref="K47:O47" si="16">SUM(K42:K45)</f>
        <v>-8084.2284079999972</v>
      </c>
      <c r="L47" s="558">
        <f t="shared" si="16"/>
        <v>-6172.701627960002</v>
      </c>
      <c r="M47" s="558">
        <f t="shared" si="16"/>
        <v>-7236.3382836490009</v>
      </c>
      <c r="N47" s="558">
        <f t="shared" si="16"/>
        <v>-8455.6177684033119</v>
      </c>
      <c r="O47" s="558">
        <f t="shared" si="16"/>
        <v>-8360.4382214582256</v>
      </c>
      <c r="P47" s="293"/>
      <c r="R47" s="558">
        <f t="shared" ref="R47:V47" si="17">SUM(R42:R45)</f>
        <v>-5376.2037600000012</v>
      </c>
      <c r="S47" s="558">
        <f t="shared" si="17"/>
        <v>-5489.2059836000008</v>
      </c>
      <c r="T47" s="558">
        <f t="shared" si="17"/>
        <v>-5474.9285086139989</v>
      </c>
      <c r="U47" s="558">
        <f t="shared" si="17"/>
        <v>-6623.1880462957088</v>
      </c>
      <c r="V47" s="558">
        <f t="shared" si="17"/>
        <v>-6540.3419134309306</v>
      </c>
    </row>
    <row r="48" spans="2:22" x14ac:dyDescent="0.25">
      <c r="B48" s="29"/>
      <c r="C48" s="53"/>
      <c r="D48" s="29"/>
      <c r="E48" s="29"/>
      <c r="F48" s="29"/>
      <c r="G48" s="29"/>
      <c r="H48" s="29"/>
      <c r="I48" s="293"/>
      <c r="K48" s="29"/>
      <c r="L48" s="29"/>
      <c r="M48" s="29"/>
      <c r="N48" s="29"/>
      <c r="O48" s="29"/>
      <c r="P48" s="293"/>
      <c r="R48" s="29"/>
      <c r="S48" s="29"/>
      <c r="T48" s="29"/>
      <c r="U48" s="29"/>
      <c r="V48" s="29"/>
    </row>
    <row r="49" spans="2:22" ht="15.6" x14ac:dyDescent="0.3">
      <c r="B49" s="165" t="s">
        <v>235</v>
      </c>
      <c r="C49" s="60"/>
      <c r="D49" s="46"/>
      <c r="E49" s="46"/>
      <c r="F49" s="46"/>
      <c r="G49" s="46"/>
      <c r="H49" s="46"/>
      <c r="I49" s="293"/>
      <c r="K49" s="46"/>
      <c r="L49" s="46"/>
      <c r="M49" s="46"/>
      <c r="N49" s="46"/>
      <c r="O49" s="46"/>
      <c r="P49" s="293"/>
      <c r="R49" s="46"/>
      <c r="S49" s="46"/>
      <c r="T49" s="46"/>
      <c r="U49" s="46"/>
      <c r="V49" s="46"/>
    </row>
    <row r="50" spans="2:22" ht="7.05" customHeight="1" x14ac:dyDescent="0.3">
      <c r="B50" s="166"/>
      <c r="C50" s="100"/>
      <c r="D50" s="104"/>
      <c r="E50" s="104"/>
      <c r="F50" s="104"/>
      <c r="G50" s="104"/>
      <c r="H50" s="104"/>
      <c r="I50" s="293"/>
      <c r="K50" s="104"/>
      <c r="L50" s="104"/>
      <c r="M50" s="104"/>
      <c r="N50" s="104"/>
      <c r="O50" s="104"/>
      <c r="P50" s="293"/>
      <c r="R50" s="104"/>
      <c r="S50" s="104"/>
      <c r="T50" s="104"/>
      <c r="U50" s="104"/>
      <c r="V50" s="104"/>
    </row>
    <row r="51" spans="2:22" x14ac:dyDescent="0.25">
      <c r="B51" s="167" t="s">
        <v>3262</v>
      </c>
      <c r="C51" s="100" t="s">
        <v>112</v>
      </c>
      <c r="D51" s="179">
        <f>'P &amp; L ASSUMPTIONS'!K84</f>
        <v>-200</v>
      </c>
      <c r="E51" s="179">
        <f>'P &amp; L ASSUMPTIONS'!L84</f>
        <v>-200</v>
      </c>
      <c r="F51" s="179">
        <f>'P &amp; L ASSUMPTIONS'!M84</f>
        <v>-200</v>
      </c>
      <c r="G51" s="179">
        <f>'P &amp; L ASSUMPTIONS'!N84</f>
        <v>-100</v>
      </c>
      <c r="H51" s="179">
        <f>'P &amp; L ASSUMPTIONS'!O84</f>
        <v>-100</v>
      </c>
      <c r="I51" s="293"/>
      <c r="K51" s="179">
        <f>'P &amp; L ASSUMPTIONS'!R84</f>
        <v>100</v>
      </c>
      <c r="L51" s="179">
        <f>'P &amp; L ASSUMPTIONS'!S84</f>
        <v>120</v>
      </c>
      <c r="M51" s="179">
        <f>'P &amp; L ASSUMPTIONS'!T84</f>
        <v>140</v>
      </c>
      <c r="N51" s="179">
        <f>'P &amp; L ASSUMPTIONS'!U84</f>
        <v>160</v>
      </c>
      <c r="O51" s="179">
        <f>'P &amp; L ASSUMPTIONS'!V84</f>
        <v>180</v>
      </c>
      <c r="P51" s="293"/>
      <c r="R51" s="179">
        <f>'P &amp; L ASSUMPTIONS'!Y84</f>
        <v>200</v>
      </c>
      <c r="S51" s="179">
        <f>'P &amp; L ASSUMPTIONS'!Z84</f>
        <v>300</v>
      </c>
      <c r="T51" s="179">
        <f>'P &amp; L ASSUMPTIONS'!AA84</f>
        <v>400</v>
      </c>
      <c r="U51" s="179">
        <f>'P &amp; L ASSUMPTIONS'!AB84</f>
        <v>500</v>
      </c>
      <c r="V51" s="179">
        <f>'P &amp; L ASSUMPTIONS'!AC84</f>
        <v>500</v>
      </c>
    </row>
    <row r="52" spans="2:22" x14ac:dyDescent="0.25">
      <c r="B52" s="167" t="s">
        <v>77</v>
      </c>
      <c r="C52" s="100" t="s">
        <v>112</v>
      </c>
      <c r="D52" s="179">
        <f>('P &amp; L ASSUMPTIONS'!K103)*-1</f>
        <v>-2247.0921164999995</v>
      </c>
      <c r="E52" s="179">
        <f>('P &amp; L ASSUMPTIONS'!L103)*-1</f>
        <v>-3050.5776831067997</v>
      </c>
      <c r="F52" s="179">
        <f>('P &amp; L ASSUMPTIONS'!M103)*-1</f>
        <v>-3925.3521500285397</v>
      </c>
      <c r="G52" s="179">
        <f>('P &amp; L ASSUMPTIONS'!N103)*-1</f>
        <v>-4041.6408747614641</v>
      </c>
      <c r="H52" s="179">
        <f>('P &amp; L ASSUMPTIONS'!O103)*-1</f>
        <v>-4202.0644048309932</v>
      </c>
      <c r="I52" s="293"/>
      <c r="K52" s="179">
        <f>('P &amp; L ASSUMPTIONS'!R103)*-1</f>
        <v>-2705.7575388799996</v>
      </c>
      <c r="L52" s="179">
        <f>('P &amp; L ASSUMPTIONS'!S103)*-1</f>
        <v>-3368.8914978900798</v>
      </c>
      <c r="M52" s="179">
        <f>('P &amp; L ASSUMPTIONS'!T103)*-1</f>
        <v>-4117.038254924194</v>
      </c>
      <c r="N52" s="179">
        <f>('P &amp; L ASSUMPTIONS'!U103)*-1</f>
        <v>-4193.2707519228379</v>
      </c>
      <c r="O52" s="179">
        <f>('P &amp; L ASSUMPTIONS'!V103)*-1</f>
        <v>-4315.5682834533727</v>
      </c>
      <c r="P52" s="293"/>
      <c r="R52" s="179">
        <f>('P &amp; L ASSUMPTIONS'!Y103)*-1</f>
        <v>-3755.5037909999992</v>
      </c>
      <c r="S52" s="179">
        <f>('P &amp; L ASSUMPTIONS'!Z103)*-1</f>
        <v>-4338.2205277004987</v>
      </c>
      <c r="T52" s="179">
        <f>('P &amp; L ASSUMPTIONS'!AA103)*-1</f>
        <v>-4935.8888836610422</v>
      </c>
      <c r="U52" s="179">
        <f>('P &amp; L ASSUMPTIONS'!AB103)*-1</f>
        <v>-5527.4675546814024</v>
      </c>
      <c r="V52" s="179">
        <f>('P &amp; L ASSUMPTIONS'!AC103)*-1</f>
        <v>-6242.343218202157</v>
      </c>
    </row>
    <row r="53" spans="2:22" x14ac:dyDescent="0.25">
      <c r="B53" s="168" t="s">
        <v>3299</v>
      </c>
      <c r="C53" s="58" t="s">
        <v>112</v>
      </c>
      <c r="D53" s="180">
        <f>('BALANCE SHEET ASSUMPTION'!K118-'BALANCE SHEET ASSUMPTION'!H118)</f>
        <v>-100</v>
      </c>
      <c r="E53" s="105">
        <f>'BALANCE SHEET ASSUMPTION'!L118-'BALANCE SHEET ASSUMPTION'!K118</f>
        <v>-100</v>
      </c>
      <c r="F53" s="105">
        <f>'BALANCE SHEET ASSUMPTION'!M118-'BALANCE SHEET ASSUMPTION'!L118</f>
        <v>-100</v>
      </c>
      <c r="G53" s="105">
        <f>'BALANCE SHEET ASSUMPTION'!N118-'BALANCE SHEET ASSUMPTION'!M118</f>
        <v>-100</v>
      </c>
      <c r="H53" s="105">
        <f>'BALANCE SHEET ASSUMPTION'!O118-'BALANCE SHEET ASSUMPTION'!N118</f>
        <v>-100</v>
      </c>
      <c r="I53" s="293"/>
      <c r="K53" s="180">
        <f>('BALANCE SHEET ASSUMPTION'!R118-'BALANCE SHEET ASSUMPTION'!H118)</f>
        <v>250</v>
      </c>
      <c r="L53" s="105">
        <f>'BALANCE SHEET ASSUMPTION'!S118-'BALANCE SHEET ASSUMPTION'!R118</f>
        <v>250</v>
      </c>
      <c r="M53" s="105">
        <f>'BALANCE SHEET ASSUMPTION'!T118-'BALANCE SHEET ASSUMPTION'!S118</f>
        <v>250</v>
      </c>
      <c r="N53" s="105">
        <f>'BALANCE SHEET ASSUMPTION'!U118-'BALANCE SHEET ASSUMPTION'!T118</f>
        <v>250</v>
      </c>
      <c r="O53" s="105">
        <f>'BALANCE SHEET ASSUMPTION'!V118-'BALANCE SHEET ASSUMPTION'!U118</f>
        <v>250</v>
      </c>
      <c r="P53" s="293"/>
      <c r="R53" s="180">
        <f>'BALANCE SHEET ASSUMPTION'!Y118-'BALANCE SHEET ASSUMPTION'!H118</f>
        <v>400</v>
      </c>
      <c r="S53" s="105">
        <f>'BALANCE SHEET ASSUMPTION'!Z118-'BALANCE SHEET ASSUMPTION'!Y118</f>
        <v>400</v>
      </c>
      <c r="T53" s="105">
        <f>'BALANCE SHEET ASSUMPTION'!AA118-'BALANCE SHEET ASSUMPTION'!Z118</f>
        <v>400</v>
      </c>
      <c r="U53" s="105">
        <f>'BALANCE SHEET ASSUMPTION'!AB118-'BALANCE SHEET ASSUMPTION'!AA118</f>
        <v>400</v>
      </c>
      <c r="V53" s="105">
        <f>'BALANCE SHEET ASSUMPTION'!AC118-'BALANCE SHEET ASSUMPTION'!AB118</f>
        <v>400</v>
      </c>
    </row>
    <row r="54" spans="2:22" x14ac:dyDescent="0.25">
      <c r="B54" s="29"/>
      <c r="C54" s="53"/>
      <c r="D54" s="29"/>
      <c r="E54" s="29"/>
      <c r="F54" s="29"/>
      <c r="G54" s="29"/>
      <c r="H54" s="29"/>
      <c r="I54" s="293"/>
      <c r="K54" s="29"/>
      <c r="L54" s="29"/>
      <c r="M54" s="29"/>
      <c r="N54" s="29"/>
      <c r="O54" s="29"/>
      <c r="P54" s="293"/>
      <c r="R54" s="29"/>
      <c r="S54" s="29"/>
      <c r="T54" s="29"/>
      <c r="U54" s="29"/>
      <c r="V54" s="29"/>
    </row>
    <row r="55" spans="2:22" ht="15.6" x14ac:dyDescent="0.3">
      <c r="B55" s="483" t="s">
        <v>243</v>
      </c>
      <c r="C55" s="535" t="s">
        <v>112</v>
      </c>
      <c r="D55" s="558">
        <f>SUM(D51:D53)</f>
        <v>-2547.0921164999995</v>
      </c>
      <c r="E55" s="558">
        <f t="shared" ref="E55:H55" si="18">SUM(E51:E53)</f>
        <v>-3350.5776831067997</v>
      </c>
      <c r="F55" s="558">
        <f t="shared" si="18"/>
        <v>-4225.3521500285397</v>
      </c>
      <c r="G55" s="558">
        <f t="shared" si="18"/>
        <v>-4241.6408747614641</v>
      </c>
      <c r="H55" s="558">
        <f t="shared" si="18"/>
        <v>-4402.0644048309932</v>
      </c>
      <c r="I55" s="293"/>
      <c r="K55" s="558">
        <f t="shared" ref="K55:O55" si="19">SUM(K51:K53)</f>
        <v>-2355.7575388799996</v>
      </c>
      <c r="L55" s="558">
        <f t="shared" si="19"/>
        <v>-2998.8914978900798</v>
      </c>
      <c r="M55" s="558">
        <f t="shared" si="19"/>
        <v>-3727.038254924194</v>
      </c>
      <c r="N55" s="558">
        <f t="shared" si="19"/>
        <v>-3783.2707519228379</v>
      </c>
      <c r="O55" s="558">
        <f t="shared" si="19"/>
        <v>-3885.5682834533727</v>
      </c>
      <c r="P55" s="293"/>
      <c r="R55" s="558">
        <f t="shared" ref="R55:V55" si="20">SUM(R51:R53)</f>
        <v>-3155.5037909999992</v>
      </c>
      <c r="S55" s="558">
        <f t="shared" si="20"/>
        <v>-3638.2205277004987</v>
      </c>
      <c r="T55" s="558">
        <f t="shared" si="20"/>
        <v>-4135.8888836610422</v>
      </c>
      <c r="U55" s="558">
        <f t="shared" si="20"/>
        <v>-4627.4675546814024</v>
      </c>
      <c r="V55" s="558">
        <f t="shared" si="20"/>
        <v>-5342.343218202157</v>
      </c>
    </row>
    <row r="56" spans="2:22" x14ac:dyDescent="0.25">
      <c r="B56" s="29"/>
      <c r="C56" s="53"/>
      <c r="D56" s="29"/>
      <c r="E56" s="29"/>
      <c r="F56" s="29"/>
      <c r="G56" s="29"/>
      <c r="H56" s="29"/>
      <c r="I56" s="293"/>
      <c r="K56" s="29"/>
      <c r="L56" s="29"/>
      <c r="M56" s="29"/>
      <c r="N56" s="29"/>
      <c r="O56" s="29"/>
      <c r="P56" s="293"/>
      <c r="R56" s="29"/>
      <c r="S56" s="29"/>
      <c r="T56" s="29"/>
      <c r="U56" s="29"/>
      <c r="V56" s="29"/>
    </row>
    <row r="57" spans="2:22" ht="15.6" x14ac:dyDescent="0.3">
      <c r="B57" s="536" t="s">
        <v>80</v>
      </c>
      <c r="C57" s="537" t="s">
        <v>112</v>
      </c>
      <c r="D57" s="538">
        <f>D55+D47+D38</f>
        <v>7132.3702146131909</v>
      </c>
      <c r="E57" s="538">
        <f t="shared" ref="E57:H57" si="21">E55+E47+E38</f>
        <v>9500.797462489485</v>
      </c>
      <c r="F57" s="538">
        <f t="shared" si="21"/>
        <v>7469.9560244478344</v>
      </c>
      <c r="G57" s="538">
        <f t="shared" si="21"/>
        <v>8469.5006545036067</v>
      </c>
      <c r="H57" s="538">
        <f t="shared" si="21"/>
        <v>9390.2262044430918</v>
      </c>
      <c r="I57" s="563"/>
      <c r="J57" s="205"/>
      <c r="K57" s="538">
        <f t="shared" ref="K57:O57" si="22">K55+K47+K38</f>
        <v>6915.3439678001432</v>
      </c>
      <c r="L57" s="538">
        <f t="shared" si="22"/>
        <v>9280.0215131797195</v>
      </c>
      <c r="M57" s="538">
        <f t="shared" si="22"/>
        <v>8527.8034018853159</v>
      </c>
      <c r="N57" s="538">
        <f t="shared" si="22"/>
        <v>6407.3840069051621</v>
      </c>
      <c r="O57" s="538">
        <f t="shared" si="22"/>
        <v>7450.0145024197227</v>
      </c>
      <c r="P57" s="563"/>
      <c r="Q57" s="205"/>
      <c r="R57" s="538">
        <f t="shared" ref="R57:V57" si="23">R55+R47+R38</f>
        <v>8193.2473049266773</v>
      </c>
      <c r="S57" s="538">
        <f t="shared" si="23"/>
        <v>6317.8669699252823</v>
      </c>
      <c r="T57" s="538">
        <f t="shared" si="23"/>
        <v>6076.446277049803</v>
      </c>
      <c r="U57" s="538">
        <f t="shared" si="23"/>
        <v>4446.1662695679352</v>
      </c>
      <c r="V57" s="538">
        <f t="shared" si="23"/>
        <v>4991.3893811419075</v>
      </c>
    </row>
    <row r="58" spans="2:22" x14ac:dyDescent="0.25">
      <c r="B58" s="29"/>
      <c r="C58" s="53"/>
      <c r="D58" s="29"/>
      <c r="E58" s="29"/>
      <c r="F58" s="29"/>
      <c r="G58" s="29"/>
      <c r="H58" s="29"/>
      <c r="I58" s="293"/>
      <c r="K58" s="29"/>
      <c r="L58" s="29"/>
      <c r="M58" s="29"/>
      <c r="N58" s="29"/>
      <c r="O58" s="29"/>
      <c r="P58" s="293"/>
      <c r="R58" s="29"/>
      <c r="S58" s="29"/>
      <c r="T58" s="29"/>
      <c r="U58" s="29"/>
      <c r="V58" s="29"/>
    </row>
    <row r="59" spans="2:22" x14ac:dyDescent="0.25">
      <c r="B59" s="160" t="s">
        <v>3461</v>
      </c>
      <c r="C59" s="528" t="s">
        <v>112</v>
      </c>
      <c r="D59" s="463">
        <f>D62-D57-D61</f>
        <v>-7371.054339508577</v>
      </c>
      <c r="E59" s="463">
        <f t="shared" ref="E59:H59" si="24">E62-E57-E61</f>
        <v>-9622.0677527992957</v>
      </c>
      <c r="F59" s="463">
        <f t="shared" si="24"/>
        <v>-8426.6974153721239</v>
      </c>
      <c r="G59" s="463">
        <f t="shared" si="24"/>
        <v>-8553.4134642622867</v>
      </c>
      <c r="H59" s="463">
        <f t="shared" si="24"/>
        <v>-8664.6012923878534</v>
      </c>
      <c r="I59" s="293"/>
      <c r="K59" s="463">
        <f t="shared" ref="K59:O59" si="25">K62-K57-K61</f>
        <v>-8439.5759932149649</v>
      </c>
      <c r="L59" s="463">
        <f t="shared" si="25"/>
        <v>-9430.5242613537885</v>
      </c>
      <c r="M59" s="463">
        <f t="shared" si="25"/>
        <v>-8070.8310243594697</v>
      </c>
      <c r="N59" s="463">
        <f t="shared" si="25"/>
        <v>-6931.2594172687641</v>
      </c>
      <c r="O59" s="463">
        <f t="shared" si="25"/>
        <v>-7203.1820505076139</v>
      </c>
      <c r="P59" s="293"/>
      <c r="R59" s="463">
        <f t="shared" ref="R59:V59" si="26">R62-R57-R61</f>
        <v>-10102.420558915001</v>
      </c>
      <c r="S59" s="463">
        <f t="shared" si="26"/>
        <v>-6953.5496360255675</v>
      </c>
      <c r="T59" s="463">
        <f t="shared" si="26"/>
        <v>-5807.5454608944237</v>
      </c>
      <c r="U59" s="463">
        <f t="shared" si="26"/>
        <v>-4900.8467747399645</v>
      </c>
      <c r="V59" s="463">
        <f t="shared" si="26"/>
        <v>-4817.8653311343041</v>
      </c>
    </row>
    <row r="60" spans="2:22" x14ac:dyDescent="0.25">
      <c r="B60" s="29"/>
      <c r="C60" s="53"/>
      <c r="D60" s="32"/>
      <c r="E60" s="29"/>
      <c r="F60" s="29"/>
      <c r="G60" s="29"/>
      <c r="H60" s="29"/>
      <c r="I60" s="293"/>
      <c r="K60" s="32"/>
      <c r="L60" s="29"/>
      <c r="M60" s="29"/>
      <c r="N60" s="29"/>
      <c r="O60" s="29"/>
      <c r="P60" s="293"/>
      <c r="R60" s="32"/>
      <c r="S60" s="29"/>
      <c r="T60" s="29"/>
      <c r="U60" s="29"/>
      <c r="V60" s="29"/>
    </row>
    <row r="61" spans="2:22" x14ac:dyDescent="0.25">
      <c r="B61" s="40" t="s">
        <v>236</v>
      </c>
      <c r="C61" s="60" t="s">
        <v>112</v>
      </c>
      <c r="D61" s="62">
        <f>'BALANCE SHEET'!$H$15</f>
        <v>12358</v>
      </c>
      <c r="E61" s="62">
        <f>D$62</f>
        <v>12119.315875104614</v>
      </c>
      <c r="F61" s="62">
        <f t="shared" ref="F61:H61" si="27">E$62</f>
        <v>11998.045584794803</v>
      </c>
      <c r="G61" s="62">
        <f t="shared" si="27"/>
        <v>11041.304193870514</v>
      </c>
      <c r="H61" s="62">
        <f t="shared" si="27"/>
        <v>10957.391384111834</v>
      </c>
      <c r="I61" s="293"/>
      <c r="K61" s="62">
        <f>$D$61</f>
        <v>12358</v>
      </c>
      <c r="L61" s="62">
        <f>K$62</f>
        <v>10833.767974585178</v>
      </c>
      <c r="M61" s="62">
        <f t="shared" ref="M61:O61" si="28">L$62</f>
        <v>10683.265226411109</v>
      </c>
      <c r="N61" s="62">
        <f t="shared" si="28"/>
        <v>11140.237603936956</v>
      </c>
      <c r="O61" s="62">
        <f t="shared" si="28"/>
        <v>10616.362193573354</v>
      </c>
      <c r="P61" s="293"/>
      <c r="R61" s="62">
        <f>$D$61</f>
        <v>12358</v>
      </c>
      <c r="S61" s="62">
        <f>R$62</f>
        <v>10448.826746011677</v>
      </c>
      <c r="T61" s="62">
        <f t="shared" ref="T61:V61" si="29">S$62</f>
        <v>9813.1440799113916</v>
      </c>
      <c r="U61" s="62">
        <f t="shared" si="29"/>
        <v>10082.044896066771</v>
      </c>
      <c r="V61" s="62">
        <f t="shared" si="29"/>
        <v>9627.3643908947415</v>
      </c>
    </row>
    <row r="62" spans="2:22" x14ac:dyDescent="0.25">
      <c r="B62" s="43" t="s">
        <v>237</v>
      </c>
      <c r="C62" s="58" t="s">
        <v>112</v>
      </c>
      <c r="D62" s="105">
        <v>12119.315875104614</v>
      </c>
      <c r="E62" s="105">
        <v>11998.045584794803</v>
      </c>
      <c r="F62" s="105">
        <v>11041.304193870514</v>
      </c>
      <c r="G62" s="105">
        <v>10957.391384111834</v>
      </c>
      <c r="H62" s="105">
        <v>11683.016296167072</v>
      </c>
      <c r="I62" s="293"/>
      <c r="K62" s="105">
        <v>10833.767974585178</v>
      </c>
      <c r="L62" s="105">
        <v>10683.265226411109</v>
      </c>
      <c r="M62" s="105">
        <v>11140.237603936956</v>
      </c>
      <c r="N62" s="105">
        <v>10616.362193573354</v>
      </c>
      <c r="O62" s="105">
        <v>10863.194645485462</v>
      </c>
      <c r="P62" s="293"/>
      <c r="R62" s="105">
        <v>10448.826746011677</v>
      </c>
      <c r="S62" s="105">
        <v>9813.1440799113916</v>
      </c>
      <c r="T62" s="105">
        <v>10082.044896066771</v>
      </c>
      <c r="U62" s="105">
        <v>9627.3643908947415</v>
      </c>
      <c r="V62" s="105">
        <v>9800.8884409023449</v>
      </c>
    </row>
    <row r="64" spans="2:22" x14ac:dyDescent="0.25">
      <c r="B64" s="236"/>
      <c r="C64" s="236"/>
      <c r="D64" s="236"/>
      <c r="E64" s="236"/>
      <c r="F64" s="236"/>
      <c r="G64" s="236"/>
      <c r="H64" s="236"/>
      <c r="I64" s="236"/>
      <c r="J64" s="236"/>
      <c r="K64" s="236"/>
      <c r="L64" s="236"/>
      <c r="M64" s="236"/>
      <c r="N64" s="236"/>
      <c r="O64" s="236"/>
      <c r="P64" s="236"/>
      <c r="Q64" s="236"/>
      <c r="R64" s="236"/>
      <c r="S64" s="236"/>
      <c r="T64" s="236"/>
      <c r="U64" s="236"/>
      <c r="V64" s="236"/>
    </row>
  </sheetData>
  <mergeCells count="4">
    <mergeCell ref="B1:B3"/>
    <mergeCell ref="D1:H2"/>
    <mergeCell ref="K1:O2"/>
    <mergeCell ref="R1:V2"/>
  </mergeCells>
  <printOptions horizontalCentered="1" verticalCentered="1"/>
  <pageMargins left="0" right="0" top="0" bottom="0" header="0" footer="0"/>
  <pageSetup scale="45" orientation="landscape"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B66CB-15D7-4FA5-AFD8-FC7B3C1356F2}">
  <sheetPr>
    <pageSetUpPr fitToPage="1"/>
  </sheetPr>
  <dimension ref="B1:O64"/>
  <sheetViews>
    <sheetView zoomScale="70" zoomScaleNormal="70" workbookViewId="0"/>
  </sheetViews>
  <sheetFormatPr defaultColWidth="15.77734375" defaultRowHeight="15" x14ac:dyDescent="0.25"/>
  <cols>
    <col min="1" max="1" width="2" style="29" customWidth="1"/>
    <col min="2" max="2" width="44.77734375" style="29" customWidth="1"/>
    <col min="3" max="3" width="8.88671875" style="29" customWidth="1"/>
    <col min="4" max="8" width="15.77734375" style="29"/>
    <col min="9" max="10" width="2" style="29" customWidth="1"/>
    <col min="11" max="16384" width="15.77734375" style="29"/>
  </cols>
  <sheetData>
    <row r="1" spans="2:15" ht="15" customHeight="1" x14ac:dyDescent="0.25">
      <c r="B1" s="974" t="s">
        <v>3336</v>
      </c>
      <c r="C1" s="30"/>
      <c r="D1" s="975" t="s">
        <v>53</v>
      </c>
      <c r="E1" s="975"/>
      <c r="F1" s="975"/>
      <c r="G1" s="975"/>
      <c r="H1" s="975"/>
      <c r="I1" s="987">
        <v>2</v>
      </c>
      <c r="J1" s="987"/>
      <c r="K1" s="975" t="s">
        <v>232</v>
      </c>
      <c r="L1" s="975"/>
      <c r="M1" s="975"/>
      <c r="N1" s="975"/>
      <c r="O1" s="975"/>
    </row>
    <row r="2" spans="2:15" ht="15" customHeight="1" x14ac:dyDescent="0.25">
      <c r="B2" s="974"/>
      <c r="C2" s="30"/>
      <c r="D2" s="975"/>
      <c r="E2" s="975"/>
      <c r="F2" s="975"/>
      <c r="G2" s="975"/>
      <c r="H2" s="975"/>
      <c r="I2" s="987"/>
      <c r="J2" s="987"/>
      <c r="K2" s="975"/>
      <c r="L2" s="975"/>
      <c r="M2" s="975"/>
      <c r="N2" s="975"/>
      <c r="O2" s="975"/>
    </row>
    <row r="3" spans="2:15" ht="24.6" x14ac:dyDescent="0.4">
      <c r="B3" s="974"/>
      <c r="C3" s="34" t="s">
        <v>82</v>
      </c>
      <c r="D3" s="35" t="s">
        <v>83</v>
      </c>
      <c r="E3" s="35" t="s">
        <v>84</v>
      </c>
      <c r="F3" s="35" t="s">
        <v>85</v>
      </c>
      <c r="G3" s="35" t="s">
        <v>86</v>
      </c>
      <c r="H3" s="35" t="s">
        <v>87</v>
      </c>
      <c r="I3" s="35"/>
      <c r="J3" s="35"/>
      <c r="K3" s="35" t="s">
        <v>88</v>
      </c>
      <c r="L3" s="35" t="s">
        <v>89</v>
      </c>
      <c r="M3" s="35" t="s">
        <v>90</v>
      </c>
      <c r="N3" s="35" t="s">
        <v>91</v>
      </c>
      <c r="O3" s="35" t="s">
        <v>92</v>
      </c>
    </row>
    <row r="4" spans="2:15" ht="28.2" x14ac:dyDescent="0.5">
      <c r="B4" s="38" t="s">
        <v>121</v>
      </c>
      <c r="C4" s="33"/>
      <c r="D4" s="36">
        <v>44276</v>
      </c>
      <c r="E4" s="36">
        <f>EDATE(D4,12)</f>
        <v>44641</v>
      </c>
      <c r="F4" s="36">
        <f t="shared" ref="F4:H4" si="0">EDATE(E4,12)</f>
        <v>45006</v>
      </c>
      <c r="G4" s="36">
        <f t="shared" si="0"/>
        <v>45372</v>
      </c>
      <c r="H4" s="36">
        <f t="shared" si="0"/>
        <v>45737</v>
      </c>
      <c r="I4" s="37"/>
      <c r="J4" s="37"/>
      <c r="K4" s="68">
        <f>EDATE(H4,12)</f>
        <v>46102</v>
      </c>
      <c r="L4" s="68">
        <f>EDATE(K4,12)</f>
        <v>46467</v>
      </c>
      <c r="M4" s="68">
        <f t="shared" ref="M4:O4" si="1">EDATE(L4,12)</f>
        <v>46833</v>
      </c>
      <c r="N4" s="68">
        <f t="shared" si="1"/>
        <v>47198</v>
      </c>
      <c r="O4" s="68">
        <f t="shared" si="1"/>
        <v>47563</v>
      </c>
    </row>
    <row r="6" spans="2:15" ht="15.6" x14ac:dyDescent="0.3">
      <c r="B6" s="165" t="s">
        <v>233</v>
      </c>
      <c r="C6" s="46"/>
      <c r="D6" s="46"/>
      <c r="E6" s="46"/>
      <c r="F6" s="46"/>
      <c r="G6" s="46"/>
      <c r="H6" s="46"/>
      <c r="I6" s="181"/>
      <c r="K6" s="46"/>
      <c r="L6" s="46"/>
      <c r="M6" s="46"/>
      <c r="N6" s="46"/>
      <c r="O6" s="46"/>
    </row>
    <row r="7" spans="2:15" ht="7.05" customHeight="1" x14ac:dyDescent="0.25">
      <c r="B7" s="102"/>
      <c r="C7" s="104"/>
      <c r="D7" s="104"/>
      <c r="E7" s="104"/>
      <c r="F7" s="104"/>
      <c r="G7" s="104"/>
      <c r="H7" s="104"/>
      <c r="I7" s="181"/>
      <c r="K7" s="104"/>
      <c r="L7" s="104"/>
      <c r="M7" s="104"/>
      <c r="N7" s="104"/>
      <c r="O7" s="104"/>
    </row>
    <row r="8" spans="2:15" x14ac:dyDescent="0.25">
      <c r="B8" s="167" t="s">
        <v>106</v>
      </c>
      <c r="C8" s="100" t="s">
        <v>112</v>
      </c>
      <c r="D8" s="104">
        <f>'PROFIT &amp; LOSS'!D38</f>
        <v>11155</v>
      </c>
      <c r="E8" s="104">
        <f>'PROFIT &amp; LOSS'!E38</f>
        <v>11084</v>
      </c>
      <c r="F8" s="104">
        <f>'PROFIT &amp; LOSS'!F38</f>
        <v>11804</v>
      </c>
      <c r="G8" s="104">
        <f>'PROFIT &amp; LOSS'!G38</f>
        <v>11168</v>
      </c>
      <c r="H8" s="104">
        <f>'PROFIT &amp; LOSS'!H38</f>
        <v>13191</v>
      </c>
      <c r="I8" s="181"/>
      <c r="K8" s="104">
        <f>CHOOSE($I$1,'CASH FLOW ASSUMPTION'!D8,'CASH FLOW ASSUMPTION'!K8,'CASH FLOW ASSUMPTION'!R8)</f>
        <v>13528.787694399998</v>
      </c>
      <c r="L8" s="104">
        <f>CHOOSE($I$1,'CASH FLOW ASSUMPTION'!E8,'CASH FLOW ASSUMPTION'!L8,'CASH FLOW ASSUMPTION'!S8)</f>
        <v>13475.565991560319</v>
      </c>
      <c r="M8" s="104">
        <f>CHOOSE($I$1,'CASH FLOW ASSUMPTION'!F8,'CASH FLOW ASSUMPTION'!M8,'CASH FLOW ASSUMPTION'!T8)</f>
        <v>13723.460849747315</v>
      </c>
      <c r="N8" s="104">
        <f>CHOOSE($I$1,'CASH FLOW ASSUMPTION'!G8,'CASH FLOW ASSUMPTION'!N8,'CASH FLOW ASSUMPTION'!U8)</f>
        <v>13977.569173076128</v>
      </c>
      <c r="O8" s="104">
        <f>CHOOSE($I$1,'CASH FLOW ASSUMPTION'!H8,'CASH FLOW ASSUMPTION'!O8,'CASH FLOW ASSUMPTION'!V8)</f>
        <v>14385.227611511244</v>
      </c>
    </row>
    <row r="9" spans="2:15" x14ac:dyDescent="0.25">
      <c r="B9" s="167" t="s">
        <v>3261</v>
      </c>
      <c r="C9" s="100" t="s">
        <v>112</v>
      </c>
      <c r="D9" s="104">
        <f>'PROFIT &amp; LOSS'!D24</f>
        <v>2763</v>
      </c>
      <c r="E9" s="104">
        <f>'PROFIT &amp; LOSS'!E24</f>
        <v>3078</v>
      </c>
      <c r="F9" s="104">
        <f>'PROFIT &amp; LOSS'!F24</f>
        <v>3340</v>
      </c>
      <c r="G9" s="104">
        <f>'PROFIT &amp; LOSS'!G24</f>
        <v>3407</v>
      </c>
      <c r="H9" s="104">
        <f>'PROFIT &amp; LOSS'!H24</f>
        <v>2958</v>
      </c>
      <c r="I9" s="181"/>
      <c r="K9" s="104">
        <f>CHOOSE($I$1,'CASH FLOW ASSUMPTION'!D9,'CASH FLOW ASSUMPTION'!K9,'CASH FLOW ASSUMPTION'!R9)</f>
        <v>3265.8349999999996</v>
      </c>
      <c r="L9" s="104">
        <f>CHOOSE($I$1,'CASH FLOW ASSUMPTION'!E9,'CASH FLOW ASSUMPTION'!L9,'CASH FLOW ASSUMPTION'!S9)</f>
        <v>3323.839475968</v>
      </c>
      <c r="M9" s="104">
        <f>CHOOSE($I$1,'CASH FLOW ASSUMPTION'!F9,'CASH FLOW ASSUMPTION'!M9,'CASH FLOW ASSUMPTION'!T9)</f>
        <v>3373.7127573811204</v>
      </c>
      <c r="N9" s="104">
        <f>CHOOSE($I$1,'CASH FLOW ASSUMPTION'!G9,'CASH FLOW ASSUMPTION'!N9,'CASH FLOW ASSUMPTION'!U9)</f>
        <v>3424.9960081694721</v>
      </c>
      <c r="O9" s="104">
        <f>CHOOSE($I$1,'CASH FLOW ASSUMPTION'!H9,'CASH FLOW ASSUMPTION'!O9,'CASH FLOW ASSUMPTION'!V9)</f>
        <v>3477.6280024841858</v>
      </c>
    </row>
    <row r="10" spans="2:15" ht="7.05" customHeight="1" x14ac:dyDescent="0.25">
      <c r="B10" s="167"/>
      <c r="C10" s="100"/>
      <c r="D10" s="104"/>
      <c r="E10" s="104"/>
      <c r="F10" s="104"/>
      <c r="G10" s="104"/>
      <c r="H10" s="104"/>
      <c r="I10" s="181"/>
      <c r="K10" s="104"/>
      <c r="L10" s="104"/>
      <c r="M10" s="104"/>
      <c r="N10" s="104"/>
      <c r="O10" s="104"/>
    </row>
    <row r="11" spans="2:15" ht="15.6" x14ac:dyDescent="0.25">
      <c r="B11" s="477" t="s">
        <v>3296</v>
      </c>
      <c r="C11" s="60"/>
      <c r="D11" s="46"/>
      <c r="E11" s="46"/>
      <c r="F11" s="46"/>
      <c r="G11" s="46"/>
      <c r="H11" s="46"/>
      <c r="I11" s="181"/>
      <c r="K11" s="46"/>
      <c r="L11" s="46"/>
      <c r="M11" s="46"/>
      <c r="N11" s="46"/>
      <c r="O11" s="46"/>
    </row>
    <row r="12" spans="2:15" ht="7.05" customHeight="1" x14ac:dyDescent="0.25">
      <c r="B12" s="472"/>
      <c r="C12" s="100"/>
      <c r="D12" s="104"/>
      <c r="E12" s="104"/>
      <c r="F12" s="104"/>
      <c r="G12" s="104"/>
      <c r="H12" s="104"/>
      <c r="I12" s="181"/>
      <c r="K12" s="104"/>
      <c r="L12" s="104"/>
      <c r="M12" s="104"/>
      <c r="N12" s="104"/>
      <c r="O12" s="104"/>
    </row>
    <row r="13" spans="2:15" ht="15.6" x14ac:dyDescent="0.25">
      <c r="B13" s="471" t="s">
        <v>196</v>
      </c>
      <c r="C13" s="100"/>
      <c r="D13" s="32"/>
      <c r="E13" s="104"/>
      <c r="F13" s="104"/>
      <c r="G13" s="104"/>
      <c r="H13" s="104"/>
      <c r="I13" s="104"/>
      <c r="K13" s="179"/>
      <c r="L13" s="104"/>
      <c r="M13" s="104"/>
      <c r="N13" s="104"/>
      <c r="O13" s="104"/>
    </row>
    <row r="14" spans="2:15" ht="7.05" customHeight="1" x14ac:dyDescent="0.25">
      <c r="B14" s="471"/>
      <c r="C14" s="100"/>
      <c r="D14" s="32"/>
      <c r="E14" s="104"/>
      <c r="F14" s="104"/>
      <c r="G14" s="104"/>
      <c r="H14" s="104"/>
      <c r="I14" s="104"/>
      <c r="K14" s="179"/>
      <c r="L14" s="104"/>
      <c r="M14" s="104"/>
      <c r="N14" s="104"/>
      <c r="O14" s="104"/>
    </row>
    <row r="15" spans="2:15" x14ac:dyDescent="0.25">
      <c r="B15" s="167" t="s">
        <v>49</v>
      </c>
      <c r="C15" s="100" t="s">
        <v>112</v>
      </c>
      <c r="D15" s="32" t="s">
        <v>122</v>
      </c>
      <c r="E15" s="104">
        <f>('BALANCE SHEET'!E10-'BALANCE SHEET'!D10)*-1</f>
        <v>-27</v>
      </c>
      <c r="F15" s="104">
        <f>('BALANCE SHEET'!F10-'BALANCE SHEET'!E10)*-1</f>
        <v>14</v>
      </c>
      <c r="G15" s="104">
        <f>('BALANCE SHEET'!G10-'BALANCE SHEET'!F10)*-1</f>
        <v>28</v>
      </c>
      <c r="H15" s="104">
        <f>('BALANCE SHEET'!H10-'BALANCE SHEET'!G10)*-1</f>
        <v>22</v>
      </c>
      <c r="I15" s="104"/>
      <c r="K15" s="179">
        <f>CHOOSE($I$1,'CASH FLOW ASSUMPTION'!D15,'CASH FLOW ASSUMPTION'!K15,'CASH FLOW ASSUMPTION'!R15)</f>
        <v>-104.9778805479452</v>
      </c>
      <c r="L15" s="104">
        <f>CHOOSE($I$1,'CASH FLOW ASSUMPTION'!E15,'CASH FLOW ASSUMPTION'!L15,'CASH FLOW ASSUMPTION'!S15)</f>
        <v>1.7397788054794603</v>
      </c>
      <c r="M15" s="104">
        <f>CHOOSE($I$1,'CASH FLOW ASSUMPTION'!F15,'CASH FLOW ASSUMPTION'!M15,'CASH FLOW ASSUMPTION'!T15)</f>
        <v>-1.7223810174246523</v>
      </c>
      <c r="N15" s="104">
        <f>CHOOSE($I$1,'CASH FLOW ASSUMPTION'!G15,'CASH FLOW ASSUMPTION'!N15,'CASH FLOW ASSUMPTION'!U15)</f>
        <v>-1.7396048275989244</v>
      </c>
      <c r="O15" s="104">
        <f>CHOOSE($I$1,'CASH FLOW ASSUMPTION'!H15,'CASH FLOW ASSUMPTION'!O15,'CASH FLOW ASSUMPTION'!V15)</f>
        <v>-3.5140017517497881</v>
      </c>
    </row>
    <row r="16" spans="2:15" x14ac:dyDescent="0.25">
      <c r="B16" s="167" t="s">
        <v>197</v>
      </c>
      <c r="C16" s="100" t="s">
        <v>112</v>
      </c>
      <c r="D16" s="32" t="s">
        <v>122</v>
      </c>
      <c r="E16" s="104">
        <f>('BALANCE SHEET'!E13-'BALANCE SHEET'!D13)*-1</f>
        <v>-2092</v>
      </c>
      <c r="F16" s="104">
        <f>('BALANCE SHEET'!F13-'BALANCE SHEET'!E13)*-1</f>
        <v>-1113</v>
      </c>
      <c r="G16" s="104">
        <f>('BALANCE SHEET'!G13-'BALANCE SHEET'!F13)*-1</f>
        <v>1087</v>
      </c>
      <c r="H16" s="104">
        <f>('BALANCE SHEET'!H13-'BALANCE SHEET'!G13)*-1</f>
        <v>-197</v>
      </c>
      <c r="I16" s="104"/>
      <c r="K16" s="179">
        <f>CHOOSE($I$1,'CASH FLOW ASSUMPTION'!D16,'CASH FLOW ASSUMPTION'!K16,'CASH FLOW ASSUMPTION'!R16)</f>
        <v>368.5906849315088</v>
      </c>
      <c r="L16" s="104">
        <f>CHOOSE($I$1,'CASH FLOW ASSUMPTION'!E16,'CASH FLOW ASSUMPTION'!L16,'CASH FLOW ASSUMPTION'!S16)</f>
        <v>334.54798027397192</v>
      </c>
      <c r="M16" s="104">
        <f>CHOOSE($I$1,'CASH FLOW ASSUMPTION'!F16,'CASH FLOW ASSUMPTION'!M16,'CASH FLOW ASSUMPTION'!T16)</f>
        <v>376.79376466849135</v>
      </c>
      <c r="N16" s="104">
        <f>CHOOSE($I$1,'CASH FLOW ASSUMPTION'!G16,'CASH FLOW ASSUMPTION'!N16,'CASH FLOW ASSUMPTION'!U16)</f>
        <v>129.61663258882254</v>
      </c>
      <c r="O16" s="104">
        <f>CHOOSE($I$1,'CASH FLOW ASSUMPTION'!H16,'CASH FLOW ASSUMPTION'!O16,'CASH FLOW ASSUMPTION'!V16)</f>
        <v>35.871261323767612</v>
      </c>
    </row>
    <row r="17" spans="2:15" x14ac:dyDescent="0.25">
      <c r="B17" s="167" t="s">
        <v>3157</v>
      </c>
      <c r="C17" s="100" t="s">
        <v>112</v>
      </c>
      <c r="D17" s="32" t="s">
        <v>122</v>
      </c>
      <c r="E17" s="104">
        <f>('BALANCE SHEET'!E14-'BALANCE SHEET'!D14)*-1</f>
        <v>-3369</v>
      </c>
      <c r="F17" s="104">
        <f>('BALANCE SHEET'!F14-'BALANCE SHEET'!E14)*-1</f>
        <v>29</v>
      </c>
      <c r="G17" s="104">
        <f>('BALANCE SHEET'!G14-'BALANCE SHEET'!F14)*-1</f>
        <v>217</v>
      </c>
      <c r="H17" s="104">
        <f>('BALANCE SHEET'!H14-'BALANCE SHEET'!G14)*-1</f>
        <v>-593</v>
      </c>
      <c r="I17" s="104"/>
      <c r="K17" s="179">
        <f>CHOOSE($I$1,'CASH FLOW ASSUMPTION'!D17,'CASH FLOW ASSUMPTION'!K17,'CASH FLOW ASSUMPTION'!R17)</f>
        <v>721.6463360000007</v>
      </c>
      <c r="L17" s="104">
        <f>CHOOSE($I$1,'CASH FLOW ASSUMPTION'!E17,'CASH FLOW ASSUMPTION'!L17,'CASH FLOW ASSUMPTION'!S17)</f>
        <v>57.063536640000166</v>
      </c>
      <c r="M17" s="104">
        <f>CHOOSE($I$1,'CASH FLOW ASSUMPTION'!F17,'CASH FLOW ASSUMPTION'!M17,'CASH FLOW ASSUMPTION'!T17)</f>
        <v>-56.492901273600182</v>
      </c>
      <c r="N17" s="104">
        <f>CHOOSE($I$1,'CASH FLOW ASSUMPTION'!G17,'CASH FLOW ASSUMPTION'!N17,'CASH FLOW ASSUMPTION'!U17)</f>
        <v>-57.057830286335957</v>
      </c>
      <c r="O17" s="104">
        <f>CHOOSE($I$1,'CASH FLOW ASSUMPTION'!H17,'CASH FLOW ASSUMPTION'!O17,'CASH FLOW ASSUMPTION'!V17)</f>
        <v>-115.25681717839871</v>
      </c>
    </row>
    <row r="18" spans="2:15" x14ac:dyDescent="0.25">
      <c r="B18" s="167" t="s">
        <v>3159</v>
      </c>
      <c r="C18" s="100" t="s">
        <v>112</v>
      </c>
      <c r="D18" s="32" t="s">
        <v>122</v>
      </c>
      <c r="E18" s="104">
        <f>('BALANCE SHEET'!E16-'BALANCE SHEET'!D16)*-1</f>
        <v>-3546</v>
      </c>
      <c r="F18" s="104">
        <f>('BALANCE SHEET'!F16-'BALANCE SHEET'!E16)*-1</f>
        <v>3381</v>
      </c>
      <c r="G18" s="104">
        <f>('BALANCE SHEET'!G16-'BALANCE SHEET'!F16)*-1</f>
        <v>-144</v>
      </c>
      <c r="H18" s="104">
        <f>('BALANCE SHEET'!H16-'BALANCE SHEET'!G16)*-1</f>
        <v>209</v>
      </c>
      <c r="I18" s="104"/>
      <c r="K18" s="179">
        <f>CHOOSE($I$1,'CASH FLOW ASSUMPTION'!D18,'CASH FLOW ASSUMPTION'!K18,'CASH FLOW ASSUMPTION'!R18)</f>
        <v>175.61630400000058</v>
      </c>
      <c r="L18" s="104">
        <f>CHOOSE($I$1,'CASH FLOW ASSUMPTION'!E18,'CASH FLOW ASSUMPTION'!L18,'CASH FLOW ASSUMPTION'!S18)</f>
        <v>29.021019359999627</v>
      </c>
      <c r="M18" s="104">
        <f>CHOOSE($I$1,'CASH FLOW ASSUMPTION'!F18,'CASH FLOW ASSUMPTION'!M18,'CASH FLOW ASSUMPTION'!T18)</f>
        <v>-46.534599086400249</v>
      </c>
      <c r="N18" s="104">
        <f>CHOOSE($I$1,'CASH FLOW ASSUMPTION'!G18,'CASH FLOW ASSUMPTION'!N18,'CASH FLOW ASSUMPTION'!U18)</f>
        <v>-47.366493693263692</v>
      </c>
      <c r="O18" s="104">
        <f>CHOOSE($I$1,'CASH FLOW ASSUMPTION'!H18,'CASH FLOW ASSUMPTION'!O18,'CASH FLOW ASSUMPTION'!V18)</f>
        <v>-86.347073125493807</v>
      </c>
    </row>
    <row r="19" spans="2:15" x14ac:dyDescent="0.25">
      <c r="B19" s="167" t="s">
        <v>3160</v>
      </c>
      <c r="C19" s="100" t="s">
        <v>112</v>
      </c>
      <c r="D19" s="32" t="s">
        <v>122</v>
      </c>
      <c r="E19" s="104">
        <f>('BALANCE SHEET'!E17-'BALANCE SHEET'!D17)*-1</f>
        <v>9</v>
      </c>
      <c r="F19" s="104">
        <f>('BALANCE SHEET'!F17-'BALANCE SHEET'!E17)*-1</f>
        <v>-272</v>
      </c>
      <c r="G19" s="104">
        <f>('BALANCE SHEET'!G17-'BALANCE SHEET'!F17)*-1</f>
        <v>-139</v>
      </c>
      <c r="H19" s="104">
        <f>('BALANCE SHEET'!H17-'BALANCE SHEET'!G17)*-1</f>
        <v>6</v>
      </c>
      <c r="I19" s="104"/>
      <c r="K19" s="179">
        <f>CHOOSE($I$1,'CASH FLOW ASSUMPTION'!D19,'CASH FLOW ASSUMPTION'!K19,'CASH FLOW ASSUMPTION'!R19)</f>
        <v>42</v>
      </c>
      <c r="L19" s="104">
        <f>CHOOSE($I$1,'CASH FLOW ASSUMPTION'!E19,'CASH FLOW ASSUMPTION'!L19,'CASH FLOW ASSUMPTION'!S19)</f>
        <v>-30</v>
      </c>
      <c r="M19" s="104">
        <f>CHOOSE($I$1,'CASH FLOW ASSUMPTION'!F19,'CASH FLOW ASSUMPTION'!M19,'CASH FLOW ASSUMPTION'!T19)</f>
        <v>-30</v>
      </c>
      <c r="N19" s="104">
        <f>CHOOSE($I$1,'CASH FLOW ASSUMPTION'!G19,'CASH FLOW ASSUMPTION'!N19,'CASH FLOW ASSUMPTION'!U19)</f>
        <v>-30</v>
      </c>
      <c r="O19" s="104">
        <f>CHOOSE($I$1,'CASH FLOW ASSUMPTION'!H19,'CASH FLOW ASSUMPTION'!O19,'CASH FLOW ASSUMPTION'!V19)</f>
        <v>-30</v>
      </c>
    </row>
    <row r="20" spans="2:15" x14ac:dyDescent="0.25">
      <c r="B20" s="167" t="s">
        <v>3161</v>
      </c>
      <c r="C20" s="100" t="s">
        <v>112</v>
      </c>
      <c r="D20" s="32" t="s">
        <v>122</v>
      </c>
      <c r="E20" s="104">
        <f>('BALANCE SHEET'!E18-'BALANCE SHEET'!D18)*-1</f>
        <v>-414</v>
      </c>
      <c r="F20" s="104">
        <f>('BALANCE SHEET'!F18-'BALANCE SHEET'!E18)*-1</f>
        <v>-235</v>
      </c>
      <c r="G20" s="104">
        <f>('BALANCE SHEET'!G18-'BALANCE SHEET'!F18)*-1</f>
        <v>315</v>
      </c>
      <c r="H20" s="104">
        <f>('BALANCE SHEET'!H18-'BALANCE SHEET'!G18)*-1</f>
        <v>405</v>
      </c>
      <c r="I20" s="104"/>
      <c r="K20" s="179">
        <f>CHOOSE($I$1,'CASH FLOW ASSUMPTION'!D20,'CASH FLOW ASSUMPTION'!K20,'CASH FLOW ASSUMPTION'!R20)</f>
        <v>-494.8312654790534</v>
      </c>
      <c r="L20" s="104">
        <f>CHOOSE($I$1,'CASH FLOW ASSUMPTION'!E20,'CASH FLOW ASSUMPTION'!L20,'CASH FLOW ASSUMPTION'!S20)</f>
        <v>20.74831265479088</v>
      </c>
      <c r="M20" s="104">
        <f>CHOOSE($I$1,'CASH FLOW ASSUMPTION'!F20,'CASH FLOW ASSUMPTION'!M20,'CASH FLOW ASSUMPTION'!T20)</f>
        <v>-20.540829528242739</v>
      </c>
      <c r="N20" s="104">
        <f>CHOOSE($I$1,'CASH FLOW ASSUMPTION'!G20,'CASH FLOW ASSUMPTION'!N20,'CASH FLOW ASSUMPTION'!U20)</f>
        <v>-20.746237823525462</v>
      </c>
      <c r="O20" s="104">
        <f>CHOOSE($I$1,'CASH FLOW ASSUMPTION'!H20,'CASH FLOW ASSUMPTION'!O20,'CASH FLOW ASSUMPTION'!V20)</f>
        <v>-41.907400403520569</v>
      </c>
    </row>
    <row r="21" spans="2:15" x14ac:dyDescent="0.25">
      <c r="B21" s="167" t="s">
        <v>199</v>
      </c>
      <c r="C21" s="58" t="s">
        <v>112</v>
      </c>
      <c r="D21" s="475" t="s">
        <v>122</v>
      </c>
      <c r="E21" s="105">
        <f>('BALANCE SHEET'!E19-'BALANCE SHEET'!D19)*-1</f>
        <v>-401</v>
      </c>
      <c r="F21" s="105">
        <f>('BALANCE SHEET'!F19-'BALANCE SHEET'!E19)*-1</f>
        <v>-397</v>
      </c>
      <c r="G21" s="105">
        <f>('BALANCE SHEET'!G19-'BALANCE SHEET'!F19)*-1</f>
        <v>330</v>
      </c>
      <c r="H21" s="105">
        <f>('BALANCE SHEET'!H19-'BALANCE SHEET'!G19)*-1</f>
        <v>47</v>
      </c>
      <c r="I21" s="104"/>
      <c r="K21" s="180">
        <f>CHOOSE($I$1,'CASH FLOW ASSUMPTION'!D21,'CASH FLOW ASSUMPTION'!K21,'CASH FLOW ASSUMPTION'!R21)</f>
        <v>-279.72607199999948</v>
      </c>
      <c r="L21" s="105">
        <f>CHOOSE($I$1,'CASH FLOW ASSUMPTION'!E21,'CASH FLOW ASSUMPTION'!L21,'CASH FLOW ASSUMPTION'!S21)</f>
        <v>23.460917519999839</v>
      </c>
      <c r="M21" s="105">
        <f>CHOOSE($I$1,'CASH FLOW ASSUMPTION'!F21,'CASH FLOW ASSUMPTION'!M21,'CASH FLOW ASSUMPTION'!T21)</f>
        <v>-37.619091784800275</v>
      </c>
      <c r="N21" s="105">
        <f>CHOOSE($I$1,'CASH FLOW ASSUMPTION'!G21,'CASH FLOW ASSUMPTION'!N21,'CASH FLOW ASSUMPTION'!U21)</f>
        <v>-38.291604714647747</v>
      </c>
      <c r="O21" s="105">
        <f>CHOOSE($I$1,'CASH FLOW ASSUMPTION'!H21,'CASH FLOW ASSUMPTION'!O21,'CASH FLOW ASSUMPTION'!V21)</f>
        <v>-69.803942293039654</v>
      </c>
    </row>
    <row r="22" spans="2:15" ht="15" customHeight="1" x14ac:dyDescent="0.25">
      <c r="B22" s="569"/>
      <c r="C22" s="53"/>
      <c r="D22" s="32"/>
      <c r="H22" s="1"/>
      <c r="I22" s="181"/>
      <c r="K22" s="32"/>
    </row>
    <row r="23" spans="2:15" ht="15" customHeight="1" x14ac:dyDescent="0.3">
      <c r="B23" s="552" t="s">
        <v>200</v>
      </c>
      <c r="C23" s="560" t="s">
        <v>112</v>
      </c>
      <c r="D23" s="561" t="s">
        <v>122</v>
      </c>
      <c r="E23" s="561">
        <f>SUM(E15:E21)</f>
        <v>-9840</v>
      </c>
      <c r="F23" s="561">
        <f t="shared" ref="F23:H23" si="2">SUM(F15:F21)</f>
        <v>1407</v>
      </c>
      <c r="G23" s="561">
        <f t="shared" si="2"/>
        <v>1694</v>
      </c>
      <c r="H23" s="561">
        <f t="shared" si="2"/>
        <v>-101</v>
      </c>
      <c r="I23" s="104"/>
      <c r="K23" s="561">
        <f>CHOOSE($I$1,'CASH FLOW ASSUMPTION'!D23,'CASH FLOW ASSUMPTION'!K23,'CASH FLOW ASSUMPTION'!R23)</f>
        <v>428.31810690451198</v>
      </c>
      <c r="L23" s="562">
        <f>CHOOSE($I$1,'CASH FLOW ASSUMPTION'!E23,'CASH FLOW ASSUMPTION'!L23,'CASH FLOW ASSUMPTION'!S23)</f>
        <v>436.58154525424186</v>
      </c>
      <c r="M23" s="561">
        <f>CHOOSE($I$1,'CASH FLOW ASSUMPTION'!F23,'CASH FLOW ASSUMPTION'!M23,'CASH FLOW ASSUMPTION'!T23)</f>
        <v>183.88396197802325</v>
      </c>
      <c r="N23" s="561">
        <f>CHOOSE($I$1,'CASH FLOW ASSUMPTION'!G23,'CASH FLOW ASSUMPTION'!N23,'CASH FLOW ASSUMPTION'!U23)</f>
        <v>-65.585138756549242</v>
      </c>
      <c r="O23" s="561">
        <f>CHOOSE($I$1,'CASH FLOW ASSUMPTION'!H23,'CASH FLOW ASSUMPTION'!O23,'CASH FLOW ASSUMPTION'!V23)</f>
        <v>-310.95797342843491</v>
      </c>
    </row>
    <row r="24" spans="2:15" ht="15" customHeight="1" x14ac:dyDescent="0.25">
      <c r="B24" s="553"/>
      <c r="C24" s="53"/>
      <c r="D24" s="32"/>
      <c r="I24" s="181"/>
      <c r="K24" s="475"/>
      <c r="L24" s="162"/>
      <c r="M24" s="162"/>
      <c r="N24" s="162"/>
      <c r="O24" s="162"/>
    </row>
    <row r="25" spans="2:15" ht="15.6" x14ac:dyDescent="0.25">
      <c r="B25" s="474" t="s">
        <v>3306</v>
      </c>
      <c r="C25" s="60"/>
      <c r="D25" s="62"/>
      <c r="E25" s="46"/>
      <c r="F25" s="46"/>
      <c r="G25" s="46"/>
      <c r="H25" s="39"/>
      <c r="I25" s="181"/>
      <c r="K25" s="179"/>
      <c r="L25" s="104"/>
      <c r="M25" s="104"/>
      <c r="N25" s="104"/>
      <c r="O25" s="181"/>
    </row>
    <row r="26" spans="2:15" ht="7.05" customHeight="1" x14ac:dyDescent="0.25">
      <c r="B26" s="167"/>
      <c r="C26" s="100"/>
      <c r="D26" s="179"/>
      <c r="E26" s="104"/>
      <c r="F26" s="104"/>
      <c r="G26" s="104"/>
      <c r="H26" s="181"/>
      <c r="I26" s="181"/>
      <c r="K26" s="179"/>
      <c r="L26" s="104"/>
      <c r="M26" s="104"/>
      <c r="N26" s="104"/>
      <c r="O26" s="181"/>
    </row>
    <row r="27" spans="2:15" ht="15" customHeight="1" x14ac:dyDescent="0.25">
      <c r="B27" s="167" t="s">
        <v>34</v>
      </c>
      <c r="C27" s="100" t="s">
        <v>112</v>
      </c>
      <c r="D27" s="179" t="s">
        <v>122</v>
      </c>
      <c r="E27" s="104">
        <f>('BALANCE SHEET'!E48-'BALANCE SHEET'!D48)</f>
        <v>1070</v>
      </c>
      <c r="F27" s="104">
        <f>('BALANCE SHEET'!F48-'BALANCE SHEET'!E48)</f>
        <v>-280</v>
      </c>
      <c r="G27" s="104">
        <f>('BALANCE SHEET'!G48-'BALANCE SHEET'!F48)</f>
        <v>-206</v>
      </c>
      <c r="H27" s="104">
        <f>('BALANCE SHEET'!H48-'BALANCE SHEET'!G48)</f>
        <v>101</v>
      </c>
      <c r="I27" s="181"/>
      <c r="K27" s="179">
        <f>CHOOSE($I$1,'CASH FLOW ASSUMPTION'!D27,'CASH FLOW ASSUMPTION'!K27,'CASH FLOW ASSUMPTION'!R27)</f>
        <v>-125.7299419178089</v>
      </c>
      <c r="L27" s="104">
        <f>CHOOSE($I$1,'CASH FLOW ASSUMPTION'!E27,'CASH FLOW ASSUMPTION'!L27,'CASH FLOW ASSUMPTION'!S27)</f>
        <v>-57.412700580821365</v>
      </c>
      <c r="M27" s="104">
        <f>CHOOSE($I$1,'CASH FLOW ASSUMPTION'!F27,'CASH FLOW ASSUMPTION'!M27,'CASH FLOW ASSUMPTION'!T27)</f>
        <v>56.83857357501347</v>
      </c>
      <c r="N27" s="104">
        <f>CHOOSE($I$1,'CASH FLOW ASSUMPTION'!G27,'CASH FLOW ASSUMPTION'!N27,'CASH FLOW ASSUMPTION'!U27)</f>
        <v>57.406959310763341</v>
      </c>
      <c r="O27" s="104">
        <f>CHOOSE($I$1,'CASH FLOW ASSUMPTION'!H27,'CASH FLOW ASSUMPTION'!O27,'CASH FLOW ASSUMPTION'!V27)</f>
        <v>115.96205780774289</v>
      </c>
    </row>
    <row r="28" spans="2:15" x14ac:dyDescent="0.25">
      <c r="B28" s="167" t="s">
        <v>3175</v>
      </c>
      <c r="C28" s="100" t="s">
        <v>112</v>
      </c>
      <c r="D28" s="179" t="s">
        <v>122</v>
      </c>
      <c r="E28" s="104">
        <f>('BALANCE SHEET'!E49-'BALANCE SHEET'!D49)</f>
        <v>3890</v>
      </c>
      <c r="F28" s="104">
        <f>('BALANCE SHEET'!F49-'BALANCE SHEET'!E49)</f>
        <v>-3160</v>
      </c>
      <c r="G28" s="104">
        <f>('BALANCE SHEET'!G49-'BALANCE SHEET'!F49)</f>
        <v>-29</v>
      </c>
      <c r="H28" s="104">
        <f>('BALANCE SHEET'!H49-'BALANCE SHEET'!G49)</f>
        <v>28</v>
      </c>
      <c r="I28" s="181"/>
      <c r="K28" s="179">
        <f>CHOOSE($I$1,'CASH FLOW ASSUMPTION'!D28,'CASH FLOW ASSUMPTION'!K28,'CASH FLOW ASSUMPTION'!R28)</f>
        <v>-175.61630400000058</v>
      </c>
      <c r="L28" s="104">
        <f>CHOOSE($I$1,'CASH FLOW ASSUMPTION'!E28,'CASH FLOW ASSUMPTION'!L28,'CASH FLOW ASSUMPTION'!S28)</f>
        <v>-29.021019359999627</v>
      </c>
      <c r="M28" s="104">
        <f>CHOOSE($I$1,'CASH FLOW ASSUMPTION'!F28,'CASH FLOW ASSUMPTION'!M28,'CASH FLOW ASSUMPTION'!T28)</f>
        <v>46.534599086400249</v>
      </c>
      <c r="N28" s="104">
        <f>CHOOSE($I$1,'CASH FLOW ASSUMPTION'!G28,'CASH FLOW ASSUMPTION'!N28,'CASH FLOW ASSUMPTION'!U28)</f>
        <v>47.366493693263692</v>
      </c>
      <c r="O28" s="104">
        <f>CHOOSE($I$1,'CASH FLOW ASSUMPTION'!H28,'CASH FLOW ASSUMPTION'!O28,'CASH FLOW ASSUMPTION'!V28)</f>
        <v>86.347073125493807</v>
      </c>
    </row>
    <row r="29" spans="2:15" x14ac:dyDescent="0.25">
      <c r="B29" s="167" t="s">
        <v>3184</v>
      </c>
      <c r="C29" s="100" t="s">
        <v>112</v>
      </c>
      <c r="D29" s="32" t="s">
        <v>122</v>
      </c>
      <c r="E29" s="104">
        <f>('BALANCE SHEET'!E50-'BALANCE SHEET'!D50)</f>
        <v>539</v>
      </c>
      <c r="F29" s="104">
        <f>('BALANCE SHEET'!F50-'BALANCE SHEET'!E50)</f>
        <v>-524</v>
      </c>
      <c r="G29" s="104">
        <f>('BALANCE SHEET'!G50-'BALANCE SHEET'!F50)</f>
        <v>-503</v>
      </c>
      <c r="H29" s="104">
        <f>('BALANCE SHEET'!H50-'BALANCE SHEET'!G50)</f>
        <v>241</v>
      </c>
      <c r="I29" s="181"/>
      <c r="K29" s="179">
        <f>CHOOSE($I$1,'CASH FLOW ASSUMPTION'!D29,'CASH FLOW ASSUMPTION'!K29,'CASH FLOW ASSUMPTION'!R29)</f>
        <v>437.06022399999983</v>
      </c>
      <c r="L29" s="104">
        <f>CHOOSE($I$1,'CASH FLOW ASSUMPTION'!E29,'CASH FLOW ASSUMPTION'!L29,'CASH FLOW ASSUMPTION'!S29)</f>
        <v>-24.430602240000098</v>
      </c>
      <c r="M29" s="104">
        <f>CHOOSE($I$1,'CASH FLOW ASSUMPTION'!F29,'CASH FLOW ASSUMPTION'!M29,'CASH FLOW ASSUMPTION'!T29)</f>
        <v>24.186296217600102</v>
      </c>
      <c r="N29" s="104">
        <f>CHOOSE($I$1,'CASH FLOW ASSUMPTION'!G29,'CASH FLOW ASSUMPTION'!N29,'CASH FLOW ASSUMPTION'!U29)</f>
        <v>24.42815917977623</v>
      </c>
      <c r="O29" s="104">
        <f>CHOOSE($I$1,'CASH FLOW ASSUMPTION'!H29,'CASH FLOW ASSUMPTION'!O29,'CASH FLOW ASSUMPTION'!V29)</f>
        <v>49.344881543147494</v>
      </c>
    </row>
    <row r="30" spans="2:15" x14ac:dyDescent="0.25">
      <c r="B30" s="167" t="s">
        <v>558</v>
      </c>
      <c r="C30" s="100" t="s">
        <v>112</v>
      </c>
      <c r="D30" s="32" t="s">
        <v>122</v>
      </c>
      <c r="E30" s="104">
        <f>('BALANCE SHEET'!E51-'BALANCE SHEET'!D51)</f>
        <v>233</v>
      </c>
      <c r="F30" s="104">
        <f>('BALANCE SHEET'!F51-'BALANCE SHEET'!E51)</f>
        <v>222</v>
      </c>
      <c r="G30" s="104">
        <f>('BALANCE SHEET'!G51-'BALANCE SHEET'!F51)</f>
        <v>94</v>
      </c>
      <c r="H30" s="104">
        <f>('BALANCE SHEET'!H51-'BALANCE SHEET'!G51)</f>
        <v>-16</v>
      </c>
      <c r="I30" s="181"/>
      <c r="K30" s="179">
        <f>CHOOSE($I$1,'CASH FLOW ASSUMPTION'!D30,'CASH FLOW ASSUMPTION'!K30,'CASH FLOW ASSUMPTION'!R30)</f>
        <v>8.8545753424655231</v>
      </c>
      <c r="L30" s="104">
        <f>CHOOSE($I$1,'CASH FLOW ASSUMPTION'!E30,'CASH FLOW ASSUMPTION'!L30,'CASH FLOW ASSUMPTION'!S30)</f>
        <v>1505.7083638356162</v>
      </c>
      <c r="M30" s="104">
        <f>CHOOSE($I$1,'CASH FLOW ASSUMPTION'!F30,'CASH FLOW ASSUMPTION'!M30,'CASH FLOW ASSUMPTION'!T30)</f>
        <v>1523.5810814465754</v>
      </c>
      <c r="N30" s="104">
        <f>CHOOSE($I$1,'CASH FLOW ASSUMPTION'!G30,'CASH FLOW ASSUMPTION'!N30,'CASH FLOW ASSUMPTION'!U30)</f>
        <v>-5.0089386430686318</v>
      </c>
      <c r="O30" s="104">
        <f>CHOOSE($I$1,'CASH FLOW ASSUMPTION'!H30,'CASH FLOW ASSUMPTION'!O30,'CASH FLOW ASSUMPTION'!V30)</f>
        <v>9.3030138977687784</v>
      </c>
    </row>
    <row r="31" spans="2:15" x14ac:dyDescent="0.25">
      <c r="B31" s="167" t="s">
        <v>3252</v>
      </c>
      <c r="C31" s="100" t="s">
        <v>112</v>
      </c>
      <c r="D31" s="32" t="s">
        <v>122</v>
      </c>
      <c r="E31" s="104">
        <f>('BALANCE SHEET'!E52-'BALANCE SHEET'!D52)</f>
        <v>24</v>
      </c>
      <c r="F31" s="104">
        <f>('BALANCE SHEET'!F52-'BALANCE SHEET'!E52)</f>
        <v>35</v>
      </c>
      <c r="G31" s="104">
        <f>('BALANCE SHEET'!G52-'BALANCE SHEET'!F52)</f>
        <v>-40</v>
      </c>
      <c r="H31" s="104">
        <f>('BALANCE SHEET'!H52-'BALANCE SHEET'!G52)</f>
        <v>-39</v>
      </c>
      <c r="I31" s="181"/>
      <c r="K31" s="179">
        <f>CHOOSE($I$1,'CASH FLOW ASSUMPTION'!D31,'CASH FLOW ASSUMPTION'!K31,'CASH FLOW ASSUMPTION'!R31)</f>
        <v>30.745339999999942</v>
      </c>
      <c r="L31" s="104">
        <f>CHOOSE($I$1,'CASH FLOW ASSUMPTION'!E31,'CASH FLOW ASSUMPTION'!L31,'CASH FLOW ASSUMPTION'!S31)</f>
        <v>-16.612499400000161</v>
      </c>
      <c r="M31" s="104">
        <f>CHOOSE($I$1,'CASH FLOW ASSUMPTION'!F31,'CASH FLOW ASSUMPTION'!M31,'CASH FLOW ASSUMPTION'!T31)</f>
        <v>26.63779620600053</v>
      </c>
      <c r="N31" s="104">
        <f>CHOOSE($I$1,'CASH FLOW ASSUMPTION'!G31,'CASH FLOW ASSUMPTION'!N31,'CASH FLOW ASSUMPTION'!U31)</f>
        <v>27.113997558059509</v>
      </c>
      <c r="O31" s="104">
        <f>CHOOSE($I$1,'CASH FLOW ASSUMPTION'!H31,'CASH FLOW ASSUMPTION'!O31,'CASH FLOW ASSUMPTION'!V31)</f>
        <v>49.427646999406534</v>
      </c>
    </row>
    <row r="32" spans="2:15" x14ac:dyDescent="0.25">
      <c r="B32" s="472" t="s">
        <v>3253</v>
      </c>
      <c r="C32" s="58" t="s">
        <v>112</v>
      </c>
      <c r="D32" s="180" t="s">
        <v>122</v>
      </c>
      <c r="E32" s="105">
        <f>('BALANCE SHEET'!E53-'BALANCE SHEET'!D53)</f>
        <v>-409</v>
      </c>
      <c r="F32" s="105">
        <f>('BALANCE SHEET'!F53-'BALANCE SHEET'!E53)</f>
        <v>562</v>
      </c>
      <c r="G32" s="105">
        <f>('BALANCE SHEET'!G53-'BALANCE SHEET'!F53)</f>
        <v>291</v>
      </c>
      <c r="H32" s="105">
        <f>('BALANCE SHEET'!H53-'BALANCE SHEET'!G53)</f>
        <v>1272</v>
      </c>
      <c r="I32" s="181"/>
      <c r="K32" s="180">
        <f>CHOOSE($I$1,'CASH FLOW ASSUMPTION'!D32,'CASH FLOW ASSUMPTION'!K32,'CASH FLOW ASSUMPTION'!R32)</f>
        <v>813.71143375999964</v>
      </c>
      <c r="L32" s="105">
        <f>CHOOSE($I$1,'CASH FLOW ASSUMPTION'!E32,'CASH FLOW ASSUMPTION'!L32,'CASH FLOW ASSUMPTION'!S32)</f>
        <v>710.55917450092966</v>
      </c>
      <c r="M32" s="105">
        <f>CHOOSE($I$1,'CASH FLOW ASSUMPTION'!F32,'CASH FLOW ASSUMPTION'!M32,'CASH FLOW ASSUMPTION'!T32)</f>
        <v>900.11194877650814</v>
      </c>
      <c r="N32" s="105">
        <f>CHOOSE($I$1,'CASH FLOW ASSUMPTION'!G32,'CASH FLOW ASSUMPTION'!N32,'CASH FLOW ASSUMPTION'!U32)</f>
        <v>1026.8155361303652</v>
      </c>
      <c r="O32" s="105">
        <f>CHOOSE($I$1,'CASH FLOW ASSUMPTION'!H32,'CASH FLOW ASSUMPTION'!O32,'CASH FLOW ASSUMPTION'!V32)</f>
        <v>1211.8227465338987</v>
      </c>
    </row>
    <row r="33" spans="2:15" ht="15" customHeight="1" x14ac:dyDescent="0.25">
      <c r="B33" s="570"/>
      <c r="C33" s="533"/>
      <c r="D33" s="464"/>
      <c r="E33" s="161"/>
      <c r="F33" s="161"/>
      <c r="G33" s="161"/>
      <c r="H33" s="161"/>
      <c r="I33" s="181"/>
      <c r="K33" s="557"/>
      <c r="L33" s="556"/>
      <c r="M33" s="556"/>
      <c r="N33" s="556"/>
      <c r="O33" s="556"/>
    </row>
    <row r="34" spans="2:15" ht="15.6" x14ac:dyDescent="0.3">
      <c r="B34" s="571" t="s">
        <v>3307</v>
      </c>
      <c r="C34" s="560" t="s">
        <v>112</v>
      </c>
      <c r="D34" s="561" t="s">
        <v>122</v>
      </c>
      <c r="E34" s="561">
        <f>SUM(E27:E32)</f>
        <v>5347</v>
      </c>
      <c r="F34" s="561">
        <f t="shared" ref="F34:H34" si="3">SUM(F27:F32)</f>
        <v>-3145</v>
      </c>
      <c r="G34" s="561">
        <f t="shared" si="3"/>
        <v>-393</v>
      </c>
      <c r="H34" s="561">
        <f t="shared" si="3"/>
        <v>1587</v>
      </c>
      <c r="I34" s="181"/>
      <c r="K34" s="565">
        <f>CHOOSE($I$1,'CASH FLOW ASSUMPTION'!D34,'CASH FLOW ASSUMPTION'!K34,'CASH FLOW ASSUMPTION'!R34)</f>
        <v>989.02532718465545</v>
      </c>
      <c r="L34" s="565">
        <f>CHOOSE($I$1,'CASH FLOW ASSUMPTION'!E34,'CASH FLOW ASSUMPTION'!L34,'CASH FLOW ASSUMPTION'!S34)</f>
        <v>2088.7907167557246</v>
      </c>
      <c r="M34" s="565">
        <f>CHOOSE($I$1,'CASH FLOW ASSUMPTION'!F34,'CASH FLOW ASSUMPTION'!M34,'CASH FLOW ASSUMPTION'!T34)</f>
        <v>2577.8902953080978</v>
      </c>
      <c r="N34" s="565">
        <f>CHOOSE($I$1,'CASH FLOW ASSUMPTION'!G34,'CASH FLOW ASSUMPTION'!N34,'CASH FLOW ASSUMPTION'!U34)</f>
        <v>1178.1222072291594</v>
      </c>
      <c r="O34" s="565">
        <f>CHOOSE($I$1,'CASH FLOW ASSUMPTION'!H34,'CASH FLOW ASSUMPTION'!O34,'CASH FLOW ASSUMPTION'!V34)</f>
        <v>1522.2074199074582</v>
      </c>
    </row>
    <row r="35" spans="2:15" x14ac:dyDescent="0.25">
      <c r="B35" s="462"/>
      <c r="C35" s="53"/>
      <c r="I35" s="181"/>
    </row>
    <row r="36" spans="2:15" ht="15.6" x14ac:dyDescent="0.3">
      <c r="B36" s="566" t="s">
        <v>3297</v>
      </c>
      <c r="C36" s="567" t="s">
        <v>112</v>
      </c>
      <c r="D36" s="568" t="s">
        <v>122</v>
      </c>
      <c r="E36" s="568">
        <f>-E23+E34</f>
        <v>15187</v>
      </c>
      <c r="F36" s="568">
        <f>-F23+F34</f>
        <v>-4552</v>
      </c>
      <c r="G36" s="568">
        <f>-G23+G34</f>
        <v>-2087</v>
      </c>
      <c r="H36" s="568">
        <f>-H23+H34</f>
        <v>1688</v>
      </c>
      <c r="I36" s="181"/>
      <c r="K36" s="568">
        <f>CHOOSE($I$1,'CASH FLOW ASSUMPTION'!D36,'CASH FLOW ASSUMPTION'!K36,'CASH FLOW ASSUMPTION'!R36)</f>
        <v>560.70722028014347</v>
      </c>
      <c r="L36" s="568">
        <f>CHOOSE($I$1,'CASH FLOW ASSUMPTION'!E36,'CASH FLOW ASSUMPTION'!L36,'CASH FLOW ASSUMPTION'!S36)</f>
        <v>1652.2091715014826</v>
      </c>
      <c r="M36" s="568">
        <f>CHOOSE($I$1,'CASH FLOW ASSUMPTION'!F36,'CASH FLOW ASSUMPTION'!M36,'CASH FLOW ASSUMPTION'!T36)</f>
        <v>2394.0063333300745</v>
      </c>
      <c r="N36" s="568">
        <f>CHOOSE($I$1,'CASH FLOW ASSUMPTION'!G36,'CASH FLOW ASSUMPTION'!N36,'CASH FLOW ASSUMPTION'!U36)</f>
        <v>1243.7073459857086</v>
      </c>
      <c r="O36" s="568">
        <f>CHOOSE($I$1,'CASH FLOW ASSUMPTION'!H36,'CASH FLOW ASSUMPTION'!O36,'CASH FLOW ASSUMPTION'!V36)</f>
        <v>1833.165393335893</v>
      </c>
    </row>
    <row r="37" spans="2:15" x14ac:dyDescent="0.25">
      <c r="C37" s="53"/>
      <c r="I37" s="181"/>
    </row>
    <row r="38" spans="2:15" ht="15.6" x14ac:dyDescent="0.3">
      <c r="B38" s="483" t="s">
        <v>242</v>
      </c>
      <c r="C38" s="535" t="s">
        <v>112</v>
      </c>
      <c r="D38" s="558" t="s">
        <v>122</v>
      </c>
      <c r="E38" s="558">
        <f>E36+E8+E9</f>
        <v>29349</v>
      </c>
      <c r="F38" s="558">
        <f t="shared" ref="F38:H38" si="4">F36+F8+F9</f>
        <v>10592</v>
      </c>
      <c r="G38" s="558">
        <f t="shared" si="4"/>
        <v>12488</v>
      </c>
      <c r="H38" s="558">
        <f t="shared" si="4"/>
        <v>17837</v>
      </c>
      <c r="I38" s="181"/>
      <c r="K38" s="558">
        <f>CHOOSE($I$1,'CASH FLOW ASSUMPTION'!D38,'CASH FLOW ASSUMPTION'!K38,'CASH FLOW ASSUMPTION'!R38)</f>
        <v>17355.32991468014</v>
      </c>
      <c r="L38" s="558">
        <f>CHOOSE($I$1,'CASH FLOW ASSUMPTION'!E38,'CASH FLOW ASSUMPTION'!L38,'CASH FLOW ASSUMPTION'!S38)</f>
        <v>18451.614639029802</v>
      </c>
      <c r="M38" s="558">
        <f>CHOOSE($I$1,'CASH FLOW ASSUMPTION'!F38,'CASH FLOW ASSUMPTION'!M38,'CASH FLOW ASSUMPTION'!T38)</f>
        <v>19491.179940458511</v>
      </c>
      <c r="N38" s="558">
        <f>CHOOSE($I$1,'CASH FLOW ASSUMPTION'!G38,'CASH FLOW ASSUMPTION'!N38,'CASH FLOW ASSUMPTION'!U38)</f>
        <v>18646.272527231311</v>
      </c>
      <c r="O38" s="558">
        <f>CHOOSE($I$1,'CASH FLOW ASSUMPTION'!H38,'CASH FLOW ASSUMPTION'!O38,'CASH FLOW ASSUMPTION'!V38)</f>
        <v>19696.021007331321</v>
      </c>
    </row>
    <row r="39" spans="2:15" x14ac:dyDescent="0.25">
      <c r="C39" s="53"/>
      <c r="I39" s="181"/>
    </row>
    <row r="40" spans="2:15" ht="15.6" x14ac:dyDescent="0.3">
      <c r="B40" s="165" t="s">
        <v>234</v>
      </c>
      <c r="C40" s="60"/>
      <c r="D40" s="46"/>
      <c r="E40" s="46"/>
      <c r="F40" s="46"/>
      <c r="G40" s="46"/>
      <c r="H40" s="46"/>
      <c r="I40" s="181"/>
      <c r="K40" s="46"/>
      <c r="L40" s="46"/>
      <c r="M40" s="46"/>
      <c r="N40" s="46"/>
      <c r="O40" s="46"/>
    </row>
    <row r="41" spans="2:15" ht="7.05" customHeight="1" x14ac:dyDescent="0.25">
      <c r="B41" s="102"/>
      <c r="C41" s="100"/>
      <c r="D41" s="104"/>
      <c r="E41" s="104"/>
      <c r="F41" s="104"/>
      <c r="G41" s="104"/>
      <c r="H41" s="104"/>
      <c r="I41" s="181"/>
      <c r="K41" s="104"/>
      <c r="L41" s="104"/>
      <c r="M41" s="104"/>
      <c r="N41" s="104"/>
      <c r="O41" s="104"/>
    </row>
    <row r="42" spans="2:15" x14ac:dyDescent="0.25">
      <c r="B42" s="169" t="s">
        <v>3298</v>
      </c>
      <c r="C42" s="100" t="s">
        <v>112</v>
      </c>
      <c r="D42" s="104">
        <f>('BALANCE SHEET ASSUMPTION'!D10)*-1</f>
        <v>-3277</v>
      </c>
      <c r="E42" s="181">
        <f>('BALANCE SHEET ASSUMPTION'!E10)*-1</f>
        <v>-3964</v>
      </c>
      <c r="F42" s="104">
        <f>('BALANCE SHEET ASSUMPTION'!F10)*-1</f>
        <v>-4113</v>
      </c>
      <c r="G42" s="104">
        <f>('BALANCE SHEET ASSUMPTION'!G10)*-1</f>
        <v>-2586</v>
      </c>
      <c r="H42" s="104">
        <f>('BALANCE SHEET ASSUMPTION'!H10)*-1</f>
        <v>-3392</v>
      </c>
      <c r="I42" s="181"/>
      <c r="K42" s="104">
        <f>CHOOSE($I$1,'CASH FLOW ASSUMPTION'!D42,'CASH FLOW ASSUMPTION'!K42,'CASH FLOW ASSUMPTION'!R42)</f>
        <v>-2945.7838079999997</v>
      </c>
      <c r="L42" s="181">
        <f>CHOOSE($I$1,'CASH FLOW ASSUMPTION'!E42,'CASH FLOW ASSUMPTION'!L42,'CASH FLOW ASSUMPTION'!S42)</f>
        <v>-2916.3259699199998</v>
      </c>
      <c r="M42" s="104">
        <f>CHOOSE($I$1,'CASH FLOW ASSUMPTION'!F42,'CASH FLOW ASSUMPTION'!M42,'CASH FLOW ASSUMPTION'!T42)</f>
        <v>-2945.4892296191997</v>
      </c>
      <c r="N42" s="104">
        <f>CHOOSE($I$1,'CASH FLOW ASSUMPTION'!G42,'CASH FLOW ASSUMPTION'!N42,'CASH FLOW ASSUMPTION'!U42)</f>
        <v>-2974.9441219153919</v>
      </c>
      <c r="O42" s="104">
        <f>CHOOSE($I$1,'CASH FLOW ASSUMPTION'!H42,'CASH FLOW ASSUMPTION'!O42,'CASH FLOW ASSUMPTION'!V42)</f>
        <v>-3034.4430043537</v>
      </c>
    </row>
    <row r="43" spans="2:15" x14ac:dyDescent="0.25">
      <c r="B43" s="169" t="s">
        <v>3308</v>
      </c>
      <c r="C43" s="100" t="s">
        <v>112</v>
      </c>
      <c r="D43" s="104">
        <f>'BALANCE SHEET ASSUMPTION'!D12</f>
        <v>1770</v>
      </c>
      <c r="E43" s="104">
        <f>'BALANCE SHEET ASSUMPTION'!E12</f>
        <v>2405</v>
      </c>
      <c r="F43" s="104">
        <f>'BALANCE SHEET ASSUMPTION'!F12</f>
        <v>2709</v>
      </c>
      <c r="G43" s="104">
        <f>'BALANCE SHEET ASSUMPTION'!G12</f>
        <v>3699</v>
      </c>
      <c r="H43" s="104">
        <f>'BALANCE SHEET ASSUMPTION'!H12</f>
        <v>2621</v>
      </c>
      <c r="I43" s="181"/>
      <c r="K43" s="104">
        <f>CHOOSE($I$1,'CASH FLOW ASSUMPTION'!D43,'CASH FLOW ASSUMPTION'!K43,'CASH FLOW ASSUMPTION'!R43)</f>
        <v>2702.7599999999998</v>
      </c>
      <c r="L43" s="104">
        <f>CHOOSE($I$1,'CASH FLOW ASSUMPTION'!E43,'CASH FLOW ASSUMPTION'!L43,'CASH FLOW ASSUMPTION'!S43)</f>
        <v>2731.92285696</v>
      </c>
      <c r="M43" s="104">
        <f>CHOOSE($I$1,'CASH FLOW ASSUMPTION'!F43,'CASH FLOW ASSUMPTION'!M43,'CASH FLOW ASSUMPTION'!T43)</f>
        <v>2754.0512305152001</v>
      </c>
      <c r="N43" s="104">
        <f>CHOOSE($I$1,'CASH FLOW ASSUMPTION'!G43,'CASH FLOW ASSUMPTION'!N43,'CASH FLOW ASSUMPTION'!U43)</f>
        <v>2777.0237904076803</v>
      </c>
      <c r="O43" s="104">
        <f>CHOOSE($I$1,'CASH FLOW ASSUMPTION'!H43,'CASH FLOW ASSUMPTION'!O43,'CASH FLOW ASSUMPTION'!V43)</f>
        <v>2800.774230188606</v>
      </c>
    </row>
    <row r="44" spans="2:15" x14ac:dyDescent="0.25">
      <c r="B44" s="169" t="s">
        <v>3263</v>
      </c>
      <c r="C44" s="100" t="s">
        <v>112</v>
      </c>
      <c r="D44" s="32" t="s">
        <v>122</v>
      </c>
      <c r="E44" s="104">
        <f>-(('BALANCE SHEET'!E11+'BALANCE SHEET'!E30)-('BALANCE SHEET'!D11+'BALANCE SHEET'!D30))</f>
        <v>-7448</v>
      </c>
      <c r="F44" s="104">
        <f>-(('BALANCE SHEET'!F11+'BALANCE SHEET'!F30)-('BALANCE SHEET'!E11+'BALANCE SHEET'!E30))</f>
        <v>-6918</v>
      </c>
      <c r="G44" s="104">
        <f>-(('BALANCE SHEET'!G11+'BALANCE SHEET'!G30)-('BALANCE SHEET'!F11+'BALANCE SHEET'!F30))</f>
        <v>-285</v>
      </c>
      <c r="H44" s="104">
        <f>-(('BALANCE SHEET'!H11+'BALANCE SHEET'!H30)-('BALANCE SHEET'!G11+'BALANCE SHEET'!G30))</f>
        <v>-10513</v>
      </c>
      <c r="I44" s="181"/>
      <c r="K44" s="179">
        <f>CHOOSE($I$1,'CASH FLOW ASSUMPTION'!D44,'CASH FLOW ASSUMPTION'!K44,'CASH FLOW ASSUMPTION'!R44)</f>
        <v>-6953</v>
      </c>
      <c r="L44" s="104">
        <f>CHOOSE($I$1,'CASH FLOW ASSUMPTION'!E44,'CASH FLOW ASSUMPTION'!L44,'CASH FLOW ASSUMPTION'!S44)</f>
        <v>-5100</v>
      </c>
      <c r="M44" s="104">
        <f>CHOOSE($I$1,'CASH FLOW ASSUMPTION'!F44,'CASH FLOW ASSUMPTION'!M44,'CASH FLOW ASSUMPTION'!T44)</f>
        <v>-6100</v>
      </c>
      <c r="N44" s="104">
        <f>CHOOSE($I$1,'CASH FLOW ASSUMPTION'!G44,'CASH FLOW ASSUMPTION'!N44,'CASH FLOW ASSUMPTION'!U44)</f>
        <v>-7100</v>
      </c>
      <c r="O44" s="104">
        <f>CHOOSE($I$1,'CASH FLOW ASSUMPTION'!H44,'CASH FLOW ASSUMPTION'!O44,'CASH FLOW ASSUMPTION'!V44)</f>
        <v>-7100</v>
      </c>
    </row>
    <row r="45" spans="2:15" x14ac:dyDescent="0.25">
      <c r="B45" s="43" t="s">
        <v>3300</v>
      </c>
      <c r="C45" s="58" t="s">
        <v>112</v>
      </c>
      <c r="D45" s="180" t="s">
        <v>122</v>
      </c>
      <c r="E45" s="105">
        <f>(('BALANCE SHEET'!E29+'BALANCE SHEET'!E28)-('BALANCE SHEET'!D28+'BALANCE SHEET'!D29))*-1</f>
        <v>-13818</v>
      </c>
      <c r="F45" s="105">
        <f>('BALANCE SHEET'!F28-'BALANCE SHEET'!E28)*-1</f>
        <v>-6063</v>
      </c>
      <c r="G45" s="105">
        <f>('BALANCE SHEET'!G28-'BALANCE SHEET'!F28)*-1</f>
        <v>-796</v>
      </c>
      <c r="H45" s="105">
        <f>('BALANCE SHEET'!H28-'BALANCE SHEET'!G28)*-1</f>
        <v>-890</v>
      </c>
      <c r="I45" s="104"/>
      <c r="K45" s="180">
        <f>CHOOSE($I$1,'CASH FLOW ASSUMPTION'!D45,'CASH FLOW ASSUMPTION'!K45,'CASH FLOW ASSUMPTION'!R45)</f>
        <v>-888.2045999999973</v>
      </c>
      <c r="L45" s="105">
        <f>CHOOSE($I$1,'CASH FLOW ASSUMPTION'!E45,'CASH FLOW ASSUMPTION'!L45,'CASH FLOW ASSUMPTION'!S45)</f>
        <v>-888.29851500000223</v>
      </c>
      <c r="M45" s="105">
        <f>CHOOSE($I$1,'CASH FLOW ASSUMPTION'!F45,'CASH FLOW ASSUMPTION'!M45,'CASH FLOW ASSUMPTION'!T45)</f>
        <v>-944.90028454500134</v>
      </c>
      <c r="N45" s="105">
        <f>CHOOSE($I$1,'CASH FLOW ASSUMPTION'!G45,'CASH FLOW ASSUMPTION'!N45,'CASH FLOW ASSUMPTION'!U45)</f>
        <v>-1157.6974368955998</v>
      </c>
      <c r="O45" s="105">
        <f>CHOOSE($I$1,'CASH FLOW ASSUMPTION'!H45,'CASH FLOW ASSUMPTION'!O45,'CASH FLOW ASSUMPTION'!V45)</f>
        <v>-1026.7694472931325</v>
      </c>
    </row>
    <row r="46" spans="2:15" x14ac:dyDescent="0.25">
      <c r="C46" s="53"/>
      <c r="I46" s="181"/>
    </row>
    <row r="47" spans="2:15" ht="15.6" x14ac:dyDescent="0.3">
      <c r="B47" s="483" t="s">
        <v>241</v>
      </c>
      <c r="C47" s="535" t="s">
        <v>112</v>
      </c>
      <c r="D47" s="558" t="s">
        <v>122</v>
      </c>
      <c r="E47" s="558">
        <f>SUM(E42:E45)</f>
        <v>-22825</v>
      </c>
      <c r="F47" s="558">
        <f t="shared" ref="F47:H47" si="5">SUM(F42:F45)</f>
        <v>-14385</v>
      </c>
      <c r="G47" s="558">
        <f t="shared" si="5"/>
        <v>32</v>
      </c>
      <c r="H47" s="558">
        <f t="shared" si="5"/>
        <v>-12174</v>
      </c>
      <c r="I47" s="181"/>
      <c r="K47" s="558">
        <f>CHOOSE($I$1,'CASH FLOW ASSUMPTION'!D47,'CASH FLOW ASSUMPTION'!K47,'CASH FLOW ASSUMPTION'!R47)</f>
        <v>-8084.2284079999972</v>
      </c>
      <c r="L47" s="558">
        <f>CHOOSE($I$1,'CASH FLOW ASSUMPTION'!E47,'CASH FLOW ASSUMPTION'!L47,'CASH FLOW ASSUMPTION'!S47)</f>
        <v>-6172.701627960002</v>
      </c>
      <c r="M47" s="558">
        <f>CHOOSE($I$1,'CASH FLOW ASSUMPTION'!F47,'CASH FLOW ASSUMPTION'!M47,'CASH FLOW ASSUMPTION'!T47)</f>
        <v>-7236.3382836490009</v>
      </c>
      <c r="N47" s="558">
        <f>CHOOSE($I$1,'CASH FLOW ASSUMPTION'!G47,'CASH FLOW ASSUMPTION'!N47,'CASH FLOW ASSUMPTION'!U47)</f>
        <v>-8455.6177684033119</v>
      </c>
      <c r="O47" s="558">
        <f>CHOOSE($I$1,'CASH FLOW ASSUMPTION'!H47,'CASH FLOW ASSUMPTION'!O47,'CASH FLOW ASSUMPTION'!V47)</f>
        <v>-8360.4382214582256</v>
      </c>
    </row>
    <row r="48" spans="2:15" x14ac:dyDescent="0.25">
      <c r="C48" s="53"/>
      <c r="I48" s="181"/>
    </row>
    <row r="49" spans="2:15" ht="15.6" x14ac:dyDescent="0.3">
      <c r="B49" s="165" t="s">
        <v>235</v>
      </c>
      <c r="C49" s="60"/>
      <c r="D49" s="46"/>
      <c r="E49" s="46"/>
      <c r="F49" s="46"/>
      <c r="G49" s="46"/>
      <c r="H49" s="46"/>
      <c r="I49" s="181"/>
      <c r="K49" s="46"/>
      <c r="L49" s="46"/>
      <c r="M49" s="46"/>
      <c r="N49" s="46"/>
      <c r="O49" s="46"/>
    </row>
    <row r="50" spans="2:15" ht="7.05" customHeight="1" x14ac:dyDescent="0.3">
      <c r="B50" s="166"/>
      <c r="C50" s="100"/>
      <c r="D50" s="104"/>
      <c r="E50" s="104"/>
      <c r="F50" s="104"/>
      <c r="G50" s="104"/>
      <c r="H50" s="104"/>
      <c r="I50" s="181"/>
      <c r="K50" s="104"/>
      <c r="L50" s="104"/>
      <c r="M50" s="104"/>
      <c r="N50" s="104"/>
      <c r="O50" s="104"/>
    </row>
    <row r="51" spans="2:15" x14ac:dyDescent="0.25">
      <c r="B51" s="167" t="s">
        <v>3262</v>
      </c>
      <c r="C51" s="100" t="s">
        <v>112</v>
      </c>
      <c r="D51" s="179" t="s">
        <v>122</v>
      </c>
      <c r="E51" s="179">
        <f>('BALANCE SHEET'!E45+'BALANCE SHEET'!E59)-('BALANCE SHEET'!D45+'BALANCE SHEET'!D59)</f>
        <v>6836</v>
      </c>
      <c r="F51" s="179">
        <f>('BALANCE SHEET'!F45+'BALANCE SHEET'!F59)-('BALANCE SHEET'!E45+'BALANCE SHEET'!E59)</f>
        <v>-160</v>
      </c>
      <c r="G51" s="179">
        <f>('BALANCE SHEET'!G45+'BALANCE SHEET'!G59)-('BALANCE SHEET'!F45+'BALANCE SHEET'!F59)</f>
        <v>-862</v>
      </c>
      <c r="H51" s="179">
        <f>('BALANCE SHEET'!H45+'BALANCE SHEET'!H59)-('BALANCE SHEET'!G45+'BALANCE SHEET'!G59)</f>
        <v>2034</v>
      </c>
      <c r="I51" s="104"/>
      <c r="K51" s="179">
        <f>CHOOSE($I$1,'CASH FLOW ASSUMPTION'!D51,'CASH FLOW ASSUMPTION'!K51,'CASH FLOW ASSUMPTION'!R51)</f>
        <v>100</v>
      </c>
      <c r="L51" s="179">
        <f>CHOOSE($I$1,'CASH FLOW ASSUMPTION'!E51,'CASH FLOW ASSUMPTION'!L51,'CASH FLOW ASSUMPTION'!S51)</f>
        <v>120</v>
      </c>
      <c r="M51" s="179">
        <f>CHOOSE($I$1,'CASH FLOW ASSUMPTION'!F51,'CASH FLOW ASSUMPTION'!M51,'CASH FLOW ASSUMPTION'!T51)</f>
        <v>140</v>
      </c>
      <c r="N51" s="179">
        <f>CHOOSE($I$1,'CASH FLOW ASSUMPTION'!G51,'CASH FLOW ASSUMPTION'!N51,'CASH FLOW ASSUMPTION'!U51)</f>
        <v>160</v>
      </c>
      <c r="O51" s="179">
        <f>CHOOSE($I$1,'CASH FLOW ASSUMPTION'!H51,'CASH FLOW ASSUMPTION'!O51,'CASH FLOW ASSUMPTION'!V51)</f>
        <v>180</v>
      </c>
    </row>
    <row r="52" spans="2:15" x14ac:dyDescent="0.25">
      <c r="B52" s="167" t="s">
        <v>77</v>
      </c>
      <c r="C52" s="100" t="s">
        <v>112</v>
      </c>
      <c r="D52" s="179">
        <f>('PROFIT &amp; LOSS'!D44)*-1</f>
        <v>-546</v>
      </c>
      <c r="E52" s="179">
        <f>('PROFIT &amp; LOSS'!E44)*-1</f>
        <v>-547</v>
      </c>
      <c r="F52" s="179">
        <f>('PROFIT &amp; LOSS'!F44)*-1</f>
        <v>-3281</v>
      </c>
      <c r="G52" s="179">
        <f>('PROFIT &amp; LOSS'!G44)*-1</f>
        <v>-522</v>
      </c>
      <c r="H52" s="179">
        <f>('PROFIT &amp; LOSS'!H44)*-1</f>
        <v>-6275</v>
      </c>
      <c r="I52" s="181"/>
      <c r="K52" s="179">
        <f>CHOOSE($I$1,'CASH FLOW ASSUMPTION'!D52,'CASH FLOW ASSUMPTION'!K52,'CASH FLOW ASSUMPTION'!R52)</f>
        <v>-2705.7575388799996</v>
      </c>
      <c r="L52" s="179">
        <f>CHOOSE($I$1,'CASH FLOW ASSUMPTION'!E52,'CASH FLOW ASSUMPTION'!L52,'CASH FLOW ASSUMPTION'!S52)</f>
        <v>-3368.8914978900798</v>
      </c>
      <c r="M52" s="179">
        <f>CHOOSE($I$1,'CASH FLOW ASSUMPTION'!F52,'CASH FLOW ASSUMPTION'!M52,'CASH FLOW ASSUMPTION'!T52)</f>
        <v>-4117.038254924194</v>
      </c>
      <c r="N52" s="179">
        <f>CHOOSE($I$1,'CASH FLOW ASSUMPTION'!G52,'CASH FLOW ASSUMPTION'!N52,'CASH FLOW ASSUMPTION'!U52)</f>
        <v>-4193.2707519228379</v>
      </c>
      <c r="O52" s="179">
        <f>CHOOSE($I$1,'CASH FLOW ASSUMPTION'!H52,'CASH FLOW ASSUMPTION'!O52,'CASH FLOW ASSUMPTION'!V52)</f>
        <v>-4315.5682834533727</v>
      </c>
    </row>
    <row r="53" spans="2:15" x14ac:dyDescent="0.25">
      <c r="B53" s="168" t="s">
        <v>3299</v>
      </c>
      <c r="C53" s="58" t="s">
        <v>112</v>
      </c>
      <c r="D53" s="180" t="s">
        <v>122</v>
      </c>
      <c r="E53" s="105">
        <f>'BALANCE SHEET'!E73-'BALANCE SHEET'!D73</f>
        <v>0</v>
      </c>
      <c r="F53" s="105">
        <f>'BALANCE SHEET'!F73-'BALANCE SHEET'!E73</f>
        <v>2</v>
      </c>
      <c r="G53" s="105">
        <f>'BALANCE SHEET'!G73-'BALANCE SHEET'!F73</f>
        <v>-53</v>
      </c>
      <c r="H53" s="105">
        <f>'BALANCE SHEET'!H73-'BALANCE SHEET'!G73</f>
        <v>1049</v>
      </c>
      <c r="I53" s="104"/>
      <c r="K53" s="180">
        <f>CHOOSE($I$1,'CASH FLOW ASSUMPTION'!D53,'CASH FLOW ASSUMPTION'!K53,'CASH FLOW ASSUMPTION'!R53)</f>
        <v>250</v>
      </c>
      <c r="L53" s="105">
        <f>CHOOSE($I$1,'CASH FLOW ASSUMPTION'!E53,'CASH FLOW ASSUMPTION'!L53,'CASH FLOW ASSUMPTION'!S53)</f>
        <v>250</v>
      </c>
      <c r="M53" s="105">
        <f>CHOOSE($I$1,'CASH FLOW ASSUMPTION'!F53,'CASH FLOW ASSUMPTION'!M53,'CASH FLOW ASSUMPTION'!T53)</f>
        <v>250</v>
      </c>
      <c r="N53" s="105">
        <f>CHOOSE($I$1,'CASH FLOW ASSUMPTION'!G53,'CASH FLOW ASSUMPTION'!N53,'CASH FLOW ASSUMPTION'!U53)</f>
        <v>250</v>
      </c>
      <c r="O53" s="105">
        <f>CHOOSE($I$1,'CASH FLOW ASSUMPTION'!H53,'CASH FLOW ASSUMPTION'!O53,'CASH FLOW ASSUMPTION'!V53)</f>
        <v>250</v>
      </c>
    </row>
    <row r="54" spans="2:15" x14ac:dyDescent="0.25">
      <c r="C54" s="53"/>
      <c r="I54" s="181"/>
    </row>
    <row r="55" spans="2:15" ht="15.6" x14ac:dyDescent="0.3">
      <c r="B55" s="483" t="s">
        <v>243</v>
      </c>
      <c r="C55" s="535" t="s">
        <v>112</v>
      </c>
      <c r="D55" s="558" t="s">
        <v>122</v>
      </c>
      <c r="E55" s="558">
        <f>SUM(E51:E53)</f>
        <v>6289</v>
      </c>
      <c r="F55" s="558">
        <f t="shared" ref="F55:H55" si="6">SUM(F51:F53)</f>
        <v>-3439</v>
      </c>
      <c r="G55" s="558">
        <f t="shared" si="6"/>
        <v>-1437</v>
      </c>
      <c r="H55" s="558">
        <f t="shared" si="6"/>
        <v>-3192</v>
      </c>
      <c r="I55" s="181"/>
      <c r="K55" s="558">
        <f>CHOOSE($I$1,'CASH FLOW ASSUMPTION'!D55,'CASH FLOW ASSUMPTION'!K55,'CASH FLOW ASSUMPTION'!R55)</f>
        <v>-2355.7575388799996</v>
      </c>
      <c r="L55" s="558">
        <f>CHOOSE($I$1,'CASH FLOW ASSUMPTION'!E55,'CASH FLOW ASSUMPTION'!L55,'CASH FLOW ASSUMPTION'!S55)</f>
        <v>-2998.8914978900798</v>
      </c>
      <c r="M55" s="558">
        <f>CHOOSE($I$1,'CASH FLOW ASSUMPTION'!F55,'CASH FLOW ASSUMPTION'!M55,'CASH FLOW ASSUMPTION'!T55)</f>
        <v>-3727.038254924194</v>
      </c>
      <c r="N55" s="558">
        <f>CHOOSE($I$1,'CASH FLOW ASSUMPTION'!G55,'CASH FLOW ASSUMPTION'!N55,'CASH FLOW ASSUMPTION'!U55)</f>
        <v>-3783.2707519228379</v>
      </c>
      <c r="O55" s="558">
        <f>CHOOSE($I$1,'CASH FLOW ASSUMPTION'!H55,'CASH FLOW ASSUMPTION'!O55,'CASH FLOW ASSUMPTION'!V55)</f>
        <v>-3885.5682834533727</v>
      </c>
    </row>
    <row r="56" spans="2:15" x14ac:dyDescent="0.25">
      <c r="C56" s="53"/>
      <c r="I56" s="181"/>
    </row>
    <row r="57" spans="2:15" ht="15.6" x14ac:dyDescent="0.3">
      <c r="B57" s="532" t="s">
        <v>80</v>
      </c>
      <c r="C57" s="537" t="s">
        <v>112</v>
      </c>
      <c r="D57" s="538">
        <f>SUM(D55,D47,D38)</f>
        <v>0</v>
      </c>
      <c r="E57" s="538">
        <f>SUM(E55,E47,E38)</f>
        <v>12813</v>
      </c>
      <c r="F57" s="538">
        <f>SUM(F55,F47,F38)</f>
        <v>-7232</v>
      </c>
      <c r="G57" s="538">
        <f>SUM(G55,G47,G38)</f>
        <v>11083</v>
      </c>
      <c r="H57" s="538">
        <f>SUM(H55,H47,H38)</f>
        <v>2471</v>
      </c>
      <c r="I57" s="181"/>
      <c r="K57" s="538">
        <f>CHOOSE($I$1,'CASH FLOW ASSUMPTION'!D57,'CASH FLOW ASSUMPTION'!K57,'CASH FLOW ASSUMPTION'!R57)</f>
        <v>6915.3439678001432</v>
      </c>
      <c r="L57" s="538">
        <f>CHOOSE($I$1,'CASH FLOW ASSUMPTION'!E57,'CASH FLOW ASSUMPTION'!L57,'CASH FLOW ASSUMPTION'!S57)</f>
        <v>9280.0215131797195</v>
      </c>
      <c r="M57" s="538">
        <f>CHOOSE($I$1,'CASH FLOW ASSUMPTION'!F57,'CASH FLOW ASSUMPTION'!M57,'CASH FLOW ASSUMPTION'!T57)</f>
        <v>8527.8034018853159</v>
      </c>
      <c r="N57" s="538">
        <f>CHOOSE($I$1,'CASH FLOW ASSUMPTION'!G57,'CASH FLOW ASSUMPTION'!N57,'CASH FLOW ASSUMPTION'!U57)</f>
        <v>6407.3840069051621</v>
      </c>
      <c r="O57" s="538">
        <f>CHOOSE($I$1,'CASH FLOW ASSUMPTION'!H57,'CASH FLOW ASSUMPTION'!O57,'CASH FLOW ASSUMPTION'!V57)</f>
        <v>7450.0145024197227</v>
      </c>
    </row>
    <row r="58" spans="2:15" x14ac:dyDescent="0.25">
      <c r="C58" s="53"/>
      <c r="I58" s="181"/>
    </row>
    <row r="59" spans="2:15" x14ac:dyDescent="0.25">
      <c r="B59" s="160" t="s">
        <v>3461</v>
      </c>
      <c r="C59" s="528" t="s">
        <v>112</v>
      </c>
      <c r="D59" s="463" t="s">
        <v>122</v>
      </c>
      <c r="E59" s="463">
        <f>E62-E61-E57</f>
        <v>-20284</v>
      </c>
      <c r="F59" s="463">
        <f t="shared" ref="F59:H59" si="7">F62-F61-F57</f>
        <v>6477</v>
      </c>
      <c r="G59" s="463">
        <f t="shared" si="7"/>
        <v>-10528</v>
      </c>
      <c r="H59" s="463">
        <f t="shared" si="7"/>
        <v>85</v>
      </c>
      <c r="I59" s="181"/>
      <c r="K59" s="463">
        <f>CHOOSE($I$1,'CASH FLOW ASSUMPTION'!D59,'CASH FLOW ASSUMPTION'!K59,'CASH FLOW ASSUMPTION'!R59)</f>
        <v>-8439.5759932149649</v>
      </c>
      <c r="L59" s="463">
        <f>CHOOSE($I$1,'CASH FLOW ASSUMPTION'!E59,'CASH FLOW ASSUMPTION'!L59,'CASH FLOW ASSUMPTION'!S59)</f>
        <v>-9430.5242613537885</v>
      </c>
      <c r="M59" s="463">
        <f>CHOOSE($I$1,'CASH FLOW ASSUMPTION'!F59,'CASH FLOW ASSUMPTION'!M59,'CASH FLOW ASSUMPTION'!T59)</f>
        <v>-8070.8310243594697</v>
      </c>
      <c r="N59" s="463">
        <f>CHOOSE($I$1,'CASH FLOW ASSUMPTION'!G59,'CASH FLOW ASSUMPTION'!N59,'CASH FLOW ASSUMPTION'!U59)</f>
        <v>-6931.2594172687641</v>
      </c>
      <c r="O59" s="463">
        <f>CHOOSE($I$1,'CASH FLOW ASSUMPTION'!H59,'CASH FLOW ASSUMPTION'!O59,'CASH FLOW ASSUMPTION'!V59)</f>
        <v>-7203.1820505076139</v>
      </c>
    </row>
    <row r="60" spans="2:15" x14ac:dyDescent="0.25">
      <c r="C60" s="53"/>
      <c r="D60" s="32"/>
      <c r="I60" s="181"/>
      <c r="K60" s="32"/>
    </row>
    <row r="61" spans="2:15" x14ac:dyDescent="0.25">
      <c r="B61" s="40" t="s">
        <v>236</v>
      </c>
      <c r="C61" s="60" t="s">
        <v>112</v>
      </c>
      <c r="D61" s="62" t="s">
        <v>122</v>
      </c>
      <c r="E61" s="62">
        <f>D62</f>
        <v>17473</v>
      </c>
      <c r="F61" s="62">
        <f t="shared" ref="F61:H61" si="8">E62</f>
        <v>10002</v>
      </c>
      <c r="G61" s="62">
        <f t="shared" si="8"/>
        <v>9247</v>
      </c>
      <c r="H61" s="62">
        <f t="shared" si="8"/>
        <v>9802</v>
      </c>
      <c r="I61" s="181"/>
      <c r="K61" s="62">
        <f>CHOOSE($I$1,'CASH FLOW ASSUMPTION'!D61,'CASH FLOW ASSUMPTION'!K61,'CASH FLOW ASSUMPTION'!R61)</f>
        <v>12358</v>
      </c>
      <c r="L61" s="62">
        <f>CHOOSE($I$1,'CASH FLOW ASSUMPTION'!E61,'CASH FLOW ASSUMPTION'!L61,'CASH FLOW ASSUMPTION'!S61)</f>
        <v>10833.767974585178</v>
      </c>
      <c r="M61" s="62">
        <f>CHOOSE($I$1,'CASH FLOW ASSUMPTION'!F61,'CASH FLOW ASSUMPTION'!M61,'CASH FLOW ASSUMPTION'!T61)</f>
        <v>10683.265226411109</v>
      </c>
      <c r="N61" s="62">
        <f>CHOOSE($I$1,'CASH FLOW ASSUMPTION'!G61,'CASH FLOW ASSUMPTION'!N61,'CASH FLOW ASSUMPTION'!U61)</f>
        <v>11140.237603936956</v>
      </c>
      <c r="O61" s="62">
        <f>CHOOSE($I$1,'CASH FLOW ASSUMPTION'!H61,'CASH FLOW ASSUMPTION'!O61,'CASH FLOW ASSUMPTION'!V61)</f>
        <v>10616.362193573354</v>
      </c>
    </row>
    <row r="62" spans="2:15" x14ac:dyDescent="0.25">
      <c r="B62" s="43" t="s">
        <v>237</v>
      </c>
      <c r="C62" s="58" t="s">
        <v>112</v>
      </c>
      <c r="D62" s="105">
        <f>'BALANCE SHEET'!D15</f>
        <v>17473</v>
      </c>
      <c r="E62" s="105">
        <f>'BALANCE SHEET'!E15</f>
        <v>10002</v>
      </c>
      <c r="F62" s="105">
        <f>'BALANCE SHEET'!F15</f>
        <v>9247</v>
      </c>
      <c r="G62" s="105">
        <f>'BALANCE SHEET'!G15</f>
        <v>9802</v>
      </c>
      <c r="H62" s="105">
        <f>'BALANCE SHEET'!H15</f>
        <v>12358</v>
      </c>
      <c r="I62" s="181"/>
      <c r="K62" s="105">
        <f>CHOOSE($I$1,'CASH FLOW ASSUMPTION'!D62,'CASH FLOW ASSUMPTION'!K62,'CASH FLOW ASSUMPTION'!R62)</f>
        <v>10833.767974585178</v>
      </c>
      <c r="L62" s="105">
        <f>CHOOSE($I$1,'CASH FLOW ASSUMPTION'!E62,'CASH FLOW ASSUMPTION'!L62,'CASH FLOW ASSUMPTION'!S62)</f>
        <v>10683.265226411109</v>
      </c>
      <c r="M62" s="105">
        <f>CHOOSE($I$1,'CASH FLOW ASSUMPTION'!F62,'CASH FLOW ASSUMPTION'!M62,'CASH FLOW ASSUMPTION'!T62)</f>
        <v>11140.237603936956</v>
      </c>
      <c r="N62" s="105">
        <f>CHOOSE($I$1,'CASH FLOW ASSUMPTION'!G62,'CASH FLOW ASSUMPTION'!N62,'CASH FLOW ASSUMPTION'!U62)</f>
        <v>10616.362193573354</v>
      </c>
      <c r="O62" s="105">
        <f>CHOOSE($I$1,'CASH FLOW ASSUMPTION'!H62,'CASH FLOW ASSUMPTION'!O62,'CASH FLOW ASSUMPTION'!V62)</f>
        <v>10863.194645485462</v>
      </c>
    </row>
    <row r="64" spans="2:15" x14ac:dyDescent="0.25">
      <c r="B64" s="30"/>
      <c r="C64" s="30"/>
      <c r="D64" s="30"/>
      <c r="E64" s="30"/>
      <c r="F64" s="30"/>
      <c r="G64" s="30"/>
      <c r="H64" s="30"/>
      <c r="I64" s="30"/>
      <c r="J64" s="30"/>
      <c r="K64" s="30"/>
      <c r="L64" s="30"/>
      <c r="M64" s="30"/>
      <c r="N64" s="30"/>
      <c r="O64" s="30"/>
    </row>
  </sheetData>
  <mergeCells count="4">
    <mergeCell ref="B1:B3"/>
    <mergeCell ref="D1:H2"/>
    <mergeCell ref="I1:J2"/>
    <mergeCell ref="K1:O2"/>
  </mergeCells>
  <printOptions horizontalCentered="1" verticalCentered="1"/>
  <pageMargins left="0" right="0" top="0" bottom="0" header="0" footer="0"/>
  <pageSetup scale="63" orientation="landscape"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31E93-F519-4CBE-8C5F-43448A8A34CC}">
  <sheetPr>
    <pageSetUpPr fitToPage="1"/>
  </sheetPr>
  <dimension ref="B1:P1048576"/>
  <sheetViews>
    <sheetView zoomScale="70" zoomScaleNormal="70" workbookViewId="0"/>
  </sheetViews>
  <sheetFormatPr defaultColWidth="15.77734375" defaultRowHeight="15" x14ac:dyDescent="0.25"/>
  <cols>
    <col min="1" max="1" width="2" style="29" customWidth="1"/>
    <col min="2" max="2" width="44.77734375" style="29" customWidth="1"/>
    <col min="3" max="3" width="8.88671875" style="29" customWidth="1"/>
    <col min="4" max="8" width="15.77734375" style="29"/>
    <col min="9" max="10" width="2" style="29" customWidth="1"/>
    <col min="11" max="16384" width="15.77734375" style="29"/>
  </cols>
  <sheetData>
    <row r="1" spans="2:15" x14ac:dyDescent="0.25">
      <c r="B1" s="974" t="s">
        <v>3336</v>
      </c>
      <c r="C1" s="30"/>
      <c r="D1" s="975" t="s">
        <v>248</v>
      </c>
      <c r="E1" s="975"/>
      <c r="F1" s="975"/>
      <c r="G1" s="975"/>
      <c r="H1" s="975"/>
      <c r="I1" s="30"/>
      <c r="J1" s="30"/>
      <c r="K1" s="975" t="s">
        <v>249</v>
      </c>
      <c r="L1" s="975"/>
      <c r="M1" s="975"/>
      <c r="N1" s="975"/>
      <c r="O1" s="975"/>
    </row>
    <row r="2" spans="2:15" x14ac:dyDescent="0.25">
      <c r="B2" s="974"/>
      <c r="C2" s="30"/>
      <c r="D2" s="975"/>
      <c r="E2" s="975"/>
      <c r="F2" s="975"/>
      <c r="G2" s="975"/>
      <c r="H2" s="975"/>
      <c r="I2" s="30"/>
      <c r="J2" s="30"/>
      <c r="K2" s="975"/>
      <c r="L2" s="975"/>
      <c r="M2" s="975"/>
      <c r="N2" s="975"/>
      <c r="O2" s="975"/>
    </row>
    <row r="3" spans="2:15" ht="24.6" x14ac:dyDescent="0.4">
      <c r="B3" s="974"/>
      <c r="C3" s="34" t="s">
        <v>82</v>
      </c>
      <c r="D3" s="35" t="s">
        <v>83</v>
      </c>
      <c r="E3" s="35" t="s">
        <v>84</v>
      </c>
      <c r="F3" s="35" t="s">
        <v>85</v>
      </c>
      <c r="G3" s="35" t="s">
        <v>86</v>
      </c>
      <c r="H3" s="35" t="s">
        <v>87</v>
      </c>
      <c r="I3" s="30"/>
      <c r="J3" s="30"/>
      <c r="K3" s="35" t="s">
        <v>83</v>
      </c>
      <c r="L3" s="35" t="s">
        <v>84</v>
      </c>
      <c r="M3" s="35" t="s">
        <v>85</v>
      </c>
      <c r="N3" s="35" t="s">
        <v>86</v>
      </c>
      <c r="O3" s="35" t="s">
        <v>87</v>
      </c>
    </row>
    <row r="4" spans="2:15" ht="28.2" x14ac:dyDescent="0.5">
      <c r="B4" s="38" t="s">
        <v>121</v>
      </c>
      <c r="C4" s="33"/>
      <c r="D4" s="36">
        <v>44276</v>
      </c>
      <c r="E4" s="36">
        <f>EDATE(D4,12)</f>
        <v>44641</v>
      </c>
      <c r="F4" s="36">
        <f t="shared" ref="F4:H4" si="0">EDATE(E4,12)</f>
        <v>45006</v>
      </c>
      <c r="G4" s="36">
        <f t="shared" si="0"/>
        <v>45372</v>
      </c>
      <c r="H4" s="36">
        <f t="shared" si="0"/>
        <v>45737</v>
      </c>
      <c r="K4" s="36">
        <v>44276</v>
      </c>
      <c r="L4" s="36">
        <f>EDATE(K4,12)</f>
        <v>44641</v>
      </c>
      <c r="M4" s="36">
        <f t="shared" ref="M4" si="1">EDATE(L4,12)</f>
        <v>45006</v>
      </c>
      <c r="N4" s="36">
        <f t="shared" ref="N4" si="2">EDATE(M4,12)</f>
        <v>45372</v>
      </c>
      <c r="O4" s="36">
        <f t="shared" ref="O4" si="3">EDATE(N4,12)</f>
        <v>45737</v>
      </c>
    </row>
    <row r="6" spans="2:15" ht="15" customHeight="1" x14ac:dyDescent="0.25">
      <c r="B6" s="986" t="s">
        <v>244</v>
      </c>
      <c r="C6" s="986"/>
      <c r="D6" s="986"/>
      <c r="E6" s="986"/>
      <c r="F6" s="986"/>
      <c r="G6" s="986"/>
      <c r="H6" s="986"/>
      <c r="I6" s="181"/>
      <c r="K6" s="986" t="s">
        <v>251</v>
      </c>
      <c r="L6" s="986"/>
      <c r="M6" s="986"/>
      <c r="N6" s="986"/>
      <c r="O6" s="986"/>
    </row>
    <row r="7" spans="2:15" ht="15" customHeight="1" x14ac:dyDescent="0.25">
      <c r="B7" s="986"/>
      <c r="C7" s="986"/>
      <c r="D7" s="986"/>
      <c r="E7" s="986"/>
      <c r="F7" s="986"/>
      <c r="G7" s="986"/>
      <c r="H7" s="986"/>
      <c r="I7" s="181"/>
      <c r="K7" s="986"/>
      <c r="L7" s="986"/>
      <c r="M7" s="986"/>
      <c r="N7" s="986"/>
      <c r="O7" s="986"/>
    </row>
    <row r="8" spans="2:15" x14ac:dyDescent="0.25">
      <c r="I8" s="181"/>
    </row>
    <row r="9" spans="2:15" ht="15.6" x14ac:dyDescent="0.3">
      <c r="B9" s="483" t="s">
        <v>95</v>
      </c>
      <c r="C9" s="482" t="s">
        <v>113</v>
      </c>
      <c r="D9" s="488">
        <f>'PROFIT &amp; LOSS'!D6/'PROFIT &amp; LOSS'!D6</f>
        <v>1</v>
      </c>
      <c r="E9" s="488">
        <f>'PROFIT &amp; LOSS'!E6/'PROFIT &amp; LOSS'!E6</f>
        <v>1</v>
      </c>
      <c r="F9" s="488">
        <f>'PROFIT &amp; LOSS'!F6/'PROFIT &amp; LOSS'!F6</f>
        <v>1</v>
      </c>
      <c r="G9" s="488">
        <f>'PROFIT &amp; LOSS'!G6/'PROFIT &amp; LOSS'!G6</f>
        <v>1</v>
      </c>
      <c r="H9" s="488">
        <f>'PROFIT &amp; LOSS'!H6/'PROFIT &amp; LOSS'!H6</f>
        <v>1</v>
      </c>
      <c r="I9" s="246"/>
      <c r="J9" s="49"/>
      <c r="K9" s="488" t="s">
        <v>122</v>
      </c>
      <c r="L9" s="572">
        <f>'PROFIT &amp; LOSS'!E$6/'PROFIT &amp; LOSS'!D$6-1</f>
        <v>0.27771797631862216</v>
      </c>
      <c r="M9" s="572">
        <f>'PROFIT &amp; LOSS'!F$6/'PROFIT &amp; LOSS'!E$6-1</f>
        <v>0.14341938160922441</v>
      </c>
      <c r="N9" s="572">
        <f>'PROFIT &amp; LOSS'!G$6/'PROFIT &amp; LOSS'!F$6-1</f>
        <v>-1.254742398416453E-2</v>
      </c>
      <c r="O9" s="573">
        <f>'PROFIT &amp; LOSS'!H$6/'PROFIT &amp; LOSS'!G$6-1</f>
        <v>-7.8624406975966732E-3</v>
      </c>
    </row>
    <row r="10" spans="2:15" ht="15" customHeight="1" x14ac:dyDescent="0.25">
      <c r="C10" s="53"/>
      <c r="D10" s="49"/>
      <c r="E10" s="49"/>
      <c r="F10" s="49"/>
      <c r="G10" s="49"/>
      <c r="H10" s="49"/>
      <c r="I10" s="246"/>
      <c r="J10" s="49"/>
      <c r="K10" s="487"/>
      <c r="L10" s="49"/>
      <c r="M10" s="49"/>
      <c r="N10" s="49"/>
      <c r="O10" s="49"/>
    </row>
    <row r="11" spans="2:15" x14ac:dyDescent="0.25">
      <c r="B11" s="40" t="s">
        <v>245</v>
      </c>
      <c r="C11" s="60" t="s">
        <v>113</v>
      </c>
      <c r="D11" s="268">
        <f>'PROFIT &amp; LOSS'!D13</f>
        <v>0.71254598910720879</v>
      </c>
      <c r="E11" s="268">
        <f>'PROFIT &amp; LOSS'!E13</f>
        <v>0.74277307648782209</v>
      </c>
      <c r="F11" s="268">
        <f>'PROFIT &amp; LOSS'!F13</f>
        <v>0.74011106834552154</v>
      </c>
      <c r="G11" s="268">
        <f>'PROFIT &amp; LOSS'!G13</f>
        <v>0.74726596431832859</v>
      </c>
      <c r="H11" s="268">
        <f>'PROFIT &amp; LOSS'!H13</f>
        <v>0.73283719468390807</v>
      </c>
      <c r="I11" s="246"/>
      <c r="J11" s="49"/>
      <c r="K11" s="486" t="s">
        <v>122</v>
      </c>
      <c r="L11" s="268">
        <f>'PROFIT &amp; LOSS'!E12/'PROFIT &amp; LOSS'!D12-1</f>
        <v>0.3319203625622873</v>
      </c>
      <c r="M11" s="268">
        <f>'PROFIT &amp; LOSS'!F12/'PROFIT &amp; LOSS'!E12-1</f>
        <v>0.13932150595882997</v>
      </c>
      <c r="N11" s="268">
        <f>'PROFIT &amp; LOSS'!G12/'PROFIT &amp; LOSS'!F12-1</f>
        <v>-3.0013966895485744E-3</v>
      </c>
      <c r="O11" s="268">
        <f>'PROFIT &amp; LOSS'!H12/'PROFIT &amp; LOSS'!G12-1</f>
        <v>-2.7019374068554369E-2</v>
      </c>
    </row>
    <row r="12" spans="2:15" x14ac:dyDescent="0.25">
      <c r="B12" s="102" t="s">
        <v>98</v>
      </c>
      <c r="C12" s="100" t="s">
        <v>113</v>
      </c>
      <c r="D12" s="261">
        <f>'PROFIT &amp; LOSS'!D16</f>
        <v>0.32572337451600986</v>
      </c>
      <c r="E12" s="261">
        <f>'PROFIT &amp; LOSS'!E16</f>
        <v>0.28314199851626448</v>
      </c>
      <c r="F12" s="261">
        <f>'PROFIT &amp; LOSS'!F16</f>
        <v>0.28480782976851599</v>
      </c>
      <c r="G12" s="261">
        <f>'PROFIT &amp; LOSS'!G16</f>
        <v>0.28203443437200704</v>
      </c>
      <c r="H12" s="261">
        <f>'PROFIT &amp; LOSS'!H16</f>
        <v>0.31076014727011492</v>
      </c>
      <c r="I12" s="246"/>
      <c r="J12" s="49"/>
      <c r="K12" s="485" t="s">
        <v>122</v>
      </c>
      <c r="L12" s="261">
        <f>'PROFIT &amp; LOSS'!E15/'PROFIT &amp; LOSS'!D15-1</f>
        <v>0.11068363421130512</v>
      </c>
      <c r="M12" s="261">
        <f>'PROFIT &amp; LOSS'!F15/'PROFIT &amp; LOSS'!E15-1</f>
        <v>0.15014654942712502</v>
      </c>
      <c r="N12" s="261">
        <f>'PROFIT &amp; LOSS'!G15/'PROFIT &amp; LOSS'!F15-1</f>
        <v>-2.2163017877138147E-2</v>
      </c>
      <c r="O12" s="261">
        <f>'PROFIT &amp; LOSS'!H15/'PROFIT &amp; LOSS'!G15-1</f>
        <v>9.3188548864758136E-2</v>
      </c>
    </row>
    <row r="13" spans="2:15" x14ac:dyDescent="0.25">
      <c r="B13" s="102" t="s">
        <v>246</v>
      </c>
      <c r="C13" s="100" t="s">
        <v>113</v>
      </c>
      <c r="D13" s="261">
        <f>'PROFIT &amp; LOSS'!D19</f>
        <v>4.3512572533849131E-2</v>
      </c>
      <c r="E13" s="261">
        <f>'PROFIT &amp; LOSS'!E19</f>
        <v>6.0350533153572743E-2</v>
      </c>
      <c r="F13" s="261">
        <f>'PROFIT &amp; LOSS'!F19</f>
        <v>6.7370521775517431E-2</v>
      </c>
      <c r="G13" s="261">
        <f>'PROFIT &amp; LOSS'!G19</f>
        <v>6.3684068163375712E-2</v>
      </c>
      <c r="H13" s="261">
        <f>'PROFIT &amp; LOSS'!H19</f>
        <v>6.2180011186163578E-2</v>
      </c>
      <c r="I13" s="246"/>
      <c r="J13" s="49"/>
      <c r="K13" s="485" t="s">
        <v>122</v>
      </c>
      <c r="L13" s="261">
        <f>'PROFIT &amp; LOSS'!E18/'PROFIT &amp; LOSS'!D18-1</f>
        <v>0.75106685633001424</v>
      </c>
      <c r="M13" s="261">
        <f>'PROFIT &amp; LOSS'!F18/'PROFIT &amp; LOSS'!E18-1</f>
        <v>0.2751827782290821</v>
      </c>
      <c r="N13" s="261">
        <f>'PROFIT &amp; LOSS'!G18/'PROFIT &amp; LOSS'!F18-1</f>
        <v>-6.2589584328714754E-2</v>
      </c>
      <c r="O13" s="261">
        <f>'PROFIT &amp; LOSS'!H18/'PROFIT &amp; LOSS'!G18-1</f>
        <v>-1.7838939857288461E-2</v>
      </c>
    </row>
    <row r="14" spans="2:15" x14ac:dyDescent="0.25">
      <c r="B14" s="102" t="s">
        <v>100</v>
      </c>
      <c r="C14" s="100" t="s">
        <v>113</v>
      </c>
      <c r="D14" s="261">
        <f>'PROFIT &amp; LOSS'!D22</f>
        <v>0.27020502901353965</v>
      </c>
      <c r="E14" s="261">
        <f>'PROFIT &amp; LOSS'!E22</f>
        <v>0.21563917146709155</v>
      </c>
      <c r="F14" s="261">
        <f>'PROFIT &amp; LOSS'!F22</f>
        <v>0.21051276273859723</v>
      </c>
      <c r="G14" s="261">
        <f>'PROFIT &amp; LOSS'!G22</f>
        <v>0.21032188260751961</v>
      </c>
      <c r="H14" s="261">
        <f>'PROFIT &amp; LOSS'!H22</f>
        <v>0.23559781439573205</v>
      </c>
      <c r="I14" s="246"/>
      <c r="J14" s="49"/>
      <c r="K14" s="485" t="s">
        <v>122</v>
      </c>
      <c r="L14" s="261">
        <f>'PROFIT &amp; LOSS'!E21/'PROFIT &amp; LOSS'!D21-1</f>
        <v>7.5592715611041417E-3</v>
      </c>
      <c r="M14" s="261">
        <f>'PROFIT &amp; LOSS'!F21/'PROFIT &amp; LOSS'!E21-1</f>
        <v>0.11515289303171539</v>
      </c>
      <c r="N14" s="261">
        <f>'PROFIT &amp; LOSS'!G21/'PROFIT &amp; LOSS'!F21-1</f>
        <v>-9.2252803261977379E-3</v>
      </c>
      <c r="O14" s="261">
        <f>'PROFIT &amp; LOSS'!H21/'PROFIT &amp; LOSS'!G21-1</f>
        <v>0.12680693451309222</v>
      </c>
    </row>
    <row r="15" spans="2:15" x14ac:dyDescent="0.25">
      <c r="B15" s="102" t="s">
        <v>14</v>
      </c>
      <c r="C15" s="100" t="s">
        <v>113</v>
      </c>
      <c r="D15" s="261">
        <f>'PROFIT &amp; LOSS'!D25</f>
        <v>4.2754352030947775E-2</v>
      </c>
      <c r="E15" s="261">
        <f>'PROFIT &amp; LOSS'!E25</f>
        <v>3.7725211422968502E-2</v>
      </c>
      <c r="F15" s="261">
        <f>'PROFIT &amp; LOSS'!F25</f>
        <v>3.5836525359169966E-2</v>
      </c>
      <c r="G15" s="261">
        <f>'PROFIT &amp; LOSS'!G25</f>
        <v>3.6862320800649176E-2</v>
      </c>
      <c r="H15" s="261">
        <f>'PROFIT &amp; LOSS'!H25</f>
        <v>3.1816030632878717E-2</v>
      </c>
      <c r="I15" s="246"/>
      <c r="J15" s="49"/>
      <c r="K15" s="485" t="s">
        <v>122</v>
      </c>
      <c r="L15" s="261">
        <f>'PROFIT &amp; LOSS'!E24/'PROFIT &amp; LOSS'!D24-1</f>
        <v>0.11400651465798051</v>
      </c>
      <c r="M15" s="261">
        <f>'PROFIT &amp; LOSS'!F24/'PROFIT &amp; LOSS'!E24-1</f>
        <v>8.5120207927225522E-2</v>
      </c>
      <c r="N15" s="261">
        <f>'PROFIT &amp; LOSS'!G24/'PROFIT &amp; LOSS'!F24-1</f>
        <v>2.0059880239520878E-2</v>
      </c>
      <c r="O15" s="261">
        <f>'PROFIT &amp; LOSS'!H24/'PROFIT &amp; LOSS'!G24-1</f>
        <v>-0.13178749633108311</v>
      </c>
    </row>
    <row r="16" spans="2:15" x14ac:dyDescent="0.25">
      <c r="B16" s="102" t="s">
        <v>102</v>
      </c>
      <c r="C16" s="100" t="s">
        <v>113</v>
      </c>
      <c r="D16" s="261">
        <f>'PROFIT &amp; LOSS'!D28</f>
        <v>0.22745067698259189</v>
      </c>
      <c r="E16" s="261">
        <f>'PROFIT &amp; LOSS'!E28</f>
        <v>0.17791396004412305</v>
      </c>
      <c r="F16" s="261">
        <f>'PROFIT &amp; LOSS'!F28</f>
        <v>0.17467623737942725</v>
      </c>
      <c r="G16" s="261">
        <f>'PROFIT &amp; LOSS'!G28</f>
        <v>0.17345956180687044</v>
      </c>
      <c r="H16" s="261">
        <f>'PROFIT &amp; LOSS'!H28</f>
        <v>0.20378178376285333</v>
      </c>
      <c r="I16" s="246"/>
      <c r="J16" s="49"/>
      <c r="K16" s="485" t="s">
        <v>122</v>
      </c>
      <c r="L16" s="261">
        <f>'PROFIT &amp; LOSS'!E27/'PROFIT &amp; LOSS'!D27-1</f>
        <v>-1.2449826518810769E-2</v>
      </c>
      <c r="M16" s="261">
        <f>'PROFIT &amp; LOSS'!F27/'PROFIT &amp; LOSS'!E27-1</f>
        <v>0.12152108018737939</v>
      </c>
      <c r="N16" s="261">
        <f>'PROFIT &amp; LOSS'!G27/'PROFIT &amp; LOSS'!F27-1</f>
        <v>-1.5233415233415259E-2</v>
      </c>
      <c r="O16" s="261">
        <f>'PROFIT &amp; LOSS'!H27/'PROFIT &amp; LOSS'!G27-1</f>
        <v>0.18176147704590817</v>
      </c>
    </row>
    <row r="17" spans="2:16" x14ac:dyDescent="0.25">
      <c r="B17" s="102" t="s">
        <v>13</v>
      </c>
      <c r="C17" s="100" t="s">
        <v>113</v>
      </c>
      <c r="D17" s="261">
        <f>'PROFIT &amp; LOSS'!D30/'PROFIT &amp; LOSS'!D6</f>
        <v>8.1776263997557965E-3</v>
      </c>
      <c r="E17" s="261">
        <f>'PROFIT &amp; LOSS'!E30/'PROFIT &amp; LOSS'!E6</f>
        <v>6.727105835607137E-3</v>
      </c>
      <c r="F17" s="261">
        <f>'PROFIT &amp; LOSS'!F30/'PROFIT &amp; LOSS'!F6</f>
        <v>1.1843624566998405E-2</v>
      </c>
      <c r="G17" s="261">
        <f>'PROFIT &amp; LOSS'!G30/'PROFIT &amp; LOSS'!G6</f>
        <v>1.3976434951110318E-2</v>
      </c>
      <c r="H17" s="261">
        <f>'PROFIT &amp; LOSS'!H30/'PROFIT &amp; LOSS'!H6</f>
        <v>1.6579112787356323E-2</v>
      </c>
      <c r="I17" s="246"/>
      <c r="J17" s="49"/>
      <c r="K17" s="485" t="s">
        <v>122</v>
      </c>
      <c r="L17" s="261">
        <f>'PROFIT &amp; LOSS'!E30/'PROFIT &amp; LOSS'!D30-1</f>
        <v>5.1080550098231869E-2</v>
      </c>
      <c r="M17" s="261">
        <f>'PROFIT &amp; LOSS'!F30/'PROFIT &amp; LOSS'!E30-1</f>
        <v>1.0130841121495329</v>
      </c>
      <c r="N17" s="261">
        <f>'PROFIT &amp; LOSS'!G30/'PROFIT &amp; LOSS'!F30-1</f>
        <v>0.16527390900649963</v>
      </c>
      <c r="O17" s="261">
        <f>'PROFIT &amp; LOSS'!H30/'PROFIT &amp; LOSS'!G30-1</f>
        <v>0.17689243027888457</v>
      </c>
    </row>
    <row r="18" spans="2:16" x14ac:dyDescent="0.25">
      <c r="B18" s="102" t="s">
        <v>103</v>
      </c>
      <c r="C18" s="100" t="s">
        <v>113</v>
      </c>
      <c r="D18" s="261">
        <f>'PROFIT &amp; LOSS'!D33</f>
        <v>0.21957446808510639</v>
      </c>
      <c r="E18" s="261">
        <f>'PROFIT &amp; LOSS'!E33</f>
        <v>0.17135678391959799</v>
      </c>
      <c r="F18" s="261">
        <f>'PROFIT &amp; LOSS'!F33</f>
        <v>0.16312056737588654</v>
      </c>
      <c r="G18" s="261">
        <f>'PROFIT &amp; LOSS'!G33</f>
        <v>0.1598809845820936</v>
      </c>
      <c r="H18" s="261">
        <f>'PROFIT &amp; LOSS'!H33</f>
        <v>0.18789528029944499</v>
      </c>
      <c r="I18" s="246"/>
      <c r="J18" s="49"/>
      <c r="K18" s="485" t="s">
        <v>122</v>
      </c>
      <c r="L18" s="261">
        <f>'PROFIT &amp; LOSS'!E32/'PROFIT &amp; LOSS'!D32-1</f>
        <v>-1.4728682170542684E-2</v>
      </c>
      <c r="M18" s="261">
        <f>'PROFIT &amp; LOSS'!F32/'PROFIT &amp; LOSS'!E32-1</f>
        <v>8.7404334453901722E-2</v>
      </c>
      <c r="N18" s="261">
        <f>'PROFIT &amp; LOSS'!G32/'PROFIT &amp; LOSS'!F32-1</f>
        <v>-2.8020785371308254E-2</v>
      </c>
      <c r="O18" s="261">
        <f>'PROFIT &amp; LOSS'!H32/'PROFIT &amp; LOSS'!G32-1</f>
        <v>0.18217500169181844</v>
      </c>
    </row>
    <row r="19" spans="2:16" x14ac:dyDescent="0.25">
      <c r="B19" s="102" t="s">
        <v>104</v>
      </c>
      <c r="C19" s="100" t="s">
        <v>113</v>
      </c>
      <c r="D19" s="261">
        <f>'PROFIT &amp; LOSS'!D35/'PROFIT &amp; LOSS'!D6</f>
        <v>4.8760503189113638E-2</v>
      </c>
      <c r="E19" s="261">
        <f>'PROFIT &amp; LOSS'!E35/'PROFIT &amp; LOSS'!E6</f>
        <v>3.6426963749072665E-2</v>
      </c>
      <c r="F19" s="261">
        <f>'PROFIT &amp; LOSS'!F35/'PROFIT &amp; LOSS'!F6</f>
        <v>3.7378347171056252E-2</v>
      </c>
      <c r="G19" s="261">
        <f>'PROFIT &amp; LOSS'!G35/'PROFIT &amp; LOSS'!G6</f>
        <v>4.0191995010802506E-2</v>
      </c>
      <c r="H19" s="261">
        <f>'PROFIT &amp; LOSS'!H35/'PROFIT &amp; LOSS'!H6</f>
        <v>4.8019935344827583E-2</v>
      </c>
      <c r="I19" s="246"/>
      <c r="J19" s="49"/>
      <c r="K19" s="485" t="s">
        <v>122</v>
      </c>
      <c r="L19" s="261">
        <f>'PROFIT &amp; LOSS'!E35/'PROFIT &amp; LOSS'!D35-1</f>
        <v>-4.5469522240527138E-2</v>
      </c>
      <c r="M19" s="261">
        <f>'PROFIT &amp; LOSS'!F35/'PROFIT &amp; LOSS'!E35-1</f>
        <v>0.17328270624784259</v>
      </c>
      <c r="N19" s="261">
        <f>'PROFIT &amp; LOSS'!G35/'PROFIT &amp; LOSS'!F35-1</f>
        <v>6.1782877316857832E-2</v>
      </c>
      <c r="O19" s="261">
        <f>'PROFIT &amp; LOSS'!H35/'PROFIT &amp; LOSS'!G35-1</f>
        <v>0.18536990856192848</v>
      </c>
    </row>
    <row r="20" spans="2:16" x14ac:dyDescent="0.25">
      <c r="B20" s="102" t="s">
        <v>106</v>
      </c>
      <c r="C20" s="100" t="s">
        <v>113</v>
      </c>
      <c r="D20" s="261">
        <f>'PROFIT &amp; LOSS'!D39</f>
        <v>0.17261121856866538</v>
      </c>
      <c r="E20" s="261">
        <f>'PROFIT &amp; LOSS'!E39</f>
        <v>0.13584998161539405</v>
      </c>
      <c r="F20" s="261">
        <f>'PROFIT &amp; LOSS'!F39</f>
        <v>0.1266510015986953</v>
      </c>
      <c r="G20" s="261">
        <f>'PROFIT &amp; LOSS'!G39</f>
        <v>0.12083310792534488</v>
      </c>
      <c r="H20" s="261">
        <f>'PROFIT &amp; LOSS'!H39</f>
        <v>0.14188142666609302</v>
      </c>
      <c r="I20" s="246"/>
      <c r="J20" s="49"/>
      <c r="K20" s="485" t="s">
        <v>122</v>
      </c>
      <c r="L20" s="261">
        <f>'PROFIT &amp; LOSS'!E38/'PROFIT &amp; LOSS'!D38-1</f>
        <v>-6.3648588077095392E-3</v>
      </c>
      <c r="M20" s="261">
        <f>'PROFIT &amp; LOSS'!F38/'PROFIT &amp; LOSS'!E38-1</f>
        <v>6.4958498736918058E-2</v>
      </c>
      <c r="N20" s="261">
        <f>'PROFIT &amp; LOSS'!G38/'PROFIT &amp; LOSS'!F38-1</f>
        <v>-5.3880040664181617E-2</v>
      </c>
      <c r="O20" s="261">
        <f>'PROFIT &amp; LOSS'!H38/'PROFIT &amp; LOSS'!G38-1</f>
        <v>0.18114255014326641</v>
      </c>
    </row>
    <row r="21" spans="2:16" x14ac:dyDescent="0.25">
      <c r="B21" s="43" t="s">
        <v>110</v>
      </c>
      <c r="C21" s="58" t="s">
        <v>113</v>
      </c>
      <c r="D21" s="262">
        <f>'PROFIT &amp; LOSS'!D47/'PROFIT &amp; LOSS'!D6</f>
        <v>0.17044486930257219</v>
      </c>
      <c r="E21" s="262">
        <f>'PROFIT &amp; LOSS'!E47/'PROFIT &amp; LOSS'!E6</f>
        <v>0.13249254988746242</v>
      </c>
      <c r="F21" s="262">
        <f>'PROFIT &amp; LOSS'!F47/'PROFIT &amp; LOSS'!F6</f>
        <v>9.3726288007917741E-2</v>
      </c>
      <c r="G21" s="262">
        <f>'PROFIT &amp; LOSS'!G47/'PROFIT &amp; LOSS'!G6</f>
        <v>0.11856026015101231</v>
      </c>
      <c r="H21" s="262">
        <f>'PROFIT &amp; LOSS'!H47/'PROFIT &amp; LOSS'!H6</f>
        <v>7.7631106321839075E-2</v>
      </c>
      <c r="I21" s="246"/>
      <c r="J21" s="49"/>
      <c r="K21" s="336" t="s">
        <v>122</v>
      </c>
      <c r="L21" s="262">
        <f>'PROFIT &amp; LOSS'!E47/'PROFIT &amp; LOSS'!D47-1</f>
        <v>-6.7866905457630855E-3</v>
      </c>
      <c r="M21" s="262">
        <f>'PROFIT &amp; LOSS'!F47/'PROFIT &amp; LOSS'!E47-1</f>
        <v>-0.19113599696308248</v>
      </c>
      <c r="N21" s="262">
        <f>'PROFIT &amp; LOSS'!G47/'PROFIT &amp; LOSS'!F47-1</f>
        <v>0.24909069576440213</v>
      </c>
      <c r="O21" s="262">
        <f>'PROFIT &amp; LOSS'!H47/'PROFIT &amp; LOSS'!G47-1</f>
        <v>-0.35036633477362389</v>
      </c>
    </row>
    <row r="22" spans="2:16" x14ac:dyDescent="0.25">
      <c r="I22" s="181"/>
      <c r="K22" s="32"/>
    </row>
    <row r="23" spans="2:16" x14ac:dyDescent="0.25">
      <c r="B23" s="986" t="s">
        <v>247</v>
      </c>
      <c r="C23" s="986"/>
      <c r="D23" s="986"/>
      <c r="E23" s="986"/>
      <c r="F23" s="986"/>
      <c r="G23" s="986"/>
      <c r="H23" s="986"/>
      <c r="I23" s="181"/>
      <c r="K23" s="986" t="s">
        <v>250</v>
      </c>
      <c r="L23" s="986"/>
      <c r="M23" s="986"/>
      <c r="N23" s="986"/>
      <c r="O23" s="986"/>
    </row>
    <row r="24" spans="2:16" x14ac:dyDescent="0.25">
      <c r="B24" s="986"/>
      <c r="C24" s="986"/>
      <c r="D24" s="986"/>
      <c r="E24" s="986"/>
      <c r="F24" s="986"/>
      <c r="G24" s="986"/>
      <c r="H24" s="986"/>
      <c r="I24" s="181"/>
      <c r="K24" s="986"/>
      <c r="L24" s="986"/>
      <c r="M24" s="986"/>
      <c r="N24" s="986"/>
      <c r="O24" s="986"/>
    </row>
    <row r="25" spans="2:16" x14ac:dyDescent="0.25">
      <c r="I25" s="181"/>
      <c r="K25" s="32"/>
    </row>
    <row r="26" spans="2:16" ht="15.6" x14ac:dyDescent="0.3">
      <c r="B26" s="483" t="s">
        <v>52</v>
      </c>
      <c r="C26" s="482" t="s">
        <v>113</v>
      </c>
      <c r="D26" s="488">
        <f>'BALANCE SHEET'!D39/'BALANCE SHEET'!D39</f>
        <v>1</v>
      </c>
      <c r="E26" s="488">
        <f>'BALANCE SHEET'!E39/'BALANCE SHEET'!E39</f>
        <v>1</v>
      </c>
      <c r="F26" s="488">
        <f>'BALANCE SHEET'!F39/'BALANCE SHEET'!F39</f>
        <v>1</v>
      </c>
      <c r="G26" s="488">
        <f>'BALANCE SHEET'!G39/'BALANCE SHEET'!G39</f>
        <v>1</v>
      </c>
      <c r="H26" s="488">
        <f>'BALANCE SHEET'!H39/'BALANCE SHEET'!H39</f>
        <v>1</v>
      </c>
      <c r="I26" s="246"/>
      <c r="J26" s="49"/>
      <c r="K26" s="488" t="s">
        <v>122</v>
      </c>
      <c r="L26" s="572">
        <f>'BALANCE SHEET'!E39/'BALANCE SHEET'!D39-1</f>
        <v>0.29387306153530024</v>
      </c>
      <c r="M26" s="572">
        <f>'BALANCE SHEET'!F39/'BALANCE SHEET'!E39-1</f>
        <v>9.4043682155334984E-2</v>
      </c>
      <c r="N26" s="572">
        <f>'BALANCE SHEET'!G39/'BALANCE SHEET'!F39-1</f>
        <v>-1.9818465926071394E-2</v>
      </c>
      <c r="O26" s="573">
        <f>'BALANCE SHEET'!H39/'BALANCE SHEET'!G39-1</f>
        <v>0.11666318210328241</v>
      </c>
    </row>
    <row r="27" spans="2:16" x14ac:dyDescent="0.25">
      <c r="C27" s="53"/>
      <c r="D27" s="49"/>
      <c r="E27" s="49"/>
      <c r="F27" s="49"/>
      <c r="G27" s="49"/>
      <c r="H27" s="49"/>
      <c r="I27" s="246"/>
      <c r="J27" s="49"/>
      <c r="K27" s="487"/>
      <c r="L27" s="49"/>
      <c r="M27" s="49"/>
      <c r="N27" s="49"/>
      <c r="O27" s="49"/>
    </row>
    <row r="28" spans="2:16" ht="15.6" x14ac:dyDescent="0.25">
      <c r="B28" s="126" t="s">
        <v>196</v>
      </c>
      <c r="C28" s="176"/>
      <c r="D28" s="328"/>
      <c r="E28" s="328"/>
      <c r="F28" s="328"/>
      <c r="G28" s="328"/>
      <c r="H28" s="328"/>
      <c r="I28" s="246"/>
      <c r="J28" s="49"/>
      <c r="K28" s="328"/>
      <c r="L28" s="328"/>
      <c r="M28" s="328"/>
      <c r="N28" s="328"/>
      <c r="O28" s="328"/>
    </row>
    <row r="29" spans="2:16" ht="7.05" customHeight="1" x14ac:dyDescent="0.25">
      <c r="B29" s="122"/>
      <c r="C29" s="177"/>
      <c r="D29" s="329"/>
      <c r="E29" s="329"/>
      <c r="F29" s="329"/>
      <c r="G29" s="329"/>
      <c r="H29" s="329"/>
      <c r="I29" s="246"/>
      <c r="J29" s="49"/>
      <c r="K29" s="329"/>
      <c r="L29" s="329"/>
      <c r="M29" s="329"/>
      <c r="N29" s="329"/>
      <c r="O29" s="329"/>
    </row>
    <row r="30" spans="2:16" x14ac:dyDescent="0.25">
      <c r="B30" s="122" t="s">
        <v>49</v>
      </c>
      <c r="C30" s="177" t="s">
        <v>113</v>
      </c>
      <c r="D30" s="485">
        <f>'BALANCE SHEET'!D10/'BALANCE SHEET'!$D$39</f>
        <v>1.2812299807815502E-3</v>
      </c>
      <c r="E30" s="485">
        <f>'BALANCE SHEET'!E10/'BALANCE SHEET'!$E$39</f>
        <v>1.2424565140220093E-3</v>
      </c>
      <c r="F30" s="485">
        <f>'BALANCE SHEET'!F10/'BALANCE SHEET'!$F$39</f>
        <v>1.0161126433444621E-3</v>
      </c>
      <c r="G30" s="485">
        <f>'BALANCE SHEET'!G10/'BALANCE SHEET'!$G$39</f>
        <v>7.9273816990731063E-4</v>
      </c>
      <c r="H30" s="485">
        <f>'BALANCE SHEET'!H10/'BALANCE SHEET'!$H$39</f>
        <v>5.3828870997940463E-4</v>
      </c>
      <c r="I30" s="246"/>
      <c r="J30" s="49"/>
      <c r="K30" s="485" t="s">
        <v>122</v>
      </c>
      <c r="L30" s="485">
        <f>'BALANCE SHEET'!E10/'BALANCE SHEET'!D10-1</f>
        <v>0.25471698113207553</v>
      </c>
      <c r="M30" s="485">
        <f>'BALANCE SHEET'!F10/'BALANCE SHEET'!E10-1</f>
        <v>-0.10526315789473684</v>
      </c>
      <c r="N30" s="485">
        <f>'BALANCE SHEET'!G10/'BALANCE SHEET'!F10-1</f>
        <v>-0.23529411764705888</v>
      </c>
      <c r="O30" s="485">
        <f>'BALANCE SHEET'!H10/'BALANCE SHEET'!G10-1</f>
        <v>-0.24175824175824179</v>
      </c>
      <c r="P30" s="478"/>
    </row>
    <row r="31" spans="2:16" x14ac:dyDescent="0.25">
      <c r="B31" s="122" t="s">
        <v>47</v>
      </c>
      <c r="C31" s="177" t="s">
        <v>113</v>
      </c>
      <c r="D31" s="485">
        <f>'BALANCE SHEET'!D11/'BALANCE SHEET'!$D$39</f>
        <v>0.21238199992747755</v>
      </c>
      <c r="E31" s="485">
        <f>'BALANCE SHEET'!E11/'BALANCE SHEET'!$E$39</f>
        <v>0.22575341441996899</v>
      </c>
      <c r="F31" s="485">
        <f>'BALANCE SHEET'!F11/'BALANCE SHEET'!$F$39</f>
        <v>0.26404412832051094</v>
      </c>
      <c r="G31" s="485">
        <f>'BALANCE SHEET'!G11/'BALANCE SHEET'!$G$39</f>
        <v>0.27107289706599763</v>
      </c>
      <c r="H31" s="485">
        <f>'BALANCE SHEET'!H11/'BALANCE SHEET'!$H$39</f>
        <v>0.32099950071771827</v>
      </c>
      <c r="I31" s="246"/>
      <c r="J31" s="49"/>
      <c r="K31" s="485" t="s">
        <v>122</v>
      </c>
      <c r="L31" s="485">
        <f>'BALANCE SHEET'!E11/'BALANCE SHEET'!D11-1</f>
        <v>0.37533435774856305</v>
      </c>
      <c r="M31" s="485">
        <f>'BALANCE SHEET'!F11/'BALANCE SHEET'!E11-1</f>
        <v>0.27960771331622936</v>
      </c>
      <c r="N31" s="485">
        <f>'BALANCE SHEET'!G11/'BALANCE SHEET'!F11-1</f>
        <v>6.2736474468843006E-3</v>
      </c>
      <c r="O31" s="485">
        <f>'BALANCE SHEET'!H11/'BALANCE SHEET'!G11-1</f>
        <v>0.32233184432946627</v>
      </c>
      <c r="P31" s="478"/>
    </row>
    <row r="32" spans="2:16" x14ac:dyDescent="0.25">
      <c r="B32" s="122" t="s">
        <v>3156</v>
      </c>
      <c r="C32" s="177" t="s">
        <v>113</v>
      </c>
      <c r="D32" s="485">
        <f>'BALANCE SHEET'!D12/'BALANCE SHEET'!$D$39</f>
        <v>4.9557008690607129E-4</v>
      </c>
      <c r="E32" s="485">
        <f>'BALANCE SHEET'!E12/'BALANCE SHEET'!$E$39</f>
        <v>2.8305588251779611E-3</v>
      </c>
      <c r="F32" s="485">
        <f>'BALANCE SHEET'!F12/'BALANCE SHEET'!$F$39</f>
        <v>1.5711321544149667E-3</v>
      </c>
      <c r="G32" s="485">
        <f>'BALANCE SHEET'!G12/'BALANCE SHEET'!$G$39</f>
        <v>1.1586173252491462E-3</v>
      </c>
      <c r="H32" s="485">
        <f>'BALANCE SHEET'!H12/'BALANCE SHEET'!$H$39</f>
        <v>1.419833988641328E-3</v>
      </c>
      <c r="I32" s="246"/>
      <c r="J32" s="49"/>
      <c r="K32" s="485" t="s">
        <v>122</v>
      </c>
      <c r="L32" s="485">
        <f>'BALANCE SHEET'!E12/'BALANCE SHEET'!D12-1</f>
        <v>6.3902439024390247</v>
      </c>
      <c r="M32" s="485">
        <f>'BALANCE SHEET'!F12/'BALANCE SHEET'!E12-1</f>
        <v>-0.39273927392739272</v>
      </c>
      <c r="N32" s="485">
        <f>'BALANCE SHEET'!G12/'BALANCE SHEET'!F12-1</f>
        <v>-0.27717391304347827</v>
      </c>
      <c r="O32" s="485">
        <f>'BALANCE SHEET'!H12/'BALANCE SHEET'!G12-1</f>
        <v>0.36842105263157898</v>
      </c>
      <c r="P32" s="478"/>
    </row>
    <row r="33" spans="2:16" x14ac:dyDescent="0.25">
      <c r="B33" s="122" t="s">
        <v>197</v>
      </c>
      <c r="C33" s="177" t="s">
        <v>113</v>
      </c>
      <c r="D33" s="485">
        <f>'BALANCE SHEET'!D13/'BALANCE SHEET'!$D$39</f>
        <v>0.11398111998839641</v>
      </c>
      <c r="E33" s="485">
        <f>'BALANCE SHEET'!E13/'BALANCE SHEET'!$E$39</f>
        <v>0.10763596958316986</v>
      </c>
      <c r="F33" s="485">
        <f>'BALANCE SHEET'!F13/'BALANCE SHEET'!$F$39</f>
        <v>0.10788725419039731</v>
      </c>
      <c r="G33" s="485">
        <f>'BALANCE SHEET'!G13/'BALANCE SHEET'!$G$39</f>
        <v>0.10059934490208376</v>
      </c>
      <c r="H33" s="485">
        <f>'BALANCE SHEET'!H13/'BALANCE SHEET'!$H$39</f>
        <v>9.1626099981276909E-2</v>
      </c>
      <c r="I33" s="246"/>
      <c r="J33" s="49"/>
      <c r="K33" s="485" t="s">
        <v>122</v>
      </c>
      <c r="L33" s="485">
        <f>'BALANCE SHEET'!E13/'BALANCE SHEET'!D13-1</f>
        <v>0.22184517497348888</v>
      </c>
      <c r="M33" s="485">
        <f>'BALANCE SHEET'!F13/'BALANCE SHEET'!E13-1</f>
        <v>9.6597812879708478E-2</v>
      </c>
      <c r="N33" s="485">
        <f>'BALANCE SHEET'!G13/'BALANCE SHEET'!F13-1</f>
        <v>-8.603086664028492E-2</v>
      </c>
      <c r="O33" s="485">
        <f>'BALANCE SHEET'!H13/'BALANCE SHEET'!G13-1</f>
        <v>1.7059231035677191E-2</v>
      </c>
      <c r="P33" s="478"/>
    </row>
    <row r="34" spans="2:16" x14ac:dyDescent="0.25">
      <c r="B34" s="122" t="s">
        <v>3157</v>
      </c>
      <c r="C34" s="177" t="s">
        <v>113</v>
      </c>
      <c r="D34" s="485">
        <f>'BALANCE SHEET'!D14/'BALANCE SHEET'!$D$39</f>
        <v>3.2780148187543059E-2</v>
      </c>
      <c r="E34" s="485">
        <f>'BALANCE SHEET'!E14/'BALANCE SHEET'!$E$39</f>
        <v>5.6807353847878481E-2</v>
      </c>
      <c r="F34" s="485">
        <f>'BALANCE SHEET'!F14/'BALANCE SHEET'!$F$39</f>
        <v>5.1676585861518361E-2</v>
      </c>
      <c r="G34" s="485">
        <f>'BALANCE SHEET'!G14/'BALANCE SHEET'!$G$39</f>
        <v>5.0831068367133601E-2</v>
      </c>
      <c r="H34" s="485">
        <f>'BALANCE SHEET'!H14/'BALANCE SHEET'!$H$39</f>
        <v>5.0146664170255255E-2</v>
      </c>
      <c r="I34" s="246"/>
      <c r="J34" s="49"/>
      <c r="K34" s="485" t="s">
        <v>122</v>
      </c>
      <c r="L34" s="485">
        <f>'BALANCE SHEET'!E14/'BALANCE SHEET'!D14-1</f>
        <v>1.2422566371681416</v>
      </c>
      <c r="M34" s="485">
        <f>'BALANCE SHEET'!F14/'BALANCE SHEET'!E14-1</f>
        <v>-4.7689524749219281E-3</v>
      </c>
      <c r="N34" s="485">
        <f>'BALANCE SHEET'!G14/'BALANCE SHEET'!F14-1</f>
        <v>-3.5855915399867766E-2</v>
      </c>
      <c r="O34" s="485">
        <f>'BALANCE SHEET'!H14/'BALANCE SHEET'!G14-1</f>
        <v>0.10162810625535568</v>
      </c>
      <c r="P34" s="478"/>
    </row>
    <row r="35" spans="2:16" x14ac:dyDescent="0.25">
      <c r="B35" s="122" t="s">
        <v>51</v>
      </c>
      <c r="C35" s="177" t="s">
        <v>113</v>
      </c>
      <c r="D35" s="485">
        <f>'BALANCE SHEET'!D15/'BALANCE SHEET'!$D$39</f>
        <v>0.21119746654901914</v>
      </c>
      <c r="E35" s="485">
        <f>'BALANCE SHEET'!E15/'BALANCE SHEET'!$E$39</f>
        <v>9.3436466565775464E-2</v>
      </c>
      <c r="F35" s="485">
        <f>'BALANCE SHEET'!F15/'BALANCE SHEET'!$F$39</f>
        <v>7.8957929521060857E-2</v>
      </c>
      <c r="G35" s="485">
        <f>'BALANCE SHEET'!G15/'BALANCE SHEET'!$G$39</f>
        <v>8.5389225730016033E-2</v>
      </c>
      <c r="H35" s="485">
        <f>'BALANCE SHEET'!H15/'BALANCE SHEET'!$H$39</f>
        <v>9.6408288085876551E-2</v>
      </c>
      <c r="I35" s="246"/>
      <c r="J35" s="49"/>
      <c r="K35" s="485" t="s">
        <v>122</v>
      </c>
      <c r="L35" s="485">
        <f>'BALANCE SHEET'!E15/'BALANCE SHEET'!D15-1</f>
        <v>-0.42757397126995933</v>
      </c>
      <c r="M35" s="485">
        <f>'BALANCE SHEET'!F15/'BALANCE SHEET'!E15-1</f>
        <v>-7.5484903019396143E-2</v>
      </c>
      <c r="N35" s="485">
        <f>'BALANCE SHEET'!G15/'BALANCE SHEET'!F15-1</f>
        <v>6.0019465772683134E-2</v>
      </c>
      <c r="O35" s="485">
        <f>'BALANCE SHEET'!H15/'BALANCE SHEET'!G15-1</f>
        <v>0.26076310956947557</v>
      </c>
    </row>
    <row r="36" spans="2:16" x14ac:dyDescent="0.25">
      <c r="B36" s="122" t="s">
        <v>3159</v>
      </c>
      <c r="C36" s="177" t="s">
        <v>113</v>
      </c>
      <c r="D36" s="485">
        <f>'BALANCE SHEET'!D16/'BALANCE SHEET'!$D$39</f>
        <v>9.0048710913420288E-3</v>
      </c>
      <c r="E36" s="485">
        <f>'BALANCE SHEET'!E16/'BALANCE SHEET'!$E$39</f>
        <v>4.0085570689236405E-2</v>
      </c>
      <c r="F36" s="485">
        <f>'BALANCE SHEET'!F16/'BALANCE SHEET'!$F$39</f>
        <v>7.7702731549870634E-3</v>
      </c>
      <c r="G36" s="485">
        <f>'BALANCE SHEET'!G16/'BALANCE SHEET'!$G$39</f>
        <v>9.1818245173879709E-3</v>
      </c>
      <c r="H36" s="485">
        <f>'BALANCE SHEET'!H16/'BALANCE SHEET'!$H$39</f>
        <v>6.5920863758347379E-3</v>
      </c>
      <c r="I36" s="246"/>
      <c r="J36" s="49"/>
      <c r="K36" s="485" t="s">
        <v>122</v>
      </c>
      <c r="L36" s="485">
        <f>'BALANCE SHEET'!E16/'BALANCE SHEET'!D16-1</f>
        <v>4.7597315436241612</v>
      </c>
      <c r="M36" s="485">
        <f>'BALANCE SHEET'!F16/'BALANCE SHEET'!E16-1</f>
        <v>-0.78792822185970635</v>
      </c>
      <c r="N36" s="485">
        <f>'BALANCE SHEET'!G16/'BALANCE SHEET'!F16-1</f>
        <v>0.15824175824175835</v>
      </c>
      <c r="O36" s="485">
        <f>'BALANCE SHEET'!H16/'BALANCE SHEET'!G16-1</f>
        <v>-0.19829222011385195</v>
      </c>
    </row>
    <row r="37" spans="2:16" x14ac:dyDescent="0.25">
      <c r="B37" s="122" t="s">
        <v>3160</v>
      </c>
      <c r="C37" s="177" t="s">
        <v>113</v>
      </c>
      <c r="D37" s="485">
        <f>'BALANCE SHEET'!D17/'BALANCE SHEET'!$D$39</f>
        <v>2.9734205214364279E-3</v>
      </c>
      <c r="E37" s="485">
        <f>'BALANCE SHEET'!E17/'BALANCE SHEET'!$E$39</f>
        <v>2.214001457317415E-3</v>
      </c>
      <c r="F37" s="485">
        <f>'BALANCE SHEET'!F17/'BALANCE SHEET'!$F$39</f>
        <v>4.3462297097674896E-3</v>
      </c>
      <c r="G37" s="485">
        <f>'BALANCE SHEET'!G17/'BALANCE SHEET'!$G$39</f>
        <v>5.6449926824168935E-3</v>
      </c>
      <c r="H37" s="485">
        <f>'BALANCE SHEET'!H17/'BALANCE SHEET'!$H$39</f>
        <v>5.0084253885040253E-3</v>
      </c>
      <c r="I37" s="246"/>
      <c r="J37" s="49"/>
      <c r="K37" s="485" t="s">
        <v>122</v>
      </c>
      <c r="L37" s="485">
        <f>'BALANCE SHEET'!E17/'BALANCE SHEET'!D17-1</f>
        <v>-3.6585365853658569E-2</v>
      </c>
      <c r="M37" s="485">
        <f>'BALANCE SHEET'!F17/'BALANCE SHEET'!E17-1</f>
        <v>1.147679324894515</v>
      </c>
      <c r="N37" s="485">
        <f>'BALANCE SHEET'!G17/'BALANCE SHEET'!F17-1</f>
        <v>0.2730844793713163</v>
      </c>
      <c r="O37" s="485">
        <f>'BALANCE SHEET'!H17/'BALANCE SHEET'!G17-1</f>
        <v>-9.2592592592593004E-3</v>
      </c>
    </row>
    <row r="38" spans="2:16" x14ac:dyDescent="0.25">
      <c r="B38" s="122" t="s">
        <v>3161</v>
      </c>
      <c r="C38" s="177" t="s">
        <v>113</v>
      </c>
      <c r="D38" s="485">
        <f>'BALANCE SHEET'!D18/'BALANCE SHEET'!$D$39</f>
        <v>1.9955761304437165E-2</v>
      </c>
      <c r="E38" s="485">
        <f>'BALANCE SHEET'!E18/'BALANCE SHEET'!$E$39</f>
        <v>1.9290772191394353E-2</v>
      </c>
      <c r="F38" s="485">
        <f>'BALANCE SHEET'!F18/'BALANCE SHEET'!$F$39</f>
        <v>1.9639151930187084E-2</v>
      </c>
      <c r="G38" s="485">
        <f>'BALANCE SHEET'!G18/'BALANCE SHEET'!$G$39</f>
        <v>1.7292145794131995E-2</v>
      </c>
      <c r="H38" s="485">
        <f>'BALANCE SHEET'!H18/'BALANCE SHEET'!$H$39</f>
        <v>1.2326031329963178E-2</v>
      </c>
      <c r="I38" s="246"/>
      <c r="J38" s="49"/>
      <c r="K38" s="485" t="s">
        <v>122</v>
      </c>
      <c r="L38" s="485">
        <f>'BALANCE SHEET'!E18/'BALANCE SHEET'!D18-1</f>
        <v>0.25075711689884916</v>
      </c>
      <c r="M38" s="485">
        <f>'BALANCE SHEET'!F18/'BALANCE SHEET'!E18-1</f>
        <v>0.11380145278450371</v>
      </c>
      <c r="N38" s="485">
        <f>'BALANCE SHEET'!G18/'BALANCE SHEET'!F18-1</f>
        <v>-0.13695652173913042</v>
      </c>
      <c r="O38" s="485">
        <f>'BALANCE SHEET'!H18/'BALANCE SHEET'!G18-1</f>
        <v>-0.20403022670025184</v>
      </c>
    </row>
    <row r="39" spans="2:16" ht="15" customHeight="1" x14ac:dyDescent="0.25">
      <c r="B39" s="123" t="s">
        <v>199</v>
      </c>
      <c r="C39" s="178" t="s">
        <v>113</v>
      </c>
      <c r="D39" s="336">
        <f>'BALANCE SHEET'!D19/'BALANCE SHEET'!$D$39</f>
        <v>3.0120991623656824E-2</v>
      </c>
      <c r="E39" s="336">
        <f>'BALANCE SHEET'!E19/'BALANCE SHEET'!$E$39</f>
        <v>2.702576462455393E-2</v>
      </c>
      <c r="F39" s="336">
        <f>'BALANCE SHEET'!F19/'BALANCE SHEET'!$F$39</f>
        <v>2.8092526021876306E-2</v>
      </c>
      <c r="G39" s="336">
        <f>'BALANCE SHEET'!G19/'BALANCE SHEET'!$G$39</f>
        <v>2.5785769043138895E-2</v>
      </c>
      <c r="H39" s="336">
        <f>'BALANCE SHEET'!H19/'BALANCE SHEET'!$H$39</f>
        <v>2.2725145103913123E-2</v>
      </c>
      <c r="I39" s="246"/>
      <c r="J39" s="49"/>
      <c r="K39" s="336" t="s">
        <v>122</v>
      </c>
      <c r="L39" s="336">
        <f>'BALANCE SHEET'!E19/'BALANCE SHEET'!D19-1</f>
        <v>0.16091492776886041</v>
      </c>
      <c r="M39" s="336">
        <f>'BALANCE SHEET'!F19/'BALANCE SHEET'!E19-1</f>
        <v>0.13722779122018669</v>
      </c>
      <c r="N39" s="336">
        <f>'BALANCE SHEET'!G19/'BALANCE SHEET'!F19-1</f>
        <v>-0.10030395136778114</v>
      </c>
      <c r="O39" s="336">
        <f>'BALANCE SHEET'!H19/'BALANCE SHEET'!G19-1</f>
        <v>-1.5878378378378355E-2</v>
      </c>
    </row>
    <row r="40" spans="2:16" ht="15" customHeight="1" x14ac:dyDescent="0.25">
      <c r="B40" s="124"/>
      <c r="C40" s="479"/>
      <c r="D40" s="484"/>
      <c r="E40" s="484"/>
      <c r="F40" s="484"/>
      <c r="G40" s="484"/>
      <c r="H40" s="484"/>
      <c r="I40" s="246"/>
      <c r="J40" s="49"/>
      <c r="K40" s="484"/>
      <c r="L40" s="484"/>
      <c r="M40" s="484"/>
      <c r="N40" s="484"/>
      <c r="O40" s="484"/>
    </row>
    <row r="41" spans="2:16" ht="15" customHeight="1" x14ac:dyDescent="0.3">
      <c r="B41" s="483" t="s">
        <v>200</v>
      </c>
      <c r="C41" s="482" t="s">
        <v>113</v>
      </c>
      <c r="D41" s="488">
        <f>'BALANCE SHEET'!D21/'BALANCE SHEET'!$D$39</f>
        <v>0.63417257926099624</v>
      </c>
      <c r="E41" s="488">
        <f>'BALANCE SHEET'!E21/'BALANCE SHEET'!$E$39</f>
        <v>0.57632232871849487</v>
      </c>
      <c r="F41" s="488">
        <f>'BALANCE SHEET'!F21/'BALANCE SHEET'!$F$39</f>
        <v>0.56500132350806487</v>
      </c>
      <c r="G41" s="488">
        <f>'BALANCE SHEET'!G21/'BALANCE SHEET'!$G$39</f>
        <v>0.56774862359746325</v>
      </c>
      <c r="H41" s="488">
        <f>'BALANCE SHEET'!H21/'BALANCE SHEET'!$H$39</f>
        <v>0.60779036385196283</v>
      </c>
      <c r="I41" s="246"/>
      <c r="J41" s="49"/>
      <c r="K41" s="488" t="s">
        <v>122</v>
      </c>
      <c r="L41" s="572">
        <f>'BALANCE SHEET'!E21/'BALANCE SHEET'!D21-1</f>
        <v>0.17584386376198369</v>
      </c>
      <c r="M41" s="572">
        <f>'BALANCE SHEET'!F21/'BALANCE SHEET'!E21-1</f>
        <v>7.2552801776538667E-2</v>
      </c>
      <c r="N41" s="572">
        <f>'BALANCE SHEET'!G21/'BALANCE SHEET'!F21-1</f>
        <v>-1.5052365911529586E-2</v>
      </c>
      <c r="O41" s="573">
        <f>'BALANCE SHEET'!H21/'BALANCE SHEET'!G21-1</f>
        <v>0.19541834808893244</v>
      </c>
    </row>
    <row r="42" spans="2:16" ht="15" customHeight="1" x14ac:dyDescent="0.25">
      <c r="C42" s="479"/>
      <c r="D42" s="484"/>
      <c r="E42" s="484"/>
      <c r="F42" s="484"/>
      <c r="G42" s="484"/>
      <c r="H42" s="484"/>
      <c r="I42" s="246"/>
      <c r="J42" s="49"/>
      <c r="K42" s="484"/>
      <c r="L42" s="484"/>
      <c r="M42" s="484"/>
      <c r="N42" s="484"/>
      <c r="O42" s="484"/>
    </row>
    <row r="43" spans="2:16" ht="15" customHeight="1" x14ac:dyDescent="0.25">
      <c r="B43" s="126" t="s">
        <v>3306</v>
      </c>
      <c r="C43" s="176"/>
      <c r="D43" s="486"/>
      <c r="E43" s="486"/>
      <c r="F43" s="486"/>
      <c r="G43" s="486"/>
      <c r="H43" s="486"/>
      <c r="I43" s="246"/>
      <c r="J43" s="49"/>
      <c r="K43" s="486"/>
      <c r="L43" s="486"/>
      <c r="M43" s="486"/>
      <c r="N43" s="486"/>
      <c r="O43" s="486"/>
    </row>
    <row r="44" spans="2:16" ht="7.05" customHeight="1" x14ac:dyDescent="0.25">
      <c r="B44" s="122"/>
      <c r="C44" s="177"/>
      <c r="D44" s="485"/>
      <c r="E44" s="485"/>
      <c r="F44" s="485"/>
      <c r="G44" s="485"/>
      <c r="H44" s="485"/>
      <c r="I44" s="246"/>
      <c r="J44" s="49"/>
      <c r="K44" s="485"/>
      <c r="L44" s="485"/>
      <c r="M44" s="485"/>
      <c r="N44" s="485"/>
      <c r="O44" s="485"/>
    </row>
    <row r="45" spans="2:16" ht="15" customHeight="1" x14ac:dyDescent="0.25">
      <c r="B45" s="122" t="s">
        <v>185</v>
      </c>
      <c r="C45" s="177" t="s">
        <v>113</v>
      </c>
      <c r="D45" s="485">
        <f>'BALANCE SHEET'!D25/'BALANCE SHEET'!$D$39</f>
        <v>7.9472520034327296E-2</v>
      </c>
      <c r="E45" s="485">
        <f>'BALANCE SHEET'!E25/'BALANCE SHEET'!$E$39</f>
        <v>6.9699007903144442E-2</v>
      </c>
      <c r="F45" s="485">
        <f>'BALANCE SHEET'!F25/'BALANCE SHEET'!$F$39</f>
        <v>7.0308163910069763E-2</v>
      </c>
      <c r="G45" s="485">
        <f>'BALANCE SHEET'!G25/'BALANCE SHEET'!$G$39</f>
        <v>6.4577670917833993E-2</v>
      </c>
      <c r="H45" s="485">
        <f>'BALANCE SHEET'!H25/'BALANCE SHEET'!$H$39</f>
        <v>6.1216688510266494E-2</v>
      </c>
      <c r="I45" s="246"/>
      <c r="J45" s="49"/>
      <c r="K45" s="485" t="s">
        <v>122</v>
      </c>
      <c r="L45" s="485">
        <f>'BALANCE SHEET'!E25/'BALANCE SHEET'!D25-1</f>
        <v>0.13475285171102658</v>
      </c>
      <c r="M45" s="485">
        <f>'BALANCE SHEET'!F25/'BALANCE SHEET'!E25-1</f>
        <v>0.10360541482375019</v>
      </c>
      <c r="N45" s="485">
        <f>'BALANCE SHEET'!G25/'BALANCE SHEET'!F25-1</f>
        <v>-9.9708525625455402E-2</v>
      </c>
      <c r="O45" s="485">
        <f>'BALANCE SHEET'!H25/'BALANCE SHEET'!G25-1</f>
        <v>5.8545797922568532E-2</v>
      </c>
    </row>
    <row r="46" spans="2:16" ht="15" customHeight="1" x14ac:dyDescent="0.25">
      <c r="B46" s="122" t="s">
        <v>3249</v>
      </c>
      <c r="C46" s="177" t="s">
        <v>113</v>
      </c>
      <c r="D46" s="485">
        <f>'BALANCE SHEET'!D26/'BALANCE SHEET'!$D$39</f>
        <v>1.9846977626823636E-2</v>
      </c>
      <c r="E46" s="485">
        <f>'BALANCE SHEET'!E26/'BALANCE SHEET'!$E$39</f>
        <v>1.7627935653831063E-2</v>
      </c>
      <c r="F46" s="485">
        <f>'BALANCE SHEET'!F26/'BALANCE SHEET'!$F$39</f>
        <v>1.5967484395412977E-2</v>
      </c>
      <c r="G46" s="485">
        <f>'BALANCE SHEET'!G26/'BALANCE SHEET'!$G$39</f>
        <v>1.5645689595093736E-2</v>
      </c>
      <c r="H46" s="485">
        <f>'BALANCE SHEET'!H26/'BALANCE SHEET'!$H$39</f>
        <v>1.9971291268801098E-2</v>
      </c>
      <c r="I46" s="246"/>
      <c r="J46" s="49"/>
      <c r="K46" s="485" t="s">
        <v>122</v>
      </c>
      <c r="L46" s="485">
        <f>'BALANCE SHEET'!E26/'BALANCE SHEET'!D26-1</f>
        <v>0.14920828258221674</v>
      </c>
      <c r="M46" s="485">
        <f>'BALANCE SHEET'!F26/'BALANCE SHEET'!E26-1</f>
        <v>-9.009009009009028E-3</v>
      </c>
      <c r="N46" s="485">
        <f>'BALANCE SHEET'!G26/'BALANCE SHEET'!F26-1</f>
        <v>-3.9572192513368964E-2</v>
      </c>
      <c r="O46" s="485">
        <f>'BALANCE SHEET'!H26/'BALANCE SHEET'!G26-1</f>
        <v>0.42538975501113585</v>
      </c>
    </row>
    <row r="47" spans="2:16" ht="15" customHeight="1" x14ac:dyDescent="0.25">
      <c r="B47" s="122" t="s">
        <v>46</v>
      </c>
      <c r="C47" s="177" t="s">
        <v>113</v>
      </c>
      <c r="D47" s="485">
        <f>'BALANCE SHEET'!D27/'BALANCE SHEET'!$D$39</f>
        <v>2.2397350513096347E-2</v>
      </c>
      <c r="E47" s="485">
        <f>'BALANCE SHEET'!E27/'BALANCE SHEET'!$E$39</f>
        <v>1.4965528838069614E-2</v>
      </c>
      <c r="F47" s="485">
        <f>'BALANCE SHEET'!F27/'BALANCE SHEET'!$F$39</f>
        <v>5.2684159743154046E-3</v>
      </c>
      <c r="G47" s="485">
        <f>'BALANCE SHEET'!G27/'BALANCE SHEET'!$G$39</f>
        <v>6.2983483169558856E-3</v>
      </c>
      <c r="H47" s="485">
        <f>'BALANCE SHEET'!H27/'BALANCE SHEET'!$H$39</f>
        <v>1.5290519877675841E-3</v>
      </c>
      <c r="I47" s="246"/>
      <c r="J47" s="49"/>
      <c r="K47" s="485" t="s">
        <v>122</v>
      </c>
      <c r="L47" s="485">
        <f>'BALANCE SHEET'!E27/'BALANCE SHEET'!D27-1</f>
        <v>-0.13545601726929302</v>
      </c>
      <c r="M47" s="485">
        <f>'BALANCE SHEET'!F27/'BALANCE SHEET'!E27-1</f>
        <v>-0.61485642946317109</v>
      </c>
      <c r="N47" s="485">
        <f>'BALANCE SHEET'!G27/'BALANCE SHEET'!F27-1</f>
        <v>0.17179902755267418</v>
      </c>
      <c r="O47" s="485">
        <f>'BALANCE SHEET'!H27/'BALANCE SHEET'!G27-1</f>
        <v>-0.72890733056708168</v>
      </c>
    </row>
    <row r="48" spans="2:16" ht="15" customHeight="1" x14ac:dyDescent="0.25">
      <c r="B48" s="122" t="s">
        <v>3146</v>
      </c>
      <c r="C48" s="177" t="s">
        <v>113</v>
      </c>
      <c r="D48" s="485">
        <f>'BALANCE SHEET'!D28/'BALANCE SHEET'!$D$39</f>
        <v>0.16335682254964767</v>
      </c>
      <c r="E48" s="485">
        <f>'BALANCE SHEET'!E28/'BALANCE SHEET'!$E$39</f>
        <v>0.22687442781607906</v>
      </c>
      <c r="F48" s="485">
        <f>'BALANCE SHEET'!F28/'BALANCE SHEET'!$F$39</f>
        <v>0.25914287909967298</v>
      </c>
      <c r="G48" s="485">
        <f>'BALANCE SHEET'!G28/'BALANCE SHEET'!$G$39</f>
        <v>0.27131681650289219</v>
      </c>
      <c r="H48" s="485">
        <f>'BALANCE SHEET'!H28/'BALANCE SHEET'!$H$39</f>
        <v>0.24991418585782937</v>
      </c>
      <c r="I48" s="246"/>
      <c r="J48" s="49"/>
      <c r="K48" s="485" t="s">
        <v>122</v>
      </c>
      <c r="L48" s="485">
        <f>'BALANCE SHEET'!E28/'BALANCE SHEET'!D28-1</f>
        <v>0.79696633370329262</v>
      </c>
      <c r="M48" s="485">
        <f>'BALANCE SHEET'!F28/'BALANCE SHEET'!E28-1</f>
        <v>0.24965000411759863</v>
      </c>
      <c r="N48" s="485">
        <f>'BALANCE SHEET'!G28/'BALANCE SHEET'!F28-1</f>
        <v>2.62282118026953E-2</v>
      </c>
      <c r="O48" s="485">
        <f>'BALANCE SHEET'!H28/'BALANCE SHEET'!G28-1</f>
        <v>2.8576015411783562E-2</v>
      </c>
    </row>
    <row r="49" spans="2:15" ht="15" customHeight="1" x14ac:dyDescent="0.25">
      <c r="B49" s="122" t="s">
        <v>3250</v>
      </c>
      <c r="C49" s="177" t="s">
        <v>113</v>
      </c>
      <c r="D49" s="485">
        <f>'BALANCE SHEET'!D29/'BALANCE SHEET'!$D$39</f>
        <v>1.5821981555123106E-2</v>
      </c>
      <c r="E49" s="485">
        <f>'BALANCE SHEET'!E29/'BALANCE SHEET'!$E$39</f>
        <v>4.069278627879603E-2</v>
      </c>
      <c r="F49" s="485">
        <f>'BALANCE SHEET'!F29/'BALANCE SHEET'!$F$39</f>
        <v>3.6759369156284957E-2</v>
      </c>
      <c r="G49" s="485">
        <f>'BALANCE SHEET'!G29/'BALANCE SHEET'!$G$39</f>
        <v>2.8529862708202663E-2</v>
      </c>
      <c r="H49" s="485">
        <f>'BALANCE SHEET'!H29/'BALANCE SHEET'!$H$39</f>
        <v>2.1414529114398052E-2</v>
      </c>
      <c r="I49" s="246"/>
      <c r="J49" s="49"/>
      <c r="K49" s="485" t="s">
        <v>122</v>
      </c>
      <c r="L49" s="485">
        <f>'BALANCE SHEET'!E29/'BALANCE SHEET'!D29-1</f>
        <v>2.327731092436975</v>
      </c>
      <c r="M49" s="485">
        <f>'BALANCE SHEET'!F29/'BALANCE SHEET'!E29-1</f>
        <v>-1.1707988980716233E-2</v>
      </c>
      <c r="N49" s="485">
        <f>'BALANCE SHEET'!G29/'BALANCE SHEET'!F29-1</f>
        <v>-0.23925667828106856</v>
      </c>
      <c r="O49" s="485">
        <f>'BALANCE SHEET'!H29/'BALANCE SHEET'!G29-1</f>
        <v>-0.16183206106870229</v>
      </c>
    </row>
    <row r="50" spans="2:15" ht="15" customHeight="1" x14ac:dyDescent="0.25">
      <c r="B50" s="122" t="s">
        <v>47</v>
      </c>
      <c r="C50" s="177" t="s">
        <v>113</v>
      </c>
      <c r="D50" s="485">
        <f>'BALANCE SHEET'!D30/'BALANCE SHEET'!$D$39</f>
        <v>1.2788125657234719E-2</v>
      </c>
      <c r="E50" s="485">
        <f>'BALANCE SHEET'!E30/'BALANCE SHEET'!$E$39</f>
        <v>1.7852138333053082E-2</v>
      </c>
      <c r="F50" s="485">
        <f>'BALANCE SHEET'!F30/'BALANCE SHEET'!$F$39</f>
        <v>1.7692314260585928E-2</v>
      </c>
      <c r="G50" s="485">
        <f>'BALANCE SHEET'!G30/'BALANCE SHEET'!$G$39</f>
        <v>1.8842776500104536E-2</v>
      </c>
      <c r="H50" s="485">
        <f>'BALANCE SHEET'!H30/'BALANCE SHEET'!$H$39</f>
        <v>2.0642201834862386E-2</v>
      </c>
      <c r="I50" s="246"/>
      <c r="J50" s="49"/>
      <c r="K50" s="485" t="s">
        <v>122</v>
      </c>
      <c r="L50" s="485">
        <f>'BALANCE SHEET'!E30/'BALANCE SHEET'!D30-1</f>
        <v>0.80623818525519853</v>
      </c>
      <c r="M50" s="485">
        <f>'BALANCE SHEET'!F30/'BALANCE SHEET'!E30-1</f>
        <v>8.4249084249084172E-2</v>
      </c>
      <c r="N50" s="485">
        <f>'BALANCE SHEET'!G30/'BALANCE SHEET'!F30-1</f>
        <v>4.3918918918918859E-2</v>
      </c>
      <c r="O50" s="485">
        <f>'BALANCE SHEET'!H30/'BALANCE SHEET'!G30-1</f>
        <v>0.22330097087378631</v>
      </c>
    </row>
    <row r="51" spans="2:15" ht="15" customHeight="1" x14ac:dyDescent="0.25">
      <c r="B51" s="122" t="s">
        <v>197</v>
      </c>
      <c r="C51" s="177" t="s">
        <v>113</v>
      </c>
      <c r="D51" s="485">
        <f>'BALANCE SHEET'!D31/'BALANCE SHEET'!$D$39</f>
        <v>5.269964826610905E-3</v>
      </c>
      <c r="E51" s="485">
        <f>'BALANCE SHEET'!E31/'BALANCE SHEET'!$E$39</f>
        <v>4.4466864712366643E-3</v>
      </c>
      <c r="F51" s="485">
        <f>'BALANCE SHEET'!F31/'BALANCE SHEET'!$F$39</f>
        <v>7.3433350695482143E-4</v>
      </c>
      <c r="G51" s="485">
        <f>'BALANCE SHEET'!G31/'BALANCE SHEET'!$G$39</f>
        <v>3.5281204265105582E-3</v>
      </c>
      <c r="H51" s="485">
        <f>'BALANCE SHEET'!H31/'BALANCE SHEET'!$H$39</f>
        <v>2.3403856955626288E-4</v>
      </c>
      <c r="I51" s="246"/>
      <c r="J51" s="49"/>
      <c r="K51" s="485" t="s">
        <v>122</v>
      </c>
      <c r="L51" s="485">
        <f>'BALANCE SHEET'!E31/'BALANCE SHEET'!D31-1</f>
        <v>9.174311926605494E-2</v>
      </c>
      <c r="M51" s="485">
        <f>'BALANCE SHEET'!F31/'BALANCE SHEET'!E31-1</f>
        <v>-0.81932773109243695</v>
      </c>
      <c r="N51" s="485">
        <f>'BALANCE SHEET'!G31/'BALANCE SHEET'!F31-1</f>
        <v>3.7093023255813957</v>
      </c>
      <c r="O51" s="485">
        <f>'BALANCE SHEET'!H31/'BALANCE SHEET'!G31-1</f>
        <v>-0.92592592592592593</v>
      </c>
    </row>
    <row r="52" spans="2:15" ht="15" customHeight="1" x14ac:dyDescent="0.25">
      <c r="B52" s="122" t="s">
        <v>3159</v>
      </c>
      <c r="C52" s="177" t="s">
        <v>113</v>
      </c>
      <c r="D52" s="485">
        <f>'BALANCE SHEET'!D32/'BALANCE SHEET'!$D$39</f>
        <v>7.3610288518487178E-3</v>
      </c>
      <c r="E52" s="485">
        <f>'BALANCE SHEET'!E32/'BALANCE SHEET'!$E$39</f>
        <v>5.6798012069577564E-3</v>
      </c>
      <c r="F52" s="485">
        <f>'BALANCE SHEET'!F32/'BALANCE SHEET'!$F$39</f>
        <v>5.4050361616558365E-3</v>
      </c>
      <c r="G52" s="485">
        <f>'BALANCE SHEET'!G32/'BALANCE SHEET'!$G$39</f>
        <v>4.8348316955885429E-3</v>
      </c>
      <c r="H52" s="485">
        <f>'BALANCE SHEET'!H32/'BALANCE SHEET'!$H$39</f>
        <v>3.63539911377395E-3</v>
      </c>
      <c r="I52" s="246"/>
      <c r="J52" s="49"/>
      <c r="K52" s="485" t="s">
        <v>122</v>
      </c>
      <c r="L52" s="485">
        <f>'BALANCE SHEET'!E32/'BALANCE SHEET'!D32-1</f>
        <v>-1.6420361247947435E-3</v>
      </c>
      <c r="M52" s="485">
        <f>'BALANCE SHEET'!F32/'BALANCE SHEET'!E32-1</f>
        <v>4.1118421052631637E-2</v>
      </c>
      <c r="N52" s="485">
        <f>'BALANCE SHEET'!G32/'BALANCE SHEET'!F32-1</f>
        <v>-0.12322274881516593</v>
      </c>
      <c r="O52" s="485">
        <f>'BALANCE SHEET'!H32/'BALANCE SHEET'!G32-1</f>
        <v>-0.16036036036036039</v>
      </c>
    </row>
    <row r="53" spans="2:15" ht="15" customHeight="1" x14ac:dyDescent="0.25">
      <c r="B53" s="122" t="s">
        <v>3151</v>
      </c>
      <c r="C53" s="100" t="s">
        <v>113</v>
      </c>
      <c r="D53" s="485">
        <f>'BALANCE SHEET'!D33/'BALANCE SHEET'!$D$39</f>
        <v>2.0064544982050692E-3</v>
      </c>
      <c r="E53" s="485">
        <f>'BALANCE SHEET'!E33/'BALANCE SHEET'!$E$39</f>
        <v>2.1486090092109932E-3</v>
      </c>
      <c r="F53" s="485">
        <f>'BALANCE SHEET'!F33/'BALANCE SHEET'!$F$39</f>
        <v>1.7931399588431685E-3</v>
      </c>
      <c r="G53" s="485">
        <f>'BALANCE SHEET'!G33/'BALANCE SHEET'!$G$39</f>
        <v>1.5854763398146213E-3</v>
      </c>
      <c r="H53" s="485">
        <f>'BALANCE SHEET'!H33/'BALANCE SHEET'!$H$39</f>
        <v>1.99712912688011E-3</v>
      </c>
      <c r="I53" s="246"/>
      <c r="J53" s="49"/>
      <c r="K53" s="485" t="s">
        <v>122</v>
      </c>
      <c r="L53" s="485">
        <f>'BALANCE SHEET'!E33/'BALANCE SHEET'!D33-1</f>
        <v>0.3855421686746987</v>
      </c>
      <c r="M53" s="485">
        <f>'BALANCE SHEET'!F33/'BALANCE SHEET'!E33-1</f>
        <v>-8.6956521739130488E-2</v>
      </c>
      <c r="N53" s="485">
        <f>'BALANCE SHEET'!G33/'BALANCE SHEET'!F33-1</f>
        <v>-0.1333333333333333</v>
      </c>
      <c r="O53" s="485">
        <f>'BALANCE SHEET'!H33/'BALANCE SHEET'!G33-1</f>
        <v>0.4065934065934067</v>
      </c>
    </row>
    <row r="54" spans="2:15" ht="15" customHeight="1" x14ac:dyDescent="0.25">
      <c r="B54" s="122" t="s">
        <v>3251</v>
      </c>
      <c r="C54" s="177" t="s">
        <v>113</v>
      </c>
      <c r="D54" s="485">
        <f>'BALANCE SHEET'!D34/'BALANCE SHEET'!$D$39</f>
        <v>1.7308691815841319E-2</v>
      </c>
      <c r="E54" s="485">
        <f>'BALANCE SHEET'!E34/'BALANCE SHEET'!$E$39</f>
        <v>9.5846645367412137E-3</v>
      </c>
      <c r="F54" s="485">
        <f>'BALANCE SHEET'!F34/'BALANCE SHEET'!$F$39</f>
        <v>1.0178203956862177E-2</v>
      </c>
      <c r="G54" s="485">
        <f>'BALANCE SHEET'!G34/'BALANCE SHEET'!$G$39</f>
        <v>7.8751132483099867E-3</v>
      </c>
      <c r="H54" s="485">
        <f>'BALANCE SHEET'!H34/'BALANCE SHEET'!$H$39</f>
        <v>5.6403295263059349E-3</v>
      </c>
      <c r="I54" s="246"/>
      <c r="J54" s="49"/>
      <c r="K54" s="485" t="s">
        <v>122</v>
      </c>
      <c r="L54" s="485">
        <f>'BALANCE SHEET'!E34/'BALANCE SHEET'!D34-1</f>
        <v>-0.28351955307262566</v>
      </c>
      <c r="M54" s="485">
        <f>'BALANCE SHEET'!F34/'BALANCE SHEET'!E34-1</f>
        <v>0.16179337231968804</v>
      </c>
      <c r="N54" s="485">
        <f>'BALANCE SHEET'!G34/'BALANCE SHEET'!F34-1</f>
        <v>-0.24161073825503354</v>
      </c>
      <c r="O54" s="485">
        <f>'BALANCE SHEET'!H34/'BALANCE SHEET'!G34-1</f>
        <v>-0.2002212389380531</v>
      </c>
    </row>
    <row r="55" spans="2:15" ht="15" customHeight="1" x14ac:dyDescent="0.25">
      <c r="B55" s="43" t="s">
        <v>205</v>
      </c>
      <c r="C55" s="178" t="s">
        <v>113</v>
      </c>
      <c r="D55" s="336">
        <f>'BALANCE SHEET'!D35/'BALANCE SHEET'!$D$39</f>
        <v>2.0197502810245006E-2</v>
      </c>
      <c r="E55" s="336">
        <f>'BALANCE SHEET'!E35/'BALANCE SHEET'!$E$39</f>
        <v>1.4106085234385217E-2</v>
      </c>
      <c r="F55" s="336">
        <f>'BALANCE SHEET'!F35/'BALANCE SHEET'!$F$39</f>
        <v>1.1749336111277143E-2</v>
      </c>
      <c r="G55" s="336">
        <f>'BALANCE SHEET'!G35/'BALANCE SHEET'!$G$39</f>
        <v>9.2166701512300508E-3</v>
      </c>
      <c r="H55" s="336">
        <f>'BALANCE SHEET'!H35/'BALANCE SHEET'!$H$39</f>
        <v>6.0147912375959562E-3</v>
      </c>
      <c r="I55" s="246"/>
      <c r="J55" s="49"/>
      <c r="K55" s="336" t="s">
        <v>122</v>
      </c>
      <c r="L55" s="336">
        <f>'BALANCE SHEET'!E35/'BALANCE SHEET'!D35-1</f>
        <v>-9.634949132256132E-2</v>
      </c>
      <c r="M55" s="336">
        <f>'BALANCE SHEET'!F35/'BALANCE SHEET'!E35-1</f>
        <v>-8.8741721854304623E-2</v>
      </c>
      <c r="N55" s="336">
        <f>'BALANCE SHEET'!G35/'BALANCE SHEET'!F35-1</f>
        <v>-0.23110465116279066</v>
      </c>
      <c r="O55" s="336">
        <f>'BALANCE SHEET'!H35/'BALANCE SHEET'!G35-1</f>
        <v>-0.27126654064272215</v>
      </c>
    </row>
    <row r="56" spans="2:15" ht="15" customHeight="1" x14ac:dyDescent="0.25">
      <c r="B56" s="124"/>
      <c r="C56" s="479"/>
      <c r="D56" s="484"/>
      <c r="E56" s="484"/>
      <c r="F56" s="484"/>
      <c r="G56" s="484"/>
      <c r="H56" s="484"/>
      <c r="I56" s="246"/>
      <c r="J56" s="49"/>
      <c r="K56" s="484"/>
      <c r="L56" s="484"/>
      <c r="M56" s="484"/>
      <c r="N56" s="484"/>
      <c r="O56" s="484"/>
    </row>
    <row r="57" spans="2:15" ht="15" customHeight="1" x14ac:dyDescent="0.3">
      <c r="B57" s="481" t="s">
        <v>3307</v>
      </c>
      <c r="C57" s="482" t="s">
        <v>113</v>
      </c>
      <c r="D57" s="488">
        <f>'BALANCE SHEET'!D37/'BALANCE SHEET'!$D$39</f>
        <v>0.36582742073900376</v>
      </c>
      <c r="E57" s="488">
        <f>'BALANCE SHEET'!E37/'BALANCE SHEET'!$E$39</f>
        <v>0.42367767128150513</v>
      </c>
      <c r="F57" s="488">
        <f>'BALANCE SHEET'!F37/'BALANCE SHEET'!$F$39</f>
        <v>0.43499867649193513</v>
      </c>
      <c r="G57" s="488">
        <f>'BALANCE SHEET'!G37/'BALANCE SHEET'!$G$39</f>
        <v>0.43225137640253675</v>
      </c>
      <c r="H57" s="488">
        <f>'BALANCE SHEET'!H37/'BALANCE SHEET'!$H$39</f>
        <v>0.39220963614803722</v>
      </c>
      <c r="I57" s="246"/>
      <c r="J57" s="49"/>
      <c r="K57" s="488" t="s">
        <v>122</v>
      </c>
      <c r="L57" s="572">
        <f>'BALANCE SHEET'!E37/'BALANCE SHEET'!D37-1</f>
        <v>0.49848014273442143</v>
      </c>
      <c r="M57" s="572">
        <f>'BALANCE SHEET'!F37/'BALANCE SHEET'!E37-1</f>
        <v>0.12327740171543233</v>
      </c>
      <c r="N57" s="572">
        <f>'BALANCE SHEET'!G37/'BALANCE SHEET'!F37-1</f>
        <v>-2.6008951005025094E-2</v>
      </c>
      <c r="O57" s="573">
        <f>'BALANCE SHEET'!H37/'BALANCE SHEET'!G37-1</f>
        <v>1.3220742054455004E-2</v>
      </c>
    </row>
    <row r="58" spans="2:15" ht="15" customHeight="1" x14ac:dyDescent="0.25">
      <c r="B58" s="124"/>
      <c r="C58" s="479"/>
      <c r="D58" s="484"/>
      <c r="E58" s="484"/>
      <c r="F58" s="484"/>
      <c r="G58" s="484"/>
      <c r="H58" s="484"/>
      <c r="I58" s="246"/>
      <c r="J58" s="49"/>
      <c r="K58" s="484"/>
      <c r="L58" s="484"/>
      <c r="M58" s="484"/>
      <c r="N58" s="484"/>
      <c r="O58" s="484"/>
    </row>
    <row r="59" spans="2:15" ht="15" customHeight="1" x14ac:dyDescent="0.25">
      <c r="B59" s="126" t="s">
        <v>208</v>
      </c>
      <c r="C59" s="176"/>
      <c r="D59" s="486"/>
      <c r="E59" s="486"/>
      <c r="F59" s="486"/>
      <c r="G59" s="486"/>
      <c r="H59" s="486"/>
      <c r="I59" s="246"/>
      <c r="J59" s="49"/>
      <c r="K59" s="486"/>
      <c r="L59" s="486"/>
      <c r="M59" s="486"/>
      <c r="N59" s="486"/>
      <c r="O59" s="486"/>
    </row>
    <row r="60" spans="2:15" ht="7.05" customHeight="1" x14ac:dyDescent="0.25">
      <c r="B60" s="122"/>
      <c r="C60" s="177"/>
      <c r="D60" s="485"/>
      <c r="E60" s="485"/>
      <c r="F60" s="485"/>
      <c r="G60" s="485"/>
      <c r="H60" s="485"/>
      <c r="I60" s="246"/>
      <c r="J60" s="49"/>
      <c r="K60" s="485"/>
      <c r="L60" s="485"/>
      <c r="M60" s="485"/>
      <c r="N60" s="485"/>
      <c r="O60" s="485"/>
    </row>
    <row r="61" spans="2:15" ht="15" customHeight="1" x14ac:dyDescent="0.3">
      <c r="B61" s="122" t="s">
        <v>209</v>
      </c>
      <c r="C61" s="480" t="s">
        <v>113</v>
      </c>
      <c r="D61" s="485">
        <f>'BALANCE SHEET'!D45/'BALANCE SHEET'!$D$39</f>
        <v>9.1704640228203987E-2</v>
      </c>
      <c r="E61" s="485">
        <f>'BALANCE SHEET'!E45/'BALANCE SHEET'!$E$39</f>
        <v>8.8961754759636039E-2</v>
      </c>
      <c r="F61" s="485">
        <f>'BALANCE SHEET'!F45/'BALANCE SHEET'!$F$39</f>
        <v>7.5841281497357249E-2</v>
      </c>
      <c r="G61" s="485">
        <f>'BALANCE SHEET'!G45/'BALANCE SHEET'!$G$39</f>
        <v>6.8968220781936027E-2</v>
      </c>
      <c r="H61" s="485">
        <f>'BALANCE SHEET'!H45/'BALANCE SHEET'!$H$39</f>
        <v>7.6343381389252951E-2</v>
      </c>
      <c r="I61" s="246"/>
      <c r="J61" s="49"/>
      <c r="K61" s="485" t="s">
        <v>122</v>
      </c>
      <c r="L61" s="485">
        <f>'BALANCE SHEET'!E45/'BALANCE SHEET'!D45-1</f>
        <v>0.25517332278898119</v>
      </c>
      <c r="M61" s="485">
        <f>'BALANCE SHEET'!F45/'BALANCE SHEET'!E45-1</f>
        <v>-6.7310721411319996E-2</v>
      </c>
      <c r="N61" s="485">
        <f>'BALANCE SHEET'!G45/'BALANCE SHEET'!F45-1</f>
        <v>-0.1086467011934249</v>
      </c>
      <c r="O61" s="485">
        <f>'BALANCE SHEET'!H45/'BALANCE SHEET'!G45-1</f>
        <v>0.23607427055702912</v>
      </c>
    </row>
    <row r="62" spans="2:15" ht="15" customHeight="1" x14ac:dyDescent="0.25">
      <c r="B62" s="122" t="s">
        <v>31</v>
      </c>
      <c r="C62" s="177" t="s">
        <v>113</v>
      </c>
      <c r="D62" s="485">
        <f>'BALANCE SHEET'!D46/'BALANCE SHEET'!$D$39</f>
        <v>9.2707867477306513E-3</v>
      </c>
      <c r="E62" s="485">
        <f>'BALANCE SHEET'!E46/'BALANCE SHEET'!$E$39</f>
        <v>8.4636511406311309E-3</v>
      </c>
      <c r="F62" s="485">
        <f>'BALANCE SHEET'!F46/'BALANCE SHEET'!$F$39</f>
        <v>7.3604125929657678E-3</v>
      </c>
      <c r="G62" s="485">
        <f>'BALANCE SHEET'!G46/'BALANCE SHEET'!$G$39</f>
        <v>8.0319186005993453E-3</v>
      </c>
      <c r="H62" s="485">
        <f>'BALANCE SHEET'!H46/'BALANCE SHEET'!$H$39</f>
        <v>6.2644323784559692E-3</v>
      </c>
      <c r="I62" s="246"/>
      <c r="J62" s="49"/>
      <c r="K62" s="485" t="s">
        <v>122</v>
      </c>
      <c r="L62" s="485">
        <f>'BALANCE SHEET'!E46/'BALANCE SHEET'!D46-1</f>
        <v>0.1812255541069101</v>
      </c>
      <c r="M62" s="485">
        <f>'BALANCE SHEET'!F46/'BALANCE SHEET'!E46-1</f>
        <v>-4.8565121412803558E-2</v>
      </c>
      <c r="N62" s="485">
        <f>'BALANCE SHEET'!G46/'BALANCE SHEET'!F46-1</f>
        <v>6.9605568445475718E-2</v>
      </c>
      <c r="O62" s="485">
        <f>'BALANCE SHEET'!H46/'BALANCE SHEET'!G46-1</f>
        <v>-0.1290672451193059</v>
      </c>
    </row>
    <row r="63" spans="2:15" ht="15" customHeight="1" x14ac:dyDescent="0.25">
      <c r="B63" s="122" t="s">
        <v>3183</v>
      </c>
      <c r="C63" s="177" t="s">
        <v>113</v>
      </c>
      <c r="D63" s="485">
        <f>'BALANCE SHEET'!D47/'BALANCE SHEET'!$D$39</f>
        <v>1.2933170560719422E-3</v>
      </c>
      <c r="E63" s="485">
        <f>'BALANCE SHEET'!E47/'BALANCE SHEET'!$E$39</f>
        <v>5.5116491975412435E-4</v>
      </c>
      <c r="F63" s="485">
        <f>'BALANCE SHEET'!F47/'BALANCE SHEET'!$F$39</f>
        <v>2.4164695635838893E-3</v>
      </c>
      <c r="G63" s="485">
        <f>'BALANCE SHEET'!G47/'BALANCE SHEET'!$G$39</f>
        <v>4.8783887378911424E-4</v>
      </c>
      <c r="H63" s="485">
        <f>'BALANCE SHEET'!H47/'BALANCE SHEET'!$H$39</f>
        <v>7.5672470823191665E-4</v>
      </c>
      <c r="I63" s="246"/>
      <c r="J63" s="49"/>
      <c r="K63" s="485" t="s">
        <v>122</v>
      </c>
      <c r="L63" s="485">
        <f>'BALANCE SHEET'!E47/'BALANCE SHEET'!D47-1</f>
        <v>-0.44859813084112155</v>
      </c>
      <c r="M63" s="485">
        <f>'BALANCE SHEET'!F47/'BALANCE SHEET'!E47-1</f>
        <v>3.7966101694915251</v>
      </c>
      <c r="N63" s="485">
        <f>'BALANCE SHEET'!G47/'BALANCE SHEET'!F47-1</f>
        <v>-0.80212014134275622</v>
      </c>
      <c r="O63" s="485">
        <f>'BALANCE SHEET'!H47/'BALANCE SHEET'!G47-1</f>
        <v>0.73214285714285721</v>
      </c>
    </row>
    <row r="64" spans="2:15" ht="15" customHeight="1" x14ac:dyDescent="0.25">
      <c r="B64" s="122" t="s">
        <v>34</v>
      </c>
      <c r="C64" s="177" t="s">
        <v>113</v>
      </c>
      <c r="D64" s="485">
        <f>'BALANCE SHEET'!D48/'BALANCE SHEET'!$D$39</f>
        <v>6.2635224154811264E-2</v>
      </c>
      <c r="E64" s="485">
        <f>'BALANCE SHEET'!E48/'BALANCE SHEET'!$E$39</f>
        <v>5.840479793733535E-2</v>
      </c>
      <c r="F64" s="485">
        <f>'BALANCE SHEET'!F48/'BALANCE SHEET'!$F$39</f>
        <v>5.0993484924816201E-2</v>
      </c>
      <c r="G64" s="485">
        <f>'BALANCE SHEET'!G48/'BALANCE SHEET'!$G$39</f>
        <v>5.0229981183357725E-2</v>
      </c>
      <c r="H64" s="485">
        <f>'BALANCE SHEET'!H48/'BALANCE SHEET'!$H$39</f>
        <v>4.5770142919553142E-2</v>
      </c>
      <c r="I64" s="246"/>
      <c r="J64" s="49"/>
      <c r="K64" s="485" t="s">
        <v>122</v>
      </c>
      <c r="L64" s="485">
        <f>'BALANCE SHEET'!E48/'BALANCE SHEET'!D48-1</f>
        <v>0.20648398301813975</v>
      </c>
      <c r="M64" s="485">
        <f>'BALANCE SHEET'!F48/'BALANCE SHEET'!E48-1</f>
        <v>-4.4785668586052485E-2</v>
      </c>
      <c r="N64" s="485">
        <f>'BALANCE SHEET'!G48/'BALANCE SHEET'!F48-1</f>
        <v>-3.4494306764902838E-2</v>
      </c>
      <c r="O64" s="485">
        <f>'BALANCE SHEET'!H48/'BALANCE SHEET'!G48-1</f>
        <v>1.7516475893166739E-2</v>
      </c>
    </row>
    <row r="65" spans="2:15" ht="15" customHeight="1" x14ac:dyDescent="0.25">
      <c r="B65" s="122" t="s">
        <v>3175</v>
      </c>
      <c r="C65" s="177" t="s">
        <v>113</v>
      </c>
      <c r="D65" s="485">
        <f>'BALANCE SHEET'!D49/'BALANCE SHEET'!$D$39</f>
        <v>3.1631876034955819E-2</v>
      </c>
      <c r="E65" s="485">
        <f>'BALANCE SHEET'!E49/'BALANCE SHEET'!$E$39</f>
        <v>6.0786951404069277E-2</v>
      </c>
      <c r="F65" s="485">
        <f>'BALANCE SHEET'!F49/'BALANCE SHEET'!$F$39</f>
        <v>2.8579235439276596E-2</v>
      </c>
      <c r="G65" s="485">
        <f>'BALANCE SHEET'!G49/'BALANCE SHEET'!$G$39</f>
        <v>2.8904453272005019E-2</v>
      </c>
      <c r="H65" s="485">
        <f>'BALANCE SHEET'!H49/'BALANCE SHEET'!$H$39</f>
        <v>2.6103101791175184E-2</v>
      </c>
      <c r="I65" s="246"/>
      <c r="J65" s="49"/>
      <c r="K65" s="485" t="s">
        <v>122</v>
      </c>
      <c r="L65" s="485">
        <f>'BALANCE SHEET'!E49/'BALANCE SHEET'!D49-1</f>
        <v>1.4864348490638135</v>
      </c>
      <c r="M65" s="485">
        <f>'BALANCE SHEET'!F49/'BALANCE SHEET'!E49-1</f>
        <v>-0.48563085907484249</v>
      </c>
      <c r="N65" s="485">
        <f>'BALANCE SHEET'!G49/'BALANCE SHEET'!F49-1</f>
        <v>-8.6644756498356346E-3</v>
      </c>
      <c r="O65" s="485">
        <f>'BALANCE SHEET'!H49/'BALANCE SHEET'!G49-1</f>
        <v>8.4388185654007408E-3</v>
      </c>
    </row>
    <row r="66" spans="2:15" ht="15" customHeight="1" x14ac:dyDescent="0.25">
      <c r="B66" s="122" t="s">
        <v>3184</v>
      </c>
      <c r="C66" s="177" t="s">
        <v>113</v>
      </c>
      <c r="D66" s="485">
        <f>'BALANCE SHEET'!D50/'BALANCE SHEET'!$D$39</f>
        <v>2.7232180629253141E-2</v>
      </c>
      <c r="E66" s="485">
        <f>'BALANCE SHEET'!E50/'BALANCE SHEET'!$E$39</f>
        <v>2.6082245016161278E-2</v>
      </c>
      <c r="F66" s="485">
        <f>'BALANCE SHEET'!F50/'BALANCE SHEET'!$F$39</f>
        <v>1.936591155550622E-2</v>
      </c>
      <c r="G66" s="485">
        <f>'BALANCE SHEET'!G50/'BALANCE SHEET'!$G$39</f>
        <v>1.5375635932817619E-2</v>
      </c>
      <c r="H66" s="485">
        <f>'BALANCE SHEET'!H50/'BALANCE SHEET'!$H$39</f>
        <v>1.5649379017662109E-2</v>
      </c>
      <c r="I66" s="246"/>
      <c r="J66" s="49"/>
      <c r="K66" s="485" t="s">
        <v>122</v>
      </c>
      <c r="L66" s="485">
        <f>'BALANCE SHEET'!E50/'BALANCE SHEET'!D50-1</f>
        <v>0.23923657345761207</v>
      </c>
      <c r="M66" s="485">
        <f>'BALANCE SHEET'!F50/'BALANCE SHEET'!E50-1</f>
        <v>-0.18767908309455583</v>
      </c>
      <c r="N66" s="485">
        <f>'BALANCE SHEET'!G50/'BALANCE SHEET'!F50-1</f>
        <v>-0.22178130511463845</v>
      </c>
      <c r="O66" s="485">
        <f>'BALANCE SHEET'!H50/'BALANCE SHEET'!G50-1</f>
        <v>0.13654390934844196</v>
      </c>
    </row>
    <row r="67" spans="2:15" ht="15" customHeight="1" x14ac:dyDescent="0.25">
      <c r="B67" s="122" t="s">
        <v>558</v>
      </c>
      <c r="C67" s="177" t="s">
        <v>113</v>
      </c>
      <c r="D67" s="485">
        <f>'BALANCE SHEET'!D51/'BALANCE SHEET'!$D$39</f>
        <v>1.1784898408132185E-2</v>
      </c>
      <c r="E67" s="485">
        <f>'BALANCE SHEET'!E51/'BALANCE SHEET'!$E$39</f>
        <v>1.1284868187508174E-2</v>
      </c>
      <c r="F67" s="485">
        <f>'BALANCE SHEET'!F51/'BALANCE SHEET'!$F$39</f>
        <v>1.22104292435511E-2</v>
      </c>
      <c r="G67" s="485">
        <f>'BALANCE SHEET'!G51/'BALANCE SHEET'!$G$39</f>
        <v>1.3276186493832323E-2</v>
      </c>
      <c r="H67" s="485">
        <f>'BALANCE SHEET'!H51/'BALANCE SHEET'!$H$39</f>
        <v>1.1764338763028147E-2</v>
      </c>
      <c r="I67" s="246"/>
      <c r="J67" s="49"/>
      <c r="K67" s="485" t="s">
        <v>122</v>
      </c>
      <c r="L67" s="485">
        <f>'BALANCE SHEET'!E51/'BALANCE SHEET'!D51-1</f>
        <v>0.23897435897435892</v>
      </c>
      <c r="M67" s="485">
        <f>'BALANCE SHEET'!F51/'BALANCE SHEET'!E51-1</f>
        <v>0.1837748344370862</v>
      </c>
      <c r="N67" s="485">
        <f>'BALANCE SHEET'!G51/'BALANCE SHEET'!F51-1</f>
        <v>6.5734265734265662E-2</v>
      </c>
      <c r="O67" s="485">
        <f>'BALANCE SHEET'!H51/'BALANCE SHEET'!G51-1</f>
        <v>-1.049868766404205E-2</v>
      </c>
    </row>
    <row r="68" spans="2:15" ht="15" customHeight="1" x14ac:dyDescent="0.25">
      <c r="B68" s="122" t="s">
        <v>3252</v>
      </c>
      <c r="C68" s="177" t="s">
        <v>113</v>
      </c>
      <c r="D68" s="485">
        <f>'BALANCE SHEET'!D52/'BALANCE SHEET'!$D$39</f>
        <v>2.15633423180593E-2</v>
      </c>
      <c r="E68" s="485">
        <f>'BALANCE SHEET'!E52/'BALANCE SHEET'!$E$39</f>
        <v>1.6889935168058593E-2</v>
      </c>
      <c r="F68" s="485">
        <f>'BALANCE SHEET'!F52/'BALANCE SHEET'!$F$39</f>
        <v>1.5736937829275998E-2</v>
      </c>
      <c r="G68" s="485">
        <f>'BALANCE SHEET'!G52/'BALANCE SHEET'!$G$39</f>
        <v>1.5706669454317375E-2</v>
      </c>
      <c r="H68" s="485">
        <f>'BALANCE SHEET'!H52/'BALANCE SHEET'!$H$39</f>
        <v>1.3761467889908258E-2</v>
      </c>
      <c r="I68" s="246"/>
      <c r="J68" s="49"/>
      <c r="K68" s="485" t="s">
        <v>122</v>
      </c>
      <c r="L68" s="485">
        <f>'BALANCE SHEET'!E52/'BALANCE SHEET'!D52-1</f>
        <v>1.3452914798206317E-2</v>
      </c>
      <c r="M68" s="485">
        <f>'BALANCE SHEET'!F52/'BALANCE SHEET'!E52-1</f>
        <v>1.9358407079645978E-2</v>
      </c>
      <c r="N68" s="485">
        <f>'BALANCE SHEET'!G52/'BALANCE SHEET'!F52-1</f>
        <v>-2.1703743895822081E-2</v>
      </c>
      <c r="O68" s="485">
        <f>'BALANCE SHEET'!H52/'BALANCE SHEET'!G52-1</f>
        <v>-2.1630615640598982E-2</v>
      </c>
    </row>
    <row r="69" spans="2:15" ht="15" customHeight="1" x14ac:dyDescent="0.25">
      <c r="B69" s="123" t="s">
        <v>3253</v>
      </c>
      <c r="C69" s="178" t="s">
        <v>113</v>
      </c>
      <c r="D69" s="336">
        <f>'BALANCE SHEET'!D53/'BALANCE SHEET'!$D$39</f>
        <v>2.0934814402958916E-2</v>
      </c>
      <c r="E69" s="336">
        <f>'BALANCE SHEET'!E53/'BALANCE SHEET'!$E$39</f>
        <v>1.235917269211367E-2</v>
      </c>
      <c r="F69" s="336">
        <f>'BALANCE SHEET'!F53/'BALANCE SHEET'!$F$39</f>
        <v>1.6095565821044631E-2</v>
      </c>
      <c r="G69" s="336">
        <f>'BALANCE SHEET'!G53/'BALANCE SHEET'!$G$39</f>
        <v>1.8956024810091295E-2</v>
      </c>
      <c r="H69" s="336">
        <f>'BALANCE SHEET'!H53/'BALANCE SHEET'!$H$39</f>
        <v>2.6898832927666479E-2</v>
      </c>
      <c r="I69" s="246"/>
      <c r="J69" s="49"/>
      <c r="K69" s="336" t="s">
        <v>122</v>
      </c>
      <c r="L69" s="336">
        <f>'BALANCE SHEET'!E53/'BALANCE SHEET'!D53-1</f>
        <v>-0.23614318706697457</v>
      </c>
      <c r="M69" s="336">
        <f>'BALANCE SHEET'!F53/'BALANCE SHEET'!E53-1</f>
        <v>0.42479213907785329</v>
      </c>
      <c r="N69" s="336">
        <f>'BALANCE SHEET'!G53/'BALANCE SHEET'!F53-1</f>
        <v>0.15437665782493371</v>
      </c>
      <c r="O69" s="336">
        <f>'BALANCE SHEET'!H53/'BALANCE SHEET'!G53-1</f>
        <v>0.58455882352941169</v>
      </c>
    </row>
    <row r="70" spans="2:15" ht="15" customHeight="1" x14ac:dyDescent="0.25">
      <c r="B70" s="124"/>
      <c r="C70" s="479"/>
      <c r="D70" s="484"/>
      <c r="E70" s="484"/>
      <c r="F70" s="484"/>
      <c r="G70" s="484"/>
      <c r="H70" s="484"/>
      <c r="I70" s="246"/>
      <c r="J70" s="49"/>
      <c r="K70" s="484"/>
      <c r="L70" s="484"/>
      <c r="M70" s="484"/>
      <c r="N70" s="484"/>
      <c r="O70" s="484"/>
    </row>
    <row r="71" spans="2:15" ht="15" customHeight="1" x14ac:dyDescent="0.3">
      <c r="B71" s="481" t="s">
        <v>210</v>
      </c>
      <c r="C71" s="482" t="s">
        <v>113</v>
      </c>
      <c r="D71" s="488">
        <f>'BALANCE SHEET'!D55/'BALANCE SHEET'!$D$39</f>
        <v>0.2780510799801772</v>
      </c>
      <c r="E71" s="488">
        <f>'BALANCE SHEET'!E55/'BALANCE SHEET'!$E$39</f>
        <v>0.28378454122526764</v>
      </c>
      <c r="F71" s="488">
        <f>'BALANCE SHEET'!F55/'BALANCE SHEET'!$F$39</f>
        <v>0.22859972846737767</v>
      </c>
      <c r="G71" s="488">
        <f>'BALANCE SHEET'!G55/'BALANCE SHEET'!$G$39</f>
        <v>0.21993692940274584</v>
      </c>
      <c r="H71" s="488">
        <f>'BALANCE SHEET'!H55/'BALANCE SHEET'!$H$39</f>
        <v>0.22331180178493415</v>
      </c>
      <c r="I71" s="246"/>
      <c r="J71" s="49"/>
      <c r="K71" s="488" t="s">
        <v>122</v>
      </c>
      <c r="L71" s="488">
        <f>'BALANCE SHEET'!E55/'BALANCE SHEET'!D55-1</f>
        <v>0.32055294731351069</v>
      </c>
      <c r="M71" s="488">
        <f>'BALANCE SHEET'!F55/'BALANCE SHEET'!E55-1</f>
        <v>-0.11870432549871612</v>
      </c>
      <c r="N71" s="488">
        <f>'BALANCE SHEET'!G55/'BALANCE SHEET'!F55-1</f>
        <v>-5.6962498132377082E-2</v>
      </c>
      <c r="O71" s="488">
        <f>'BALANCE SHEET'!H55/'BALANCE SHEET'!G55-1</f>
        <v>0.13379807501881413</v>
      </c>
    </row>
    <row r="72" spans="2:15" ht="15" customHeight="1" x14ac:dyDescent="0.25">
      <c r="C72" s="53"/>
      <c r="D72" s="487"/>
      <c r="E72" s="487"/>
      <c r="F72" s="487"/>
      <c r="G72" s="487"/>
      <c r="H72" s="487"/>
      <c r="I72" s="246"/>
      <c r="J72" s="49"/>
      <c r="K72" s="487"/>
      <c r="L72" s="487"/>
      <c r="M72" s="487"/>
      <c r="N72" s="487"/>
      <c r="O72" s="487"/>
    </row>
    <row r="73" spans="2:15" ht="15" customHeight="1" x14ac:dyDescent="0.25">
      <c r="B73" s="126" t="s">
        <v>211</v>
      </c>
      <c r="C73" s="176"/>
      <c r="D73" s="486"/>
      <c r="E73" s="486"/>
      <c r="F73" s="486"/>
      <c r="G73" s="486"/>
      <c r="H73" s="486"/>
      <c r="I73" s="246"/>
      <c r="J73" s="49"/>
      <c r="K73" s="486"/>
      <c r="L73" s="486"/>
      <c r="M73" s="486"/>
      <c r="N73" s="486"/>
      <c r="O73" s="486"/>
    </row>
    <row r="74" spans="2:15" ht="7.05" customHeight="1" x14ac:dyDescent="0.25">
      <c r="B74" s="122"/>
      <c r="C74" s="177"/>
      <c r="D74" s="485"/>
      <c r="E74" s="485"/>
      <c r="F74" s="485"/>
      <c r="G74" s="485"/>
      <c r="H74" s="485"/>
      <c r="I74" s="246"/>
      <c r="J74" s="49"/>
      <c r="K74" s="485"/>
      <c r="L74" s="485"/>
      <c r="M74" s="485"/>
      <c r="N74" s="485"/>
      <c r="O74" s="485"/>
    </row>
    <row r="75" spans="2:15" ht="15" customHeight="1" x14ac:dyDescent="0.25">
      <c r="B75" s="122" t="s">
        <v>212</v>
      </c>
      <c r="C75" s="177" t="s">
        <v>113</v>
      </c>
      <c r="D75" s="485">
        <f>'BALANCE SHEET'!D59/'BALANCE SHEET'!$D$39</f>
        <v>9.0169581666324199E-3</v>
      </c>
      <c r="E75" s="485">
        <f>'BALANCE SHEET'!E59/'BALANCE SHEET'!$E$39</f>
        <v>5.2743680286979427E-2</v>
      </c>
      <c r="F75" s="485">
        <f>'BALANCE SHEET'!F59/'BALANCE SHEET'!$F$39</f>
        <v>5.2316992989676639E-2</v>
      </c>
      <c r="G75" s="485">
        <f>'BALANCE SHEET'!G59/'BALANCE SHEET'!$G$39</f>
        <v>5.4272074709038956E-2</v>
      </c>
      <c r="H75" s="485">
        <f>'BALANCE SHEET'!H59/'BALANCE SHEET'!$H$39</f>
        <v>4.988922174374337E-2</v>
      </c>
      <c r="I75" s="246"/>
      <c r="J75" s="49"/>
      <c r="K75" s="485" t="s">
        <v>122</v>
      </c>
      <c r="L75" s="485">
        <f>'BALANCE SHEET'!E59/'BALANCE SHEET'!D59-1</f>
        <v>6.568364611260054</v>
      </c>
      <c r="M75" s="485">
        <f>'BALANCE SHEET'!F59/'BALANCE SHEET'!E59-1</f>
        <v>8.5193057031526687E-2</v>
      </c>
      <c r="N75" s="485">
        <f>'BALANCE SHEET'!G59/'BALANCE SHEET'!F59-1</f>
        <v>1.6810837277623669E-2</v>
      </c>
      <c r="O75" s="485">
        <f>'BALANCE SHEET'!H59/'BALANCE SHEET'!G59-1</f>
        <v>2.6484751203852408E-2</v>
      </c>
    </row>
    <row r="76" spans="2:15" ht="15" customHeight="1" x14ac:dyDescent="0.25">
      <c r="B76" s="122" t="s">
        <v>31</v>
      </c>
      <c r="C76" s="177" t="s">
        <v>113</v>
      </c>
      <c r="D76" s="485">
        <f>'BALANCE SHEET'!D60/'BALANCE SHEET'!$D$39</f>
        <v>1.6329638717319569E-2</v>
      </c>
      <c r="E76" s="485">
        <f>'BALANCE SHEET'!E60/'BALANCE SHEET'!$E$39</f>
        <v>1.4180819460792556E-2</v>
      </c>
      <c r="F76" s="485">
        <f>'BALANCE SHEET'!F60/'BALANCE SHEET'!$F$39</f>
        <v>1.3619324925499304E-2</v>
      </c>
      <c r="G76" s="485">
        <f>'BALANCE SHEET'!G60/'BALANCE SHEET'!$G$39</f>
        <v>1.2161126210885775E-2</v>
      </c>
      <c r="H76" s="485">
        <f>'BALANCE SHEET'!H60/'BALANCE SHEET'!$H$39</f>
        <v>1.7311052861511578E-2</v>
      </c>
      <c r="I76" s="246"/>
      <c r="J76" s="49"/>
      <c r="K76" s="485" t="s">
        <v>122</v>
      </c>
      <c r="L76" s="485">
        <f>'BALANCE SHEET'!E60/'BALANCE SHEET'!D60-1</f>
        <v>0.12361213915618063</v>
      </c>
      <c r="M76" s="485">
        <f>'BALANCE SHEET'!F60/'BALANCE SHEET'!E60-1</f>
        <v>5.0724637681159424E-2</v>
      </c>
      <c r="N76" s="485">
        <f>'BALANCE SHEET'!G60/'BALANCE SHEET'!F60-1</f>
        <v>-0.12476489028213167</v>
      </c>
      <c r="O76" s="485">
        <f>'BALANCE SHEET'!H60/'BALANCE SHEET'!G60-1</f>
        <v>0.58954154727793706</v>
      </c>
    </row>
    <row r="77" spans="2:15" ht="15" customHeight="1" x14ac:dyDescent="0.25">
      <c r="B77" s="122" t="s">
        <v>3175</v>
      </c>
      <c r="C77" s="177" t="s">
        <v>113</v>
      </c>
      <c r="D77" s="485">
        <f>'BALANCE SHEET'!D61/'BALANCE SHEET'!$D$39</f>
        <v>2.7679402414997642E-3</v>
      </c>
      <c r="E77" s="485">
        <f>'BALANCE SHEET'!E61/'BALANCE SHEET'!$E$39</f>
        <v>2.7651663770715392E-3</v>
      </c>
      <c r="F77" s="485">
        <f>'BALANCE SHEET'!F61/'BALANCE SHEET'!$F$39</f>
        <v>2.262771852825903E-3</v>
      </c>
      <c r="G77" s="485">
        <f>'BALANCE SHEET'!G61/'BALANCE SHEET'!$G$39</f>
        <v>4.3469928217994289E-3</v>
      </c>
      <c r="H77" s="485">
        <f>'BALANCE SHEET'!H61/'BALANCE SHEET'!$H$39</f>
        <v>6.0772015228109594E-3</v>
      </c>
      <c r="I77" s="246"/>
      <c r="J77" s="49"/>
      <c r="K77" s="485" t="s">
        <v>122</v>
      </c>
      <c r="L77" s="485">
        <f>'BALANCE SHEET'!E61/'BALANCE SHEET'!D61-1</f>
        <v>0.2925764192139737</v>
      </c>
      <c r="M77" s="485">
        <f>'BALANCE SHEET'!F61/'BALANCE SHEET'!E61-1</f>
        <v>-0.10472972972972971</v>
      </c>
      <c r="N77" s="485">
        <f>'BALANCE SHEET'!G61/'BALANCE SHEET'!F61-1</f>
        <v>0.88301886792452833</v>
      </c>
      <c r="O77" s="485">
        <f>'BALANCE SHEET'!H61/'BALANCE SHEET'!G61-1</f>
        <v>0.56112224448897785</v>
      </c>
    </row>
    <row r="78" spans="2:15" ht="15" customHeight="1" x14ac:dyDescent="0.25">
      <c r="B78" s="122" t="s">
        <v>3252</v>
      </c>
      <c r="C78" s="177" t="s">
        <v>113</v>
      </c>
      <c r="D78" s="485">
        <f>'BALANCE SHEET'!D62/'BALANCE SHEET'!$D$39</f>
        <v>3.6986450388599469E-3</v>
      </c>
      <c r="E78" s="485">
        <f>'BALANCE SHEET'!E62/'BALANCE SHEET'!$E$39</f>
        <v>2.5409636978495228E-3</v>
      </c>
      <c r="F78" s="485">
        <f>'BALANCE SHEET'!F62/'BALANCE SHEET'!$F$39</f>
        <v>2.5189347040892132E-3</v>
      </c>
      <c r="G78" s="485">
        <f>'BALANCE SHEET'!G62/'BALANCE SHEET'!$G$39</f>
        <v>3.6762143703393964E-3</v>
      </c>
      <c r="H78" s="485">
        <f>'BALANCE SHEET'!H62/'BALANCE SHEET'!$H$39</f>
        <v>3.63539911377395E-3</v>
      </c>
      <c r="I78" s="246"/>
      <c r="J78" s="49"/>
      <c r="K78" s="485" t="s">
        <v>122</v>
      </c>
      <c r="L78" s="485">
        <f>'BALANCE SHEET'!E62/'BALANCE SHEET'!D62-1</f>
        <v>-0.11111111111111116</v>
      </c>
      <c r="M78" s="485">
        <f>'BALANCE SHEET'!F62/'BALANCE SHEET'!E62-1</f>
        <v>8.4558823529411686E-2</v>
      </c>
      <c r="N78" s="485">
        <f>'BALANCE SHEET'!G62/'BALANCE SHEET'!F62-1</f>
        <v>0.43050847457627128</v>
      </c>
      <c r="O78" s="485">
        <f>'BALANCE SHEET'!H62/'BALANCE SHEET'!G62-1</f>
        <v>0.10426540284360186</v>
      </c>
    </row>
    <row r="79" spans="2:15" ht="15" customHeight="1" x14ac:dyDescent="0.25">
      <c r="B79" s="122" t="s">
        <v>3177</v>
      </c>
      <c r="C79" s="177" t="s">
        <v>113</v>
      </c>
      <c r="D79" s="485">
        <f>'BALANCE SHEET'!D63/'BALANCE SHEET'!$D$39</f>
        <v>5.5721417088707044E-3</v>
      </c>
      <c r="E79" s="485">
        <f>'BALANCE SHEET'!E63/'BALANCE SHEET'!$E$39</f>
        <v>1.1340918857313679E-2</v>
      </c>
      <c r="F79" s="485">
        <f>'BALANCE SHEET'!F63/'BALANCE SHEET'!$F$39</f>
        <v>1.2936223988797145E-2</v>
      </c>
      <c r="G79" s="485">
        <f>'BALANCE SHEET'!G63/'BALANCE SHEET'!$G$39</f>
        <v>1.521883058052826E-2</v>
      </c>
      <c r="H79" s="485">
        <f>'BALANCE SHEET'!H63/'BALANCE SHEET'!$H$39</f>
        <v>1.2825313611683205E-2</v>
      </c>
      <c r="I79" s="246"/>
      <c r="J79" s="49"/>
      <c r="K79" s="485" t="s">
        <v>122</v>
      </c>
      <c r="L79" s="485">
        <f>'BALANCE SHEET'!E63/'BALANCE SHEET'!D63-1</f>
        <v>1.633405639913232</v>
      </c>
      <c r="M79" s="485">
        <f>'BALANCE SHEET'!F63/'BALANCE SHEET'!E63-1</f>
        <v>0.24794069192751245</v>
      </c>
      <c r="N79" s="485">
        <f>'BALANCE SHEET'!G63/'BALANCE SHEET'!F63-1</f>
        <v>0.15313531353135312</v>
      </c>
      <c r="O79" s="485">
        <f>'BALANCE SHEET'!H63/'BALANCE SHEET'!G63-1</f>
        <v>-5.8958214081282212E-2</v>
      </c>
    </row>
    <row r="80" spans="2:15" ht="15" customHeight="1" x14ac:dyDescent="0.25">
      <c r="B80" s="102" t="s">
        <v>3253</v>
      </c>
      <c r="C80" s="100" t="s">
        <v>113</v>
      </c>
      <c r="D80" s="485">
        <f>'BALANCE SHEET'!D64/'BALANCE SHEET'!$D$39</f>
        <v>1.3380392346463927E-2</v>
      </c>
      <c r="E80" s="485">
        <f>'BALANCE SHEET'!E64/'BALANCE SHEET'!$E$39</f>
        <v>1.6647048932234742E-2</v>
      </c>
      <c r="F80" s="485">
        <f>'BALANCE SHEET'!F64/'BALANCE SHEET'!$F$39</f>
        <v>1.8597423001716292E-2</v>
      </c>
      <c r="G80" s="485">
        <f>'BALANCE SHEET'!G64/'BALANCE SHEET'!$G$39</f>
        <v>3.2310613980068299E-2</v>
      </c>
      <c r="H80" s="485">
        <f>'BALANCE SHEET'!H64/'BALANCE SHEET'!$H$39</f>
        <v>3.2781002309180553E-2</v>
      </c>
      <c r="I80" s="246"/>
      <c r="J80" s="49"/>
      <c r="K80" s="485" t="s">
        <v>122</v>
      </c>
      <c r="L80" s="485">
        <f>'BALANCE SHEET'!E64/'BALANCE SHEET'!D64-1</f>
        <v>0.60975609756097571</v>
      </c>
      <c r="M80" s="485">
        <f>'BALANCE SHEET'!F64/'BALANCE SHEET'!E64-1</f>
        <v>0.22222222222222232</v>
      </c>
      <c r="N80" s="485">
        <f>'BALANCE SHEET'!G64/'BALANCE SHEET'!F64-1</f>
        <v>0.70293847566574841</v>
      </c>
      <c r="O80" s="485">
        <f>'BALANCE SHEET'!H64/'BALANCE SHEET'!G64-1</f>
        <v>0.13291992450795354</v>
      </c>
    </row>
    <row r="81" spans="2:15" ht="15" customHeight="1" x14ac:dyDescent="0.25">
      <c r="B81" s="43" t="s">
        <v>3254</v>
      </c>
      <c r="C81" s="58" t="s">
        <v>113</v>
      </c>
      <c r="D81" s="336">
        <f>'BALANCE SHEET'!D65/'BALANCE SHEET'!$D$39</f>
        <v>5.7776219888073686E-3</v>
      </c>
      <c r="E81" s="336">
        <f>'BALANCE SHEET'!E65/'BALANCE SHEET'!$E$39</f>
        <v>4.5307624759449213E-3</v>
      </c>
      <c r="F81" s="336">
        <f>'BALANCE SHEET'!F65/'BALANCE SHEET'!$F$39</f>
        <v>5.4562687319084984E-3</v>
      </c>
      <c r="G81" s="336">
        <f>'BALANCE SHEET'!G65/'BALANCE SHEET'!$G$39</f>
        <v>7.6224824029549098E-3</v>
      </c>
      <c r="H81" s="336">
        <f>'BALANCE SHEET'!H65/'BALANCE SHEET'!$H$39</f>
        <v>9.9544404917930474E-3</v>
      </c>
      <c r="I81" s="246"/>
      <c r="J81" s="49"/>
      <c r="K81" s="336" t="s">
        <v>122</v>
      </c>
      <c r="L81" s="336">
        <f>'BALANCE SHEET'!E65/'BALANCE SHEET'!D65-1</f>
        <v>1.4644351464435212E-2</v>
      </c>
      <c r="M81" s="336">
        <f>'BALANCE SHEET'!F65/'BALANCE SHEET'!E65-1</f>
        <v>0.31752577319587627</v>
      </c>
      <c r="N81" s="336">
        <f>'BALANCE SHEET'!G65/'BALANCE SHEET'!F65-1</f>
        <v>0.36932707355242567</v>
      </c>
      <c r="O81" s="336">
        <f>'BALANCE SHEET'!H65/'BALANCE SHEET'!G65-1</f>
        <v>0.45828571428571419</v>
      </c>
    </row>
    <row r="82" spans="2:15" ht="15" customHeight="1" x14ac:dyDescent="0.25">
      <c r="C82" s="53"/>
      <c r="D82" s="487"/>
      <c r="E82" s="487"/>
      <c r="F82" s="487"/>
      <c r="G82" s="487"/>
      <c r="H82" s="487"/>
      <c r="I82" s="246"/>
      <c r="J82" s="49"/>
      <c r="K82" s="487"/>
      <c r="L82" s="487"/>
      <c r="M82" s="487"/>
      <c r="N82" s="487"/>
      <c r="O82" s="487"/>
    </row>
    <row r="83" spans="2:15" ht="15" customHeight="1" x14ac:dyDescent="0.3">
      <c r="B83" s="483" t="s">
        <v>213</v>
      </c>
      <c r="C83" s="535" t="s">
        <v>113</v>
      </c>
      <c r="D83" s="488">
        <f>'BALANCE SHEET'!D67/'BALANCE SHEET'!$D$39</f>
        <v>5.6543338208453697E-2</v>
      </c>
      <c r="E83" s="488">
        <f>'BALANCE SHEET'!E67/'BALANCE SHEET'!$E$39</f>
        <v>0.10474936008818639</v>
      </c>
      <c r="F83" s="488">
        <f>'BALANCE SHEET'!F67/'BALANCE SHEET'!$F$39</f>
        <v>0.10770794019451299</v>
      </c>
      <c r="G83" s="488">
        <f>'BALANCE SHEET'!G67/'BALANCE SHEET'!$G$39</f>
        <v>0.12960833507561503</v>
      </c>
      <c r="H83" s="488">
        <f>'BALANCE SHEET'!H67/'BALANCE SHEET'!$H$39</f>
        <v>0.13247363165449666</v>
      </c>
      <c r="I83" s="246"/>
      <c r="J83" s="49"/>
      <c r="K83" s="488" t="s">
        <v>122</v>
      </c>
      <c r="L83" s="488">
        <f>'BALANCE SHEET'!E67/'BALANCE SHEET'!D67-1</f>
        <v>1.396964514749893</v>
      </c>
      <c r="M83" s="488">
        <f>'BALANCE SHEET'!F67/'BALANCE SHEET'!E67-1</f>
        <v>0.12494426112547941</v>
      </c>
      <c r="N83" s="488">
        <f>'BALANCE SHEET'!G67/'BALANCE SHEET'!F67-1</f>
        <v>0.17948311400031702</v>
      </c>
      <c r="O83" s="488">
        <f>'BALANCE SHEET'!H67/'BALANCE SHEET'!G67-1</f>
        <v>0.1413496437693238</v>
      </c>
    </row>
    <row r="84" spans="2:15" ht="15" customHeight="1" x14ac:dyDescent="0.3">
      <c r="C84" s="574"/>
      <c r="D84" s="489"/>
      <c r="E84" s="489"/>
      <c r="F84" s="489"/>
      <c r="G84" s="489"/>
      <c r="H84" s="489"/>
      <c r="I84" s="246"/>
      <c r="J84" s="49"/>
      <c r="K84" s="489"/>
      <c r="L84" s="489"/>
      <c r="M84" s="489"/>
      <c r="N84" s="489"/>
      <c r="O84" s="489"/>
    </row>
    <row r="85" spans="2:15" ht="15" customHeight="1" x14ac:dyDescent="0.3">
      <c r="B85" s="483" t="s">
        <v>37</v>
      </c>
      <c r="C85" s="535" t="s">
        <v>113</v>
      </c>
      <c r="D85" s="488">
        <f>'BALANCE SHEET'!D69/'BALANCE SHEET'!$D$39</f>
        <v>0.33459441818863089</v>
      </c>
      <c r="E85" s="488">
        <f>'BALANCE SHEET'!E69/'BALANCE SHEET'!$E$39</f>
        <v>0.38853390131345406</v>
      </c>
      <c r="F85" s="488">
        <f>'BALANCE SHEET'!F69/'BALANCE SHEET'!$F$39</f>
        <v>0.33630766866189066</v>
      </c>
      <c r="G85" s="488">
        <f>'BALANCE SHEET'!G69/'BALANCE SHEET'!$G$39</f>
        <v>0.34954526447836087</v>
      </c>
      <c r="H85" s="488">
        <f>'BALANCE SHEET'!H69/'BALANCE SHEET'!$H$39</f>
        <v>0.35578543343943081</v>
      </c>
      <c r="I85" s="246"/>
      <c r="J85" s="49"/>
      <c r="K85" s="488" t="s">
        <v>122</v>
      </c>
      <c r="L85" s="488">
        <f>'BALANCE SHEET'!E69/'BALANCE SHEET'!D69-1</f>
        <v>0.50245646990824366</v>
      </c>
      <c r="M85" s="488">
        <f>'BALANCE SHEET'!F69/'BALANCE SHEET'!E69-1</f>
        <v>-5.3016277560049008E-2</v>
      </c>
      <c r="N85" s="488">
        <f>'BALANCE SHEET'!G69/'BALANCE SHEET'!F69-1</f>
        <v>1.876301223785104E-2</v>
      </c>
      <c r="O85" s="488">
        <f>'BALANCE SHEET'!H69/'BALANCE SHEET'!G69-1</f>
        <v>0.13659813084112149</v>
      </c>
    </row>
    <row r="86" spans="2:15" ht="15" customHeight="1" x14ac:dyDescent="0.25">
      <c r="C86" s="53"/>
      <c r="D86" s="487"/>
      <c r="E86" s="487"/>
      <c r="F86" s="487"/>
      <c r="G86" s="487"/>
      <c r="H86" s="487"/>
      <c r="I86" s="246"/>
      <c r="J86" s="49"/>
      <c r="K86" s="487"/>
      <c r="L86" s="487"/>
      <c r="M86" s="487"/>
      <c r="N86" s="487"/>
      <c r="O86" s="487"/>
    </row>
    <row r="87" spans="2:15" ht="15" customHeight="1" x14ac:dyDescent="0.3">
      <c r="B87" s="165" t="s">
        <v>267</v>
      </c>
      <c r="C87" s="60"/>
      <c r="D87" s="486"/>
      <c r="E87" s="486"/>
      <c r="F87" s="486"/>
      <c r="G87" s="486"/>
      <c r="H87" s="486"/>
      <c r="I87" s="246"/>
      <c r="J87" s="49"/>
      <c r="K87" s="486"/>
      <c r="L87" s="486"/>
      <c r="M87" s="486"/>
      <c r="N87" s="486"/>
      <c r="O87" s="486"/>
    </row>
    <row r="88" spans="2:15" ht="7.05" customHeight="1" x14ac:dyDescent="0.25">
      <c r="B88" s="102"/>
      <c r="C88" s="100"/>
      <c r="D88" s="485"/>
      <c r="E88" s="485"/>
      <c r="F88" s="485"/>
      <c r="G88" s="485"/>
      <c r="H88" s="485"/>
      <c r="I88" s="246"/>
      <c r="J88" s="49"/>
      <c r="K88" s="485"/>
      <c r="L88" s="485"/>
      <c r="M88" s="485"/>
      <c r="N88" s="485"/>
      <c r="O88" s="485"/>
    </row>
    <row r="89" spans="2:15" ht="15" customHeight="1" x14ac:dyDescent="0.25">
      <c r="B89" s="102" t="s">
        <v>3168</v>
      </c>
      <c r="C89" s="100" t="s">
        <v>113</v>
      </c>
      <c r="D89" s="485">
        <f>'BALANCE SHEET'!D73/'BALANCE SHEET'!$D$39</f>
        <v>1.3247434518269614E-2</v>
      </c>
      <c r="E89" s="485">
        <f>'BALANCE SHEET'!E73/'BALANCE SHEET'!$E$39</f>
        <v>1.023858901780543E-2</v>
      </c>
      <c r="F89" s="485">
        <f>'BALANCE SHEET'!F73/'BALANCE SHEET'!$F$39</f>
        <v>9.3755603562371385E-3</v>
      </c>
      <c r="G89" s="485">
        <f>'BALANCE SHEET'!G73/'BALANCE SHEET'!$G$39</f>
        <v>9.1034218412432925E-3</v>
      </c>
      <c r="H89" s="485">
        <f>'BALANCE SHEET'!H73/'BALANCE SHEET'!$H$39</f>
        <v>1.6335892155027149E-2</v>
      </c>
      <c r="I89" s="246"/>
      <c r="J89" s="49"/>
      <c r="K89" s="485" t="s">
        <v>122</v>
      </c>
      <c r="L89" s="485">
        <f>'BALANCE SHEET'!E73/'BALANCE SHEET'!D73-1</f>
        <v>0</v>
      </c>
      <c r="M89" s="485">
        <f>'BALANCE SHEET'!F73/'BALANCE SHEET'!E73-1</f>
        <v>1.8248175182482562E-3</v>
      </c>
      <c r="N89" s="485">
        <f>'BALANCE SHEET'!G73/'BALANCE SHEET'!F73-1</f>
        <v>-4.8269581056466282E-2</v>
      </c>
      <c r="O89" s="485">
        <f>'BALANCE SHEET'!H73/'BALANCE SHEET'!G73-1</f>
        <v>1.0038277511961722</v>
      </c>
    </row>
    <row r="90" spans="2:15" ht="15" customHeight="1" x14ac:dyDescent="0.25">
      <c r="B90" s="102" t="s">
        <v>3169</v>
      </c>
      <c r="C90" s="100" t="s">
        <v>113</v>
      </c>
      <c r="D90" s="485">
        <f>'BALANCE SHEET'!D74/'BALANCE SHEET'!$D$39</f>
        <v>0.65034508599954066</v>
      </c>
      <c r="E90" s="485">
        <f>'BALANCE SHEET'!E74/'BALANCE SHEET'!$E$39</f>
        <v>0.60074173719709278</v>
      </c>
      <c r="F90" s="485">
        <f>'BALANCE SHEET'!F74/'BALANCE SHEET'!$F$39</f>
        <v>0.65381298404105437</v>
      </c>
      <c r="G90" s="485">
        <f>'BALANCE SHEET'!G74/'BALANCE SHEET'!$G$39</f>
        <v>0.64018398494668616</v>
      </c>
      <c r="H90" s="485">
        <f>'BALANCE SHEET'!H74/'BALANCE SHEET'!$H$39</f>
        <v>0.62620919927604068</v>
      </c>
      <c r="I90" s="246"/>
      <c r="J90" s="49"/>
      <c r="K90" s="485" t="s">
        <v>122</v>
      </c>
      <c r="L90" s="485">
        <f>'BALANCE SHEET'!E74/'BALANCE SHEET'!D74-1</f>
        <v>0.19518632097388711</v>
      </c>
      <c r="M90" s="485">
        <f>'BALANCE SHEET'!F74/'BALANCE SHEET'!E74-1</f>
        <v>0.19069463666474884</v>
      </c>
      <c r="N90" s="485">
        <f>'BALANCE SHEET'!G74/'BALANCE SHEET'!F74-1</f>
        <v>-4.0250750946846048E-2</v>
      </c>
      <c r="O90" s="485">
        <f>'BALANCE SHEET'!H74/'BALANCE SHEET'!G74-1</f>
        <v>9.2287176137600735E-2</v>
      </c>
    </row>
    <row r="91" spans="2:15" ht="15" customHeight="1" x14ac:dyDescent="0.25">
      <c r="B91" s="43" t="s">
        <v>216</v>
      </c>
      <c r="C91" s="58" t="s">
        <v>113</v>
      </c>
      <c r="D91" s="336">
        <f>'BALANCE SHEET'!D75/'BALANCE SHEET'!$D$39</f>
        <v>1.8130612935587976E-3</v>
      </c>
      <c r="E91" s="336">
        <f>'BALANCE SHEET'!E75/'BALANCE SHEET'!$E$39</f>
        <v>4.8577247164770286E-4</v>
      </c>
      <c r="F91" s="336">
        <f>'BALANCE SHEET'!F75/'BALANCE SHEET'!$F$39</f>
        <v>5.0378694081784257E-4</v>
      </c>
      <c r="G91" s="336">
        <f>'BALANCE SHEET'!G75/'BALANCE SHEET'!$G$39</f>
        <v>1.1673287337096662E-3</v>
      </c>
      <c r="H91" s="336">
        <f>'BALANCE SHEET'!H75/'BALANCE SHEET'!$H$39</f>
        <v>1.6694751295013419E-3</v>
      </c>
      <c r="I91" s="246"/>
      <c r="J91" s="49"/>
      <c r="K91" s="336" t="s">
        <v>122</v>
      </c>
      <c r="L91" s="336">
        <f>'BALANCE SHEET'!E75/'BALANCE SHEET'!D75-1</f>
        <v>-0.65333333333333332</v>
      </c>
      <c r="M91" s="336">
        <f>'BALANCE SHEET'!F75/'BALANCE SHEET'!E75-1</f>
        <v>0.13461538461538458</v>
      </c>
      <c r="N91" s="336">
        <f>'BALANCE SHEET'!G75/'BALANCE SHEET'!F75-1</f>
        <v>1.2711864406779663</v>
      </c>
      <c r="O91" s="336">
        <f>'BALANCE SHEET'!H75/'BALANCE SHEET'!G75-1</f>
        <v>0.59701492537313428</v>
      </c>
    </row>
    <row r="92" spans="2:15" ht="15" customHeight="1" x14ac:dyDescent="0.25">
      <c r="C92" s="53"/>
      <c r="D92" s="487"/>
      <c r="E92" s="487"/>
      <c r="F92" s="487"/>
      <c r="G92" s="487"/>
      <c r="H92" s="487"/>
      <c r="I92" s="246"/>
      <c r="J92" s="49"/>
      <c r="K92" s="487"/>
      <c r="L92" s="487"/>
      <c r="M92" s="487"/>
      <c r="N92" s="487"/>
      <c r="O92" s="487"/>
    </row>
    <row r="93" spans="2:15" ht="15" customHeight="1" x14ac:dyDescent="0.3">
      <c r="B93" s="483" t="s">
        <v>217</v>
      </c>
      <c r="C93" s="535" t="s">
        <v>113</v>
      </c>
      <c r="D93" s="488">
        <f>'BALANCE SHEET'!D77/'BALANCE SHEET'!$D$39</f>
        <v>0.66540558181136911</v>
      </c>
      <c r="E93" s="488">
        <f>'BALANCE SHEET'!E77/'BALANCE SHEET'!$E$39</f>
        <v>0.611466098686546</v>
      </c>
      <c r="F93" s="488">
        <f>'BALANCE SHEET'!F77/'BALANCE SHEET'!$F$39</f>
        <v>0.66369233133810934</v>
      </c>
      <c r="G93" s="488">
        <f>'BALANCE SHEET'!G77/'BALANCE SHEET'!$G$39</f>
        <v>0.65045473552163913</v>
      </c>
      <c r="H93" s="488">
        <f>'BALANCE SHEET'!H77/'BALANCE SHEET'!$H$39</f>
        <v>0.64421456656056919</v>
      </c>
      <c r="I93" s="246"/>
      <c r="J93" s="49"/>
      <c r="K93" s="488" t="s">
        <v>122</v>
      </c>
      <c r="L93" s="488">
        <f>'BALANCE SHEET'!E77/'BALANCE SHEET'!D77-1</f>
        <v>0.18898839258142441</v>
      </c>
      <c r="M93" s="488">
        <f>'BALANCE SHEET'!F77/'BALANCE SHEET'!E77-1</f>
        <v>0.1874875868917576</v>
      </c>
      <c r="N93" s="488">
        <f>'BALANCE SHEET'!G77/'BALANCE SHEET'!F77-1</f>
        <v>-3.9368559187926921E-2</v>
      </c>
      <c r="O93" s="488">
        <f>'BALANCE SHEET'!H77/'BALANCE SHEET'!G77-1</f>
        <v>0.10595041986419695</v>
      </c>
    </row>
    <row r="94" spans="2:15" ht="15" customHeight="1" x14ac:dyDescent="0.25">
      <c r="C94" s="53"/>
    </row>
    <row r="95" spans="2:15" ht="15" customHeight="1" x14ac:dyDescent="0.25">
      <c r="B95" s="30"/>
      <c r="C95" s="153"/>
      <c r="D95" s="30"/>
      <c r="E95" s="30"/>
      <c r="F95" s="30"/>
      <c r="G95" s="30"/>
      <c r="H95" s="30"/>
      <c r="I95" s="30"/>
      <c r="J95" s="30"/>
      <c r="K95" s="30"/>
      <c r="L95" s="30"/>
      <c r="M95" s="30"/>
      <c r="N95" s="30"/>
      <c r="O95" s="30"/>
    </row>
    <row r="96" spans="2:15"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048576" spans="12:12" x14ac:dyDescent="0.25">
      <c r="L1048576" s="175"/>
    </row>
  </sheetData>
  <mergeCells count="7">
    <mergeCell ref="B1:B3"/>
    <mergeCell ref="D1:H2"/>
    <mergeCell ref="B6:H7"/>
    <mergeCell ref="B23:H24"/>
    <mergeCell ref="K1:O2"/>
    <mergeCell ref="K6:O7"/>
    <mergeCell ref="K23:O24"/>
  </mergeCells>
  <printOptions horizontalCentered="1" verticalCentered="1"/>
  <pageMargins left="0" right="0" top="0" bottom="0" header="0" footer="0"/>
  <pageSetup scale="42" orientation="landscape"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61837-A7D4-4ED1-A62B-3DD7E3F303F6}">
  <sheetPr>
    <pageSetUpPr fitToPage="1"/>
  </sheetPr>
  <dimension ref="B1:O86"/>
  <sheetViews>
    <sheetView zoomScale="70" zoomScaleNormal="70" workbookViewId="0"/>
  </sheetViews>
  <sheetFormatPr defaultColWidth="15.77734375" defaultRowHeight="15" x14ac:dyDescent="0.25"/>
  <cols>
    <col min="1" max="1" width="2" style="29" customWidth="1"/>
    <col min="2" max="2" width="44.77734375" style="29" customWidth="1"/>
    <col min="3" max="3" width="8.88671875" style="29" customWidth="1"/>
    <col min="4" max="8" width="15.77734375" style="29"/>
    <col min="9" max="10" width="2" style="29" customWidth="1"/>
    <col min="11" max="16384" width="15.77734375" style="29"/>
  </cols>
  <sheetData>
    <row r="1" spans="2:15" ht="15" customHeight="1" x14ac:dyDescent="0.25">
      <c r="B1" s="974" t="s">
        <v>3336</v>
      </c>
      <c r="C1" s="30"/>
      <c r="D1" s="975" t="s">
        <v>252</v>
      </c>
      <c r="E1" s="975"/>
      <c r="F1" s="975"/>
      <c r="G1" s="975"/>
      <c r="H1" s="975"/>
      <c r="I1" s="1002">
        <v>2</v>
      </c>
      <c r="J1" s="1002"/>
      <c r="K1" s="975" t="s">
        <v>253</v>
      </c>
      <c r="L1" s="975"/>
      <c r="M1" s="975"/>
      <c r="N1" s="975"/>
      <c r="O1" s="975"/>
    </row>
    <row r="2" spans="2:15" ht="15" customHeight="1" x14ac:dyDescent="0.25">
      <c r="B2" s="974"/>
      <c r="C2" s="30"/>
      <c r="D2" s="975"/>
      <c r="E2" s="975"/>
      <c r="F2" s="975"/>
      <c r="G2" s="975"/>
      <c r="H2" s="975"/>
      <c r="I2" s="1002"/>
      <c r="J2" s="1002"/>
      <c r="K2" s="975"/>
      <c r="L2" s="975"/>
      <c r="M2" s="975"/>
      <c r="N2" s="975"/>
      <c r="O2" s="975"/>
    </row>
    <row r="3" spans="2:15" ht="24.6" customHeight="1" x14ac:dyDescent="0.4">
      <c r="B3" s="974"/>
      <c r="C3" s="34" t="s">
        <v>82</v>
      </c>
      <c r="D3" s="35" t="s">
        <v>83</v>
      </c>
      <c r="E3" s="35" t="s">
        <v>84</v>
      </c>
      <c r="F3" s="35" t="s">
        <v>85</v>
      </c>
      <c r="G3" s="35" t="s">
        <v>86</v>
      </c>
      <c r="H3" s="35" t="s">
        <v>87</v>
      </c>
      <c r="I3" s="30"/>
      <c r="J3" s="30"/>
      <c r="K3" s="35" t="s">
        <v>88</v>
      </c>
      <c r="L3" s="35" t="s">
        <v>89</v>
      </c>
      <c r="M3" s="35" t="s">
        <v>90</v>
      </c>
      <c r="N3" s="35" t="s">
        <v>91</v>
      </c>
      <c r="O3" s="35" t="s">
        <v>92</v>
      </c>
    </row>
    <row r="4" spans="2:15" ht="28.2" x14ac:dyDescent="0.5">
      <c r="B4" s="38" t="s">
        <v>121</v>
      </c>
      <c r="C4" s="33"/>
      <c r="D4" s="36">
        <v>44276</v>
      </c>
      <c r="E4" s="36">
        <f>EDATE(D4,12)</f>
        <v>44641</v>
      </c>
      <c r="F4" s="36">
        <f t="shared" ref="F4:H4" si="0">EDATE(E4,12)</f>
        <v>45006</v>
      </c>
      <c r="G4" s="36">
        <f t="shared" si="0"/>
        <v>45372</v>
      </c>
      <c r="H4" s="36">
        <f t="shared" si="0"/>
        <v>45737</v>
      </c>
      <c r="K4" s="36">
        <v>44276</v>
      </c>
      <c r="L4" s="36">
        <f>EDATE(K4,12)</f>
        <v>44641</v>
      </c>
      <c r="M4" s="36">
        <f t="shared" ref="M4:O4" si="1">EDATE(L4,12)</f>
        <v>45006</v>
      </c>
      <c r="N4" s="36">
        <f t="shared" si="1"/>
        <v>45372</v>
      </c>
      <c r="O4" s="36">
        <f t="shared" si="1"/>
        <v>45737</v>
      </c>
    </row>
    <row r="6" spans="2:15" ht="15.6" x14ac:dyDescent="0.3">
      <c r="B6" s="991" t="s">
        <v>254</v>
      </c>
      <c r="C6" s="991"/>
      <c r="D6" s="999" t="s">
        <v>95</v>
      </c>
      <c r="E6" s="1000"/>
      <c r="F6" s="1000"/>
      <c r="G6" s="1000"/>
      <c r="H6" s="1001"/>
      <c r="I6" s="181"/>
      <c r="K6" s="999" t="s">
        <v>95</v>
      </c>
      <c r="L6" s="1000"/>
      <c r="M6" s="1000"/>
      <c r="N6" s="1000"/>
      <c r="O6" s="1001"/>
    </row>
    <row r="7" spans="2:15" ht="15" customHeight="1" x14ac:dyDescent="0.25">
      <c r="B7" s="993" t="s">
        <v>3365</v>
      </c>
      <c r="C7" s="993"/>
      <c r="D7" s="467">
        <f>'PROFIT &amp; LOSS'!D6</f>
        <v>62243</v>
      </c>
      <c r="E7" s="575">
        <f>'PROFIT &amp; LOSS'!E6</f>
        <v>79529</v>
      </c>
      <c r="F7" s="575">
        <f>'PROFIT &amp; LOSS'!F6</f>
        <v>90935</v>
      </c>
      <c r="G7" s="575">
        <f>'PROFIT &amp; LOSS'!G6</f>
        <v>89794</v>
      </c>
      <c r="H7" s="576">
        <f>'PROFIT &amp; LOSS'!H6</f>
        <v>89088</v>
      </c>
      <c r="I7" s="181"/>
      <c r="K7" s="467">
        <f>CHOOSE($I$1,'P &amp; L ASSUMPTIONS'!K6,'P &amp; L ASSUMPTIONS'!R6,'P &amp; L ASSUMPTIONS'!Y6)</f>
        <v>92275.319999999992</v>
      </c>
      <c r="L7" s="575">
        <f>CHOOSE($I$1,'P &amp; L ASSUMPTIONS'!L6,'P &amp; L ASSUMPTIONS'!S6,'P &amp; L ASSUMPTIONS'!Z6)</f>
        <v>91597.258799999996</v>
      </c>
      <c r="M7" s="575">
        <f>CHOOSE($I$1,'P &amp; L ASSUMPTIONS'!M6,'P &amp; L ASSUMPTIONS'!T6,'P &amp; L ASSUMPTIONS'!AA6)</f>
        <v>92684.515788000004</v>
      </c>
      <c r="N7" s="575">
        <f>CHOOSE($I$1,'P &amp; L ASSUMPTIONS'!N6,'P &amp; L ASSUMPTIONS'!U6,'P &amp; L ASSUMPTIONS'!AB6)</f>
        <v>93791.209565879995</v>
      </c>
      <c r="O7" s="576">
        <f>CHOOSE($I$1,'P &amp; L ASSUMPTIONS'!O6,'P &amp; L ASSUMPTIONS'!V6,'P &amp; L ASSUMPTIONS'!AC6)</f>
        <v>95808.664545447609</v>
      </c>
    </row>
    <row r="8" spans="2:15" x14ac:dyDescent="0.25">
      <c r="B8" s="993"/>
      <c r="C8" s="994"/>
      <c r="I8" s="181"/>
    </row>
    <row r="9" spans="2:15" x14ac:dyDescent="0.25">
      <c r="B9" s="993"/>
      <c r="C9" s="994"/>
      <c r="I9" s="181"/>
    </row>
    <row r="10" spans="2:15" x14ac:dyDescent="0.25">
      <c r="B10" s="183"/>
      <c r="C10" s="184"/>
      <c r="I10" s="181"/>
    </row>
    <row r="11" spans="2:15" ht="15.6" x14ac:dyDescent="0.3">
      <c r="B11" s="997" t="s">
        <v>255</v>
      </c>
      <c r="C11" s="998"/>
      <c r="I11" s="181"/>
    </row>
    <row r="12" spans="2:15" x14ac:dyDescent="0.25">
      <c r="B12" s="993" t="s">
        <v>3366</v>
      </c>
      <c r="C12" s="994"/>
      <c r="I12" s="181"/>
    </row>
    <row r="13" spans="2:15" x14ac:dyDescent="0.25">
      <c r="B13" s="993"/>
      <c r="C13" s="994"/>
      <c r="I13" s="181"/>
    </row>
    <row r="14" spans="2:15" x14ac:dyDescent="0.25">
      <c r="B14" s="160"/>
      <c r="C14" s="182"/>
      <c r="I14" s="181"/>
    </row>
    <row r="15" spans="2:15" ht="15.6" x14ac:dyDescent="0.3">
      <c r="B15" s="991" t="s">
        <v>128</v>
      </c>
      <c r="C15" s="992"/>
      <c r="I15" s="181"/>
    </row>
    <row r="16" spans="2:15" x14ac:dyDescent="0.25">
      <c r="B16" s="993" t="s">
        <v>3367</v>
      </c>
      <c r="C16" s="994"/>
      <c r="I16" s="181"/>
    </row>
    <row r="17" spans="2:15" x14ac:dyDescent="0.25">
      <c r="B17" s="993"/>
      <c r="C17" s="994"/>
      <c r="I17" s="181"/>
    </row>
    <row r="18" spans="2:15" x14ac:dyDescent="0.25">
      <c r="B18" s="160"/>
      <c r="C18" s="182"/>
      <c r="I18" s="181"/>
    </row>
    <row r="19" spans="2:15" ht="15.6" x14ac:dyDescent="0.3">
      <c r="B19" s="991" t="s">
        <v>129</v>
      </c>
      <c r="C19" s="992"/>
      <c r="I19" s="181"/>
    </row>
    <row r="20" spans="2:15" x14ac:dyDescent="0.25">
      <c r="B20" s="995" t="s">
        <v>256</v>
      </c>
      <c r="C20" s="996"/>
      <c r="I20" s="181"/>
    </row>
    <row r="21" spans="2:15" x14ac:dyDescent="0.25">
      <c r="C21" s="181"/>
      <c r="I21" s="181"/>
    </row>
    <row r="22" spans="2:15" ht="15.6" x14ac:dyDescent="0.3">
      <c r="B22" s="991" t="s">
        <v>254</v>
      </c>
      <c r="C22" s="991"/>
      <c r="D22" s="999" t="s">
        <v>98</v>
      </c>
      <c r="E22" s="1000"/>
      <c r="F22" s="1000"/>
      <c r="G22" s="1000"/>
      <c r="H22" s="1001"/>
      <c r="I22" s="181"/>
      <c r="K22" s="999" t="s">
        <v>98</v>
      </c>
      <c r="L22" s="1000"/>
      <c r="M22" s="1000"/>
      <c r="N22" s="1000"/>
      <c r="O22" s="1001"/>
    </row>
    <row r="23" spans="2:15" ht="15" customHeight="1" x14ac:dyDescent="0.25">
      <c r="B23" s="993" t="s">
        <v>3368</v>
      </c>
      <c r="C23" s="993"/>
      <c r="D23" s="467">
        <f>'PROFIT &amp; LOSS'!D15</f>
        <v>20274</v>
      </c>
      <c r="E23" s="575">
        <f>'PROFIT &amp; LOSS'!E15</f>
        <v>22518</v>
      </c>
      <c r="F23" s="575">
        <f>'PROFIT &amp; LOSS'!F15</f>
        <v>25899</v>
      </c>
      <c r="G23" s="575">
        <f>'PROFIT &amp; LOSS'!G15</f>
        <v>25325</v>
      </c>
      <c r="H23" s="576">
        <f>'PROFIT &amp; LOSS'!H15</f>
        <v>27685</v>
      </c>
      <c r="I23" s="181"/>
      <c r="K23" s="467">
        <f>CHOOSE($I$1,'P &amp; L ASSUMPTIONS'!K6-'P &amp; L ASSUMPTIONS'!K56,'P &amp; L ASSUMPTIONS'!R6-'P &amp; L ASSUMPTIONS'!R56,'P &amp; L ASSUMPTIONS'!Y6-'P &amp; L ASSUMPTIONS'!Y56)</f>
        <v>28773.393599999996</v>
      </c>
      <c r="L23" s="575">
        <f>CHOOSE($I$1,'P &amp; L ASSUMPTIONS'!L6-'P &amp; L ASSUMPTIONS'!L56,'P &amp; L ASSUMPTIONS'!S6-'P &amp; L ASSUMPTIONS'!S56,'P &amp; L ASSUMPTIONS'!Z6-'P &amp; L ASSUMPTIONS'!Z56)</f>
        <v>28730.351664000002</v>
      </c>
      <c r="M23" s="575">
        <f>CHOOSE($I$1,'P &amp; L ASSUMPTIONS'!M6-'P &amp; L ASSUMPTIONS'!M56,'P &amp; L ASSUMPTIONS'!T6-'P &amp; L ASSUMPTIONS'!T56,'P &amp; L ASSUMPTIONS'!AA6-'P &amp; L ASSUMPTIONS'!AA56)</f>
        <v>29188.939580640006</v>
      </c>
      <c r="N23" s="575">
        <f>CHOOSE($I$1,'P &amp; L ASSUMPTIONS'!N6-'P &amp; L ASSUMPTIONS'!N56,'P &amp; L ASSUMPTIONS'!U6-'P &amp; L ASSUMPTIONS'!U56,'P &amp; L ASSUMPTIONS'!AB6-'P &amp; L ASSUMPTIONS'!AB56)</f>
        <v>29660.677596446396</v>
      </c>
      <c r="O23" s="576">
        <f>CHOOSE($I$1,'P &amp; L ASSUMPTIONS'!O6-'P &amp; L ASSUMPTIONS'!O56,'P &amp; L ASSUMPTIONS'!V6-'P &amp; L ASSUMPTIONS'!V56,'P &amp; L ASSUMPTIONS'!AC6-'P &amp; L ASSUMPTIONS'!AC56)</f>
        <v>30395.521936625337</v>
      </c>
    </row>
    <row r="24" spans="2:15" x14ac:dyDescent="0.25">
      <c r="B24" s="993"/>
      <c r="C24" s="994"/>
      <c r="I24" s="181"/>
    </row>
    <row r="25" spans="2:15" x14ac:dyDescent="0.25">
      <c r="B25" s="993"/>
      <c r="C25" s="994"/>
      <c r="I25" s="181"/>
    </row>
    <row r="26" spans="2:15" x14ac:dyDescent="0.25">
      <c r="B26" s="160"/>
      <c r="C26" s="182"/>
      <c r="I26" s="181"/>
    </row>
    <row r="27" spans="2:15" ht="15.6" x14ac:dyDescent="0.3">
      <c r="B27" s="991" t="s">
        <v>127</v>
      </c>
      <c r="C27" s="992"/>
      <c r="I27" s="181"/>
    </row>
    <row r="28" spans="2:15" x14ac:dyDescent="0.25">
      <c r="B28" s="993" t="s">
        <v>3369</v>
      </c>
      <c r="C28" s="994"/>
      <c r="I28" s="181"/>
    </row>
    <row r="29" spans="2:15" x14ac:dyDescent="0.25">
      <c r="B29" s="993"/>
      <c r="C29" s="994"/>
      <c r="I29" s="181"/>
    </row>
    <row r="30" spans="2:15" x14ac:dyDescent="0.25">
      <c r="B30" s="160"/>
      <c r="C30" s="182"/>
      <c r="I30" s="181"/>
    </row>
    <row r="31" spans="2:15" ht="15.6" x14ac:dyDescent="0.3">
      <c r="B31" s="991" t="s">
        <v>128</v>
      </c>
      <c r="C31" s="992"/>
      <c r="I31" s="181"/>
    </row>
    <row r="32" spans="2:15" x14ac:dyDescent="0.25">
      <c r="B32" s="993" t="s">
        <v>3370</v>
      </c>
      <c r="C32" s="994"/>
      <c r="I32" s="181"/>
    </row>
    <row r="33" spans="2:15" x14ac:dyDescent="0.25">
      <c r="B33" s="993"/>
      <c r="C33" s="994"/>
      <c r="I33" s="181"/>
    </row>
    <row r="34" spans="2:15" x14ac:dyDescent="0.25">
      <c r="B34" s="160"/>
      <c r="C34" s="182"/>
      <c r="I34" s="181"/>
    </row>
    <row r="35" spans="2:15" ht="15.6" x14ac:dyDescent="0.3">
      <c r="B35" s="991" t="s">
        <v>129</v>
      </c>
      <c r="C35" s="992"/>
      <c r="I35" s="181"/>
    </row>
    <row r="36" spans="2:15" x14ac:dyDescent="0.25">
      <c r="B36" s="995" t="s">
        <v>257</v>
      </c>
      <c r="C36" s="996"/>
      <c r="I36" s="181"/>
    </row>
    <row r="37" spans="2:15" x14ac:dyDescent="0.25">
      <c r="C37" s="181"/>
      <c r="I37" s="181"/>
    </row>
    <row r="38" spans="2:15" ht="15.6" x14ac:dyDescent="0.3">
      <c r="B38" s="991" t="s">
        <v>254</v>
      </c>
      <c r="C38" s="991"/>
      <c r="D38" s="999" t="s">
        <v>100</v>
      </c>
      <c r="E38" s="1000"/>
      <c r="F38" s="1000"/>
      <c r="G38" s="1000"/>
      <c r="H38" s="1001"/>
      <c r="I38" s="181"/>
      <c r="K38" s="999" t="s">
        <v>100</v>
      </c>
      <c r="L38" s="1000"/>
      <c r="M38" s="1000"/>
      <c r="N38" s="1000"/>
      <c r="O38" s="1001"/>
    </row>
    <row r="39" spans="2:15" ht="15" customHeight="1" x14ac:dyDescent="0.25">
      <c r="B39" s="993" t="s">
        <v>3371</v>
      </c>
      <c r="C39" s="993"/>
      <c r="D39" s="467">
        <f>'PROFIT &amp; LOSS'!D21</f>
        <v>17462</v>
      </c>
      <c r="E39" s="575">
        <f>'PROFIT &amp; LOSS'!E21</f>
        <v>17594</v>
      </c>
      <c r="F39" s="575">
        <f>'PROFIT &amp; LOSS'!F21</f>
        <v>19620</v>
      </c>
      <c r="G39" s="575">
        <f>'PROFIT &amp; LOSS'!G21</f>
        <v>19439</v>
      </c>
      <c r="H39" s="576">
        <f>'PROFIT &amp; LOSS'!H21</f>
        <v>21904</v>
      </c>
      <c r="I39" s="181"/>
      <c r="K39" s="467">
        <f>CHOOSE($I$1,'P &amp; L ASSUMPTIONS'!K6-'P &amp; L ASSUMPTIONS'!K56-'P &amp; L ASSUMPTIONS'!K60,'P &amp; L ASSUMPTIONS'!R6-'P &amp; L ASSUMPTIONS'!R56-'P &amp; L ASSUMPTIONS'!R60,'P &amp; L ASSUMPTIONS'!Y6-'P &amp; L ASSUMPTIONS'!Y56-'P &amp; L ASSUMPTIONS'!Y60)</f>
        <v>22960.048439999995</v>
      </c>
      <c r="L39" s="575">
        <f>CHOOSE($I$1,'P &amp; L ASSUMPTIONS'!L6-'P &amp; L ASSUMPTIONS'!L56-'P &amp; L ASSUMPTIONS'!L60,'P &amp; L ASSUMPTIONS'!S6-'P &amp; L ASSUMPTIONS'!S56-'P &amp; L ASSUMPTIONS'!S60,'P &amp; L ASSUMPTIONS'!Z6-'P &amp; L ASSUMPTIONS'!Z56-'P &amp; L ASSUMPTIONS'!Z60)</f>
        <v>22959.724359600001</v>
      </c>
      <c r="M39" s="575">
        <f>CHOOSE($I$1,'P &amp; L ASSUMPTIONS'!M6-'P &amp; L ASSUMPTIONS'!M56-'P &amp; L ASSUMPTIONS'!M60,'P &amp; L ASSUMPTIONS'!T6-'P &amp; L ASSUMPTIONS'!T56-'P &amp; L ASSUMPTIONS'!T60,'P &amp; L ASSUMPTIONS'!AA6-'P &amp; L ASSUMPTIONS'!AA56-'P &amp; L ASSUMPTIONS'!AA60)</f>
        <v>23349.815085996008</v>
      </c>
      <c r="N39" s="575">
        <f>CHOOSE($I$1,'P &amp; L ASSUMPTIONS'!N6-'P &amp; L ASSUMPTIONS'!N56-'P &amp; L ASSUMPTIONS'!N60,'P &amp; L ASSUMPTIONS'!U6-'P &amp; L ASSUMPTIONS'!U56-'P &amp; L ASSUMPTIONS'!U60,'P &amp; L ASSUMPTIONS'!AB6-'P &amp; L ASSUMPTIONS'!AB56-'P &amp; L ASSUMPTIONS'!AB60)</f>
        <v>23751.831393795957</v>
      </c>
      <c r="O39" s="576">
        <f>CHOOSE($I$1,'P &amp; L ASSUMPTIONS'!O6-'P &amp; L ASSUMPTIONS'!O56-'P &amp; L ASSUMPTIONS'!O60,'P &amp; L ASSUMPTIONS'!V6-'P &amp; L ASSUMPTIONS'!V56-'P &amp; L ASSUMPTIONS'!V60,'P &amp; L ASSUMPTIONS'!AC6-'P &amp; L ASSUMPTIONS'!AC56-'P &amp; L ASSUMPTIONS'!AC60)</f>
        <v>24359.576070262137</v>
      </c>
    </row>
    <row r="40" spans="2:15" x14ac:dyDescent="0.25">
      <c r="B40" s="993"/>
      <c r="C40" s="994"/>
      <c r="I40" s="181"/>
    </row>
    <row r="41" spans="2:15" x14ac:dyDescent="0.25">
      <c r="B41" s="183"/>
      <c r="C41" s="184"/>
      <c r="I41" s="181"/>
    </row>
    <row r="42" spans="2:15" ht="15.6" x14ac:dyDescent="0.3">
      <c r="B42" s="991" t="s">
        <v>127</v>
      </c>
      <c r="C42" s="992"/>
      <c r="I42" s="181"/>
    </row>
    <row r="43" spans="2:15" ht="15.6" customHeight="1" x14ac:dyDescent="0.25">
      <c r="B43" s="993" t="s">
        <v>3372</v>
      </c>
      <c r="C43" s="994"/>
      <c r="I43" s="181"/>
    </row>
    <row r="44" spans="2:15" ht="15" customHeight="1" x14ac:dyDescent="0.25">
      <c r="B44" s="993"/>
      <c r="C44" s="994"/>
      <c r="I44" s="181"/>
    </row>
    <row r="45" spans="2:15" x14ac:dyDescent="0.25">
      <c r="B45" s="993"/>
      <c r="C45" s="994"/>
      <c r="I45" s="181"/>
    </row>
    <row r="46" spans="2:15" x14ac:dyDescent="0.25">
      <c r="B46" s="160"/>
      <c r="C46" s="182"/>
      <c r="I46" s="181"/>
    </row>
    <row r="47" spans="2:15" ht="15.6" x14ac:dyDescent="0.3">
      <c r="B47" s="991" t="s">
        <v>128</v>
      </c>
      <c r="C47" s="992"/>
      <c r="I47" s="181"/>
    </row>
    <row r="48" spans="2:15" x14ac:dyDescent="0.25">
      <c r="B48" s="993" t="s">
        <v>3373</v>
      </c>
      <c r="C48" s="994"/>
      <c r="I48" s="181"/>
    </row>
    <row r="49" spans="2:15" x14ac:dyDescent="0.25">
      <c r="B49" s="993"/>
      <c r="C49" s="994"/>
      <c r="I49" s="181"/>
    </row>
    <row r="50" spans="2:15" x14ac:dyDescent="0.25">
      <c r="B50" s="160"/>
      <c r="C50" s="182"/>
      <c r="I50" s="181"/>
    </row>
    <row r="51" spans="2:15" ht="15.6" x14ac:dyDescent="0.3">
      <c r="B51" s="991" t="s">
        <v>129</v>
      </c>
      <c r="C51" s="992"/>
      <c r="I51" s="181"/>
    </row>
    <row r="52" spans="2:15" x14ac:dyDescent="0.25">
      <c r="B52" s="995" t="s">
        <v>258</v>
      </c>
      <c r="C52" s="996"/>
      <c r="I52" s="181"/>
    </row>
    <row r="53" spans="2:15" x14ac:dyDescent="0.25">
      <c r="C53" s="181"/>
      <c r="I53" s="181"/>
    </row>
    <row r="54" spans="2:15" ht="15.6" x14ac:dyDescent="0.3">
      <c r="B54" s="991" t="s">
        <v>254</v>
      </c>
      <c r="C54" s="991"/>
      <c r="D54" s="999" t="s">
        <v>106</v>
      </c>
      <c r="E54" s="1000"/>
      <c r="F54" s="1000"/>
      <c r="G54" s="1000"/>
      <c r="H54" s="1001"/>
      <c r="I54" s="181"/>
      <c r="K54" s="999" t="s">
        <v>106</v>
      </c>
      <c r="L54" s="1000"/>
      <c r="M54" s="1000"/>
      <c r="N54" s="1000"/>
      <c r="O54" s="1001"/>
    </row>
    <row r="55" spans="2:15" x14ac:dyDescent="0.25">
      <c r="B55" s="993" t="s">
        <v>3374</v>
      </c>
      <c r="C55" s="993"/>
      <c r="D55" s="467">
        <f>'PROFIT &amp; LOSS'!D38</f>
        <v>11155</v>
      </c>
      <c r="E55" s="575">
        <f>'PROFIT &amp; LOSS'!E38</f>
        <v>11084</v>
      </c>
      <c r="F55" s="575">
        <f>'PROFIT &amp; LOSS'!F38</f>
        <v>11804</v>
      </c>
      <c r="G55" s="575">
        <f>'PROFIT &amp; LOSS'!G38</f>
        <v>11168</v>
      </c>
      <c r="H55" s="576">
        <f>'PROFIT &amp; LOSS'!H38</f>
        <v>13191</v>
      </c>
      <c r="I55" s="181"/>
      <c r="K55" s="467">
        <f>CHOOSE($I$1,'P &amp; L ASSUMPTIONS'!K96-'P &amp; L ASSUMPTIONS'!K99,'P &amp; L ASSUMPTIONS'!R96-'P &amp; L ASSUMPTIONS'!R99,'P &amp; L ASSUMPTIONS'!Y96-'P &amp; L ASSUMPTIONS'!Y99)</f>
        <v>13528.787694399998</v>
      </c>
      <c r="L55" s="575">
        <f>CHOOSE($I$1,'P &amp; L ASSUMPTIONS'!L96-'P &amp; L ASSUMPTIONS'!L99,'P &amp; L ASSUMPTIONS'!S96-'P &amp; L ASSUMPTIONS'!S99,'P &amp; L ASSUMPTIONS'!Z96-'P &amp; L ASSUMPTIONS'!Z99)</f>
        <v>13475.565991560319</v>
      </c>
      <c r="M55" s="575">
        <f>CHOOSE($I$1,'P &amp; L ASSUMPTIONS'!M96-'P &amp; L ASSUMPTIONS'!M99,'P &amp; L ASSUMPTIONS'!T96-'P &amp; L ASSUMPTIONS'!T99,'P &amp; L ASSUMPTIONS'!AA96-'P &amp; L ASSUMPTIONS'!AA99)</f>
        <v>13723.460849747315</v>
      </c>
      <c r="N55" s="575">
        <f>CHOOSE($I$1,'P &amp; L ASSUMPTIONS'!N96-'P &amp; L ASSUMPTIONS'!N99,'P &amp; L ASSUMPTIONS'!U96-'P &amp; L ASSUMPTIONS'!U99,'P &amp; L ASSUMPTIONS'!AB96-'P &amp; L ASSUMPTIONS'!AB99)</f>
        <v>13977.569173076128</v>
      </c>
      <c r="O55" s="576">
        <f>CHOOSE($I$1,'P &amp; L ASSUMPTIONS'!O96-'P &amp; L ASSUMPTIONS'!O99,'P &amp; L ASSUMPTIONS'!V96-'P &amp; L ASSUMPTIONS'!V99,'P &amp; L ASSUMPTIONS'!AC96-'P &amp; L ASSUMPTIONS'!AC99)</f>
        <v>14385.227611511244</v>
      </c>
    </row>
    <row r="56" spans="2:15" x14ac:dyDescent="0.25">
      <c r="B56" s="993"/>
      <c r="C56" s="994"/>
      <c r="I56" s="181"/>
    </row>
    <row r="57" spans="2:15" x14ac:dyDescent="0.25">
      <c r="B57" s="993"/>
      <c r="C57" s="994"/>
      <c r="I57" s="181"/>
    </row>
    <row r="58" spans="2:15" x14ac:dyDescent="0.25">
      <c r="B58" s="160"/>
      <c r="C58" s="182"/>
      <c r="I58" s="181"/>
    </row>
    <row r="59" spans="2:15" ht="15.6" x14ac:dyDescent="0.3">
      <c r="B59" s="991" t="s">
        <v>127</v>
      </c>
      <c r="C59" s="992"/>
      <c r="I59" s="181"/>
    </row>
    <row r="60" spans="2:15" x14ac:dyDescent="0.25">
      <c r="B60" s="993" t="s">
        <v>3376</v>
      </c>
      <c r="C60" s="994"/>
      <c r="I60" s="181"/>
    </row>
    <row r="61" spans="2:15" x14ac:dyDescent="0.25">
      <c r="B61" s="993"/>
      <c r="C61" s="994"/>
      <c r="I61" s="181"/>
    </row>
    <row r="62" spans="2:15" x14ac:dyDescent="0.25">
      <c r="B62" s="160"/>
      <c r="C62" s="182"/>
      <c r="I62" s="181"/>
    </row>
    <row r="63" spans="2:15" ht="15.6" x14ac:dyDescent="0.3">
      <c r="B63" s="991" t="s">
        <v>128</v>
      </c>
      <c r="C63" s="992"/>
      <c r="I63" s="181"/>
    </row>
    <row r="64" spans="2:15" x14ac:dyDescent="0.25">
      <c r="B64" s="993" t="s">
        <v>3375</v>
      </c>
      <c r="C64" s="994"/>
      <c r="I64" s="181"/>
    </row>
    <row r="65" spans="2:15" x14ac:dyDescent="0.25">
      <c r="B65" s="993"/>
      <c r="C65" s="994"/>
      <c r="I65" s="181"/>
    </row>
    <row r="66" spans="2:15" x14ac:dyDescent="0.25">
      <c r="B66" s="160"/>
      <c r="C66" s="182"/>
      <c r="I66" s="181"/>
    </row>
    <row r="67" spans="2:15" ht="15.6" x14ac:dyDescent="0.3">
      <c r="B67" s="991" t="s">
        <v>129</v>
      </c>
      <c r="C67" s="992"/>
      <c r="I67" s="181"/>
    </row>
    <row r="68" spans="2:15" x14ac:dyDescent="0.25">
      <c r="B68" s="995" t="s">
        <v>259</v>
      </c>
      <c r="C68" s="996"/>
      <c r="I68" s="181"/>
    </row>
    <row r="69" spans="2:15" x14ac:dyDescent="0.25">
      <c r="C69" s="181"/>
      <c r="I69" s="181"/>
    </row>
    <row r="70" spans="2:15" ht="15.6" x14ac:dyDescent="0.3">
      <c r="B70" s="991" t="s">
        <v>254</v>
      </c>
      <c r="C70" s="991"/>
      <c r="D70" s="999" t="s">
        <v>80</v>
      </c>
      <c r="E70" s="1000"/>
      <c r="F70" s="1000"/>
      <c r="G70" s="1000"/>
      <c r="H70" s="1001"/>
      <c r="I70" s="181"/>
      <c r="K70" s="999" t="s">
        <v>80</v>
      </c>
      <c r="L70" s="1000"/>
      <c r="M70" s="1000"/>
      <c r="N70" s="1000"/>
      <c r="O70" s="1001"/>
    </row>
    <row r="71" spans="2:15" ht="15" customHeight="1" x14ac:dyDescent="0.25">
      <c r="B71" s="993" t="s">
        <v>3377</v>
      </c>
      <c r="C71" s="994"/>
      <c r="D71" s="467">
        <f>'CASH FLOW STATEMENT'!D57</f>
        <v>0</v>
      </c>
      <c r="E71" s="575">
        <f>'CASH FLOW STATEMENT'!E57</f>
        <v>12813</v>
      </c>
      <c r="F71" s="575">
        <f>'CASH FLOW STATEMENT'!F57</f>
        <v>-7232</v>
      </c>
      <c r="G71" s="575">
        <f>'CASH FLOW STATEMENT'!G57</f>
        <v>11083</v>
      </c>
      <c r="H71" s="576">
        <f>'CASH FLOW STATEMENT'!H57</f>
        <v>2471</v>
      </c>
      <c r="I71" s="181"/>
      <c r="K71" s="467">
        <f>CHOOSE($I$1,'CASH FLOW ASSUMPTION'!D57,'CASH FLOW ASSUMPTION'!K57,'CASH FLOW ASSUMPTION'!R57)</f>
        <v>6915.3439678001432</v>
      </c>
      <c r="L71" s="575">
        <f>CHOOSE($I$1,'CASH FLOW ASSUMPTION'!E57,'CASH FLOW ASSUMPTION'!L57,'CASH FLOW ASSUMPTION'!S57)</f>
        <v>9280.0215131797195</v>
      </c>
      <c r="M71" s="575">
        <f>CHOOSE($I$1,'CASH FLOW ASSUMPTION'!F57,'CASH FLOW ASSUMPTION'!M57,'CASH FLOW ASSUMPTION'!T57)</f>
        <v>8527.8034018853159</v>
      </c>
      <c r="N71" s="575">
        <f>CHOOSE($I$1,'CASH FLOW ASSUMPTION'!G57,'CASH FLOW ASSUMPTION'!N57,'CASH FLOW ASSUMPTION'!U57)</f>
        <v>6407.3840069051621</v>
      </c>
      <c r="O71" s="576">
        <f>CHOOSE($I$1,'CASH FLOW ASSUMPTION'!H57,'CASH FLOW ASSUMPTION'!O57,'CASH FLOW ASSUMPTION'!V57)</f>
        <v>7450.0145024197227</v>
      </c>
    </row>
    <row r="72" spans="2:15" x14ac:dyDescent="0.25">
      <c r="B72" s="993"/>
      <c r="C72" s="994"/>
      <c r="I72" s="181"/>
    </row>
    <row r="73" spans="2:15" x14ac:dyDescent="0.25">
      <c r="B73" s="183"/>
      <c r="C73" s="184"/>
      <c r="I73" s="181"/>
    </row>
    <row r="74" spans="2:15" ht="15.6" x14ac:dyDescent="0.3">
      <c r="B74" s="991" t="s">
        <v>127</v>
      </c>
      <c r="C74" s="992"/>
      <c r="I74" s="181"/>
    </row>
    <row r="75" spans="2:15" x14ac:dyDescent="0.25">
      <c r="B75" s="993" t="s">
        <v>3378</v>
      </c>
      <c r="C75" s="994"/>
      <c r="I75" s="181"/>
    </row>
    <row r="76" spans="2:15" x14ac:dyDescent="0.25">
      <c r="B76" s="993"/>
      <c r="C76" s="994"/>
      <c r="I76" s="181"/>
    </row>
    <row r="77" spans="2:15" x14ac:dyDescent="0.25">
      <c r="B77" s="993"/>
      <c r="C77" s="994"/>
      <c r="I77" s="181"/>
    </row>
    <row r="78" spans="2:15" x14ac:dyDescent="0.25">
      <c r="B78" s="160"/>
      <c r="C78" s="182"/>
      <c r="I78" s="181"/>
    </row>
    <row r="79" spans="2:15" ht="15.6" x14ac:dyDescent="0.3">
      <c r="B79" s="991" t="s">
        <v>128</v>
      </c>
      <c r="C79" s="992"/>
      <c r="I79" s="181"/>
    </row>
    <row r="80" spans="2:15" x14ac:dyDescent="0.25">
      <c r="B80" s="993" t="s">
        <v>3380</v>
      </c>
      <c r="C80" s="994"/>
      <c r="I80" s="181"/>
    </row>
    <row r="81" spans="2:15" x14ac:dyDescent="0.25">
      <c r="B81" s="993"/>
      <c r="C81" s="994"/>
      <c r="I81" s="181"/>
    </row>
    <row r="82" spans="2:15" x14ac:dyDescent="0.25">
      <c r="B82" s="160"/>
      <c r="C82" s="182"/>
      <c r="I82" s="181"/>
    </row>
    <row r="83" spans="2:15" ht="15.6" x14ac:dyDescent="0.3">
      <c r="B83" s="991" t="s">
        <v>129</v>
      </c>
      <c r="C83" s="992"/>
      <c r="I83" s="181"/>
    </row>
    <row r="84" spans="2:15" x14ac:dyDescent="0.25">
      <c r="B84" s="995" t="s">
        <v>3379</v>
      </c>
      <c r="C84" s="996"/>
      <c r="I84" s="181"/>
    </row>
    <row r="86" spans="2:15" x14ac:dyDescent="0.25">
      <c r="B86" s="30"/>
      <c r="C86" s="30"/>
      <c r="D86" s="30"/>
      <c r="E86" s="30"/>
      <c r="F86" s="30"/>
      <c r="G86" s="30"/>
      <c r="H86" s="30"/>
      <c r="I86" s="30"/>
      <c r="J86" s="30"/>
      <c r="K86" s="30"/>
      <c r="L86" s="30"/>
      <c r="M86" s="30"/>
      <c r="N86" s="30"/>
      <c r="O86" s="30"/>
    </row>
  </sheetData>
  <mergeCells count="54">
    <mergeCell ref="B1:B3"/>
    <mergeCell ref="D1:H2"/>
    <mergeCell ref="K1:O2"/>
    <mergeCell ref="D6:H6"/>
    <mergeCell ref="K6:O6"/>
    <mergeCell ref="I1:J2"/>
    <mergeCell ref="B6:C6"/>
    <mergeCell ref="K70:O70"/>
    <mergeCell ref="D22:H22"/>
    <mergeCell ref="K22:O22"/>
    <mergeCell ref="D38:H38"/>
    <mergeCell ref="K38:O38"/>
    <mergeCell ref="D54:H54"/>
    <mergeCell ref="K54:O54"/>
    <mergeCell ref="B7:C9"/>
    <mergeCell ref="B11:C11"/>
    <mergeCell ref="B12:C13"/>
    <mergeCell ref="B15:C15"/>
    <mergeCell ref="D70:H70"/>
    <mergeCell ref="B16:C17"/>
    <mergeCell ref="B20:C20"/>
    <mergeCell ref="B19:C19"/>
    <mergeCell ref="B22:C22"/>
    <mergeCell ref="B23:C25"/>
    <mergeCell ref="B36:C36"/>
    <mergeCell ref="B38:C38"/>
    <mergeCell ref="B27:C27"/>
    <mergeCell ref="B28:C29"/>
    <mergeCell ref="B31:C31"/>
    <mergeCell ref="B32:C33"/>
    <mergeCell ref="B35:C35"/>
    <mergeCell ref="B47:C47"/>
    <mergeCell ref="B48:C49"/>
    <mergeCell ref="B39:C40"/>
    <mergeCell ref="B42:C42"/>
    <mergeCell ref="B43:C45"/>
    <mergeCell ref="B51:C51"/>
    <mergeCell ref="B52:C52"/>
    <mergeCell ref="B54:C54"/>
    <mergeCell ref="B55:C57"/>
    <mergeCell ref="B59:C59"/>
    <mergeCell ref="B60:C61"/>
    <mergeCell ref="B63:C63"/>
    <mergeCell ref="B64:C65"/>
    <mergeCell ref="B67:C67"/>
    <mergeCell ref="B68:C68"/>
    <mergeCell ref="B79:C79"/>
    <mergeCell ref="B80:C81"/>
    <mergeCell ref="B83:C83"/>
    <mergeCell ref="B84:C84"/>
    <mergeCell ref="B70:C70"/>
    <mergeCell ref="B71:C72"/>
    <mergeCell ref="B74:C74"/>
    <mergeCell ref="B75:C77"/>
  </mergeCells>
  <printOptions horizontalCentered="1" verticalCentered="1"/>
  <pageMargins left="0" right="0" top="0" bottom="0" header="0" footer="0"/>
  <pageSetup scale="44" orientation="landscape"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8CF9B-5E79-400F-89FE-CAFFC1460C3D}">
  <dimension ref="B1:Q116"/>
  <sheetViews>
    <sheetView zoomScale="70" zoomScaleNormal="70" workbookViewId="0"/>
  </sheetViews>
  <sheetFormatPr defaultColWidth="15.77734375" defaultRowHeight="15" x14ac:dyDescent="0.25"/>
  <cols>
    <col min="1" max="1" width="2" style="1" customWidth="1"/>
    <col min="2" max="2" width="44.77734375" style="1" customWidth="1"/>
    <col min="3" max="16384" width="15.77734375" style="1"/>
  </cols>
  <sheetData>
    <row r="1" spans="2:17" ht="15" customHeight="1" x14ac:dyDescent="0.25">
      <c r="B1" s="974" t="s">
        <v>3336</v>
      </c>
      <c r="C1" s="975" t="s">
        <v>404</v>
      </c>
      <c r="D1" s="975"/>
      <c r="E1" s="975"/>
      <c r="F1" s="975"/>
      <c r="G1" s="975"/>
      <c r="H1" s="975"/>
      <c r="I1" s="975"/>
      <c r="J1" s="975"/>
      <c r="K1" s="975"/>
      <c r="L1" s="975"/>
      <c r="M1" s="975"/>
      <c r="N1" s="975"/>
      <c r="O1" s="975"/>
      <c r="P1" s="975"/>
      <c r="Q1" s="975"/>
    </row>
    <row r="2" spans="2:17" ht="15" customHeight="1" x14ac:dyDescent="0.25">
      <c r="B2" s="974"/>
      <c r="C2" s="975"/>
      <c r="D2" s="975"/>
      <c r="E2" s="975"/>
      <c r="F2" s="975"/>
      <c r="G2" s="975"/>
      <c r="H2" s="975"/>
      <c r="I2" s="975"/>
      <c r="J2" s="975"/>
      <c r="K2" s="975"/>
      <c r="L2" s="975"/>
      <c r="M2" s="975"/>
      <c r="N2" s="975"/>
      <c r="O2" s="975"/>
      <c r="P2" s="975"/>
      <c r="Q2" s="975"/>
    </row>
    <row r="3" spans="2:17" ht="24.6" customHeight="1" x14ac:dyDescent="0.25">
      <c r="B3" s="974"/>
      <c r="C3" s="975"/>
      <c r="D3" s="975"/>
      <c r="E3" s="975"/>
      <c r="F3" s="975"/>
      <c r="G3" s="975"/>
      <c r="H3" s="975"/>
      <c r="I3" s="975"/>
      <c r="J3" s="975"/>
      <c r="K3" s="975"/>
      <c r="L3" s="975"/>
      <c r="M3" s="975"/>
      <c r="N3" s="975"/>
      <c r="O3" s="975"/>
      <c r="P3" s="975"/>
      <c r="Q3" s="975"/>
    </row>
    <row r="4" spans="2:17" ht="28.2" x14ac:dyDescent="0.5">
      <c r="B4" s="38" t="s">
        <v>405</v>
      </c>
      <c r="C4" s="185"/>
      <c r="D4" s="36"/>
      <c r="E4" s="36"/>
      <c r="F4" s="36"/>
      <c r="G4" s="36"/>
      <c r="H4" s="36"/>
      <c r="I4" s="36"/>
      <c r="J4" s="36"/>
      <c r="K4" s="36"/>
      <c r="L4" s="36"/>
      <c r="M4" s="36"/>
      <c r="N4" s="36"/>
      <c r="O4" s="36"/>
      <c r="P4" s="36"/>
      <c r="Q4" s="36"/>
    </row>
    <row r="6" spans="2:17" ht="15.6" x14ac:dyDescent="0.3">
      <c r="B6" s="1006" t="s">
        <v>301</v>
      </c>
      <c r="C6" s="1006"/>
      <c r="D6" s="1006"/>
      <c r="E6" s="205"/>
      <c r="F6" s="1006" t="s">
        <v>305</v>
      </c>
      <c r="G6" s="1006"/>
      <c r="H6" s="205"/>
      <c r="I6" s="1006" t="s">
        <v>306</v>
      </c>
      <c r="J6" s="1006"/>
      <c r="K6" s="1006"/>
      <c r="M6" s="243"/>
    </row>
    <row r="8" spans="2:17" ht="15.6" x14ac:dyDescent="0.3">
      <c r="B8" s="207" t="s">
        <v>302</v>
      </c>
      <c r="C8" s="208" t="s">
        <v>303</v>
      </c>
      <c r="D8" s="208" t="s">
        <v>304</v>
      </c>
      <c r="E8" s="207"/>
      <c r="F8" s="208" t="s">
        <v>303</v>
      </c>
      <c r="G8" s="208" t="s">
        <v>304</v>
      </c>
      <c r="I8" s="957" t="s">
        <v>307</v>
      </c>
      <c r="J8" s="958"/>
      <c r="K8" s="232">
        <f>$J$33</f>
        <v>1.0310286077876418</v>
      </c>
      <c r="M8" s="242"/>
    </row>
    <row r="9" spans="2:17" x14ac:dyDescent="0.25">
      <c r="I9" s="1003" t="s">
        <v>308</v>
      </c>
      <c r="J9" s="1004"/>
      <c r="K9" s="221">
        <v>0.75</v>
      </c>
    </row>
    <row r="10" spans="2:17" x14ac:dyDescent="0.25">
      <c r="B10" s="222" t="str">
        <f>'DATA SHEET'!$B108</f>
        <v>30-03-2025</v>
      </c>
      <c r="C10" s="225">
        <f>'DATA SHEET'!$E108</f>
        <v>22904.45</v>
      </c>
      <c r="D10" s="245">
        <f>'DATA SHEET'!$F108</f>
        <v>-2.6144430011883713E-2</v>
      </c>
      <c r="F10" s="229">
        <f>'DATA SHEET'!$C108</f>
        <v>246.3</v>
      </c>
      <c r="G10" s="245">
        <f>'DATA SHEET'!$D108</f>
        <v>-6.0819828408007592E-2</v>
      </c>
    </row>
    <row r="11" spans="2:17" x14ac:dyDescent="0.25">
      <c r="B11" s="223" t="str">
        <f>'DATA SHEET'!$B109</f>
        <v>23-03-2025</v>
      </c>
      <c r="C11" s="226">
        <f>'DATA SHEET'!$E109</f>
        <v>23519.35</v>
      </c>
      <c r="D11" s="246">
        <f>'DATA SHEET'!$F109</f>
        <v>7.2354220912702605E-3</v>
      </c>
      <c r="F11" s="230">
        <f>'DATA SHEET'!$C109</f>
        <v>262.25</v>
      </c>
      <c r="G11" s="246">
        <f>'DATA SHEET'!$D109</f>
        <v>-7.7563374952706043E-3</v>
      </c>
      <c r="I11" s="233" t="s">
        <v>309</v>
      </c>
      <c r="J11" s="234"/>
      <c r="K11" s="232">
        <v>1</v>
      </c>
    </row>
    <row r="12" spans="2:17" x14ac:dyDescent="0.25">
      <c r="B12" s="223" t="str">
        <f>'DATA SHEET'!$B110</f>
        <v>16-03-2025</v>
      </c>
      <c r="C12" s="226">
        <f>'DATA SHEET'!$E110</f>
        <v>23350.400000000001</v>
      </c>
      <c r="D12" s="246">
        <f>'DATA SHEET'!$F110</f>
        <v>4.2558891289982803E-2</v>
      </c>
      <c r="F12" s="230">
        <f>'DATA SHEET'!$C110</f>
        <v>264.3</v>
      </c>
      <c r="G12" s="246">
        <f>'DATA SHEET'!$D110</f>
        <v>1.1363636363637131E-3</v>
      </c>
      <c r="I12" s="1003" t="s">
        <v>310</v>
      </c>
      <c r="J12" s="1004"/>
      <c r="K12" s="221">
        <f>100%-K9</f>
        <v>0.25</v>
      </c>
    </row>
    <row r="13" spans="2:17" x14ac:dyDescent="0.25">
      <c r="B13" s="223">
        <f>'DATA SHEET'!$B111</f>
        <v>45903</v>
      </c>
      <c r="C13" s="226">
        <f>'DATA SHEET'!$E111</f>
        <v>22397.200000000001</v>
      </c>
      <c r="D13" s="246">
        <f>'DATA SHEET'!$F111</f>
        <v>-6.8861545283227521E-3</v>
      </c>
      <c r="F13" s="230">
        <f>'DATA SHEET'!$C111</f>
        <v>264</v>
      </c>
      <c r="G13" s="246">
        <f>'DATA SHEET'!$D111</f>
        <v>-7.3033707865168607E-2</v>
      </c>
    </row>
    <row r="14" spans="2:17" ht="15.6" x14ac:dyDescent="0.3">
      <c r="B14" s="223">
        <f>'DATA SHEET'!$B112</f>
        <v>45691</v>
      </c>
      <c r="C14" s="226">
        <f>'DATA SHEET'!$E112</f>
        <v>22552.5</v>
      </c>
      <c r="D14" s="246">
        <f>'DATA SHEET'!$F112</f>
        <v>1.9335855401429125E-2</v>
      </c>
      <c r="F14" s="230">
        <f>'DATA SHEET'!$C112</f>
        <v>284.8</v>
      </c>
      <c r="G14" s="246">
        <f>'DATA SHEET'!$D112</f>
        <v>2.5751845849090627E-2</v>
      </c>
      <c r="I14" s="578" t="s">
        <v>311</v>
      </c>
      <c r="J14" s="579"/>
      <c r="K14" s="577">
        <f>(K8*K9)+(K11*K12)</f>
        <v>1.0232714558407314</v>
      </c>
    </row>
    <row r="15" spans="2:17" x14ac:dyDescent="0.25">
      <c r="B15" s="223" t="str">
        <f>'DATA SHEET'!$B113</f>
        <v>23-02-2025</v>
      </c>
      <c r="C15" s="226">
        <f>'DATA SHEET'!$E113</f>
        <v>22124.7</v>
      </c>
      <c r="D15" s="246">
        <f>'DATA SHEET'!$F113</f>
        <v>-2.9443891226053842E-2</v>
      </c>
      <c r="F15" s="230">
        <f>'DATA SHEET'!$C113</f>
        <v>277.64999999999998</v>
      </c>
      <c r="G15" s="246">
        <f>'DATA SHEET'!$D113</f>
        <v>-9.3683695119960997E-2</v>
      </c>
    </row>
    <row r="16" spans="2:17" ht="15.6" x14ac:dyDescent="0.3">
      <c r="B16" s="223" t="str">
        <f>'DATA SHEET'!$B114</f>
        <v>16-02-2025</v>
      </c>
      <c r="C16" s="226">
        <f>'DATA SHEET'!$E114</f>
        <v>22795.9</v>
      </c>
      <c r="D16" s="246">
        <f>'DATA SHEET'!$F114</f>
        <v>-5.8157157342695331E-3</v>
      </c>
      <c r="F16" s="230">
        <f>'DATA SHEET'!$C114</f>
        <v>306.35000000000002</v>
      </c>
      <c r="G16" s="246">
        <f>'DATA SHEET'!$D114</f>
        <v>-5.6799740344044558E-3</v>
      </c>
      <c r="I16" s="1005" t="s">
        <v>416</v>
      </c>
      <c r="J16" s="1005"/>
    </row>
    <row r="17" spans="2:17" ht="15.6" thickBot="1" x14ac:dyDescent="0.3">
      <c r="B17" s="223">
        <f>'DATA SHEET'!$B115</f>
        <v>45902</v>
      </c>
      <c r="C17" s="226">
        <f>'DATA SHEET'!$E115</f>
        <v>22929.25</v>
      </c>
      <c r="D17" s="246">
        <f>'DATA SHEET'!$F115</f>
        <v>-2.6770005878620329E-2</v>
      </c>
      <c r="F17" s="230">
        <f>'DATA SHEET'!$C115</f>
        <v>308.10000000000002</v>
      </c>
      <c r="G17" s="246">
        <f>'DATA SHEET'!$D115</f>
        <v>-3.1132075471698051E-2</v>
      </c>
    </row>
    <row r="18" spans="2:17" ht="15.6" x14ac:dyDescent="0.3">
      <c r="B18" s="223">
        <f>'DATA SHEET'!$B116</f>
        <v>45690</v>
      </c>
      <c r="C18" s="226">
        <f>'DATA SHEET'!$E116</f>
        <v>23559.95</v>
      </c>
      <c r="D18" s="246">
        <f>'DATA SHEET'!$F116</f>
        <v>2.1928332000475947E-3</v>
      </c>
      <c r="F18" s="230">
        <f>'DATA SHEET'!$C116</f>
        <v>318</v>
      </c>
      <c r="G18" s="246">
        <f>'DATA SHEET'!$D116</f>
        <v>1.955755049695429E-2</v>
      </c>
      <c r="I18" s="209" t="s">
        <v>380</v>
      </c>
      <c r="J18" s="209"/>
    </row>
    <row r="19" spans="2:17" x14ac:dyDescent="0.25">
      <c r="B19" s="223" t="str">
        <f>'DATA SHEET'!$B117</f>
        <v>26-01-2025</v>
      </c>
      <c r="C19" s="226">
        <f>'DATA SHEET'!$E117</f>
        <v>23508.400000000001</v>
      </c>
      <c r="D19" s="246">
        <f>'DATA SHEET'!$F117</f>
        <v>1.8023401841314346E-2</v>
      </c>
      <c r="F19" s="230">
        <f>'DATA SHEET'!$C117</f>
        <v>311.89999999999998</v>
      </c>
      <c r="G19" s="246">
        <f>'DATA SHEET'!$D117</f>
        <v>-2.5616994689159789E-2</v>
      </c>
      <c r="I19" s="259" t="s">
        <v>381</v>
      </c>
      <c r="J19" s="259">
        <v>0.45931715612046076</v>
      </c>
    </row>
    <row r="20" spans="2:17" x14ac:dyDescent="0.25">
      <c r="B20" s="223" t="str">
        <f>'DATA SHEET'!$B118</f>
        <v>19-01-2025</v>
      </c>
      <c r="C20" s="226">
        <f>'DATA SHEET'!$E118</f>
        <v>23092.2</v>
      </c>
      <c r="D20" s="246">
        <f>'DATA SHEET'!$F118</f>
        <v>-4.7838229209764549E-3</v>
      </c>
      <c r="F20" s="230">
        <f>'DATA SHEET'!$C118</f>
        <v>320.10000000000002</v>
      </c>
      <c r="G20" s="246">
        <f>'DATA SHEET'!$D118</f>
        <v>0.13530767866643045</v>
      </c>
      <c r="I20" s="259" t="s">
        <v>382</v>
      </c>
      <c r="J20" s="259">
        <v>0.21097224990658772</v>
      </c>
    </row>
    <row r="21" spans="2:17" x14ac:dyDescent="0.25">
      <c r="B21" s="223">
        <f>'DATA SHEET'!$B119</f>
        <v>45992</v>
      </c>
      <c r="C21" s="226">
        <f>'DATA SHEET'!$E119</f>
        <v>23203.200000000001</v>
      </c>
      <c r="D21" s="246">
        <f>'DATA SHEET'!$F119</f>
        <v>-9.7432942833365344E-3</v>
      </c>
      <c r="F21" s="230">
        <f>'DATA SHEET'!$C119</f>
        <v>281.95</v>
      </c>
      <c r="G21" s="246">
        <f>'DATA SHEET'!$D119</f>
        <v>-6.1886541340875123E-2</v>
      </c>
      <c r="I21" s="259" t="s">
        <v>403</v>
      </c>
      <c r="J21" s="259">
        <v>0.20323668372920131</v>
      </c>
    </row>
    <row r="22" spans="2:17" x14ac:dyDescent="0.25">
      <c r="B22" s="223">
        <f>'DATA SHEET'!$B120</f>
        <v>45778</v>
      </c>
      <c r="C22" s="226">
        <f>'DATA SHEET'!$E120</f>
        <v>23431.5</v>
      </c>
      <c r="D22" s="246">
        <f>'DATA SHEET'!$F120</f>
        <v>-2.3880690280048689E-2</v>
      </c>
      <c r="F22" s="230">
        <f>'DATA SHEET'!$C120</f>
        <v>300.55</v>
      </c>
      <c r="G22" s="246">
        <f>'DATA SHEET'!$D120</f>
        <v>2.07165902530142E-2</v>
      </c>
      <c r="I22" s="259" t="s">
        <v>383</v>
      </c>
      <c r="J22" s="259">
        <v>3.2781828048695755E-2</v>
      </c>
    </row>
    <row r="23" spans="2:17" ht="15.6" thickBot="1" x14ac:dyDescent="0.3">
      <c r="B23" s="223" t="str">
        <f>'DATA SHEET'!$B121</f>
        <v>29-12-2024</v>
      </c>
      <c r="C23" s="226">
        <f>'DATA SHEET'!$E121</f>
        <v>24004.75</v>
      </c>
      <c r="D23" s="246">
        <f>'DATA SHEET'!$F121</f>
        <v>8.035391838208783E-3</v>
      </c>
      <c r="F23" s="230">
        <f>'DATA SHEET'!$C121</f>
        <v>294.45</v>
      </c>
      <c r="G23" s="246">
        <f>'DATA SHEET'!$D121</f>
        <v>-4.7395664833387308E-2</v>
      </c>
      <c r="I23" s="258" t="s">
        <v>384</v>
      </c>
      <c r="J23" s="258">
        <v>104</v>
      </c>
    </row>
    <row r="24" spans="2:17" x14ac:dyDescent="0.25">
      <c r="B24" s="223" t="str">
        <f>'DATA SHEET'!$B122</f>
        <v>22-12-2024</v>
      </c>
      <c r="C24" s="226">
        <f>'DATA SHEET'!$E122</f>
        <v>23813.4</v>
      </c>
      <c r="D24" s="246">
        <f>'DATA SHEET'!$F122</f>
        <v>9.5771065182830295E-3</v>
      </c>
      <c r="F24" s="230">
        <f>'DATA SHEET'!$C122</f>
        <v>309.10000000000002</v>
      </c>
      <c r="G24" s="246">
        <f>'DATA SHEET'!$D122</f>
        <v>1.2778505897772074E-2</v>
      </c>
    </row>
    <row r="25" spans="2:17" ht="15.6" thickBot="1" x14ac:dyDescent="0.3">
      <c r="B25" s="223" t="str">
        <f>'DATA SHEET'!$B123</f>
        <v>15-12-2024</v>
      </c>
      <c r="C25" s="226">
        <f>'DATA SHEET'!$E123</f>
        <v>23587.5</v>
      </c>
      <c r="D25" s="246">
        <f>'DATA SHEET'!$F123</f>
        <v>-4.7673841159869612E-2</v>
      </c>
      <c r="F25" s="230">
        <f>'DATA SHEET'!$C123</f>
        <v>305.2</v>
      </c>
      <c r="G25" s="246">
        <f>'DATA SHEET'!$D123</f>
        <v>-1.5325052427810903E-2</v>
      </c>
      <c r="I25" s="1" t="s">
        <v>385</v>
      </c>
    </row>
    <row r="26" spans="2:17" ht="15.6" x14ac:dyDescent="0.3">
      <c r="B26" s="223">
        <f>'DATA SHEET'!$B124</f>
        <v>45516</v>
      </c>
      <c r="C26" s="226">
        <f>'DATA SHEET'!$E124</f>
        <v>24768.3</v>
      </c>
      <c r="D26" s="246">
        <f>'DATA SHEET'!$F124</f>
        <v>3.6672636944945491E-3</v>
      </c>
      <c r="F26" s="230">
        <f>'DATA SHEET'!$C124</f>
        <v>309.95</v>
      </c>
      <c r="G26" s="246">
        <f>'DATA SHEET'!$D124</f>
        <v>4.2374306372961135E-2</v>
      </c>
      <c r="I26" s="210"/>
      <c r="J26" s="210" t="s">
        <v>390</v>
      </c>
      <c r="K26" s="210" t="s">
        <v>391</v>
      </c>
      <c r="L26" s="210" t="s">
        <v>392</v>
      </c>
      <c r="M26" s="210" t="s">
        <v>393</v>
      </c>
      <c r="N26" s="210" t="s">
        <v>394</v>
      </c>
    </row>
    <row r="27" spans="2:17" x14ac:dyDescent="0.25">
      <c r="B27" s="223">
        <f>'DATA SHEET'!$B125</f>
        <v>45303</v>
      </c>
      <c r="C27" s="226">
        <f>'DATA SHEET'!$E125</f>
        <v>24677.8</v>
      </c>
      <c r="D27" s="246">
        <f>'DATA SHEET'!$F125</f>
        <v>2.2655411481449228E-2</v>
      </c>
      <c r="F27" s="230">
        <f>'DATA SHEET'!$C125</f>
        <v>297.35000000000002</v>
      </c>
      <c r="G27" s="246">
        <f>'DATA SHEET'!$D125</f>
        <v>2.9177627024781883E-2</v>
      </c>
      <c r="I27" s="1" t="s">
        <v>386</v>
      </c>
      <c r="J27" s="1">
        <v>1</v>
      </c>
      <c r="K27" s="1">
        <v>2.9308903059825031E-2</v>
      </c>
      <c r="L27" s="1">
        <v>2.9308903059825031E-2</v>
      </c>
      <c r="M27" s="1">
        <v>27.273019849966378</v>
      </c>
      <c r="N27" s="1">
        <v>9.3698757223569889E-7</v>
      </c>
    </row>
    <row r="28" spans="2:17" x14ac:dyDescent="0.25">
      <c r="B28" s="223" t="str">
        <f>'DATA SHEET'!$B126</f>
        <v>24-11-2024</v>
      </c>
      <c r="C28" s="226">
        <f>'DATA SHEET'!$E126</f>
        <v>24131.1</v>
      </c>
      <c r="D28" s="246">
        <f>'DATA SHEET'!$F126</f>
        <v>9.3632684645870157E-3</v>
      </c>
      <c r="F28" s="230">
        <f>'DATA SHEET'!$C126</f>
        <v>288.92</v>
      </c>
      <c r="G28" s="246">
        <f>'DATA SHEET'!$D126</f>
        <v>1.0810621698212231E-2</v>
      </c>
      <c r="I28" s="1" t="s">
        <v>387</v>
      </c>
      <c r="J28" s="1">
        <v>102</v>
      </c>
      <c r="K28" s="1">
        <v>0.10961412152185407</v>
      </c>
      <c r="L28" s="1">
        <v>1.0746482502142557E-3</v>
      </c>
    </row>
    <row r="29" spans="2:17" ht="15.6" thickBot="1" x14ac:dyDescent="0.3">
      <c r="B29" s="223" t="str">
        <f>'DATA SHEET'!$B127</f>
        <v>17-11-2024</v>
      </c>
      <c r="C29" s="226">
        <f>'DATA SHEET'!$E127</f>
        <v>23907.25</v>
      </c>
      <c r="D29" s="246">
        <f>'DATA SHEET'!$F127</f>
        <v>1.5916150717937061E-2</v>
      </c>
      <c r="F29" s="230">
        <f>'DATA SHEET'!$C127</f>
        <v>285.83</v>
      </c>
      <c r="G29" s="246">
        <f>'DATA SHEET'!$D127</f>
        <v>8.7524263278628833E-3</v>
      </c>
      <c r="I29" s="258" t="s">
        <v>388</v>
      </c>
      <c r="J29" s="258">
        <v>103</v>
      </c>
      <c r="K29" s="258">
        <v>0.1389230245816791</v>
      </c>
      <c r="L29" s="258"/>
      <c r="M29" s="258"/>
      <c r="N29" s="258"/>
    </row>
    <row r="30" spans="2:17" ht="15.6" thickBot="1" x14ac:dyDescent="0.3">
      <c r="B30" s="223">
        <f>'DATA SHEET'!$B128</f>
        <v>45576</v>
      </c>
      <c r="C30" s="226">
        <f>'DATA SHEET'!$E128</f>
        <v>23532.7</v>
      </c>
      <c r="D30" s="246">
        <f>'DATA SHEET'!$F128</f>
        <v>-2.5488442202731498E-2</v>
      </c>
      <c r="F30" s="230">
        <f>'DATA SHEET'!$C128</f>
        <v>283.35000000000002</v>
      </c>
      <c r="G30" s="246">
        <f>'DATA SHEET'!$D128</f>
        <v>-4.0421792618627883E-3</v>
      </c>
    </row>
    <row r="31" spans="2:17" ht="15.6" x14ac:dyDescent="0.3">
      <c r="B31" s="223">
        <f>'DATA SHEET'!$B129</f>
        <v>45362</v>
      </c>
      <c r="C31" s="226">
        <f>'DATA SHEET'!$E129</f>
        <v>24148.2</v>
      </c>
      <c r="D31" s="246">
        <f>'DATA SHEET'!$F129</f>
        <v>-6.4247758117372822E-3</v>
      </c>
      <c r="F31" s="230">
        <f>'DATA SHEET'!$C129</f>
        <v>284.5</v>
      </c>
      <c r="G31" s="246">
        <f>'DATA SHEET'!$D129</f>
        <v>3.2031051619690221E-2</v>
      </c>
      <c r="I31" s="210"/>
      <c r="J31" s="210" t="s">
        <v>395</v>
      </c>
      <c r="K31" s="210" t="s">
        <v>383</v>
      </c>
      <c r="L31" s="210" t="s">
        <v>396</v>
      </c>
      <c r="M31" s="210" t="s">
        <v>397</v>
      </c>
      <c r="N31" s="210" t="s">
        <v>398</v>
      </c>
      <c r="O31" s="210" t="s">
        <v>399</v>
      </c>
      <c r="P31" s="210" t="s">
        <v>400</v>
      </c>
      <c r="Q31" s="210" t="s">
        <v>401</v>
      </c>
    </row>
    <row r="32" spans="2:17" x14ac:dyDescent="0.25">
      <c r="B32" s="223" t="str">
        <f>'DATA SHEET'!$B130</f>
        <v>27-10-2024</v>
      </c>
      <c r="C32" s="226">
        <f>'DATA SHEET'!$E130</f>
        <v>24304.35</v>
      </c>
      <c r="D32" s="246">
        <f>'DATA SHEET'!$F130</f>
        <v>5.1094256600276999E-3</v>
      </c>
      <c r="F32" s="230">
        <f>'DATA SHEET'!$C130</f>
        <v>275.67</v>
      </c>
      <c r="G32" s="246">
        <f>'DATA SHEET'!$D130</f>
        <v>1.4499687189489574E-2</v>
      </c>
      <c r="I32" s="1" t="s">
        <v>389</v>
      </c>
      <c r="J32" s="1">
        <v>7.5154068544872662E-4</v>
      </c>
      <c r="K32" s="1">
        <v>3.2574462421299921E-3</v>
      </c>
      <c r="L32" s="1">
        <v>0.23071468554990063</v>
      </c>
      <c r="M32" s="1">
        <v>0.8179985888622201</v>
      </c>
      <c r="N32" s="1">
        <v>-5.7095884908395875E-3</v>
      </c>
      <c r="O32" s="1">
        <v>7.2126698617370408E-3</v>
      </c>
      <c r="P32" s="1">
        <v>-5.7095884908395875E-3</v>
      </c>
      <c r="Q32" s="1">
        <v>7.2126698617370408E-3</v>
      </c>
    </row>
    <row r="33" spans="2:17" ht="15.6" thickBot="1" x14ac:dyDescent="0.3">
      <c r="B33" s="223" t="str">
        <f>'DATA SHEET'!$B131</f>
        <v>20-10-2024</v>
      </c>
      <c r="C33" s="226">
        <f>'DATA SHEET'!$E131</f>
        <v>24180.799999999999</v>
      </c>
      <c r="D33" s="246">
        <f>'DATA SHEET'!$F131</f>
        <v>-2.7088140564616281E-2</v>
      </c>
      <c r="F33" s="230">
        <f>'DATA SHEET'!$C131</f>
        <v>271.73</v>
      </c>
      <c r="G33" s="246">
        <f>'DATA SHEET'!$D131</f>
        <v>-9.4776364232856958E-3</v>
      </c>
      <c r="I33" s="260" t="s">
        <v>402</v>
      </c>
      <c r="J33" s="260">
        <v>1.0310286077876418</v>
      </c>
      <c r="K33" s="258">
        <v>0.19742588862058078</v>
      </c>
      <c r="L33" s="258">
        <v>5.2223576907337854</v>
      </c>
      <c r="M33" s="258">
        <v>9.3698757223572494E-7</v>
      </c>
      <c r="N33" s="258">
        <v>0.63943529379115638</v>
      </c>
      <c r="O33" s="258">
        <v>1.4226219217841272</v>
      </c>
      <c r="P33" s="258">
        <v>0.63943529379115638</v>
      </c>
      <c r="Q33" s="258">
        <v>1.4226219217841272</v>
      </c>
    </row>
    <row r="34" spans="2:17" ht="15.6" x14ac:dyDescent="0.3">
      <c r="B34" s="223" t="str">
        <f>'DATA SHEET'!$B132</f>
        <v>13-10-2024</v>
      </c>
      <c r="C34" s="226">
        <f>'DATA SHEET'!$E132</f>
        <v>24854.05</v>
      </c>
      <c r="D34" s="246">
        <f>'DATA SHEET'!$F132</f>
        <v>-4.4143124668275524E-3</v>
      </c>
      <c r="F34" s="230">
        <f>'DATA SHEET'!$C132</f>
        <v>274.33</v>
      </c>
      <c r="G34" s="246">
        <f>'DATA SHEET'!$D132</f>
        <v>3.8538709066818111E-2</v>
      </c>
      <c r="I34" s="240"/>
      <c r="J34" s="240"/>
      <c r="K34" s="240"/>
      <c r="L34" s="240"/>
      <c r="M34" s="240"/>
      <c r="N34" s="240"/>
      <c r="O34" s="240"/>
      <c r="P34" s="240"/>
      <c r="Q34" s="240"/>
    </row>
    <row r="35" spans="2:17" ht="15.6" x14ac:dyDescent="0.3">
      <c r="B35" s="223">
        <f>'DATA SHEET'!$B133</f>
        <v>45453</v>
      </c>
      <c r="C35" s="226">
        <f>'DATA SHEET'!$E133</f>
        <v>24964.25</v>
      </c>
      <c r="D35" s="246">
        <f>'DATA SHEET'!$F133</f>
        <v>-2.0128245104857889E-3</v>
      </c>
      <c r="F35" s="230">
        <f>'DATA SHEET'!$C133</f>
        <v>264.14999999999998</v>
      </c>
      <c r="G35" s="246">
        <f>'DATA SHEET'!$D133</f>
        <v>-9.8211942872137303E-3</v>
      </c>
      <c r="I35" s="240"/>
      <c r="J35" s="240"/>
      <c r="K35" s="240"/>
      <c r="L35" s="240"/>
      <c r="M35" s="240"/>
      <c r="N35" s="240"/>
      <c r="O35" s="240"/>
      <c r="P35" s="240"/>
      <c r="Q35" s="240"/>
    </row>
    <row r="36" spans="2:17" ht="15.6" x14ac:dyDescent="0.3">
      <c r="B36" s="223" t="str">
        <f>'DATA SHEET'!$B134</f>
        <v>29-09-2024</v>
      </c>
      <c r="C36" s="226">
        <f>'DATA SHEET'!$E134</f>
        <v>25014.6</v>
      </c>
      <c r="D36" s="246">
        <f>'DATA SHEET'!$F134</f>
        <v>-4.4476573735768743E-2</v>
      </c>
      <c r="F36" s="230">
        <f>'DATA SHEET'!$C134</f>
        <v>266.77</v>
      </c>
      <c r="G36" s="246">
        <f>'DATA SHEET'!$D134</f>
        <v>-1.5245478036175708E-2</v>
      </c>
      <c r="I36" s="240"/>
      <c r="J36" s="240"/>
      <c r="K36" s="240"/>
      <c r="L36" s="240"/>
      <c r="M36" s="240"/>
      <c r="N36" s="240"/>
      <c r="O36" s="240"/>
      <c r="P36" s="240"/>
      <c r="Q36" s="240"/>
    </row>
    <row r="37" spans="2:17" x14ac:dyDescent="0.25">
      <c r="B37" s="223" t="str">
        <f>'DATA SHEET'!$B135</f>
        <v>22-09-2024</v>
      </c>
      <c r="C37" s="226">
        <f>'DATA SHEET'!$E135</f>
        <v>26178.95</v>
      </c>
      <c r="D37" s="246">
        <f>'DATA SHEET'!$F135</f>
        <v>1.5044036764834123E-2</v>
      </c>
      <c r="F37" s="230">
        <f>'DATA SHEET'!$C135</f>
        <v>270.89999999999998</v>
      </c>
      <c r="G37" s="246">
        <f>'DATA SHEET'!$D135</f>
        <v>5.008347245408995E-3</v>
      </c>
    </row>
    <row r="38" spans="2:17" x14ac:dyDescent="0.25">
      <c r="B38" s="223" t="str">
        <f>'DATA SHEET'!$B136</f>
        <v>15-09-2024</v>
      </c>
      <c r="C38" s="226">
        <f>'DATA SHEET'!$E136</f>
        <v>25790.95</v>
      </c>
      <c r="D38" s="246">
        <f>'DATA SHEET'!$F136</f>
        <v>1.7133673811448702E-2</v>
      </c>
      <c r="F38" s="230">
        <f>'DATA SHEET'!$C136</f>
        <v>269.55</v>
      </c>
      <c r="G38" s="246">
        <f>'DATA SHEET'!$D136</f>
        <v>-2.0886305848165643E-2</v>
      </c>
    </row>
    <row r="39" spans="2:17" x14ac:dyDescent="0.25">
      <c r="B39" s="223">
        <f>'DATA SHEET'!$B137</f>
        <v>45513</v>
      </c>
      <c r="C39" s="226">
        <f>'DATA SHEET'!$E137</f>
        <v>25356.5</v>
      </c>
      <c r="D39" s="246">
        <f>'DATA SHEET'!$F137</f>
        <v>2.0294018827344829E-2</v>
      </c>
      <c r="F39" s="230">
        <f>'DATA SHEET'!$C137</f>
        <v>275.3</v>
      </c>
      <c r="G39" s="246">
        <f>'DATA SHEET'!$D137</f>
        <v>5.7625816365731941E-2</v>
      </c>
    </row>
    <row r="40" spans="2:17" ht="15.6" x14ac:dyDescent="0.3">
      <c r="B40" s="223">
        <f>'DATA SHEET'!$B138</f>
        <v>45300</v>
      </c>
      <c r="C40" s="226">
        <f>'DATA SHEET'!$E138</f>
        <v>24852.15</v>
      </c>
      <c r="D40" s="246">
        <f>'DATA SHEET'!$F138</f>
        <v>-1.5206511358818231E-2</v>
      </c>
      <c r="F40" s="230">
        <f>'DATA SHEET'!$C138</f>
        <v>260.3</v>
      </c>
      <c r="G40" s="246">
        <f>'DATA SHEET'!$D138</f>
        <v>-3.3060921248142527E-2</v>
      </c>
      <c r="I40" s="240"/>
      <c r="J40" s="240"/>
      <c r="K40" s="240"/>
      <c r="L40" s="240"/>
      <c r="M40" s="240"/>
      <c r="N40" s="240"/>
      <c r="O40" s="240"/>
      <c r="P40" s="240"/>
      <c r="Q40" s="240"/>
    </row>
    <row r="41" spans="2:17" ht="15.6" x14ac:dyDescent="0.3">
      <c r="B41" s="223" t="str">
        <f>'DATA SHEET'!$B139</f>
        <v>25-08-2024</v>
      </c>
      <c r="C41" s="226">
        <f>'DATA SHEET'!$E139</f>
        <v>25235.9</v>
      </c>
      <c r="D41" s="246">
        <f>'DATA SHEET'!$F139</f>
        <v>1.6627623810837822E-2</v>
      </c>
      <c r="F41" s="230">
        <f>'DATA SHEET'!$C139</f>
        <v>269.2</v>
      </c>
      <c r="G41" s="246">
        <f>'DATA SHEET'!$D139</f>
        <v>5.0741608118657355E-2</v>
      </c>
      <c r="I41" s="240"/>
      <c r="J41" s="240"/>
      <c r="K41" s="240"/>
      <c r="L41" s="240"/>
      <c r="M41" s="240"/>
      <c r="N41" s="240"/>
      <c r="O41" s="240"/>
      <c r="P41" s="240"/>
      <c r="Q41" s="240"/>
    </row>
    <row r="42" spans="2:17" ht="15.6" x14ac:dyDescent="0.3">
      <c r="B42" s="223" t="str">
        <f>'DATA SHEET'!$B140</f>
        <v>18-08-2024</v>
      </c>
      <c r="C42" s="226">
        <f>'DATA SHEET'!$E140</f>
        <v>24823.15</v>
      </c>
      <c r="D42" s="246">
        <f>'DATA SHEET'!$F140</f>
        <v>1.1490904052988471E-2</v>
      </c>
      <c r="F42" s="230">
        <f>'DATA SHEET'!$C140</f>
        <v>256.2</v>
      </c>
      <c r="G42" s="246">
        <f>'DATA SHEET'!$D140</f>
        <v>-7.4768527486150926E-3</v>
      </c>
      <c r="I42" s="256"/>
      <c r="J42" s="256"/>
      <c r="K42" s="240"/>
      <c r="L42" s="240"/>
      <c r="M42" s="240"/>
      <c r="N42" s="240"/>
      <c r="O42" s="240"/>
      <c r="P42" s="240"/>
      <c r="Q42" s="240"/>
    </row>
    <row r="43" spans="2:17" ht="15.6" x14ac:dyDescent="0.3">
      <c r="B43" s="223">
        <f>'DATA SHEET'!$B141</f>
        <v>45604</v>
      </c>
      <c r="C43" s="226">
        <f>'DATA SHEET'!$E141</f>
        <v>24541.15</v>
      </c>
      <c r="D43" s="246">
        <f>'DATA SHEET'!$F141</f>
        <v>7.1262952703396998E-3</v>
      </c>
      <c r="F43" s="230">
        <f>'DATA SHEET'!$C141</f>
        <v>258.13</v>
      </c>
      <c r="G43" s="246">
        <f>'DATA SHEET'!$D141</f>
        <v>5.0803989415835415E-2</v>
      </c>
      <c r="I43" s="240"/>
      <c r="J43" s="240"/>
      <c r="K43" s="240"/>
      <c r="L43" s="240"/>
      <c r="M43" s="240"/>
      <c r="N43" s="240"/>
      <c r="O43" s="240"/>
      <c r="P43" s="240"/>
      <c r="Q43" s="240"/>
    </row>
    <row r="44" spans="2:17" ht="15.6" x14ac:dyDescent="0.3">
      <c r="B44" s="223">
        <f>'DATA SHEET'!$B142</f>
        <v>45390</v>
      </c>
      <c r="C44" s="226">
        <f>'DATA SHEET'!$E142</f>
        <v>24367.5</v>
      </c>
      <c r="D44" s="246">
        <f>'DATA SHEET'!$F142</f>
        <v>-1.4167984885325113E-2</v>
      </c>
      <c r="F44" s="230">
        <f>'DATA SHEET'!$C142</f>
        <v>245.65</v>
      </c>
      <c r="G44" s="246">
        <f>'DATA SHEET'!$D142</f>
        <v>-2.1587605050384262E-2</v>
      </c>
      <c r="I44" s="240"/>
      <c r="J44" s="240"/>
      <c r="K44" s="240"/>
      <c r="L44" s="240"/>
      <c r="M44" s="240"/>
      <c r="N44" s="240"/>
      <c r="O44" s="240"/>
      <c r="P44" s="240"/>
      <c r="Q44" s="240"/>
    </row>
    <row r="45" spans="2:17" ht="15.6" x14ac:dyDescent="0.3">
      <c r="B45" s="223" t="str">
        <f>'DATA SHEET'!$B143</f>
        <v>28-07-2024</v>
      </c>
      <c r="C45" s="226">
        <f>'DATA SHEET'!$E143</f>
        <v>24717.7</v>
      </c>
      <c r="D45" s="246">
        <f>'DATA SHEET'!$F143</f>
        <v>-4.7171615693268887E-3</v>
      </c>
      <c r="F45" s="230">
        <f>'DATA SHEET'!$C143</f>
        <v>251.07</v>
      </c>
      <c r="G45" s="246">
        <f>'DATA SHEET'!$D143</f>
        <v>-4.3178353658536506E-2</v>
      </c>
      <c r="I45" s="240"/>
      <c r="J45" s="240"/>
      <c r="K45" s="240"/>
      <c r="L45" s="240"/>
      <c r="M45" s="240"/>
      <c r="N45" s="240"/>
      <c r="O45" s="240"/>
      <c r="P45" s="240"/>
      <c r="Q45" s="240"/>
    </row>
    <row r="46" spans="2:17" ht="15.6" x14ac:dyDescent="0.3">
      <c r="B46" s="223" t="str">
        <f>'DATA SHEET'!$B144</f>
        <v>21-07-2024</v>
      </c>
      <c r="C46" s="226">
        <f>'DATA SHEET'!$E144</f>
        <v>24834.85</v>
      </c>
      <c r="D46" s="246">
        <f>'DATA SHEET'!$F144</f>
        <v>1.2390495252925682E-2</v>
      </c>
      <c r="F46" s="230">
        <f>'DATA SHEET'!$C144</f>
        <v>262.39999999999998</v>
      </c>
      <c r="G46" s="246">
        <f>'DATA SHEET'!$D144</f>
        <v>-5.814788226848544E-2</v>
      </c>
      <c r="I46" s="240"/>
      <c r="J46" s="240"/>
      <c r="K46" s="240"/>
      <c r="L46" s="240"/>
      <c r="M46" s="240"/>
      <c r="N46" s="240"/>
      <c r="O46" s="240"/>
      <c r="P46" s="240"/>
      <c r="Q46" s="240"/>
    </row>
    <row r="47" spans="2:17" ht="15.6" x14ac:dyDescent="0.3">
      <c r="B47" s="223" t="str">
        <f>'DATA SHEET'!$B145</f>
        <v>14-07-2024</v>
      </c>
      <c r="C47" s="226">
        <f>'DATA SHEET'!$E145</f>
        <v>24530.9</v>
      </c>
      <c r="D47" s="246">
        <f>'DATA SHEET'!$F145</f>
        <v>1.1733664188653403E-3</v>
      </c>
      <c r="F47" s="230">
        <f>'DATA SHEET'!$C145</f>
        <v>278.60000000000002</v>
      </c>
      <c r="G47" s="246">
        <f>'DATA SHEET'!$D145</f>
        <v>-5.2842045129961601E-3</v>
      </c>
      <c r="I47" s="240"/>
      <c r="J47" s="240"/>
      <c r="K47" s="240"/>
      <c r="L47" s="240"/>
      <c r="M47" s="240"/>
      <c r="N47" s="240"/>
      <c r="O47" s="240"/>
      <c r="P47" s="240"/>
      <c r="Q47" s="240"/>
    </row>
    <row r="48" spans="2:17" ht="15.6" x14ac:dyDescent="0.3">
      <c r="B48" s="223">
        <f>'DATA SHEET'!$B146</f>
        <v>45480</v>
      </c>
      <c r="C48" s="226">
        <f>'DATA SHEET'!$E146</f>
        <v>24502.15</v>
      </c>
      <c r="D48" s="246">
        <f>'DATA SHEET'!$F146</f>
        <v>7.3302540510651326E-3</v>
      </c>
      <c r="F48" s="230">
        <f>'DATA SHEET'!$C146</f>
        <v>280.08</v>
      </c>
      <c r="G48" s="246">
        <f>'DATA SHEET'!$D146</f>
        <v>4.6832367781722839E-2</v>
      </c>
      <c r="I48" s="240"/>
      <c r="J48" s="240"/>
      <c r="K48" s="240"/>
      <c r="L48" s="240"/>
      <c r="M48" s="240"/>
      <c r="N48" s="240"/>
      <c r="O48" s="240"/>
      <c r="P48" s="240"/>
      <c r="Q48" s="240"/>
    </row>
    <row r="49" spans="2:17" ht="15.6" x14ac:dyDescent="0.3">
      <c r="B49" s="223" t="str">
        <f>'DATA SHEET'!$B147</f>
        <v>30-06-2024</v>
      </c>
      <c r="C49" s="226">
        <f>'DATA SHEET'!$E147</f>
        <v>24323.85</v>
      </c>
      <c r="D49" s="246">
        <f>'DATA SHEET'!$F147</f>
        <v>1.3046321208133094E-2</v>
      </c>
      <c r="F49" s="230">
        <f>'DATA SHEET'!$C147</f>
        <v>267.55</v>
      </c>
      <c r="G49" s="246">
        <f>'DATA SHEET'!$D147</f>
        <v>3.9352031699168677E-2</v>
      </c>
      <c r="I49" s="240"/>
      <c r="J49" s="240"/>
      <c r="K49" s="240"/>
      <c r="L49" s="240"/>
      <c r="M49" s="240"/>
      <c r="N49" s="240"/>
      <c r="O49" s="240"/>
      <c r="P49" s="240"/>
      <c r="Q49" s="240"/>
    </row>
    <row r="50" spans="2:17" ht="15.6" x14ac:dyDescent="0.3">
      <c r="B50" s="223" t="str">
        <f>'DATA SHEET'!$B148</f>
        <v>23-06-2024</v>
      </c>
      <c r="C50" s="226">
        <f>'DATA SHEET'!$E148</f>
        <v>24010.6</v>
      </c>
      <c r="D50" s="246">
        <f>'DATA SHEET'!$F148</f>
        <v>2.1679836262983532E-2</v>
      </c>
      <c r="F50" s="230">
        <f>'DATA SHEET'!$C148</f>
        <v>257.42</v>
      </c>
      <c r="G50" s="246">
        <f>'DATA SHEET'!$D148</f>
        <v>4.9537244669140224E-2</v>
      </c>
      <c r="I50" s="257"/>
      <c r="J50" s="257"/>
      <c r="K50" s="257"/>
      <c r="L50" s="257"/>
      <c r="M50" s="257"/>
      <c r="N50" s="257"/>
      <c r="O50" s="240"/>
      <c r="P50" s="240"/>
      <c r="Q50" s="240"/>
    </row>
    <row r="51" spans="2:17" ht="15.6" x14ac:dyDescent="0.3">
      <c r="B51" s="223" t="str">
        <f>'DATA SHEET'!$B149</f>
        <v>16-06-2024</v>
      </c>
      <c r="C51" s="226">
        <f>'DATA SHEET'!$E149</f>
        <v>23501.1</v>
      </c>
      <c r="D51" s="246">
        <f>'DATA SHEET'!$F149</f>
        <v>1.5128528569481325E-3</v>
      </c>
      <c r="F51" s="230">
        <f>'DATA SHEET'!$C149</f>
        <v>245.27</v>
      </c>
      <c r="G51" s="246">
        <f>'DATA SHEET'!$D149</f>
        <v>2.7308900523560276E-2</v>
      </c>
      <c r="I51" s="240"/>
      <c r="J51" s="240"/>
      <c r="K51" s="240"/>
      <c r="L51" s="240"/>
      <c r="M51" s="240"/>
      <c r="N51" s="240"/>
      <c r="O51" s="240"/>
      <c r="P51" s="240"/>
      <c r="Q51" s="240"/>
    </row>
    <row r="52" spans="2:17" ht="15.6" x14ac:dyDescent="0.3">
      <c r="B52" s="223">
        <f>'DATA SHEET'!$B150</f>
        <v>45541</v>
      </c>
      <c r="C52" s="226">
        <f>'DATA SHEET'!$E150</f>
        <v>23465.599999999999</v>
      </c>
      <c r="D52" s="246">
        <f>'DATA SHEET'!$F150</f>
        <v>7.5332275661599279E-3</v>
      </c>
      <c r="F52" s="230">
        <f>'DATA SHEET'!$C150</f>
        <v>238.75</v>
      </c>
      <c r="G52" s="246">
        <f>'DATA SHEET'!$D150</f>
        <v>-1.4529244231642369E-2</v>
      </c>
      <c r="I52" s="240"/>
      <c r="J52" s="240"/>
      <c r="K52" s="240"/>
      <c r="L52" s="240"/>
      <c r="M52" s="240"/>
      <c r="N52" s="240"/>
      <c r="O52" s="240"/>
      <c r="P52" s="240"/>
      <c r="Q52" s="240"/>
    </row>
    <row r="53" spans="2:17" ht="15.6" x14ac:dyDescent="0.3">
      <c r="B53" s="223">
        <f>'DATA SHEET'!$B151</f>
        <v>45328</v>
      </c>
      <c r="C53" s="226">
        <f>'DATA SHEET'!$E151</f>
        <v>23290.15</v>
      </c>
      <c r="D53" s="246">
        <f>'DATA SHEET'!$F151</f>
        <v>3.3707341538434354E-2</v>
      </c>
      <c r="F53" s="230">
        <f>'DATA SHEET'!$C151</f>
        <v>242.27</v>
      </c>
      <c r="G53" s="246">
        <f>'DATA SHEET'!$D151</f>
        <v>0.10575079872204474</v>
      </c>
      <c r="I53" s="240"/>
      <c r="J53" s="240"/>
      <c r="K53" s="240"/>
      <c r="L53" s="240"/>
      <c r="M53" s="240"/>
      <c r="N53" s="240"/>
      <c r="O53" s="240"/>
      <c r="P53" s="240"/>
      <c r="Q53" s="240"/>
    </row>
    <row r="54" spans="2:17" ht="15.6" x14ac:dyDescent="0.3">
      <c r="B54" s="223" t="str">
        <f>'DATA SHEET'!$B152</f>
        <v>26-05-2024</v>
      </c>
      <c r="C54" s="226">
        <f>'DATA SHEET'!$E152</f>
        <v>22530.7</v>
      </c>
      <c r="D54" s="246">
        <f>'DATA SHEET'!$F152</f>
        <v>-1.8573774562117951E-2</v>
      </c>
      <c r="F54" s="230">
        <f>'DATA SHEET'!$C152</f>
        <v>219.1</v>
      </c>
      <c r="G54" s="246">
        <f>'DATA SHEET'!$D152</f>
        <v>-5.4870157881114601E-2</v>
      </c>
      <c r="I54" s="240"/>
      <c r="J54" s="240"/>
      <c r="K54" s="240"/>
      <c r="L54" s="240"/>
      <c r="M54" s="240"/>
      <c r="N54" s="240"/>
      <c r="O54" s="240"/>
      <c r="P54" s="240"/>
      <c r="Q54" s="240"/>
    </row>
    <row r="55" spans="2:17" ht="15.6" x14ac:dyDescent="0.3">
      <c r="B55" s="223" t="str">
        <f>'DATA SHEET'!$B153</f>
        <v>19-05-2024</v>
      </c>
      <c r="C55" s="226">
        <f>'DATA SHEET'!$E153</f>
        <v>22957.1</v>
      </c>
      <c r="D55" s="246">
        <f>'DATA SHEET'!$F153</f>
        <v>2.1855150649200406E-2</v>
      </c>
      <c r="F55" s="230">
        <f>'DATA SHEET'!$C153</f>
        <v>231.82</v>
      </c>
      <c r="G55" s="246">
        <f>'DATA SHEET'!$D153</f>
        <v>5.7266811279825802E-3</v>
      </c>
      <c r="I55" s="240"/>
      <c r="J55" s="240"/>
      <c r="K55" s="240"/>
      <c r="L55" s="240"/>
      <c r="M55" s="240"/>
      <c r="N55" s="240"/>
      <c r="O55" s="240"/>
      <c r="P55" s="240"/>
      <c r="Q55" s="240"/>
    </row>
    <row r="56" spans="2:17" ht="15.6" x14ac:dyDescent="0.3">
      <c r="B56" s="223">
        <f>'DATA SHEET'!$B154</f>
        <v>45631</v>
      </c>
      <c r="C56" s="226">
        <f>'DATA SHEET'!$E154</f>
        <v>22466.1</v>
      </c>
      <c r="D56" s="246">
        <f>'DATA SHEET'!$F154</f>
        <v>1.8630527041241907E-2</v>
      </c>
      <c r="F56" s="230">
        <f>'DATA SHEET'!$C154</f>
        <v>230.5</v>
      </c>
      <c r="G56" s="246">
        <f>'DATA SHEET'!$D154</f>
        <v>2.0227504094188387E-2</v>
      </c>
      <c r="I56" s="240"/>
      <c r="J56" s="240"/>
      <c r="K56" s="240"/>
      <c r="L56" s="240"/>
      <c r="M56" s="240"/>
      <c r="N56" s="240"/>
      <c r="O56" s="240"/>
      <c r="P56" s="240"/>
      <c r="Q56" s="240"/>
    </row>
    <row r="57" spans="2:17" ht="15.6" x14ac:dyDescent="0.3">
      <c r="B57" s="223">
        <f>'DATA SHEET'!$B155</f>
        <v>45417</v>
      </c>
      <c r="C57" s="226">
        <f>'DATA SHEET'!$E155</f>
        <v>22055.200000000001</v>
      </c>
      <c r="D57" s="246">
        <f>'DATA SHEET'!$F155</f>
        <v>-1.8715643679771743E-2</v>
      </c>
      <c r="F57" s="230">
        <f>'DATA SHEET'!$C155</f>
        <v>225.93</v>
      </c>
      <c r="G57" s="246">
        <f>'DATA SHEET'!$D155</f>
        <v>-1.2025537869511993E-2</v>
      </c>
      <c r="I57" s="240"/>
      <c r="J57" s="240"/>
      <c r="K57" s="240"/>
      <c r="L57" s="240"/>
      <c r="M57" s="240"/>
      <c r="N57" s="240"/>
      <c r="O57" s="240"/>
      <c r="P57" s="240"/>
      <c r="Q57" s="240"/>
    </row>
    <row r="58" spans="2:17" ht="15.6" x14ac:dyDescent="0.3">
      <c r="B58" s="223" t="str">
        <f>'DATA SHEET'!$B156</f>
        <v>28-04-2024</v>
      </c>
      <c r="C58" s="226">
        <f>'DATA SHEET'!$E156</f>
        <v>22475.85</v>
      </c>
      <c r="D58" s="246">
        <f>'DATA SHEET'!$F156</f>
        <v>2.4933151055197555E-3</v>
      </c>
      <c r="F58" s="230">
        <f>'DATA SHEET'!$C156</f>
        <v>228.68</v>
      </c>
      <c r="G58" s="246">
        <f>'DATA SHEET'!$D156</f>
        <v>-1.5583297460180834E-2</v>
      </c>
      <c r="I58" s="240"/>
      <c r="J58" s="240"/>
      <c r="K58" s="240"/>
      <c r="L58" s="240"/>
      <c r="M58" s="240"/>
      <c r="N58" s="240"/>
      <c r="O58" s="240"/>
      <c r="P58" s="240"/>
      <c r="Q58" s="240"/>
    </row>
    <row r="59" spans="2:17" ht="15.6" x14ac:dyDescent="0.3">
      <c r="B59" s="223" t="str">
        <f>'DATA SHEET'!$B157</f>
        <v>21-04-2024</v>
      </c>
      <c r="C59" s="226">
        <f>'DATA SHEET'!$E157</f>
        <v>22419.95</v>
      </c>
      <c r="D59" s="246">
        <f>'DATA SHEET'!$F157</f>
        <v>1.2324468325281002E-2</v>
      </c>
      <c r="F59" s="230">
        <f>'DATA SHEET'!$C157</f>
        <v>232.3</v>
      </c>
      <c r="G59" s="246">
        <f>'DATA SHEET'!$D157</f>
        <v>2.6150720028271124E-2</v>
      </c>
      <c r="I59" s="240"/>
      <c r="J59" s="240"/>
      <c r="K59" s="240"/>
      <c r="L59" s="240"/>
      <c r="M59" s="240"/>
      <c r="N59" s="240"/>
      <c r="O59" s="240"/>
      <c r="P59" s="240"/>
      <c r="Q59" s="240"/>
    </row>
    <row r="60" spans="2:17" ht="15.6" x14ac:dyDescent="0.3">
      <c r="B60" s="223" t="str">
        <f>'DATA SHEET'!$B158</f>
        <v>14-04-2024</v>
      </c>
      <c r="C60" s="226">
        <f>'DATA SHEET'!$E158</f>
        <v>22147</v>
      </c>
      <c r="D60" s="246">
        <f>'DATA SHEET'!$F158</f>
        <v>-1.6536852669254087E-2</v>
      </c>
      <c r="F60" s="230">
        <f>'DATA SHEET'!$C158</f>
        <v>226.38</v>
      </c>
      <c r="G60" s="246">
        <f>'DATA SHEET'!$D158</f>
        <v>-3.8236043843996925E-2</v>
      </c>
      <c r="I60" s="240"/>
      <c r="J60" s="240"/>
      <c r="K60" s="240"/>
      <c r="L60" s="240"/>
      <c r="M60" s="240"/>
      <c r="N60" s="240"/>
      <c r="O60" s="240"/>
      <c r="P60" s="240"/>
      <c r="Q60" s="240"/>
    </row>
    <row r="61" spans="2:17" x14ac:dyDescent="0.25">
      <c r="B61" s="223">
        <f>'DATA SHEET'!$B159</f>
        <v>45477</v>
      </c>
      <c r="C61" s="226">
        <f>'DATA SHEET'!$E159</f>
        <v>22519.4</v>
      </c>
      <c r="D61" s="246">
        <f>'DATA SHEET'!$F159</f>
        <v>2.5317917534661838E-4</v>
      </c>
      <c r="F61" s="230">
        <f>'DATA SHEET'!$C159</f>
        <v>235.38</v>
      </c>
      <c r="G61" s="246">
        <f>'DATA SHEET'!$D159</f>
        <v>-2.944087085601188E-2</v>
      </c>
    </row>
    <row r="62" spans="2:17" x14ac:dyDescent="0.25">
      <c r="B62" s="223" t="str">
        <f>'DATA SHEET'!$B160</f>
        <v>31-03-2024</v>
      </c>
      <c r="C62" s="226">
        <f>'DATA SHEET'!$E160</f>
        <v>22513.7</v>
      </c>
      <c r="D62" s="246">
        <f>'DATA SHEET'!$F160</f>
        <v>8.3665891816597782E-3</v>
      </c>
      <c r="F62" s="230">
        <f>'DATA SHEET'!$C160</f>
        <v>242.52</v>
      </c>
      <c r="G62" s="246">
        <f>'DATA SHEET'!$D160</f>
        <v>1.0289523016038249E-2</v>
      </c>
    </row>
    <row r="63" spans="2:17" x14ac:dyDescent="0.25">
      <c r="B63" s="223" t="str">
        <f>'DATA SHEET'!$B161</f>
        <v>24-03-2024</v>
      </c>
      <c r="C63" s="226">
        <f>'DATA SHEET'!$E161</f>
        <v>22326.9</v>
      </c>
      <c r="D63" s="246">
        <f>'DATA SHEET'!$F161</f>
        <v>1.0415558849152129E-2</v>
      </c>
      <c r="F63" s="230">
        <f>'DATA SHEET'!$C161</f>
        <v>240.05</v>
      </c>
      <c r="G63" s="246">
        <f>'DATA SHEET'!$D161</f>
        <v>-1.4370765756518189E-2</v>
      </c>
    </row>
    <row r="64" spans="2:17" x14ac:dyDescent="0.25">
      <c r="B64" s="223" t="str">
        <f>'DATA SHEET'!$B162</f>
        <v>17-03-2024</v>
      </c>
      <c r="C64" s="226">
        <f>'DATA SHEET'!$E162</f>
        <v>22096.75</v>
      </c>
      <c r="D64" s="246">
        <f>'DATA SHEET'!$F162</f>
        <v>3.3328262957270649E-3</v>
      </c>
      <c r="F64" s="230">
        <f>'DATA SHEET'!$C162</f>
        <v>243.55</v>
      </c>
      <c r="G64" s="246">
        <f>'DATA SHEET'!$D162</f>
        <v>-5.7833655705996079E-2</v>
      </c>
    </row>
    <row r="65" spans="2:7" x14ac:dyDescent="0.25">
      <c r="B65" s="223">
        <f>'DATA SHEET'!$B163</f>
        <v>45568</v>
      </c>
      <c r="C65" s="226">
        <f>'DATA SHEET'!$E163</f>
        <v>22023.35</v>
      </c>
      <c r="D65" s="246">
        <f>'DATA SHEET'!$F163</f>
        <v>-2.0903770191899484E-2</v>
      </c>
      <c r="F65" s="230">
        <f>'DATA SHEET'!$C163</f>
        <v>258.5</v>
      </c>
      <c r="G65" s="246">
        <f>'DATA SHEET'!$D163</f>
        <v>2.9097963142579175E-3</v>
      </c>
    </row>
    <row r="66" spans="2:7" x14ac:dyDescent="0.25">
      <c r="B66" s="223">
        <f>'DATA SHEET'!$B164</f>
        <v>45354</v>
      </c>
      <c r="C66" s="226">
        <f>'DATA SHEET'!$E164</f>
        <v>22493.55</v>
      </c>
      <c r="D66" s="246">
        <f>'DATA SHEET'!$F164</f>
        <v>6.929662581836471E-3</v>
      </c>
      <c r="F66" s="230">
        <f>'DATA SHEET'!$C164</f>
        <v>257.75</v>
      </c>
      <c r="G66" s="246">
        <f>'DATA SHEET'!$D164</f>
        <v>-6.9350799460605739E-3</v>
      </c>
    </row>
    <row r="67" spans="2:7" x14ac:dyDescent="0.25">
      <c r="B67" s="223" t="str">
        <f>'DATA SHEET'!$B165</f>
        <v>25-02-2024</v>
      </c>
      <c r="C67" s="226">
        <f>'DATA SHEET'!$E165</f>
        <v>22338.75</v>
      </c>
      <c r="D67" s="246">
        <f>'DATA SHEET'!$F165</f>
        <v>5.6746816010659895E-3</v>
      </c>
      <c r="F67" s="230">
        <f>'DATA SHEET'!$C165</f>
        <v>259.55</v>
      </c>
      <c r="G67" s="246">
        <f>'DATA SHEET'!$D165</f>
        <v>-3.1818860041778474E-2</v>
      </c>
    </row>
    <row r="68" spans="2:7" x14ac:dyDescent="0.25">
      <c r="B68" s="223" t="str">
        <f>'DATA SHEET'!$B166</f>
        <v>18-02-2024</v>
      </c>
      <c r="C68" s="226">
        <f>'DATA SHEET'!$E166</f>
        <v>22212.7</v>
      </c>
      <c r="D68" s="246">
        <f>'DATA SHEET'!$F166</f>
        <v>7.8037448901351336E-3</v>
      </c>
      <c r="F68" s="230">
        <f>'DATA SHEET'!$C166</f>
        <v>268.08</v>
      </c>
      <c r="G68" s="246">
        <f>'DATA SHEET'!$D166</f>
        <v>-1.2596685082873038E-2</v>
      </c>
    </row>
    <row r="69" spans="2:7" x14ac:dyDescent="0.25">
      <c r="B69" s="223">
        <f>'DATA SHEET'!$B167</f>
        <v>45598</v>
      </c>
      <c r="C69" s="226">
        <f>'DATA SHEET'!$E167</f>
        <v>22040.7</v>
      </c>
      <c r="D69" s="246">
        <f>'DATA SHEET'!$F167</f>
        <v>1.1853552163433978E-2</v>
      </c>
      <c r="F69" s="230">
        <f>'DATA SHEET'!$C167</f>
        <v>271.5</v>
      </c>
      <c r="G69" s="246">
        <f>'DATA SHEET'!$D167</f>
        <v>0.10712392447906049</v>
      </c>
    </row>
    <row r="70" spans="2:7" x14ac:dyDescent="0.25">
      <c r="B70" s="223">
        <f>'DATA SHEET'!$B168</f>
        <v>45384</v>
      </c>
      <c r="C70" s="226">
        <f>'DATA SHEET'!$E168</f>
        <v>21782.5</v>
      </c>
      <c r="D70" s="246">
        <f>'DATA SHEET'!$F168</f>
        <v>-3.2625904876955047E-3</v>
      </c>
      <c r="F70" s="230">
        <f>'DATA SHEET'!$C168</f>
        <v>245.23</v>
      </c>
      <c r="G70" s="246">
        <f>'DATA SHEET'!$D168</f>
        <v>1.5150887941383528E-2</v>
      </c>
    </row>
    <row r="71" spans="2:7" x14ac:dyDescent="0.25">
      <c r="B71" s="223" t="str">
        <f>'DATA SHEET'!$B169</f>
        <v>28-01-2024</v>
      </c>
      <c r="C71" s="226">
        <f>'DATA SHEET'!$E169</f>
        <v>21853.8</v>
      </c>
      <c r="D71" s="246">
        <f>'DATA SHEET'!$F169</f>
        <v>2.3472551352060167E-2</v>
      </c>
      <c r="F71" s="230">
        <f>'DATA SHEET'!$C169</f>
        <v>241.57</v>
      </c>
      <c r="G71" s="246">
        <f>'DATA SHEET'!$D169</f>
        <v>2.7957446808510644E-2</v>
      </c>
    </row>
    <row r="72" spans="2:7" x14ac:dyDescent="0.25">
      <c r="B72" s="223" t="str">
        <f>'DATA SHEET'!$B170</f>
        <v>21-01-2024</v>
      </c>
      <c r="C72" s="226">
        <f>'DATA SHEET'!$E170</f>
        <v>21352.6</v>
      </c>
      <c r="D72" s="246">
        <f>'DATA SHEET'!$F170</f>
        <v>-1.2477800799171379E-2</v>
      </c>
      <c r="F72" s="230">
        <f>'DATA SHEET'!$C170</f>
        <v>235</v>
      </c>
      <c r="G72" s="246">
        <f>'DATA SHEET'!$D170</f>
        <v>-3.1007751937984551E-2</v>
      </c>
    </row>
    <row r="73" spans="2:7" x14ac:dyDescent="0.25">
      <c r="B73" s="223" t="str">
        <f>'DATA SHEET'!$B171</f>
        <v>14-01-2024</v>
      </c>
      <c r="C73" s="226">
        <f>'DATA SHEET'!$E171</f>
        <v>21622.400000000001</v>
      </c>
      <c r="D73" s="246">
        <f>'DATA SHEET'!$F171</f>
        <v>-1.2430033958222397E-2</v>
      </c>
      <c r="F73" s="230">
        <f>'DATA SHEET'!$C171</f>
        <v>242.52</v>
      </c>
      <c r="G73" s="246">
        <f>'DATA SHEET'!$D171</f>
        <v>4.2065913290078694E-2</v>
      </c>
    </row>
    <row r="74" spans="2:7" x14ac:dyDescent="0.25">
      <c r="B74" s="223">
        <f>'DATA SHEET'!$B172</f>
        <v>45474</v>
      </c>
      <c r="C74" s="226">
        <f>'DATA SHEET'!$E172</f>
        <v>21894.55</v>
      </c>
      <c r="D74" s="246">
        <f>'DATA SHEET'!$F172</f>
        <v>8.4635296718684749E-3</v>
      </c>
      <c r="F74" s="230">
        <f>'DATA SHEET'!$C172</f>
        <v>232.73</v>
      </c>
      <c r="G74" s="246">
        <f>'DATA SHEET'!$D172</f>
        <v>1.9404292597459349E-2</v>
      </c>
    </row>
    <row r="75" spans="2:7" x14ac:dyDescent="0.25">
      <c r="B75" s="223" t="str">
        <f>'DATA SHEET'!$B173</f>
        <v>31-12-2023</v>
      </c>
      <c r="C75" s="226">
        <f>'DATA SHEET'!$E173</f>
        <v>21710.799999999999</v>
      </c>
      <c r="D75" s="246">
        <f>'DATA SHEET'!$F173</f>
        <v>-9.479370864280412E-4</v>
      </c>
      <c r="F75" s="230">
        <f>'DATA SHEET'!$C173</f>
        <v>228.3</v>
      </c>
      <c r="G75" s="246">
        <f>'DATA SHEET'!$D173</f>
        <v>-3.1190324633991073E-2</v>
      </c>
    </row>
    <row r="76" spans="2:7" x14ac:dyDescent="0.25">
      <c r="B76" s="223" t="str">
        <f>'DATA SHEET'!$B174</f>
        <v>24-12-2023</v>
      </c>
      <c r="C76" s="226">
        <f>'DATA SHEET'!$E174</f>
        <v>21731.4</v>
      </c>
      <c r="D76" s="246">
        <f>'DATA SHEET'!$F174</f>
        <v>1.7892774504201459E-2</v>
      </c>
      <c r="F76" s="230">
        <f>'DATA SHEET'!$C174</f>
        <v>235.65</v>
      </c>
      <c r="G76" s="246">
        <f>'DATA SHEET'!$D174</f>
        <v>1.8718658135915778E-2</v>
      </c>
    </row>
    <row r="77" spans="2:7" x14ac:dyDescent="0.25">
      <c r="B77" s="223" t="str">
        <f>'DATA SHEET'!$B175</f>
        <v>17-12-2023</v>
      </c>
      <c r="C77" s="226">
        <f>'DATA SHEET'!$E175</f>
        <v>21349.4</v>
      </c>
      <c r="D77" s="246">
        <f>'DATA SHEET'!$F175</f>
        <v>-4.9984503638732525E-3</v>
      </c>
      <c r="F77" s="230">
        <f>'DATA SHEET'!$C175</f>
        <v>231.32</v>
      </c>
      <c r="G77" s="246">
        <f>'DATA SHEET'!$D175</f>
        <v>3.6055000671832316E-2</v>
      </c>
    </row>
    <row r="78" spans="2:7" x14ac:dyDescent="0.25">
      <c r="B78" s="223">
        <f>'DATA SHEET'!$B176</f>
        <v>45211</v>
      </c>
      <c r="C78" s="226">
        <f>'DATA SHEET'!$E176</f>
        <v>21456.65</v>
      </c>
      <c r="D78" s="246">
        <f>'DATA SHEET'!$F176</f>
        <v>2.3236239472755438E-2</v>
      </c>
      <c r="F78" s="230">
        <f>'DATA SHEET'!$C176</f>
        <v>223.27</v>
      </c>
      <c r="G78" s="246">
        <f>'DATA SHEET'!$D176</f>
        <v>5.6649313771888199E-2</v>
      </c>
    </row>
    <row r="79" spans="2:7" x14ac:dyDescent="0.25">
      <c r="B79" s="223">
        <f>'DATA SHEET'!$B177</f>
        <v>44997</v>
      </c>
      <c r="C79" s="226">
        <f>'DATA SHEET'!$E177</f>
        <v>20969.400000000001</v>
      </c>
      <c r="D79" s="246">
        <f>'DATA SHEET'!$F177</f>
        <v>3.4611380557433069E-2</v>
      </c>
      <c r="F79" s="230">
        <f>'DATA SHEET'!$C177</f>
        <v>211.3</v>
      </c>
      <c r="G79" s="246">
        <f>'DATA SHEET'!$D177</f>
        <v>3.6699048179766658E-2</v>
      </c>
    </row>
    <row r="80" spans="2:7" x14ac:dyDescent="0.25">
      <c r="B80" s="223" t="str">
        <f>'DATA SHEET'!$B178</f>
        <v>26-11-2023</v>
      </c>
      <c r="C80" s="226">
        <f>'DATA SHEET'!$E178</f>
        <v>20267.900000000001</v>
      </c>
      <c r="D80" s="246">
        <f>'DATA SHEET'!$F178</f>
        <v>2.3905388816198414E-2</v>
      </c>
      <c r="F80" s="230">
        <f>'DATA SHEET'!$C178</f>
        <v>203.82</v>
      </c>
      <c r="G80" s="246">
        <f>'DATA SHEET'!$D178</f>
        <v>2.9393939393939306E-2</v>
      </c>
    </row>
    <row r="81" spans="2:7" x14ac:dyDescent="0.25">
      <c r="B81" s="223" t="str">
        <f>'DATA SHEET'!$B179</f>
        <v>19-11-2023</v>
      </c>
      <c r="C81" s="226">
        <f>'DATA SHEET'!$E179</f>
        <v>19794.7</v>
      </c>
      <c r="D81" s="246">
        <f>'DATA SHEET'!$F179</f>
        <v>3.1877476966115648E-3</v>
      </c>
      <c r="F81" s="230">
        <f>'DATA SHEET'!$C179</f>
        <v>198</v>
      </c>
      <c r="G81" s="246">
        <f>'DATA SHEET'!$D179</f>
        <v>1.5174506828528056E-3</v>
      </c>
    </row>
    <row r="82" spans="2:7" x14ac:dyDescent="0.25">
      <c r="B82" s="223">
        <f>'DATA SHEET'!$B180</f>
        <v>45271</v>
      </c>
      <c r="C82" s="226">
        <f>'DATA SHEET'!$E180</f>
        <v>19731.8</v>
      </c>
      <c r="D82" s="246">
        <f>'DATA SHEET'!$F180</f>
        <v>1.5775777527818002E-2</v>
      </c>
      <c r="F82" s="230">
        <f>'DATA SHEET'!$C180</f>
        <v>197.7</v>
      </c>
      <c r="G82" s="246">
        <f>'DATA SHEET'!$D180</f>
        <v>4.2446612180332188E-2</v>
      </c>
    </row>
    <row r="83" spans="2:7" x14ac:dyDescent="0.25">
      <c r="B83" s="223">
        <f>'DATA SHEET'!$B181</f>
        <v>45057</v>
      </c>
      <c r="C83" s="226">
        <f>'DATA SHEET'!$E181</f>
        <v>19425.349999999999</v>
      </c>
      <c r="D83" s="246">
        <f>'DATA SHEET'!$F181</f>
        <v>1.0127089118384225E-2</v>
      </c>
      <c r="F83" s="230">
        <f>'DATA SHEET'!$C181</f>
        <v>189.65</v>
      </c>
      <c r="G83" s="246">
        <f>'DATA SHEET'!$D181</f>
        <v>-1.1054909527037582E-2</v>
      </c>
    </row>
    <row r="84" spans="2:7" x14ac:dyDescent="0.25">
      <c r="B84" s="223" t="str">
        <f>'DATA SHEET'!$B182</f>
        <v>29-10-2023</v>
      </c>
      <c r="C84" s="226">
        <f>'DATA SHEET'!$E182</f>
        <v>19230.599999999999</v>
      </c>
      <c r="D84" s="246">
        <f>'DATA SHEET'!$F182</f>
        <v>9.6260615049414966E-3</v>
      </c>
      <c r="F84" s="230">
        <f>'DATA SHEET'!$C182</f>
        <v>191.77</v>
      </c>
      <c r="G84" s="246">
        <f>'DATA SHEET'!$D182</f>
        <v>3.086096872057853E-3</v>
      </c>
    </row>
    <row r="85" spans="2:7" x14ac:dyDescent="0.25">
      <c r="B85" s="223" t="str">
        <f>'DATA SHEET'!$B183</f>
        <v>22-10-2023</v>
      </c>
      <c r="C85" s="226">
        <f>'DATA SHEET'!$E183</f>
        <v>19047.25</v>
      </c>
      <c r="D85" s="246">
        <f>'DATA SHEET'!$F183</f>
        <v>-2.5349683896503383E-2</v>
      </c>
      <c r="F85" s="230">
        <f>'DATA SHEET'!$C183</f>
        <v>191.18</v>
      </c>
      <c r="G85" s="246">
        <f>'DATA SHEET'!$D183</f>
        <v>-2.4243352217628744E-2</v>
      </c>
    </row>
    <row r="86" spans="2:7" x14ac:dyDescent="0.25">
      <c r="B86" s="223" t="str">
        <f>'DATA SHEET'!$B184</f>
        <v>15-10-2023</v>
      </c>
      <c r="C86" s="226">
        <f>'DATA SHEET'!$E184</f>
        <v>19542.650000000001</v>
      </c>
      <c r="D86" s="246">
        <f>'DATA SHEET'!$F184</f>
        <v>-1.0551337776978809E-2</v>
      </c>
      <c r="F86" s="230">
        <f>'DATA SHEET'!$C184</f>
        <v>195.93</v>
      </c>
      <c r="G86" s="246">
        <f>'DATA SHEET'!$D184</f>
        <v>-4.6662125340599436E-2</v>
      </c>
    </row>
    <row r="87" spans="2:7" x14ac:dyDescent="0.25">
      <c r="B87" s="223">
        <f>'DATA SHEET'!$B185</f>
        <v>45148</v>
      </c>
      <c r="C87" s="226">
        <f>'DATA SHEET'!$E185</f>
        <v>19751.05</v>
      </c>
      <c r="D87" s="246">
        <f>'DATA SHEET'!$F185</f>
        <v>4.9634925076957881E-3</v>
      </c>
      <c r="F87" s="230">
        <f>'DATA SHEET'!$C185</f>
        <v>205.52</v>
      </c>
      <c r="G87" s="246">
        <f>'DATA SHEET'!$D185</f>
        <v>7.7967930172118116E-3</v>
      </c>
    </row>
    <row r="88" spans="2:7" x14ac:dyDescent="0.25">
      <c r="B88" s="223">
        <f>'DATA SHEET'!$B186</f>
        <v>44936</v>
      </c>
      <c r="C88" s="226">
        <f>'DATA SHEET'!$E186</f>
        <v>19653.5</v>
      </c>
      <c r="D88" s="246">
        <f>'DATA SHEET'!$F186</f>
        <v>7.7399774929598486E-4</v>
      </c>
      <c r="F88" s="230">
        <f>'DATA SHEET'!$C186</f>
        <v>203.93</v>
      </c>
      <c r="G88" s="246">
        <f>'DATA SHEET'!$D186</f>
        <v>4.4823170131020884E-3</v>
      </c>
    </row>
    <row r="89" spans="2:7" x14ac:dyDescent="0.25">
      <c r="B89" s="223" t="str">
        <f>'DATA SHEET'!$B187</f>
        <v>24-09-2023</v>
      </c>
      <c r="C89" s="226">
        <f>'DATA SHEET'!$E187</f>
        <v>19638.3</v>
      </c>
      <c r="D89" s="246">
        <f>'DATA SHEET'!$F187</f>
        <v>-1.8272615220402688E-3</v>
      </c>
      <c r="F89" s="230">
        <f>'DATA SHEET'!$C187</f>
        <v>203.02</v>
      </c>
      <c r="G89" s="246">
        <f>'DATA SHEET'!$D187</f>
        <v>-2.9772998805256856E-2</v>
      </c>
    </row>
    <row r="90" spans="2:7" x14ac:dyDescent="0.25">
      <c r="B90" s="223" t="str">
        <f>'DATA SHEET'!$B188</f>
        <v>17-09-2023</v>
      </c>
      <c r="C90" s="226">
        <f>'DATA SHEET'!$E188</f>
        <v>19674.25</v>
      </c>
      <c r="D90" s="246">
        <f>'DATA SHEET'!$F188</f>
        <v>-2.5658231954180599E-2</v>
      </c>
      <c r="F90" s="230">
        <f>'DATA SHEET'!$C188</f>
        <v>209.25</v>
      </c>
      <c r="G90" s="246">
        <f>'DATA SHEET'!$D188</f>
        <v>-5.1106475603119983E-2</v>
      </c>
    </row>
    <row r="91" spans="2:7" x14ac:dyDescent="0.25">
      <c r="B91" s="223">
        <f>'DATA SHEET'!$B189</f>
        <v>45208</v>
      </c>
      <c r="C91" s="226">
        <f>'DATA SHEET'!$E189</f>
        <v>20192.349999999999</v>
      </c>
      <c r="D91" s="246">
        <f>'DATA SHEET'!$F189</f>
        <v>1.8789149316723597E-2</v>
      </c>
      <c r="F91" s="230">
        <f>'DATA SHEET'!$C189</f>
        <v>220.52</v>
      </c>
      <c r="G91" s="246">
        <f>'DATA SHEET'!$D189</f>
        <v>2.5674418604651139E-2</v>
      </c>
    </row>
    <row r="92" spans="2:7" x14ac:dyDescent="0.25">
      <c r="B92" s="223">
        <f>'DATA SHEET'!$B190</f>
        <v>44994</v>
      </c>
      <c r="C92" s="226">
        <f>'DATA SHEET'!$E190</f>
        <v>19819.95</v>
      </c>
      <c r="D92" s="246">
        <f>'DATA SHEET'!$F190</f>
        <v>1.9791307569216876E-2</v>
      </c>
      <c r="F92" s="230">
        <f>'DATA SHEET'!$C190</f>
        <v>215</v>
      </c>
      <c r="G92" s="246">
        <f>'DATA SHEET'!$D190</f>
        <v>3.2760111442021289E-2</v>
      </c>
    </row>
    <row r="93" spans="2:7" x14ac:dyDescent="0.25">
      <c r="B93" s="223" t="str">
        <f>'DATA SHEET'!$B191</f>
        <v>27-08-2023</v>
      </c>
      <c r="C93" s="226">
        <f>'DATA SHEET'!$E191</f>
        <v>19435.3</v>
      </c>
      <c r="D93" s="246">
        <f>'DATA SHEET'!$F191</f>
        <v>8.7979736112697715E-3</v>
      </c>
      <c r="F93" s="230">
        <f>'DATA SHEET'!$C191</f>
        <v>208.18</v>
      </c>
      <c r="G93" s="246">
        <f>'DATA SHEET'!$D191</f>
        <v>1.6255796924579125E-2</v>
      </c>
    </row>
    <row r="94" spans="2:7" x14ac:dyDescent="0.25">
      <c r="B94" s="223" t="str">
        <f>'DATA SHEET'!$B192</f>
        <v>20-08-2023</v>
      </c>
      <c r="C94" s="226">
        <f>'DATA SHEET'!$E192</f>
        <v>19265.8</v>
      </c>
      <c r="D94" s="246">
        <f>'DATA SHEET'!$F192</f>
        <v>-2.2967196008317758E-3</v>
      </c>
      <c r="F94" s="230">
        <f>'DATA SHEET'!$C192</f>
        <v>204.85</v>
      </c>
      <c r="G94" s="246">
        <f>'DATA SHEET'!$D192</f>
        <v>-4.8579062424095598E-3</v>
      </c>
    </row>
    <row r="95" spans="2:7" x14ac:dyDescent="0.25">
      <c r="B95" s="223" t="str">
        <f>'DATA SHEET'!$B193</f>
        <v>13-08-2023</v>
      </c>
      <c r="C95" s="226">
        <f>'DATA SHEET'!$E193</f>
        <v>19310.150000000001</v>
      </c>
      <c r="D95" s="246">
        <f>'DATA SHEET'!$F193</f>
        <v>-6.0813349598265454E-3</v>
      </c>
      <c r="F95" s="230">
        <f>'DATA SHEET'!$C193</f>
        <v>205.85</v>
      </c>
      <c r="G95" s="246">
        <f>'DATA SHEET'!$D193</f>
        <v>-3.2442378462135268E-3</v>
      </c>
    </row>
    <row r="96" spans="2:7" x14ac:dyDescent="0.25">
      <c r="B96" s="223">
        <f>'DATA SHEET'!$B194</f>
        <v>45085</v>
      </c>
      <c r="C96" s="226">
        <f>'DATA SHEET'!$E194</f>
        <v>19428.3</v>
      </c>
      <c r="D96" s="246">
        <f>'DATA SHEET'!$F194</f>
        <v>-4.5447558538710409E-3</v>
      </c>
      <c r="F96" s="230">
        <f>'DATA SHEET'!$C194</f>
        <v>206.52</v>
      </c>
      <c r="G96" s="246">
        <f>'DATA SHEET'!$D194</f>
        <v>1.0223548402876315E-2</v>
      </c>
    </row>
    <row r="97" spans="2:7" x14ac:dyDescent="0.25">
      <c r="B97" s="223" t="str">
        <f>'DATA SHEET'!$B195</f>
        <v>30-07-2023</v>
      </c>
      <c r="C97" s="226">
        <f>'DATA SHEET'!$E195</f>
        <v>19517</v>
      </c>
      <c r="D97" s="246">
        <f>'DATA SHEET'!$F195</f>
        <v>-6.568750461288575E-3</v>
      </c>
      <c r="F97" s="230">
        <f>'DATA SHEET'!$C195</f>
        <v>204.43</v>
      </c>
      <c r="G97" s="246">
        <f>'DATA SHEET'!$D195</f>
        <v>2.5328518407061962E-2</v>
      </c>
    </row>
    <row r="98" spans="2:7" x14ac:dyDescent="0.25">
      <c r="B98" s="223" t="str">
        <f>'DATA SHEET'!$B196</f>
        <v>23-07-2023</v>
      </c>
      <c r="C98" s="226">
        <f>'DATA SHEET'!$E196</f>
        <v>19646.05</v>
      </c>
      <c r="D98" s="246">
        <f>'DATA SHEET'!$F196</f>
        <v>-5.0113952899468739E-3</v>
      </c>
      <c r="F98" s="230">
        <f>'DATA SHEET'!$C196</f>
        <v>199.38</v>
      </c>
      <c r="G98" s="246">
        <f>'DATA SHEET'!$D196</f>
        <v>-1.4677538917716837E-2</v>
      </c>
    </row>
    <row r="99" spans="2:7" x14ac:dyDescent="0.25">
      <c r="B99" s="223" t="str">
        <f>'DATA SHEET'!$B197</f>
        <v>16-07-2023</v>
      </c>
      <c r="C99" s="226">
        <f>'DATA SHEET'!$E197</f>
        <v>19745</v>
      </c>
      <c r="D99" s="246">
        <f>'DATA SHEET'!$F197</f>
        <v>9.225893838329613E-3</v>
      </c>
      <c r="F99" s="230">
        <f>'DATA SHEET'!$C197</f>
        <v>202.35</v>
      </c>
      <c r="G99" s="246">
        <f>'DATA SHEET'!$D197</f>
        <v>-8.3942326683794644E-4</v>
      </c>
    </row>
    <row r="100" spans="2:7" x14ac:dyDescent="0.25">
      <c r="B100" s="223">
        <f>'DATA SHEET'!$B198</f>
        <v>45176</v>
      </c>
      <c r="C100" s="226">
        <f>'DATA SHEET'!$E198</f>
        <v>19564.5</v>
      </c>
      <c r="D100" s="246">
        <f>'DATA SHEET'!$F198</f>
        <v>1.2037161567986399E-2</v>
      </c>
      <c r="F100" s="230">
        <f>'DATA SHEET'!$C198</f>
        <v>202.52</v>
      </c>
      <c r="G100" s="246">
        <f>'DATA SHEET'!$D198</f>
        <v>2.3190016672560931E-2</v>
      </c>
    </row>
    <row r="101" spans="2:7" x14ac:dyDescent="0.25">
      <c r="B101" s="223">
        <f>'DATA SHEET'!$B199</f>
        <v>44964</v>
      </c>
      <c r="C101" s="226">
        <f>'DATA SHEET'!$E199</f>
        <v>19331.8</v>
      </c>
      <c r="D101" s="246">
        <f>'DATA SHEET'!$F199</f>
        <v>7.4391384669902916E-3</v>
      </c>
      <c r="F101" s="230">
        <f>'DATA SHEET'!$C199</f>
        <v>197.93</v>
      </c>
      <c r="G101" s="246">
        <f>'DATA SHEET'!$D199</f>
        <v>1.7268849257336738E-2</v>
      </c>
    </row>
    <row r="102" spans="2:7" x14ac:dyDescent="0.25">
      <c r="B102" s="223" t="str">
        <f>'DATA SHEET'!$B200</f>
        <v>25-06-2023</v>
      </c>
      <c r="C102" s="226">
        <f>'DATA SHEET'!$E200</f>
        <v>19189.05</v>
      </c>
      <c r="D102" s="246">
        <f>'DATA SHEET'!$F200</f>
        <v>2.8049074495727355E-2</v>
      </c>
      <c r="F102" s="230">
        <f>'DATA SHEET'!$C200</f>
        <v>194.57</v>
      </c>
      <c r="G102" s="246">
        <f>'DATA SHEET'!$D200</f>
        <v>2.4160437940835999E-2</v>
      </c>
    </row>
    <row r="103" spans="2:7" x14ac:dyDescent="0.25">
      <c r="B103" s="223" t="str">
        <f>'DATA SHEET'!$B201</f>
        <v>18-06-2023</v>
      </c>
      <c r="C103" s="226">
        <f>'DATA SHEET'!$E201</f>
        <v>18665.5</v>
      </c>
      <c r="D103" s="246">
        <f>'DATA SHEET'!$F201</f>
        <v>-8.5254435355359703E-3</v>
      </c>
      <c r="F103" s="230">
        <f>'DATA SHEET'!$C201</f>
        <v>189.98</v>
      </c>
      <c r="G103" s="246">
        <f>'DATA SHEET'!$D201</f>
        <v>-3.514293207448338E-3</v>
      </c>
    </row>
    <row r="104" spans="2:7" x14ac:dyDescent="0.25">
      <c r="B104" s="223">
        <f>'DATA SHEET'!$B202</f>
        <v>45236</v>
      </c>
      <c r="C104" s="226">
        <f>'DATA SHEET'!$E202</f>
        <v>18826</v>
      </c>
      <c r="D104" s="246">
        <f>'DATA SHEET'!$F202</f>
        <v>1.4146115474535925E-2</v>
      </c>
      <c r="F104" s="230">
        <f>'DATA SHEET'!$C202</f>
        <v>190.65</v>
      </c>
      <c r="G104" s="246">
        <f>'DATA SHEET'!$D202</f>
        <v>-4.027183488547692E-2</v>
      </c>
    </row>
    <row r="105" spans="2:7" x14ac:dyDescent="0.25">
      <c r="B105" s="223">
        <f>'DATA SHEET'!$B203</f>
        <v>45022</v>
      </c>
      <c r="C105" s="226">
        <f>'DATA SHEET'!$E203</f>
        <v>18563.400000000001</v>
      </c>
      <c r="D105" s="246">
        <f>'DATA SHEET'!$F203</f>
        <v>1.5808698561032841E-3</v>
      </c>
      <c r="F105" s="230">
        <f>'DATA SHEET'!$C203</f>
        <v>198.65</v>
      </c>
      <c r="G105" s="246">
        <f>'DATA SHEET'!$D203</f>
        <v>-1.8915448439352001E-2</v>
      </c>
    </row>
    <row r="106" spans="2:7" x14ac:dyDescent="0.25">
      <c r="B106" s="223" t="str">
        <f>'DATA SHEET'!$B204</f>
        <v>28-05-2023</v>
      </c>
      <c r="C106" s="226">
        <f>'DATA SHEET'!$E204</f>
        <v>18534.099999999999</v>
      </c>
      <c r="D106" s="246">
        <f>'DATA SHEET'!$F204</f>
        <v>1.8784443777755122E-3</v>
      </c>
      <c r="F106" s="230">
        <f>'DATA SHEET'!$C204</f>
        <v>202.48</v>
      </c>
      <c r="G106" s="246">
        <f>'DATA SHEET'!$D204</f>
        <v>8.1155090863829216E-3</v>
      </c>
    </row>
    <row r="107" spans="2:7" x14ac:dyDescent="0.25">
      <c r="B107" s="223" t="str">
        <f>'DATA SHEET'!$B205</f>
        <v>21-05-2023</v>
      </c>
      <c r="C107" s="226">
        <f>'DATA SHEET'!$E205</f>
        <v>18499.349999999999</v>
      </c>
      <c r="D107" s="246">
        <f>'DATA SHEET'!$F205</f>
        <v>1.6257951811200044E-2</v>
      </c>
      <c r="F107" s="230">
        <f>'DATA SHEET'!$C205</f>
        <v>200.85</v>
      </c>
      <c r="G107" s="246">
        <f>'DATA SHEET'!$D205</f>
        <v>4.013464526152255E-2</v>
      </c>
    </row>
    <row r="108" spans="2:7" x14ac:dyDescent="0.25">
      <c r="B108" s="223" t="str">
        <f>'DATA SHEET'!$B206</f>
        <v>14-05-2023</v>
      </c>
      <c r="C108" s="226">
        <f>'DATA SHEET'!$E206</f>
        <v>18203.400000000001</v>
      </c>
      <c r="D108" s="246">
        <f>'DATA SHEET'!$F206</f>
        <v>-6.0825125035489647E-3</v>
      </c>
      <c r="F108" s="230">
        <f>'DATA SHEET'!$C206</f>
        <v>193.1</v>
      </c>
      <c r="G108" s="246">
        <f>'DATA SHEET'!$D206</f>
        <v>7.6710327193028061E-3</v>
      </c>
    </row>
    <row r="109" spans="2:7" x14ac:dyDescent="0.25">
      <c r="B109" s="223">
        <f>'DATA SHEET'!$B207</f>
        <v>45112</v>
      </c>
      <c r="C109" s="226">
        <f>'DATA SHEET'!$E207</f>
        <v>18314.8</v>
      </c>
      <c r="D109" s="246">
        <f>'DATA SHEET'!$F207</f>
        <v>1.3603409153799317E-2</v>
      </c>
      <c r="F109" s="230">
        <f>'DATA SHEET'!$C207</f>
        <v>191.63</v>
      </c>
      <c r="G109" s="246">
        <f>'DATA SHEET'!$D207</f>
        <v>1.0173958882446099E-2</v>
      </c>
    </row>
    <row r="110" spans="2:7" x14ac:dyDescent="0.25">
      <c r="B110" s="223" t="str">
        <f>'DATA SHEET'!$B208</f>
        <v>30-04-2023</v>
      </c>
      <c r="C110" s="226">
        <f>'DATA SHEET'!$E208</f>
        <v>18069</v>
      </c>
      <c r="D110" s="246">
        <f>'DATA SHEET'!$F208</f>
        <v>2.2142264046509652E-4</v>
      </c>
      <c r="F110" s="230">
        <f>'DATA SHEET'!$C208</f>
        <v>189.7</v>
      </c>
      <c r="G110" s="246">
        <f>'DATA SHEET'!$D208</f>
        <v>-1.4545454545454639E-2</v>
      </c>
    </row>
    <row r="111" spans="2:7" x14ac:dyDescent="0.25">
      <c r="B111" s="223" t="str">
        <f>'DATA SHEET'!$B209</f>
        <v>23-04-2023</v>
      </c>
      <c r="C111" s="226">
        <f>'DATA SHEET'!$E209</f>
        <v>18065</v>
      </c>
      <c r="D111" s="246">
        <f>'DATA SHEET'!$F209</f>
        <v>2.5019788300645995E-2</v>
      </c>
      <c r="F111" s="230">
        <f>'DATA SHEET'!$C209</f>
        <v>192.5</v>
      </c>
      <c r="G111" s="246">
        <f>'DATA SHEET'!$D209</f>
        <v>4.6081947614389662E-2</v>
      </c>
    </row>
    <row r="112" spans="2:7" x14ac:dyDescent="0.25">
      <c r="B112" s="223" t="str">
        <f>'DATA SHEET'!$B210</f>
        <v>16-04-2023</v>
      </c>
      <c r="C112" s="226">
        <f>'DATA SHEET'!$E210</f>
        <v>17624.05</v>
      </c>
      <c r="D112" s="246">
        <f>'DATA SHEET'!$F210</f>
        <v>-1.143986986762402E-2</v>
      </c>
      <c r="F112" s="230">
        <f>'DATA SHEET'!$C210</f>
        <v>184.02</v>
      </c>
      <c r="G112" s="246">
        <f>'DATA SHEET'!$D210</f>
        <v>-7.0594623947861646E-4</v>
      </c>
    </row>
    <row r="113" spans="2:17" x14ac:dyDescent="0.25">
      <c r="B113" s="223">
        <f>'DATA SHEET'!$B211</f>
        <v>45173</v>
      </c>
      <c r="C113" s="226">
        <f>'DATA SHEET'!$E211</f>
        <v>17828</v>
      </c>
      <c r="D113" s="246">
        <f>'DATA SHEET'!$F211</f>
        <v>1.3003468917532901E-2</v>
      </c>
      <c r="F113" s="230">
        <f>'DATA SHEET'!$C211</f>
        <v>184.15</v>
      </c>
      <c r="G113" s="246">
        <f>'DATA SHEET'!$D211</f>
        <v>4.5276020074187517E-3</v>
      </c>
    </row>
    <row r="114" spans="2:17" x14ac:dyDescent="0.25">
      <c r="B114" s="224">
        <f>'DATA SHEET'!$B212</f>
        <v>44961</v>
      </c>
      <c r="C114" s="227">
        <f>'DATA SHEET'!$E212</f>
        <v>17599.150000000001</v>
      </c>
      <c r="D114" s="221"/>
      <c r="F114" s="231">
        <f>'DATA SHEET'!$C212</f>
        <v>183.32</v>
      </c>
      <c r="G114" s="228"/>
    </row>
    <row r="115" spans="2:17" x14ac:dyDescent="0.25">
      <c r="B115" s="206"/>
    </row>
    <row r="116" spans="2:17" x14ac:dyDescent="0.25">
      <c r="B116" s="235"/>
      <c r="C116" s="236"/>
      <c r="D116" s="236"/>
      <c r="E116" s="236"/>
      <c r="F116" s="236"/>
      <c r="G116" s="236"/>
      <c r="H116" s="236"/>
      <c r="I116" s="236"/>
      <c r="J116" s="236"/>
      <c r="K116" s="236"/>
      <c r="L116" s="236"/>
      <c r="M116" s="236"/>
      <c r="N116" s="236"/>
      <c r="O116" s="236"/>
      <c r="P116" s="236"/>
      <c r="Q116" s="236"/>
    </row>
  </sheetData>
  <mergeCells count="9">
    <mergeCell ref="I9:J9"/>
    <mergeCell ref="I12:J12"/>
    <mergeCell ref="I16:J16"/>
    <mergeCell ref="B1:B3"/>
    <mergeCell ref="B6:D6"/>
    <mergeCell ref="F6:G6"/>
    <mergeCell ref="I6:K6"/>
    <mergeCell ref="I8:J8"/>
    <mergeCell ref="C1:Q3"/>
  </mergeCells>
  <pageMargins left="0.7" right="0.7" top="0.75" bottom="0.75" header="0.3" footer="0.3"/>
  <pageSetup scale="31"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16CC-996B-427D-B020-B00A00915BD4}">
  <sheetPr>
    <pageSetUpPr fitToPage="1"/>
  </sheetPr>
  <dimension ref="B1:AT116"/>
  <sheetViews>
    <sheetView zoomScale="70" zoomScaleNormal="70" workbookViewId="0"/>
  </sheetViews>
  <sheetFormatPr defaultColWidth="15.77734375" defaultRowHeight="15" x14ac:dyDescent="0.25"/>
  <cols>
    <col min="1" max="1" width="2" style="1" customWidth="1"/>
    <col min="2" max="2" width="44.77734375" style="1" customWidth="1"/>
    <col min="3" max="16384" width="15.77734375" style="1"/>
  </cols>
  <sheetData>
    <row r="1" spans="2:46" ht="15" customHeight="1" x14ac:dyDescent="0.25">
      <c r="B1" s="974" t="s">
        <v>3336</v>
      </c>
      <c r="C1" s="975" t="s">
        <v>415</v>
      </c>
      <c r="D1" s="975"/>
      <c r="E1" s="975"/>
      <c r="F1" s="975"/>
      <c r="G1" s="975"/>
      <c r="H1" s="975"/>
      <c r="I1" s="975"/>
      <c r="J1" s="975"/>
      <c r="K1" s="975"/>
      <c r="L1" s="975"/>
      <c r="M1" s="975"/>
      <c r="N1" s="975"/>
      <c r="O1" s="975"/>
      <c r="P1" s="975"/>
      <c r="Q1" s="975"/>
      <c r="R1" s="975"/>
      <c r="S1" s="975"/>
      <c r="T1" s="975"/>
      <c r="U1" s="975"/>
      <c r="V1" s="975"/>
      <c r="W1" s="975"/>
      <c r="X1" s="975"/>
      <c r="Y1" s="975"/>
      <c r="Z1" s="975"/>
      <c r="AA1" s="975"/>
      <c r="AB1" s="975"/>
      <c r="AC1" s="975"/>
      <c r="AD1" s="975"/>
      <c r="AE1" s="975"/>
      <c r="AF1" s="975"/>
      <c r="AG1" s="975"/>
      <c r="AH1" s="975"/>
      <c r="AI1" s="975"/>
      <c r="AJ1" s="975"/>
      <c r="AK1" s="975"/>
      <c r="AL1" s="975"/>
      <c r="AM1" s="975"/>
      <c r="AN1" s="975"/>
      <c r="AO1" s="975"/>
      <c r="AP1" s="975"/>
      <c r="AQ1" s="975"/>
      <c r="AR1" s="975"/>
      <c r="AS1" s="975"/>
      <c r="AT1" s="975"/>
    </row>
    <row r="2" spans="2:46" ht="15" customHeight="1" x14ac:dyDescent="0.25">
      <c r="B2" s="974"/>
      <c r="C2" s="975"/>
      <c r="D2" s="975"/>
      <c r="E2" s="975"/>
      <c r="F2" s="975"/>
      <c r="G2" s="975"/>
      <c r="H2" s="975"/>
      <c r="I2" s="975"/>
      <c r="J2" s="975"/>
      <c r="K2" s="975"/>
      <c r="L2" s="975"/>
      <c r="M2" s="975"/>
      <c r="N2" s="975"/>
      <c r="O2" s="975"/>
      <c r="P2" s="975"/>
      <c r="Q2" s="975"/>
      <c r="R2" s="975"/>
      <c r="S2" s="975"/>
      <c r="T2" s="975"/>
      <c r="U2" s="975"/>
      <c r="V2" s="975"/>
      <c r="W2" s="975"/>
      <c r="X2" s="975"/>
      <c r="Y2" s="975"/>
      <c r="Z2" s="975"/>
      <c r="AA2" s="975"/>
      <c r="AB2" s="975"/>
      <c r="AC2" s="975"/>
      <c r="AD2" s="975"/>
      <c r="AE2" s="975"/>
      <c r="AF2" s="975"/>
      <c r="AG2" s="975"/>
      <c r="AH2" s="975"/>
      <c r="AI2" s="975"/>
      <c r="AJ2" s="975"/>
      <c r="AK2" s="975"/>
      <c r="AL2" s="975"/>
      <c r="AM2" s="975"/>
      <c r="AN2" s="975"/>
      <c r="AO2" s="975"/>
      <c r="AP2" s="975"/>
      <c r="AQ2" s="975"/>
      <c r="AR2" s="975"/>
      <c r="AS2" s="975"/>
      <c r="AT2" s="975"/>
    </row>
    <row r="3" spans="2:46" ht="24.6" customHeight="1" x14ac:dyDescent="0.25">
      <c r="B3" s="974"/>
      <c r="C3" s="975"/>
      <c r="D3" s="975"/>
      <c r="E3" s="975"/>
      <c r="F3" s="975"/>
      <c r="G3" s="975"/>
      <c r="H3" s="975"/>
      <c r="I3" s="975"/>
      <c r="J3" s="975"/>
      <c r="K3" s="975"/>
      <c r="L3" s="975"/>
      <c r="M3" s="975"/>
      <c r="N3" s="975"/>
      <c r="O3" s="975"/>
      <c r="P3" s="975"/>
      <c r="Q3" s="975"/>
      <c r="R3" s="975"/>
      <c r="S3" s="975"/>
      <c r="T3" s="975"/>
      <c r="U3" s="975"/>
      <c r="V3" s="975"/>
      <c r="W3" s="975"/>
      <c r="X3" s="975"/>
      <c r="Y3" s="975"/>
      <c r="Z3" s="975"/>
      <c r="AA3" s="975"/>
      <c r="AB3" s="975"/>
      <c r="AC3" s="975"/>
      <c r="AD3" s="975"/>
      <c r="AE3" s="975"/>
      <c r="AF3" s="975"/>
      <c r="AG3" s="975"/>
      <c r="AH3" s="975"/>
      <c r="AI3" s="975"/>
      <c r="AJ3" s="975"/>
      <c r="AK3" s="975"/>
      <c r="AL3" s="975"/>
      <c r="AM3" s="975"/>
      <c r="AN3" s="975"/>
      <c r="AO3" s="975"/>
      <c r="AP3" s="975"/>
      <c r="AQ3" s="975"/>
      <c r="AR3" s="975"/>
      <c r="AS3" s="975"/>
      <c r="AT3" s="975"/>
    </row>
    <row r="4" spans="2:46" ht="28.2" x14ac:dyDescent="0.5">
      <c r="B4" s="38" t="s">
        <v>405</v>
      </c>
      <c r="C4" s="185"/>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row>
    <row r="6" spans="2:46" ht="15.6" x14ac:dyDescent="0.3">
      <c r="B6" s="1006" t="s">
        <v>301</v>
      </c>
      <c r="C6" s="1006"/>
      <c r="D6" s="1006"/>
      <c r="E6" s="205"/>
      <c r="F6" s="1006" t="str">
        <f>WACC!$B$10</f>
        <v>TCS</v>
      </c>
      <c r="G6" s="1006"/>
      <c r="I6" s="1006" t="s">
        <v>306</v>
      </c>
      <c r="J6" s="1006"/>
      <c r="K6" s="1006"/>
      <c r="M6" s="1006" t="str">
        <f>WACC!$B$11</f>
        <v>Infosys</v>
      </c>
      <c r="N6" s="1006"/>
      <c r="P6" s="1006" t="s">
        <v>306</v>
      </c>
      <c r="Q6" s="1006"/>
      <c r="R6" s="1006"/>
      <c r="T6" s="1006" t="str">
        <f>WACC!$B$12</f>
        <v>HCL Technologies</v>
      </c>
      <c r="U6" s="1006"/>
      <c r="W6" s="1006" t="s">
        <v>306</v>
      </c>
      <c r="X6" s="1006"/>
      <c r="Y6" s="1006"/>
      <c r="AA6" s="1006" t="str">
        <f>WACC!$B$13</f>
        <v>LTIMindtree</v>
      </c>
      <c r="AB6" s="1006"/>
      <c r="AD6" s="1006" t="s">
        <v>306</v>
      </c>
      <c r="AE6" s="1006"/>
      <c r="AF6" s="1006"/>
      <c r="AH6" s="1006" t="str">
        <f>WACC!$B$14</f>
        <v>Tech Mahindra</v>
      </c>
      <c r="AI6" s="1006"/>
      <c r="AK6" s="1006" t="s">
        <v>306</v>
      </c>
      <c r="AL6" s="1006"/>
      <c r="AM6" s="1006"/>
      <c r="AO6" s="1006" t="str">
        <f>WACC!$B$15</f>
        <v>Persistent Systems</v>
      </c>
      <c r="AP6" s="1006"/>
      <c r="AR6" s="1006" t="s">
        <v>306</v>
      </c>
      <c r="AS6" s="1006"/>
      <c r="AT6" s="1006"/>
    </row>
    <row r="8" spans="2:46" ht="15.6" x14ac:dyDescent="0.3">
      <c r="B8" s="207" t="s">
        <v>302</v>
      </c>
      <c r="C8" s="208" t="s">
        <v>303</v>
      </c>
      <c r="D8" s="208" t="s">
        <v>304</v>
      </c>
      <c r="E8" s="207"/>
      <c r="F8" s="208" t="s">
        <v>303</v>
      </c>
      <c r="G8" s="208" t="s">
        <v>304</v>
      </c>
      <c r="I8" s="957" t="s">
        <v>307</v>
      </c>
      <c r="J8" s="958"/>
      <c r="K8" s="232">
        <f>SLOPE(G10:G113,$D$10:$D$113)</f>
        <v>0.91383524458325727</v>
      </c>
      <c r="M8" s="208" t="s">
        <v>303</v>
      </c>
      <c r="N8" s="208" t="s">
        <v>304</v>
      </c>
      <c r="P8" s="957" t="s">
        <v>307</v>
      </c>
      <c r="Q8" s="958"/>
      <c r="R8" s="232">
        <f>SLOPE(N10:N113,$D$10:$D$113)</f>
        <v>0.91590607252940426</v>
      </c>
      <c r="T8" s="208" t="s">
        <v>303</v>
      </c>
      <c r="U8" s="208" t="s">
        <v>304</v>
      </c>
      <c r="W8" s="957" t="s">
        <v>307</v>
      </c>
      <c r="X8" s="958"/>
      <c r="Y8" s="232">
        <f>SLOPE(U10:U113,$D$10:$D$113)</f>
        <v>0.89092633637071716</v>
      </c>
      <c r="AA8" s="208" t="s">
        <v>303</v>
      </c>
      <c r="AB8" s="208" t="s">
        <v>304</v>
      </c>
      <c r="AD8" s="957" t="s">
        <v>307</v>
      </c>
      <c r="AE8" s="958"/>
      <c r="AF8" s="232">
        <f>SLOPE(AB10:AB113,$D$10:$D$113)</f>
        <v>1.3031369448293182</v>
      </c>
      <c r="AH8" s="208" t="s">
        <v>303</v>
      </c>
      <c r="AI8" s="208" t="s">
        <v>304</v>
      </c>
      <c r="AK8" s="957" t="s">
        <v>307</v>
      </c>
      <c r="AL8" s="958"/>
      <c r="AM8" s="232">
        <f>SLOPE(AI10:AI113,$D$10:$D$113)</f>
        <v>0.9160463904088878</v>
      </c>
      <c r="AO8" s="208" t="s">
        <v>303</v>
      </c>
      <c r="AP8" s="208" t="s">
        <v>304</v>
      </c>
      <c r="AR8" s="957" t="s">
        <v>307</v>
      </c>
      <c r="AS8" s="958"/>
      <c r="AT8" s="232">
        <f>SLOPE(AP10:AP113,$D$10:$D$113)</f>
        <v>1.0953157962399762</v>
      </c>
    </row>
    <row r="9" spans="2:46" x14ac:dyDescent="0.25">
      <c r="I9" s="1003" t="s">
        <v>308</v>
      </c>
      <c r="J9" s="1004"/>
      <c r="K9" s="221">
        <v>0.75</v>
      </c>
      <c r="P9" s="1003" t="s">
        <v>308</v>
      </c>
      <c r="Q9" s="1004"/>
      <c r="R9" s="221">
        <v>0.75</v>
      </c>
      <c r="W9" s="1003" t="s">
        <v>308</v>
      </c>
      <c r="X9" s="1004"/>
      <c r="Y9" s="221">
        <v>0.75</v>
      </c>
      <c r="AD9" s="1003" t="s">
        <v>308</v>
      </c>
      <c r="AE9" s="1004"/>
      <c r="AF9" s="221">
        <v>0.75</v>
      </c>
      <c r="AK9" s="1003" t="s">
        <v>308</v>
      </c>
      <c r="AL9" s="1004"/>
      <c r="AM9" s="221">
        <v>0.75</v>
      </c>
      <c r="AR9" s="1003" t="s">
        <v>308</v>
      </c>
      <c r="AS9" s="1004"/>
      <c r="AT9" s="221">
        <v>0.75</v>
      </c>
    </row>
    <row r="10" spans="2:46" x14ac:dyDescent="0.25">
      <c r="B10" s="222" t="str">
        <f>'DATA SHEET'!$B108</f>
        <v>30-03-2025</v>
      </c>
      <c r="C10" s="225">
        <f>'DATA SHEET'!$E108</f>
        <v>22904.45</v>
      </c>
      <c r="D10" s="245">
        <f>'DATA SHEET'!$F108</f>
        <v>-2.6144430011883713E-2</v>
      </c>
      <c r="F10" s="225">
        <f>'DATA SHEET'!$G108</f>
        <v>3299.4</v>
      </c>
      <c r="G10" s="245">
        <f>'DATA SHEET'!$H108</f>
        <v>-8.5063017345368364E-2</v>
      </c>
      <c r="M10" s="225">
        <f>'DATA SHEET'!$I108</f>
        <v>1451.65</v>
      </c>
      <c r="N10" s="245">
        <f>'DATA SHEET'!$J108</f>
        <v>-7.5764810747142919E-2</v>
      </c>
      <c r="T10" s="225">
        <f>'DATA SHEET'!$K108</f>
        <v>1422.1</v>
      </c>
      <c r="U10" s="245">
        <f>'DATA SHEET'!$L108</f>
        <v>-0.10700156985871279</v>
      </c>
      <c r="AA10" s="225">
        <f>'DATA SHEET'!$M108</f>
        <v>4136.25</v>
      </c>
      <c r="AB10" s="245">
        <f>'DATA SHEET'!$N108</f>
        <v>-7.9063087935698717E-2</v>
      </c>
      <c r="AH10" s="225">
        <f>'DATA SHEET'!$O108</f>
        <v>1320.95</v>
      </c>
      <c r="AI10" s="245">
        <f>'DATA SHEET'!$P108</f>
        <v>-6.8605676009166228E-2</v>
      </c>
      <c r="AO10" s="225">
        <f>'DATA SHEET'!$Q108</f>
        <v>4609.95</v>
      </c>
      <c r="AP10" s="245">
        <f>'DATA SHEET'!$R108</f>
        <v>-0.16391747902969855</v>
      </c>
    </row>
    <row r="11" spans="2:46" x14ac:dyDescent="0.25">
      <c r="B11" s="223" t="str">
        <f>'DATA SHEET'!$B109</f>
        <v>23-03-2025</v>
      </c>
      <c r="C11" s="226">
        <f>'DATA SHEET'!$E109</f>
        <v>23519.35</v>
      </c>
      <c r="D11" s="246">
        <f>'DATA SHEET'!$F109</f>
        <v>7.2354220912702605E-3</v>
      </c>
      <c r="F11" s="226">
        <f>'DATA SHEET'!$G109</f>
        <v>3606.15</v>
      </c>
      <c r="G11" s="246">
        <f>'DATA SHEET'!$H109</f>
        <v>7.8393560828373676E-3</v>
      </c>
      <c r="I11" s="233" t="s">
        <v>309</v>
      </c>
      <c r="J11" s="234"/>
      <c r="K11" s="232">
        <v>1</v>
      </c>
      <c r="M11" s="226">
        <f>'DATA SHEET'!$I109</f>
        <v>1570.65</v>
      </c>
      <c r="N11" s="246">
        <f>'DATA SHEET'!$J109</f>
        <v>-1.3751530564189429E-2</v>
      </c>
      <c r="P11" s="233" t="s">
        <v>309</v>
      </c>
      <c r="Q11" s="234"/>
      <c r="R11" s="232">
        <v>1</v>
      </c>
      <c r="T11" s="226">
        <f>'DATA SHEET'!$K109</f>
        <v>1592.5</v>
      </c>
      <c r="U11" s="246">
        <f>'DATA SHEET'!$L109</f>
        <v>1.6467734729048278E-2</v>
      </c>
      <c r="W11" s="233" t="s">
        <v>309</v>
      </c>
      <c r="X11" s="234"/>
      <c r="Y11" s="232">
        <v>1</v>
      </c>
      <c r="AA11" s="226">
        <f>'DATA SHEET'!$M109</f>
        <v>4491.3500000000004</v>
      </c>
      <c r="AB11" s="246">
        <f>'DATA SHEET'!$N109</f>
        <v>-6.393451689618912E-3</v>
      </c>
      <c r="AD11" s="233" t="s">
        <v>309</v>
      </c>
      <c r="AE11" s="234"/>
      <c r="AF11" s="232">
        <v>1</v>
      </c>
      <c r="AH11" s="226">
        <f>'DATA SHEET'!$O109</f>
        <v>1418.25</v>
      </c>
      <c r="AI11" s="246">
        <f>'DATA SHEET'!$P109</f>
        <v>6.3863757317721426E-3</v>
      </c>
      <c r="AK11" s="233" t="s">
        <v>309</v>
      </c>
      <c r="AL11" s="234"/>
      <c r="AM11" s="232">
        <v>1</v>
      </c>
      <c r="AO11" s="226">
        <f>'DATA SHEET'!$Q109</f>
        <v>5513.75</v>
      </c>
      <c r="AP11" s="246">
        <f>'DATA SHEET'!$R109</f>
        <v>4.5151690345082374E-2</v>
      </c>
      <c r="AR11" s="233" t="s">
        <v>309</v>
      </c>
      <c r="AS11" s="234"/>
      <c r="AT11" s="232">
        <v>1</v>
      </c>
    </row>
    <row r="12" spans="2:46" x14ac:dyDescent="0.25">
      <c r="B12" s="223" t="str">
        <f>'DATA SHEET'!$B110</f>
        <v>16-03-2025</v>
      </c>
      <c r="C12" s="226">
        <f>'DATA SHEET'!$E110</f>
        <v>23350.400000000001</v>
      </c>
      <c r="D12" s="246">
        <f>'DATA SHEET'!$F110</f>
        <v>4.2558891289982803E-2</v>
      </c>
      <c r="F12" s="226">
        <f>'DATA SHEET'!$G110</f>
        <v>3578.1</v>
      </c>
      <c r="G12" s="246">
        <f>'DATA SHEET'!$H110</f>
        <v>1.9096851369248435E-2</v>
      </c>
      <c r="I12" s="1003" t="s">
        <v>310</v>
      </c>
      <c r="J12" s="1004"/>
      <c r="K12" s="221">
        <f>100%-K9</f>
        <v>0.25</v>
      </c>
      <c r="M12" s="226">
        <f>'DATA SHEET'!$I110</f>
        <v>1592.55</v>
      </c>
      <c r="N12" s="246">
        <f>'DATA SHEET'!$J110</f>
        <v>8.0387378548596455E-3</v>
      </c>
      <c r="P12" s="1003" t="s">
        <v>310</v>
      </c>
      <c r="Q12" s="1004"/>
      <c r="R12" s="221">
        <f>100%-R9</f>
        <v>0.25</v>
      </c>
      <c r="T12" s="226">
        <f>'DATA SHEET'!$K110</f>
        <v>1566.7</v>
      </c>
      <c r="U12" s="246">
        <f>'DATA SHEET'!$L110</f>
        <v>2.0817722756149237E-2</v>
      </c>
      <c r="W12" s="1003" t="s">
        <v>310</v>
      </c>
      <c r="X12" s="1004"/>
      <c r="Y12" s="221">
        <f>100%-Y9</f>
        <v>0.25</v>
      </c>
      <c r="AA12" s="226">
        <f>'DATA SHEET'!$M110</f>
        <v>4520.25</v>
      </c>
      <c r="AB12" s="246">
        <f>'DATA SHEET'!$N110</f>
        <v>1.1909425683616748E-2</v>
      </c>
      <c r="AD12" s="1003" t="s">
        <v>310</v>
      </c>
      <c r="AE12" s="1004"/>
      <c r="AF12" s="221">
        <f>100%-AF9</f>
        <v>0.25</v>
      </c>
      <c r="AH12" s="226">
        <f>'DATA SHEET'!$O110</f>
        <v>1409.25</v>
      </c>
      <c r="AI12" s="246">
        <f>'DATA SHEET'!$P110</f>
        <v>-2.1795717210981169E-2</v>
      </c>
      <c r="AK12" s="1003" t="s">
        <v>310</v>
      </c>
      <c r="AL12" s="1004"/>
      <c r="AM12" s="221">
        <f>100%-AM9</f>
        <v>0.25</v>
      </c>
      <c r="AO12" s="226">
        <f>'DATA SHEET'!$Q110</f>
        <v>5275.55</v>
      </c>
      <c r="AP12" s="246">
        <f>'DATA SHEET'!$R110</f>
        <v>2.9224991464663841E-2</v>
      </c>
      <c r="AR12" s="1003" t="s">
        <v>310</v>
      </c>
      <c r="AS12" s="1004"/>
      <c r="AT12" s="221">
        <f>100%-AT9</f>
        <v>0.25</v>
      </c>
    </row>
    <row r="13" spans="2:46" x14ac:dyDescent="0.25">
      <c r="B13" s="223">
        <f>'DATA SHEET'!$B111</f>
        <v>45903</v>
      </c>
      <c r="C13" s="226">
        <f>'DATA SHEET'!$E111</f>
        <v>22397.200000000001</v>
      </c>
      <c r="D13" s="246">
        <f>'DATA SHEET'!$F111</f>
        <v>-6.8861545283227521E-3</v>
      </c>
      <c r="F13" s="226">
        <f>'DATA SHEET'!$G111</f>
        <v>3511.05</v>
      </c>
      <c r="G13" s="246">
        <f>'DATA SHEET'!$H111</f>
        <v>-2.7733163491360124E-2</v>
      </c>
      <c r="M13" s="226">
        <f>'DATA SHEET'!$I111</f>
        <v>1579.85</v>
      </c>
      <c r="N13" s="246">
        <f>'DATA SHEET'!$J111</f>
        <v>-6.2959667852906298E-2</v>
      </c>
      <c r="T13" s="226">
        <f>'DATA SHEET'!$K111</f>
        <v>1534.75</v>
      </c>
      <c r="U13" s="246">
        <f>'DATA SHEET'!$L111</f>
        <v>-1.4891363650951561E-2</v>
      </c>
      <c r="AA13" s="226">
        <f>'DATA SHEET'!$M111</f>
        <v>4467.05</v>
      </c>
      <c r="AB13" s="246">
        <f>'DATA SHEET'!$N111</f>
        <v>-5.3981935429218808E-2</v>
      </c>
      <c r="AH13" s="226">
        <f>'DATA SHEET'!$O111</f>
        <v>1440.65</v>
      </c>
      <c r="AI13" s="246">
        <f>'DATA SHEET'!$P111</f>
        <v>-3.4643347740141217E-2</v>
      </c>
      <c r="AO13" s="226">
        <f>'DATA SHEET'!$Q111</f>
        <v>5125.75</v>
      </c>
      <c r="AP13" s="246">
        <f>'DATA SHEET'!$R111</f>
        <v>-2.8993331817837475E-2</v>
      </c>
    </row>
    <row r="14" spans="2:46" ht="15.6" x14ac:dyDescent="0.3">
      <c r="B14" s="223">
        <f>'DATA SHEET'!$B112</f>
        <v>45691</v>
      </c>
      <c r="C14" s="226">
        <f>'DATA SHEET'!$E112</f>
        <v>22552.5</v>
      </c>
      <c r="D14" s="246">
        <f>'DATA SHEET'!$F112</f>
        <v>1.9335855401429125E-2</v>
      </c>
      <c r="F14" s="226">
        <f>'DATA SHEET'!$G112</f>
        <v>3611.2</v>
      </c>
      <c r="G14" s="246">
        <f>'DATA SHEET'!$H112</f>
        <v>3.6732936194645793E-2</v>
      </c>
      <c r="I14" s="578" t="s">
        <v>311</v>
      </c>
      <c r="J14" s="579"/>
      <c r="K14" s="577">
        <f>(K8*K9)+(K11*K12)</f>
        <v>0.93537643343744292</v>
      </c>
      <c r="M14" s="226">
        <f>'DATA SHEET'!$I112</f>
        <v>1686</v>
      </c>
      <c r="N14" s="246">
        <f>'DATA SHEET'!$J112</f>
        <v>-1.0072880251229543E-3</v>
      </c>
      <c r="P14" s="578" t="s">
        <v>311</v>
      </c>
      <c r="Q14" s="579"/>
      <c r="R14" s="577">
        <f>(R8*R9)+(R11*R12)</f>
        <v>0.93692955439705317</v>
      </c>
      <c r="T14" s="226">
        <f>'DATA SHEET'!$K112</f>
        <v>1557.95</v>
      </c>
      <c r="U14" s="246">
        <f>'DATA SHEET'!$L112</f>
        <v>-1.0856798196882567E-2</v>
      </c>
      <c r="W14" s="578" t="s">
        <v>311</v>
      </c>
      <c r="X14" s="579"/>
      <c r="Y14" s="577">
        <f>(Y8*Y9)+(Y11*Y12)</f>
        <v>0.91819475227803782</v>
      </c>
      <c r="AA14" s="226">
        <f>'DATA SHEET'!$M112</f>
        <v>4721.95</v>
      </c>
      <c r="AB14" s="246">
        <f>'DATA SHEET'!$N112</f>
        <v>1.2001843140196478E-2</v>
      </c>
      <c r="AD14" s="578" t="s">
        <v>311</v>
      </c>
      <c r="AE14" s="579"/>
      <c r="AF14" s="577">
        <f>(AF8*AF9)+(AF11*AF12)</f>
        <v>1.2273527086219886</v>
      </c>
      <c r="AH14" s="226">
        <f>'DATA SHEET'!$O112</f>
        <v>1492.35</v>
      </c>
      <c r="AI14" s="246">
        <f>'DATA SHEET'!$P112</f>
        <v>3.0244984373424266E-3</v>
      </c>
      <c r="AK14" s="578" t="s">
        <v>311</v>
      </c>
      <c r="AL14" s="579"/>
      <c r="AM14" s="577">
        <f>(AM8*AM9)+(AM11*AM12)</f>
        <v>0.93703479280666579</v>
      </c>
      <c r="AO14" s="226">
        <f>'DATA SHEET'!$Q112</f>
        <v>5278.8</v>
      </c>
      <c r="AP14" s="246">
        <f>'DATA SHEET'!$R112</f>
        <v>-4.7323667489959087E-3</v>
      </c>
      <c r="AR14" s="578" t="s">
        <v>311</v>
      </c>
      <c r="AS14" s="579"/>
      <c r="AT14" s="577">
        <f>(AT8*AT9)+(AT11*AT12)</f>
        <v>1.0714868471799821</v>
      </c>
    </row>
    <row r="15" spans="2:46" x14ac:dyDescent="0.25">
      <c r="B15" s="223" t="str">
        <f>'DATA SHEET'!$B113</f>
        <v>23-02-2025</v>
      </c>
      <c r="C15" s="226">
        <f>'DATA SHEET'!$E113</f>
        <v>22124.7</v>
      </c>
      <c r="D15" s="246">
        <f>'DATA SHEET'!$F113</f>
        <v>-2.9443891226053842E-2</v>
      </c>
      <c r="F15" s="226">
        <f>'DATA SHEET'!$G113</f>
        <v>3483.25</v>
      </c>
      <c r="G15" s="246">
        <f>'DATA SHEET'!$H113</f>
        <v>-7.9965662968832563E-2</v>
      </c>
      <c r="M15" s="226">
        <f>'DATA SHEET'!$I113</f>
        <v>1687.7</v>
      </c>
      <c r="N15" s="246">
        <f>'DATA SHEET'!$J113</f>
        <v>-7.0137741046831903E-2</v>
      </c>
      <c r="T15" s="226">
        <f>'DATA SHEET'!$K113</f>
        <v>1575.05</v>
      </c>
      <c r="U15" s="246">
        <f>'DATA SHEET'!$L113</f>
        <v>-7.3881342976421571E-2</v>
      </c>
      <c r="AA15" s="226">
        <f>'DATA SHEET'!$M113</f>
        <v>4665.95</v>
      </c>
      <c r="AB15" s="246">
        <f>'DATA SHEET'!$N113</f>
        <v>-0.11938284420118905</v>
      </c>
      <c r="AH15" s="226">
        <f>'DATA SHEET'!$O113</f>
        <v>1487.85</v>
      </c>
      <c r="AI15" s="246">
        <f>'DATA SHEET'!$P113</f>
        <v>-9.7999393755683561E-2</v>
      </c>
      <c r="AO15" s="226">
        <f>'DATA SHEET'!$Q113</f>
        <v>5303.9</v>
      </c>
      <c r="AP15" s="246">
        <f>'DATA SHEET'!$R113</f>
        <v>-7.1169640824475189E-2</v>
      </c>
    </row>
    <row r="16" spans="2:46" ht="15.6" x14ac:dyDescent="0.3">
      <c r="B16" s="223" t="str">
        <f>'DATA SHEET'!$B114</f>
        <v>16-02-2025</v>
      </c>
      <c r="C16" s="226">
        <f>'DATA SHEET'!$E114</f>
        <v>22795.9</v>
      </c>
      <c r="D16" s="246">
        <f>'DATA SHEET'!$F114</f>
        <v>-5.8157157342695331E-3</v>
      </c>
      <c r="F16" s="226">
        <f>'DATA SHEET'!$G114</f>
        <v>3786</v>
      </c>
      <c r="G16" s="246">
        <f>'DATA SHEET'!$H114</f>
        <v>-3.7828633874226414E-2</v>
      </c>
      <c r="I16" s="244" t="s">
        <v>408</v>
      </c>
      <c r="J16" s="244"/>
      <c r="K16" s="244"/>
      <c r="M16" s="226">
        <f>'DATA SHEET'!$I114</f>
        <v>1815</v>
      </c>
      <c r="N16" s="246">
        <f>'DATA SHEET'!$J114</f>
        <v>-2.2301228183581157E-2</v>
      </c>
      <c r="P16" s="244" t="s">
        <v>408</v>
      </c>
      <c r="Q16" s="244"/>
      <c r="R16" s="244"/>
      <c r="T16" s="226">
        <f>'DATA SHEET'!$K114</f>
        <v>1700.7</v>
      </c>
      <c r="U16" s="246">
        <f>'DATA SHEET'!$L114</f>
        <v>-6.1650840029218168E-3</v>
      </c>
      <c r="W16" s="244" t="s">
        <v>408</v>
      </c>
      <c r="X16" s="244"/>
      <c r="Y16" s="244"/>
      <c r="AA16" s="226">
        <f>'DATA SHEET'!$M114</f>
        <v>5298.5</v>
      </c>
      <c r="AB16" s="246">
        <f>'DATA SHEET'!$N114</f>
        <v>-3.8663908846795936E-2</v>
      </c>
      <c r="AD16" s="244" t="s">
        <v>408</v>
      </c>
      <c r="AE16" s="244"/>
      <c r="AF16" s="244"/>
      <c r="AH16" s="226">
        <f>'DATA SHEET'!$O114</f>
        <v>1649.5</v>
      </c>
      <c r="AI16" s="246">
        <f>'DATA SHEET'!$P114</f>
        <v>-5.7862696642757561E-3</v>
      </c>
      <c r="AK16" s="244" t="s">
        <v>408</v>
      </c>
      <c r="AL16" s="244"/>
      <c r="AM16" s="244"/>
      <c r="AO16" s="226">
        <f>'DATA SHEET'!$Q114</f>
        <v>5710.3</v>
      </c>
      <c r="AP16" s="246">
        <f>'DATA SHEET'!$R114</f>
        <v>2.6533877433620345E-2</v>
      </c>
      <c r="AR16" s="244" t="s">
        <v>408</v>
      </c>
      <c r="AS16" s="244"/>
      <c r="AT16" s="244"/>
    </row>
    <row r="17" spans="2:46" ht="15.6" x14ac:dyDescent="0.3">
      <c r="B17" s="223">
        <f>'DATA SHEET'!$B115</f>
        <v>45902</v>
      </c>
      <c r="C17" s="226">
        <f>'DATA SHEET'!$E115</f>
        <v>22929.25</v>
      </c>
      <c r="D17" s="246">
        <f>'DATA SHEET'!$F115</f>
        <v>-2.6770005878620329E-2</v>
      </c>
      <c r="F17" s="226">
        <f>'DATA SHEET'!$G115</f>
        <v>3934.85</v>
      </c>
      <c r="G17" s="246">
        <f>'DATA SHEET'!$H115</f>
        <v>-2.3465032014692078E-2</v>
      </c>
      <c r="I17" s="1005" t="s">
        <v>409</v>
      </c>
      <c r="J17" s="1005"/>
      <c r="K17" s="1005"/>
      <c r="M17" s="226">
        <f>'DATA SHEET'!$I115</f>
        <v>1856.4</v>
      </c>
      <c r="N17" s="246">
        <f>'DATA SHEET'!$J115</f>
        <v>-2.4820739106453438E-2</v>
      </c>
      <c r="P17" s="1005" t="s">
        <v>409</v>
      </c>
      <c r="Q17" s="1005"/>
      <c r="R17" s="1005"/>
      <c r="T17" s="226">
        <f>'DATA SHEET'!$K115</f>
        <v>1711.25</v>
      </c>
      <c r="U17" s="246">
        <f>'DATA SHEET'!$L115</f>
        <v>-8.3446817141367147E-3</v>
      </c>
      <c r="W17" s="1005" t="s">
        <v>409</v>
      </c>
      <c r="X17" s="1005"/>
      <c r="Y17" s="1005"/>
      <c r="AA17" s="226">
        <f>'DATA SHEET'!$M115</f>
        <v>5511.6</v>
      </c>
      <c r="AB17" s="246">
        <f>'DATA SHEET'!$N115</f>
        <v>-7.4707047644629432E-2</v>
      </c>
      <c r="AD17" s="1005" t="s">
        <v>409</v>
      </c>
      <c r="AE17" s="1005"/>
      <c r="AF17" s="1005"/>
      <c r="AH17" s="226">
        <f>'DATA SHEET'!$O115</f>
        <v>1659.1</v>
      </c>
      <c r="AI17" s="246">
        <f>'DATA SHEET'!$P115</f>
        <v>-1.9502393475562929E-2</v>
      </c>
      <c r="AK17" s="1005" t="s">
        <v>409</v>
      </c>
      <c r="AL17" s="1005"/>
      <c r="AM17" s="1005"/>
      <c r="AO17" s="226">
        <f>'DATA SHEET'!$Q115</f>
        <v>5562.7</v>
      </c>
      <c r="AP17" s="246">
        <f>'DATA SHEET'!$R115</f>
        <v>-0.110551478230281</v>
      </c>
      <c r="AR17" s="1005" t="s">
        <v>409</v>
      </c>
      <c r="AS17" s="1005"/>
      <c r="AT17" s="1005"/>
    </row>
    <row r="18" spans="2:46" x14ac:dyDescent="0.25">
      <c r="B18" s="223">
        <f>'DATA SHEET'!$B116</f>
        <v>45690</v>
      </c>
      <c r="C18" s="226">
        <f>'DATA SHEET'!$E116</f>
        <v>23559.95</v>
      </c>
      <c r="D18" s="246">
        <f>'DATA SHEET'!$F116</f>
        <v>2.1928332000475947E-3</v>
      </c>
      <c r="F18" s="226">
        <f>'DATA SHEET'!$G116</f>
        <v>4029.4</v>
      </c>
      <c r="G18" s="246">
        <f>'DATA SHEET'!$H116</f>
        <v>-2.0182861589339463E-2</v>
      </c>
      <c r="M18" s="226">
        <f>'DATA SHEET'!$I116</f>
        <v>1903.65</v>
      </c>
      <c r="N18" s="246">
        <f>'DATA SHEET'!$J116</f>
        <v>1.2687519948930914E-2</v>
      </c>
      <c r="T18" s="226">
        <f>'DATA SHEET'!$K116</f>
        <v>1725.65</v>
      </c>
      <c r="U18" s="246">
        <f>'DATA SHEET'!$L116</f>
        <v>1.159117911269103E-4</v>
      </c>
      <c r="AA18" s="226">
        <f>'DATA SHEET'!$M116</f>
        <v>5956.6</v>
      </c>
      <c r="AB18" s="246">
        <f>'DATA SHEET'!$N116</f>
        <v>7.1777009375819656E-3</v>
      </c>
      <c r="AH18" s="226">
        <f>'DATA SHEET'!$O116</f>
        <v>1692.1</v>
      </c>
      <c r="AI18" s="246">
        <f>'DATA SHEET'!$P116</f>
        <v>1.0540774582698642E-2</v>
      </c>
      <c r="AO18" s="226">
        <f>'DATA SHEET'!$Q116</f>
        <v>6254.1</v>
      </c>
      <c r="AP18" s="246">
        <f>'DATA SHEET'!$R116</f>
        <v>3.6717170042767533E-2</v>
      </c>
    </row>
    <row r="19" spans="2:46" x14ac:dyDescent="0.25">
      <c r="B19" s="223" t="str">
        <f>'DATA SHEET'!$B117</f>
        <v>26-01-2025</v>
      </c>
      <c r="C19" s="226">
        <f>'DATA SHEET'!$E117</f>
        <v>23508.400000000001</v>
      </c>
      <c r="D19" s="246">
        <f>'DATA SHEET'!$F117</f>
        <v>1.8023401841314346E-2</v>
      </c>
      <c r="F19" s="226">
        <f>'DATA SHEET'!$G117</f>
        <v>4112.3999999999996</v>
      </c>
      <c r="G19" s="246">
        <f>'DATA SHEET'!$H117</f>
        <v>-9.6210579551340158E-3</v>
      </c>
      <c r="M19" s="226">
        <f>'DATA SHEET'!$I117</f>
        <v>1879.8</v>
      </c>
      <c r="N19" s="246">
        <f>'DATA SHEET'!$J117</f>
        <v>2.319443333599791E-3</v>
      </c>
      <c r="T19" s="226">
        <f>'DATA SHEET'!$K117</f>
        <v>1725.45</v>
      </c>
      <c r="U19" s="246">
        <f>'DATA SHEET'!$L117</f>
        <v>-3.7593775274004981E-2</v>
      </c>
      <c r="AA19" s="226">
        <f>'DATA SHEET'!$M117</f>
        <v>5914.15</v>
      </c>
      <c r="AB19" s="246">
        <f>'DATA SHEET'!$N117</f>
        <v>-1.4004317998049354E-2</v>
      </c>
      <c r="AH19" s="226">
        <f>'DATA SHEET'!$O117</f>
        <v>1674.45</v>
      </c>
      <c r="AI19" s="246">
        <f>'DATA SHEET'!$P117</f>
        <v>-2.8205797858448678E-2</v>
      </c>
      <c r="AO19" s="226">
        <f>'DATA SHEET'!$Q117</f>
        <v>6032.6</v>
      </c>
      <c r="AP19" s="246">
        <f>'DATA SHEET'!$R117</f>
        <v>-5.1574917657786434E-2</v>
      </c>
    </row>
    <row r="20" spans="2:46" x14ac:dyDescent="0.25">
      <c r="B20" s="223" t="str">
        <f>'DATA SHEET'!$B118</f>
        <v>19-01-2025</v>
      </c>
      <c r="C20" s="226">
        <f>'DATA SHEET'!$E118</f>
        <v>23092.2</v>
      </c>
      <c r="D20" s="246">
        <f>'DATA SHEET'!$F118</f>
        <v>-4.7838229209764549E-3</v>
      </c>
      <c r="F20" s="226">
        <f>'DATA SHEET'!$G118</f>
        <v>4152.3500000000004</v>
      </c>
      <c r="G20" s="246">
        <f>'DATA SHEET'!$H118</f>
        <v>6.8011541352472893E-3</v>
      </c>
      <c r="M20" s="226">
        <f>'DATA SHEET'!$I118</f>
        <v>1875.45</v>
      </c>
      <c r="N20" s="246">
        <f>'DATA SHEET'!$J118</f>
        <v>3.3049657109807562E-2</v>
      </c>
      <c r="T20" s="226">
        <f>'DATA SHEET'!$K118</f>
        <v>1792.85</v>
      </c>
      <c r="U20" s="246">
        <f>'DATA SHEET'!$L118</f>
        <v>2.2080608194978701E-3</v>
      </c>
      <c r="AA20" s="226">
        <f>'DATA SHEET'!$M118</f>
        <v>5998.15</v>
      </c>
      <c r="AB20" s="246">
        <f>'DATA SHEET'!$N118</f>
        <v>1.8309763509498644E-2</v>
      </c>
      <c r="AH20" s="226">
        <f>'DATA SHEET'!$O118</f>
        <v>1723.05</v>
      </c>
      <c r="AI20" s="246">
        <f>'DATA SHEET'!$P118</f>
        <v>3.7794374510630613E-2</v>
      </c>
      <c r="AO20" s="226">
        <f>'DATA SHEET'!$Q118</f>
        <v>6360.65</v>
      </c>
      <c r="AP20" s="246">
        <f>'DATA SHEET'!$R118</f>
        <v>6.7008320472388139E-2</v>
      </c>
    </row>
    <row r="21" spans="2:46" x14ac:dyDescent="0.25">
      <c r="B21" s="223">
        <f>'DATA SHEET'!$B119</f>
        <v>45992</v>
      </c>
      <c r="C21" s="226">
        <f>'DATA SHEET'!$E119</f>
        <v>23203.200000000001</v>
      </c>
      <c r="D21" s="246">
        <f>'DATA SHEET'!$F119</f>
        <v>-9.7432942833365344E-3</v>
      </c>
      <c r="F21" s="226">
        <f>'DATA SHEET'!$G119</f>
        <v>4124.3</v>
      </c>
      <c r="G21" s="246">
        <f>'DATA SHEET'!$H119</f>
        <v>-1.7724449355994265E-2</v>
      </c>
      <c r="M21" s="226">
        <f>'DATA SHEET'!$I119</f>
        <v>1815.45</v>
      </c>
      <c r="N21" s="246">
        <f>'DATA SHEET'!$J119</f>
        <v>-7.7022801799740748E-2</v>
      </c>
      <c r="T21" s="226">
        <f>'DATA SHEET'!$K119</f>
        <v>1788.9</v>
      </c>
      <c r="U21" s="246">
        <f>'DATA SHEET'!$L119</f>
        <v>-0.10034097424085453</v>
      </c>
      <c r="AA21" s="226">
        <f>'DATA SHEET'!$M119</f>
        <v>5890.3</v>
      </c>
      <c r="AB21" s="246">
        <f>'DATA SHEET'!$N119</f>
        <v>-3.8224152570047631E-2</v>
      </c>
      <c r="AH21" s="226">
        <f>'DATA SHEET'!$O119</f>
        <v>1660.3</v>
      </c>
      <c r="AI21" s="246">
        <f>'DATA SHEET'!$P119</f>
        <v>-2.6559568480300166E-2</v>
      </c>
      <c r="AO21" s="226">
        <f>'DATA SHEET'!$Q119</f>
        <v>5961.2</v>
      </c>
      <c r="AP21" s="246">
        <f>'DATA SHEET'!$R119</f>
        <v>-5.6719913286337076E-2</v>
      </c>
    </row>
    <row r="22" spans="2:46" x14ac:dyDescent="0.25">
      <c r="B22" s="223">
        <f>'DATA SHEET'!$B120</f>
        <v>45778</v>
      </c>
      <c r="C22" s="226">
        <f>'DATA SHEET'!$E120</f>
        <v>23431.5</v>
      </c>
      <c r="D22" s="246">
        <f>'DATA SHEET'!$F120</f>
        <v>-2.3880690280048689E-2</v>
      </c>
      <c r="F22" s="226">
        <f>'DATA SHEET'!$G120</f>
        <v>4198.72</v>
      </c>
      <c r="G22" s="246">
        <f>'DATA SHEET'!$H120</f>
        <v>4.0427994062796513E-2</v>
      </c>
      <c r="M22" s="226">
        <f>'DATA SHEET'!$I120</f>
        <v>1966.95</v>
      </c>
      <c r="N22" s="246">
        <f>'DATA SHEET'!$J120</f>
        <v>1.4545454545454639E-2</v>
      </c>
      <c r="T22" s="226">
        <f>'DATA SHEET'!$K120</f>
        <v>1988.42</v>
      </c>
      <c r="U22" s="246">
        <f>'DATA SHEET'!$L120</f>
        <v>2.4890084685046832E-2</v>
      </c>
      <c r="AA22" s="226">
        <f>'DATA SHEET'!$M120</f>
        <v>6124.4</v>
      </c>
      <c r="AB22" s="246">
        <f>'DATA SHEET'!$N120</f>
        <v>6.8196881431611178E-2</v>
      </c>
      <c r="AH22" s="226">
        <f>'DATA SHEET'!$O120</f>
        <v>1705.6</v>
      </c>
      <c r="AI22" s="246">
        <f>'DATA SHEET'!$P120</f>
        <v>9.5593240403681889E-3</v>
      </c>
      <c r="AO22" s="226">
        <f>'DATA SHEET'!$Q120</f>
        <v>6319.65</v>
      </c>
      <c r="AP22" s="246">
        <f>'DATA SHEET'!$R120</f>
        <v>-1.3471850389091378E-2</v>
      </c>
    </row>
    <row r="23" spans="2:46" x14ac:dyDescent="0.25">
      <c r="B23" s="223" t="str">
        <f>'DATA SHEET'!$B121</f>
        <v>29-12-2024</v>
      </c>
      <c r="C23" s="226">
        <f>'DATA SHEET'!$E121</f>
        <v>24004.75</v>
      </c>
      <c r="D23" s="246">
        <f>'DATA SHEET'!$F121</f>
        <v>8.035391838208783E-3</v>
      </c>
      <c r="F23" s="226">
        <f>'DATA SHEET'!$G121</f>
        <v>4035.57</v>
      </c>
      <c r="G23" s="246">
        <f>'DATA SHEET'!$H121</f>
        <v>-1.5594584705451831E-2</v>
      </c>
      <c r="M23" s="226">
        <f>'DATA SHEET'!$I121</f>
        <v>1938.75</v>
      </c>
      <c r="N23" s="246">
        <f>'DATA SHEET'!$J121</f>
        <v>1.1477761836441891E-2</v>
      </c>
      <c r="T23" s="226">
        <f>'DATA SHEET'!$K121</f>
        <v>1940.13</v>
      </c>
      <c r="U23" s="246">
        <f>'DATA SHEET'!$L121</f>
        <v>2.8880981295772878E-2</v>
      </c>
      <c r="AA23" s="226">
        <f>'DATA SHEET'!$M121</f>
        <v>5733.4</v>
      </c>
      <c r="AB23" s="246">
        <f>'DATA SHEET'!$N121</f>
        <v>9.7569566748854086E-3</v>
      </c>
      <c r="AH23" s="226">
        <f>'DATA SHEET'!$O121</f>
        <v>1689.45</v>
      </c>
      <c r="AI23" s="246">
        <f>'DATA SHEET'!$P121</f>
        <v>-1.2969941284725284E-2</v>
      </c>
      <c r="AO23" s="226">
        <f>'DATA SHEET'!$Q121</f>
        <v>6405.95</v>
      </c>
      <c r="AP23" s="246">
        <f>'DATA SHEET'!$R121</f>
        <v>1.931619119118988E-3</v>
      </c>
    </row>
    <row r="24" spans="2:46" x14ac:dyDescent="0.25">
      <c r="B24" s="223" t="str">
        <f>'DATA SHEET'!$B122</f>
        <v>22-12-2024</v>
      </c>
      <c r="C24" s="226">
        <f>'DATA SHEET'!$E122</f>
        <v>23813.4</v>
      </c>
      <c r="D24" s="246">
        <f>'DATA SHEET'!$F122</f>
        <v>9.5771065182830295E-3</v>
      </c>
      <c r="F24" s="226">
        <f>'DATA SHEET'!$G122</f>
        <v>4099.5</v>
      </c>
      <c r="G24" s="246">
        <f>'DATA SHEET'!$H122</f>
        <v>-1.3057692588783754E-3</v>
      </c>
      <c r="M24" s="226">
        <f>'DATA SHEET'!$I122</f>
        <v>1916.75</v>
      </c>
      <c r="N24" s="246">
        <f>'DATA SHEET'!$J122</f>
        <v>-2.8093541086804397E-3</v>
      </c>
      <c r="T24" s="226">
        <f>'DATA SHEET'!$K122</f>
        <v>1885.67</v>
      </c>
      <c r="U24" s="246">
        <f>'DATA SHEET'!$L122</f>
        <v>-1.012100055119558E-2</v>
      </c>
      <c r="AA24" s="226">
        <f>'DATA SHEET'!$M122</f>
        <v>5678</v>
      </c>
      <c r="AB24" s="246">
        <f>'DATA SHEET'!$N122</f>
        <v>-2.5118898408392432E-2</v>
      </c>
      <c r="AH24" s="226">
        <f>'DATA SHEET'!$O122</f>
        <v>1711.65</v>
      </c>
      <c r="AI24" s="246">
        <f>'DATA SHEET'!$P122</f>
        <v>1.5183416861896282E-2</v>
      </c>
      <c r="AO24" s="226">
        <f>'DATA SHEET'!$Q122</f>
        <v>6393.6</v>
      </c>
      <c r="AP24" s="246">
        <f>'DATA SHEET'!$R122</f>
        <v>3.9097461020303204E-3</v>
      </c>
    </row>
    <row r="25" spans="2:46" x14ac:dyDescent="0.25">
      <c r="B25" s="223" t="str">
        <f>'DATA SHEET'!$B123</f>
        <v>15-12-2024</v>
      </c>
      <c r="C25" s="226">
        <f>'DATA SHEET'!$E123</f>
        <v>23587.5</v>
      </c>
      <c r="D25" s="246">
        <f>'DATA SHEET'!$F123</f>
        <v>-4.7673841159869612E-2</v>
      </c>
      <c r="F25" s="226">
        <f>'DATA SHEET'!$G123</f>
        <v>4104.8599999999997</v>
      </c>
      <c r="G25" s="246">
        <f>'DATA SHEET'!$H123</f>
        <v>-6.7861116788155429E-2</v>
      </c>
      <c r="M25" s="226">
        <f>'DATA SHEET'!$I123</f>
        <v>1922.15</v>
      </c>
      <c r="N25" s="246">
        <f>'DATA SHEET'!$J123</f>
        <v>-3.8780817122568312E-2</v>
      </c>
      <c r="T25" s="226">
        <f>'DATA SHEET'!$K123</f>
        <v>1904.95</v>
      </c>
      <c r="U25" s="246">
        <f>'DATA SHEET'!$L123</f>
        <v>-2.9181382216990071E-2</v>
      </c>
      <c r="AA25" s="226">
        <f>'DATA SHEET'!$M123</f>
        <v>5824.3</v>
      </c>
      <c r="AB25" s="246">
        <f>'DATA SHEET'!$N123</f>
        <v>-0.13257228812486499</v>
      </c>
      <c r="AH25" s="226">
        <f>'DATA SHEET'!$O123</f>
        <v>1686.05</v>
      </c>
      <c r="AI25" s="246">
        <f>'DATA SHEET'!$P123</f>
        <v>-6.1428412380316266E-2</v>
      </c>
      <c r="AO25" s="226">
        <f>'DATA SHEET'!$Q123</f>
        <v>6368.7</v>
      </c>
      <c r="AP25" s="246">
        <f>'DATA SHEET'!$R123</f>
        <v>-1.6819371222588364E-2</v>
      </c>
    </row>
    <row r="26" spans="2:46" x14ac:dyDescent="0.25">
      <c r="B26" s="223">
        <f>'DATA SHEET'!$B124</f>
        <v>45516</v>
      </c>
      <c r="C26" s="226">
        <f>'DATA SHEET'!$E124</f>
        <v>24768.3</v>
      </c>
      <c r="D26" s="246">
        <f>'DATA SHEET'!$F124</f>
        <v>3.6672636944945491E-3</v>
      </c>
      <c r="F26" s="226">
        <f>'DATA SHEET'!$G124</f>
        <v>4403.7</v>
      </c>
      <c r="G26" s="246">
        <f>'DATA SHEET'!$H124</f>
        <v>6.3874764326115052E-3</v>
      </c>
      <c r="M26" s="226">
        <f>'DATA SHEET'!$I124</f>
        <v>1999.7</v>
      </c>
      <c r="N26" s="246">
        <f>'DATA SHEET'!$J124</f>
        <v>4.0210153974198803E-2</v>
      </c>
      <c r="T26" s="226">
        <f>'DATA SHEET'!$K124</f>
        <v>1962.21</v>
      </c>
      <c r="U26" s="246">
        <f>'DATA SHEET'!$L124</f>
        <v>2.3979000761900737E-2</v>
      </c>
      <c r="AA26" s="226">
        <f>'DATA SHEET'!$M124</f>
        <v>6714.45</v>
      </c>
      <c r="AB26" s="246">
        <f>'DATA SHEET'!$N124</f>
        <v>5.2603113389456002E-2</v>
      </c>
      <c r="AH26" s="226">
        <f>'DATA SHEET'!$O124</f>
        <v>1796.4</v>
      </c>
      <c r="AI26" s="246">
        <f>'DATA SHEET'!$P124</f>
        <v>7.6284496297958082E-3</v>
      </c>
      <c r="AO26" s="226">
        <f>'DATA SHEET'!$Q124</f>
        <v>6477.65</v>
      </c>
      <c r="AP26" s="246">
        <f>'DATA SHEET'!$R124</f>
        <v>4.9139571607887511E-2</v>
      </c>
    </row>
    <row r="27" spans="2:46" x14ac:dyDescent="0.25">
      <c r="B27" s="223">
        <f>'DATA SHEET'!$B125</f>
        <v>45303</v>
      </c>
      <c r="C27" s="226">
        <f>'DATA SHEET'!$E125</f>
        <v>24677.8</v>
      </c>
      <c r="D27" s="246">
        <f>'DATA SHEET'!$F125</f>
        <v>2.2655411481449228E-2</v>
      </c>
      <c r="F27" s="226">
        <f>'DATA SHEET'!$G125</f>
        <v>4375.75</v>
      </c>
      <c r="G27" s="246">
        <f>'DATA SHEET'!$H125</f>
        <v>4.0893563979599534E-2</v>
      </c>
      <c r="M27" s="226">
        <f>'DATA SHEET'!$I125</f>
        <v>1922.4</v>
      </c>
      <c r="N27" s="246">
        <f>'DATA SHEET'!$J125</f>
        <v>3.4744462685362132E-2</v>
      </c>
      <c r="T27" s="226">
        <f>'DATA SHEET'!$K125</f>
        <v>1916.26</v>
      </c>
      <c r="U27" s="246">
        <f>'DATA SHEET'!$L125</f>
        <v>4.0393949594431877E-2</v>
      </c>
      <c r="AA27" s="226">
        <f>'DATA SHEET'!$M125</f>
        <v>6378.9</v>
      </c>
      <c r="AB27" s="246">
        <f>'DATA SHEET'!$N125</f>
        <v>3.3455382023199975E-2</v>
      </c>
      <c r="AH27" s="226">
        <f>'DATA SHEET'!$O125</f>
        <v>1782.8</v>
      </c>
      <c r="AI27" s="246">
        <f>'DATA SHEET'!$P125</f>
        <v>4.117269170122051E-2</v>
      </c>
      <c r="AO27" s="226">
        <f>'DATA SHEET'!$Q125</f>
        <v>6174.25</v>
      </c>
      <c r="AP27" s="246">
        <f>'DATA SHEET'!$R125</f>
        <v>4.5481869057597546E-2</v>
      </c>
    </row>
    <row r="28" spans="2:46" x14ac:dyDescent="0.25">
      <c r="B28" s="223" t="str">
        <f>'DATA SHEET'!$B126</f>
        <v>24-11-2024</v>
      </c>
      <c r="C28" s="226">
        <f>'DATA SHEET'!$E126</f>
        <v>24131.1</v>
      </c>
      <c r="D28" s="246">
        <f>'DATA SHEET'!$F126</f>
        <v>9.3632684645870157E-3</v>
      </c>
      <c r="F28" s="226">
        <f>'DATA SHEET'!$G126</f>
        <v>4203.84</v>
      </c>
      <c r="G28" s="246">
        <f>'DATA SHEET'!$H126</f>
        <v>6.184777405457087E-3</v>
      </c>
      <c r="M28" s="226">
        <f>'DATA SHEET'!$I126</f>
        <v>1857.85</v>
      </c>
      <c r="N28" s="246">
        <f>'DATA SHEET'!$J126</f>
        <v>-2.3340780654488191E-2</v>
      </c>
      <c r="T28" s="226">
        <f>'DATA SHEET'!$K126</f>
        <v>1841.86</v>
      </c>
      <c r="U28" s="246">
        <f>'DATA SHEET'!$L126</f>
        <v>-2.6521638020337912E-2</v>
      </c>
      <c r="AA28" s="226">
        <f>'DATA SHEET'!$M126</f>
        <v>6172.4</v>
      </c>
      <c r="AB28" s="246">
        <f>'DATA SHEET'!$N126</f>
        <v>6.3094054159804625E-3</v>
      </c>
      <c r="AH28" s="226">
        <f>'DATA SHEET'!$O126</f>
        <v>1712.3</v>
      </c>
      <c r="AI28" s="246">
        <f>'DATA SHEET'!$P126</f>
        <v>-2.0115024750350541E-2</v>
      </c>
      <c r="AO28" s="226">
        <f>'DATA SHEET'!$Q126</f>
        <v>5905.65</v>
      </c>
      <c r="AP28" s="246">
        <f>'DATA SHEET'!$R126</f>
        <v>1.8874272158723171E-2</v>
      </c>
    </row>
    <row r="29" spans="2:46" x14ac:dyDescent="0.25">
      <c r="B29" s="223" t="str">
        <f>'DATA SHEET'!$B127</f>
        <v>17-11-2024</v>
      </c>
      <c r="C29" s="226">
        <f>'DATA SHEET'!$E127</f>
        <v>23907.25</v>
      </c>
      <c r="D29" s="246">
        <f>'DATA SHEET'!$F127</f>
        <v>1.5916150717937061E-2</v>
      </c>
      <c r="F29" s="226">
        <f>'DATA SHEET'!$G127</f>
        <v>4178</v>
      </c>
      <c r="G29" s="246">
        <f>'DATA SHEET'!$H127</f>
        <v>2.38063148608747E-2</v>
      </c>
      <c r="M29" s="226">
        <f>'DATA SHEET'!$I127</f>
        <v>1902.25</v>
      </c>
      <c r="N29" s="246">
        <f>'DATA SHEET'!$J127</f>
        <v>2.0219355876753164E-2</v>
      </c>
      <c r="T29" s="226">
        <f>'DATA SHEET'!$K127</f>
        <v>1892.04</v>
      </c>
      <c r="U29" s="246">
        <f>'DATA SHEET'!$L127</f>
        <v>2.1217338737970382E-2</v>
      </c>
      <c r="AA29" s="226">
        <f>'DATA SHEET'!$M127</f>
        <v>6133.7</v>
      </c>
      <c r="AB29" s="246">
        <f>'DATA SHEET'!$N127</f>
        <v>2.3195682817178653E-2</v>
      </c>
      <c r="AH29" s="226">
        <f>'DATA SHEET'!$O127</f>
        <v>1747.45</v>
      </c>
      <c r="AI29" s="246">
        <f>'DATA SHEET'!$P127</f>
        <v>3.5525925925925961E-2</v>
      </c>
      <c r="AO29" s="226">
        <f>'DATA SHEET'!$Q127</f>
        <v>5796.25</v>
      </c>
      <c r="AP29" s="246">
        <f>'DATA SHEET'!$R127</f>
        <v>1.4429976548006485E-2</v>
      </c>
    </row>
    <row r="30" spans="2:46" x14ac:dyDescent="0.25">
      <c r="B30" s="223">
        <f>'DATA SHEET'!$B128</f>
        <v>45576</v>
      </c>
      <c r="C30" s="226">
        <f>'DATA SHEET'!$E128</f>
        <v>23532.7</v>
      </c>
      <c r="D30" s="246">
        <f>'DATA SHEET'!$F128</f>
        <v>-2.5488442202731498E-2</v>
      </c>
      <c r="F30" s="226">
        <f>'DATA SHEET'!$G128</f>
        <v>4080.85</v>
      </c>
      <c r="G30" s="246">
        <f>'DATA SHEET'!$H128</f>
        <v>-2.645807252941168E-4</v>
      </c>
      <c r="M30" s="226">
        <f>'DATA SHEET'!$I128</f>
        <v>1864.55</v>
      </c>
      <c r="N30" s="246">
        <f>'DATA SHEET'!$J128</f>
        <v>1.8907620426787508E-2</v>
      </c>
      <c r="T30" s="226">
        <f>'DATA SHEET'!$K128</f>
        <v>1852.73</v>
      </c>
      <c r="U30" s="246">
        <f>'DATA SHEET'!$L128</f>
        <v>1.1674447811723665E-2</v>
      </c>
      <c r="AA30" s="226">
        <f>'DATA SHEET'!$M128</f>
        <v>5994.65</v>
      </c>
      <c r="AB30" s="246">
        <f>'DATA SHEET'!$N128</f>
        <v>1.1422401066315757E-2</v>
      </c>
      <c r="AH30" s="226">
        <f>'DATA SHEET'!$O128</f>
        <v>1687.5</v>
      </c>
      <c r="AI30" s="246">
        <f>'DATA SHEET'!$P128</f>
        <v>3.6577750022304123E-3</v>
      </c>
      <c r="AO30" s="226">
        <f>'DATA SHEET'!$Q128</f>
        <v>5713.8</v>
      </c>
      <c r="AP30" s="246">
        <f>'DATA SHEET'!$R128</f>
        <v>7.9559687406283164E-3</v>
      </c>
    </row>
    <row r="31" spans="2:46" x14ac:dyDescent="0.25">
      <c r="B31" s="223">
        <f>'DATA SHEET'!$B129</f>
        <v>45362</v>
      </c>
      <c r="C31" s="226">
        <f>'DATA SHEET'!$E129</f>
        <v>24148.2</v>
      </c>
      <c r="D31" s="246">
        <f>'DATA SHEET'!$F129</f>
        <v>-6.4247758117372822E-3</v>
      </c>
      <c r="F31" s="226">
        <f>'DATA SHEET'!$G129</f>
        <v>4081.93</v>
      </c>
      <c r="G31" s="246">
        <f>'DATA SHEET'!$H129</f>
        <v>4.0862589502458135E-2</v>
      </c>
      <c r="M31" s="226">
        <f>'DATA SHEET'!$I129</f>
        <v>1829.95</v>
      </c>
      <c r="N31" s="246">
        <f>'DATA SHEET'!$J129</f>
        <v>3.9242411335434602E-2</v>
      </c>
      <c r="T31" s="226">
        <f>'DATA SHEET'!$K129</f>
        <v>1831.35</v>
      </c>
      <c r="U31" s="246">
        <f>'DATA SHEET'!$L129</f>
        <v>4.557755549465603E-2</v>
      </c>
      <c r="AA31" s="226">
        <f>'DATA SHEET'!$M129</f>
        <v>5926.95</v>
      </c>
      <c r="AB31" s="246">
        <f>'DATA SHEET'!$N129</f>
        <v>3.4082978574917933E-2</v>
      </c>
      <c r="AH31" s="226">
        <f>'DATA SHEET'!$O129</f>
        <v>1681.35</v>
      </c>
      <c r="AI31" s="246">
        <f>'DATA SHEET'!$P129</f>
        <v>4.845196894584225E-2</v>
      </c>
      <c r="AO31" s="226">
        <f>'DATA SHEET'!$Q129</f>
        <v>5668.7</v>
      </c>
      <c r="AP31" s="246">
        <f>'DATA SHEET'!$R129</f>
        <v>5.1902022638708356E-2</v>
      </c>
    </row>
    <row r="32" spans="2:46" x14ac:dyDescent="0.25">
      <c r="B32" s="223" t="str">
        <f>'DATA SHEET'!$B130</f>
        <v>27-10-2024</v>
      </c>
      <c r="C32" s="226">
        <f>'DATA SHEET'!$E130</f>
        <v>24304.35</v>
      </c>
      <c r="D32" s="246">
        <f>'DATA SHEET'!$F130</f>
        <v>5.1094256600276999E-3</v>
      </c>
      <c r="F32" s="226">
        <f>'DATA SHEET'!$G130</f>
        <v>3921.68</v>
      </c>
      <c r="G32" s="246">
        <f>'DATA SHEET'!$H130</f>
        <v>-1.8077658817991615E-2</v>
      </c>
      <c r="M32" s="226">
        <f>'DATA SHEET'!$I130</f>
        <v>1760.85</v>
      </c>
      <c r="N32" s="246">
        <f>'DATA SHEET'!$J130</f>
        <v>-5.4348701699739599E-2</v>
      </c>
      <c r="T32" s="226">
        <f>'DATA SHEET'!$K130</f>
        <v>1751.52</v>
      </c>
      <c r="U32" s="246">
        <f>'DATA SHEET'!$L130</f>
        <v>-5.1258023454215595E-2</v>
      </c>
      <c r="AA32" s="226">
        <f>'DATA SHEET'!$M130</f>
        <v>5731.6</v>
      </c>
      <c r="AB32" s="246">
        <f>'DATA SHEET'!$N130</f>
        <v>-2.9068979536522432E-2</v>
      </c>
      <c r="AH32" s="226">
        <f>'DATA SHEET'!$O130</f>
        <v>1603.65</v>
      </c>
      <c r="AI32" s="246">
        <f>'DATA SHEET'!$P130</f>
        <v>-6.5717032246788376E-2</v>
      </c>
      <c r="AO32" s="226">
        <f>'DATA SHEET'!$Q130</f>
        <v>5389</v>
      </c>
      <c r="AP32" s="246">
        <f>'DATA SHEET'!$R130</f>
        <v>-4.9709922587243605E-2</v>
      </c>
    </row>
    <row r="33" spans="2:42" x14ac:dyDescent="0.25">
      <c r="B33" s="223" t="str">
        <f>'DATA SHEET'!$B131</f>
        <v>20-10-2024</v>
      </c>
      <c r="C33" s="226">
        <f>'DATA SHEET'!$E131</f>
        <v>24180.799999999999</v>
      </c>
      <c r="D33" s="246">
        <f>'DATA SHEET'!$F131</f>
        <v>-2.7088140564616281E-2</v>
      </c>
      <c r="F33" s="226">
        <f>'DATA SHEET'!$G131</f>
        <v>3993.88</v>
      </c>
      <c r="G33" s="246">
        <f>'DATA SHEET'!$H131</f>
        <v>-1.5885766382889521E-2</v>
      </c>
      <c r="M33" s="226">
        <f>'DATA SHEET'!$I131</f>
        <v>1862.05</v>
      </c>
      <c r="N33" s="246">
        <f>'DATA SHEET'!$J131</f>
        <v>-9.3370929985102658E-3</v>
      </c>
      <c r="T33" s="226">
        <f>'DATA SHEET'!$K131</f>
        <v>1846.15</v>
      </c>
      <c r="U33" s="246">
        <f>'DATA SHEET'!$L131</f>
        <v>-2.8787780586341238E-3</v>
      </c>
      <c r="AA33" s="226">
        <f>'DATA SHEET'!$M131</f>
        <v>5903.2</v>
      </c>
      <c r="AB33" s="246">
        <f>'DATA SHEET'!$N131</f>
        <v>-1.4770432431530311E-2</v>
      </c>
      <c r="AH33" s="226">
        <f>'DATA SHEET'!$O131</f>
        <v>1716.45</v>
      </c>
      <c r="AI33" s="246">
        <f>'DATA SHEET'!$P131</f>
        <v>1.6914509153385771E-2</v>
      </c>
      <c r="AO33" s="226">
        <f>'DATA SHEET'!$Q131</f>
        <v>5670.9</v>
      </c>
      <c r="AP33" s="246">
        <f>'DATA SHEET'!$R131</f>
        <v>2.9921088237697901E-2</v>
      </c>
    </row>
    <row r="34" spans="2:42" x14ac:dyDescent="0.25">
      <c r="B34" s="223" t="str">
        <f>'DATA SHEET'!$B132</f>
        <v>13-10-2024</v>
      </c>
      <c r="C34" s="226">
        <f>'DATA SHEET'!$E132</f>
        <v>24854.05</v>
      </c>
      <c r="D34" s="246">
        <f>'DATA SHEET'!$F132</f>
        <v>-4.4143124668275524E-3</v>
      </c>
      <c r="F34" s="226">
        <f>'DATA SHEET'!$G132</f>
        <v>4058.35</v>
      </c>
      <c r="G34" s="246">
        <f>'DATA SHEET'!$H132</f>
        <v>-6.3025055765176807E-3</v>
      </c>
      <c r="M34" s="226">
        <f>'DATA SHEET'!$I132</f>
        <v>1879.6</v>
      </c>
      <c r="N34" s="246">
        <f>'DATA SHEET'!$J132</f>
        <v>-2.8680688336520044E-2</v>
      </c>
      <c r="T34" s="226">
        <f>'DATA SHEET'!$K132</f>
        <v>1851.48</v>
      </c>
      <c r="U34" s="246">
        <f>'DATA SHEET'!$L132</f>
        <v>9.8118888022296069E-3</v>
      </c>
      <c r="AA34" s="226">
        <f>'DATA SHEET'!$M132</f>
        <v>5991.7</v>
      </c>
      <c r="AB34" s="246">
        <f>'DATA SHEET'!$N132</f>
        <v>-6.5395924161005814E-2</v>
      </c>
      <c r="AH34" s="226">
        <f>'DATA SHEET'!$O132</f>
        <v>1687.9</v>
      </c>
      <c r="AI34" s="246">
        <f>'DATA SHEET'!$P132</f>
        <v>2.4801918581706772E-2</v>
      </c>
      <c r="AO34" s="226">
        <f>'DATA SHEET'!$Q132</f>
        <v>5506.15</v>
      </c>
      <c r="AP34" s="246">
        <f>'DATA SHEET'!$R132</f>
        <v>6.6915925441763946E-3</v>
      </c>
    </row>
    <row r="35" spans="2:42" x14ac:dyDescent="0.25">
      <c r="B35" s="223">
        <f>'DATA SHEET'!$B133</f>
        <v>45453</v>
      </c>
      <c r="C35" s="226">
        <f>'DATA SHEET'!$E133</f>
        <v>24964.25</v>
      </c>
      <c r="D35" s="246">
        <f>'DATA SHEET'!$F133</f>
        <v>-2.0128245104857889E-3</v>
      </c>
      <c r="F35" s="226">
        <f>'DATA SHEET'!$G133</f>
        <v>4084.09</v>
      </c>
      <c r="G35" s="246">
        <f>'DATA SHEET'!$H133</f>
        <v>-2.4235879327110244E-2</v>
      </c>
      <c r="M35" s="226">
        <f>'DATA SHEET'!$I133</f>
        <v>1935.1</v>
      </c>
      <c r="N35" s="246">
        <f>'DATA SHEET'!$J133</f>
        <v>8.8366394703229822E-3</v>
      </c>
      <c r="T35" s="226">
        <f>'DATA SHEET'!$K133</f>
        <v>1833.49</v>
      </c>
      <c r="U35" s="246">
        <f>'DATA SHEET'!$L133</f>
        <v>3.5489791884336208E-2</v>
      </c>
      <c r="AA35" s="226">
        <f>'DATA SHEET'!$M133</f>
        <v>6410.95</v>
      </c>
      <c r="AB35" s="246">
        <f>'DATA SHEET'!$N133</f>
        <v>4.8551708346281419E-2</v>
      </c>
      <c r="AH35" s="226">
        <f>'DATA SHEET'!$O133</f>
        <v>1647.05</v>
      </c>
      <c r="AI35" s="246">
        <f>'DATA SHEET'!$P133</f>
        <v>1.8930372111726212E-2</v>
      </c>
      <c r="AO35" s="226">
        <f>'DATA SHEET'!$Q133</f>
        <v>5469.55</v>
      </c>
      <c r="AP35" s="246">
        <f>'DATA SHEET'!$R133</f>
        <v>6.3845719954097158E-2</v>
      </c>
    </row>
    <row r="36" spans="2:42" x14ac:dyDescent="0.25">
      <c r="B36" s="223" t="str">
        <f>'DATA SHEET'!$B134</f>
        <v>29-09-2024</v>
      </c>
      <c r="C36" s="226">
        <f>'DATA SHEET'!$E134</f>
        <v>25014.6</v>
      </c>
      <c r="D36" s="246">
        <f>'DATA SHEET'!$F134</f>
        <v>-4.4476573735768743E-2</v>
      </c>
      <c r="F36" s="226">
        <f>'DATA SHEET'!$G134</f>
        <v>4185.53</v>
      </c>
      <c r="G36" s="246">
        <f>'DATA SHEET'!$H134</f>
        <v>-1.310040579190741E-2</v>
      </c>
      <c r="M36" s="226">
        <f>'DATA SHEET'!$I134</f>
        <v>1918.15</v>
      </c>
      <c r="N36" s="246">
        <f>'DATA SHEET'!$J134</f>
        <v>5.9787596695948242E-3</v>
      </c>
      <c r="T36" s="226">
        <f>'DATA SHEET'!$K134</f>
        <v>1770.65</v>
      </c>
      <c r="U36" s="246">
        <f>'DATA SHEET'!$L134</f>
        <v>-1.7582698048092982E-2</v>
      </c>
      <c r="AA36" s="226">
        <f>'DATA SHEET'!$M134</f>
        <v>6114.1</v>
      </c>
      <c r="AB36" s="246">
        <f>'DATA SHEET'!$N134</f>
        <v>-3.5853392219813429E-3</v>
      </c>
      <c r="AH36" s="226">
        <f>'DATA SHEET'!$O134</f>
        <v>1616.45</v>
      </c>
      <c r="AI36" s="246">
        <f>'DATA SHEET'!$P134</f>
        <v>4.4741339133136382E-3</v>
      </c>
      <c r="AO36" s="226">
        <f>'DATA SHEET'!$Q134</f>
        <v>5141.3</v>
      </c>
      <c r="AP36" s="246">
        <f>'DATA SHEET'!$R134</f>
        <v>-5.4386610263012614E-2</v>
      </c>
    </row>
    <row r="37" spans="2:42" x14ac:dyDescent="0.25">
      <c r="B37" s="223" t="str">
        <f>'DATA SHEET'!$B135</f>
        <v>22-09-2024</v>
      </c>
      <c r="C37" s="226">
        <f>'DATA SHEET'!$E135</f>
        <v>26178.95</v>
      </c>
      <c r="D37" s="246">
        <f>'DATA SHEET'!$F135</f>
        <v>1.5044036764834123E-2</v>
      </c>
      <c r="F37" s="226">
        <f>'DATA SHEET'!$G135</f>
        <v>4241.09</v>
      </c>
      <c r="G37" s="246">
        <f>'DATA SHEET'!$H135</f>
        <v>5.5528289316140178E-3</v>
      </c>
      <c r="M37" s="226">
        <f>'DATA SHEET'!$I135</f>
        <v>1906.75</v>
      </c>
      <c r="N37" s="246">
        <f>'DATA SHEET'!$J135</f>
        <v>5.2472779745516007E-4</v>
      </c>
      <c r="T37" s="226">
        <f>'DATA SHEET'!$K135</f>
        <v>1802.34</v>
      </c>
      <c r="U37" s="246">
        <f>'DATA SHEET'!$L135</f>
        <v>2.7466137638527677E-2</v>
      </c>
      <c r="AA37" s="226">
        <f>'DATA SHEET'!$M135</f>
        <v>6136.1</v>
      </c>
      <c r="AB37" s="246">
        <f>'DATA SHEET'!$N135</f>
        <v>-3.7187553937644169E-2</v>
      </c>
      <c r="AH37" s="226">
        <f>'DATA SHEET'!$O135</f>
        <v>1609.25</v>
      </c>
      <c r="AI37" s="246">
        <f>'DATA SHEET'!$P135</f>
        <v>-7.8912487284609201E-3</v>
      </c>
      <c r="AO37" s="226">
        <f>'DATA SHEET'!$Q135</f>
        <v>5437</v>
      </c>
      <c r="AP37" s="246">
        <f>'DATA SHEET'!$R135</f>
        <v>1.5303311827153721E-2</v>
      </c>
    </row>
    <row r="38" spans="2:42" x14ac:dyDescent="0.25">
      <c r="B38" s="223" t="str">
        <f>'DATA SHEET'!$B136</f>
        <v>15-09-2024</v>
      </c>
      <c r="C38" s="226">
        <f>'DATA SHEET'!$E136</f>
        <v>25790.95</v>
      </c>
      <c r="D38" s="246">
        <f>'DATA SHEET'!$F136</f>
        <v>1.7133673811448702E-2</v>
      </c>
      <c r="F38" s="226">
        <f>'DATA SHEET'!$G136</f>
        <v>4217.67</v>
      </c>
      <c r="G38" s="246">
        <f>'DATA SHEET'!$H136</f>
        <v>-5.2558158341644901E-2</v>
      </c>
      <c r="M38" s="226">
        <f>'DATA SHEET'!$I136</f>
        <v>1905.75</v>
      </c>
      <c r="N38" s="246">
        <f>'DATA SHEET'!$J136</f>
        <v>-1.972635152512725E-2</v>
      </c>
      <c r="T38" s="226">
        <f>'DATA SHEET'!$K136</f>
        <v>1754.16</v>
      </c>
      <c r="U38" s="246">
        <f>'DATA SHEET'!$L136</f>
        <v>-2.909676598052835E-2</v>
      </c>
      <c r="AA38" s="226">
        <f>'DATA SHEET'!$M136</f>
        <v>6373.1</v>
      </c>
      <c r="AB38" s="246">
        <f>'DATA SHEET'!$N136</f>
        <v>-6.7173716530032346E-3</v>
      </c>
      <c r="AH38" s="226">
        <f>'DATA SHEET'!$O136</f>
        <v>1622.05</v>
      </c>
      <c r="AI38" s="246">
        <f>'DATA SHEET'!$P136</f>
        <v>-2.0530781075450588E-2</v>
      </c>
      <c r="AO38" s="226">
        <f>'DATA SHEET'!$Q136</f>
        <v>5355.05</v>
      </c>
      <c r="AP38" s="246">
        <f>'DATA SHEET'!$R136</f>
        <v>-9.048676281272483E-4</v>
      </c>
    </row>
    <row r="39" spans="2:42" x14ac:dyDescent="0.25">
      <c r="B39" s="223">
        <f>'DATA SHEET'!$B137</f>
        <v>45513</v>
      </c>
      <c r="C39" s="226">
        <f>'DATA SHEET'!$E137</f>
        <v>25356.5</v>
      </c>
      <c r="D39" s="246">
        <f>'DATA SHEET'!$F137</f>
        <v>2.0294018827344829E-2</v>
      </c>
      <c r="F39" s="226">
        <f>'DATA SHEET'!$G137</f>
        <v>4451.6400000000003</v>
      </c>
      <c r="G39" s="246">
        <f>'DATA SHEET'!$H137</f>
        <v>1.4776079255588437E-2</v>
      </c>
      <c r="M39" s="226">
        <f>'DATA SHEET'!$I137</f>
        <v>1944.1</v>
      </c>
      <c r="N39" s="246">
        <f>'DATA SHEET'!$J137</f>
        <v>2.2215211504587717E-2</v>
      </c>
      <c r="T39" s="226">
        <f>'DATA SHEET'!$K137</f>
        <v>1806.73</v>
      </c>
      <c r="U39" s="246">
        <f>'DATA SHEET'!$L137</f>
        <v>3.2287369587823189E-2</v>
      </c>
      <c r="AA39" s="226">
        <f>'DATA SHEET'!$M137</f>
        <v>6416.2</v>
      </c>
      <c r="AB39" s="246">
        <f>'DATA SHEET'!$N137</f>
        <v>4.0678625879910557E-2</v>
      </c>
      <c r="AH39" s="226">
        <f>'DATA SHEET'!$O137</f>
        <v>1656.05</v>
      </c>
      <c r="AI39" s="246">
        <f>'DATA SHEET'!$P137</f>
        <v>2.0206376097335665E-2</v>
      </c>
      <c r="AO39" s="226">
        <f>'DATA SHEET'!$Q137</f>
        <v>5359.9</v>
      </c>
      <c r="AP39" s="246">
        <f>'DATA SHEET'!$R137</f>
        <v>3.2745980211755343E-2</v>
      </c>
    </row>
    <row r="40" spans="2:42" x14ac:dyDescent="0.25">
      <c r="B40" s="223">
        <f>'DATA SHEET'!$B138</f>
        <v>45300</v>
      </c>
      <c r="C40" s="226">
        <f>'DATA SHEET'!$E138</f>
        <v>24852.15</v>
      </c>
      <c r="D40" s="246">
        <f>'DATA SHEET'!$F138</f>
        <v>-1.5206511358818231E-2</v>
      </c>
      <c r="F40" s="226">
        <f>'DATA SHEET'!$G138</f>
        <v>4386.82</v>
      </c>
      <c r="G40" s="246">
        <f>'DATA SHEET'!$H138</f>
        <v>-2.1301563929232881E-2</v>
      </c>
      <c r="M40" s="226">
        <f>'DATA SHEET'!$I138</f>
        <v>1901.85</v>
      </c>
      <c r="N40" s="246">
        <f>'DATA SHEET'!$J138</f>
        <v>-2.1531100478468956E-2</v>
      </c>
      <c r="T40" s="226">
        <f>'DATA SHEET'!$K138</f>
        <v>1750.22</v>
      </c>
      <c r="U40" s="246">
        <f>'DATA SHEET'!$L138</f>
        <v>1.6252904348224018E-3</v>
      </c>
      <c r="AA40" s="226">
        <f>'DATA SHEET'!$M138</f>
        <v>6165.4</v>
      </c>
      <c r="AB40" s="246">
        <f>'DATA SHEET'!$N138</f>
        <v>1.518831068623383E-3</v>
      </c>
      <c r="AH40" s="226">
        <f>'DATA SHEET'!$O138</f>
        <v>1623.25</v>
      </c>
      <c r="AI40" s="246">
        <f>'DATA SHEET'!$P138</f>
        <v>-8.0965475099297191E-3</v>
      </c>
      <c r="AO40" s="226">
        <f>'DATA SHEET'!$Q138</f>
        <v>5189.95</v>
      </c>
      <c r="AP40" s="246">
        <f>'DATA SHEET'!$R138</f>
        <v>3.6937834205206244E-3</v>
      </c>
    </row>
    <row r="41" spans="2:42" x14ac:dyDescent="0.25">
      <c r="B41" s="223" t="str">
        <f>'DATA SHEET'!$B139</f>
        <v>25-08-2024</v>
      </c>
      <c r="C41" s="226">
        <f>'DATA SHEET'!$E139</f>
        <v>25235.9</v>
      </c>
      <c r="D41" s="246">
        <f>'DATA SHEET'!$F139</f>
        <v>1.6627623810837822E-2</v>
      </c>
      <c r="F41" s="226">
        <f>'DATA SHEET'!$G139</f>
        <v>4482.3</v>
      </c>
      <c r="G41" s="246">
        <f>'DATA SHEET'!$H139</f>
        <v>2.0128087831656094E-2</v>
      </c>
      <c r="M41" s="226">
        <f>'DATA SHEET'!$I139</f>
        <v>1943.7</v>
      </c>
      <c r="N41" s="246">
        <f>'DATA SHEET'!$J139</f>
        <v>4.3821491864024509E-2</v>
      </c>
      <c r="T41" s="226">
        <f>'DATA SHEET'!$K139</f>
        <v>1747.38</v>
      </c>
      <c r="U41" s="246">
        <f>'DATA SHEET'!$L139</f>
        <v>5.5251254612323386E-2</v>
      </c>
      <c r="AA41" s="226">
        <f>'DATA SHEET'!$M139</f>
        <v>6156.05</v>
      </c>
      <c r="AB41" s="246">
        <f>'DATA SHEET'!$N139</f>
        <v>9.118866988088481E-2</v>
      </c>
      <c r="AH41" s="226">
        <f>'DATA SHEET'!$O139</f>
        <v>1636.5</v>
      </c>
      <c r="AI41" s="246">
        <f>'DATA SHEET'!$P139</f>
        <v>2.3836336336336306E-2</v>
      </c>
      <c r="AO41" s="226">
        <f>'DATA SHEET'!$Q139</f>
        <v>5170.8500000000004</v>
      </c>
      <c r="AP41" s="246">
        <f>'DATA SHEET'!$R139</f>
        <v>5.9057859703021132E-2</v>
      </c>
    </row>
    <row r="42" spans="2:42" x14ac:dyDescent="0.25">
      <c r="B42" s="223" t="str">
        <f>'DATA SHEET'!$B140</f>
        <v>18-08-2024</v>
      </c>
      <c r="C42" s="226">
        <f>'DATA SHEET'!$E140</f>
        <v>24823.15</v>
      </c>
      <c r="D42" s="246">
        <f>'DATA SHEET'!$F140</f>
        <v>1.1490904052988471E-2</v>
      </c>
      <c r="F42" s="226">
        <f>'DATA SHEET'!$G140</f>
        <v>4393.8599999999997</v>
      </c>
      <c r="G42" s="246">
        <f>'DATA SHEET'!$H140</f>
        <v>1.0835656903072532E-2</v>
      </c>
      <c r="M42" s="226">
        <f>'DATA SHEET'!$I140</f>
        <v>1862.1</v>
      </c>
      <c r="N42" s="246">
        <f>'DATA SHEET'!$J140</f>
        <v>1.6945049624788044E-3</v>
      </c>
      <c r="T42" s="226">
        <f>'DATA SHEET'!$K140</f>
        <v>1655.89</v>
      </c>
      <c r="U42" s="246">
        <f>'DATA SHEET'!$L140</f>
        <v>-4.0777785128738309E-3</v>
      </c>
      <c r="AA42" s="226">
        <f>'DATA SHEET'!$M140</f>
        <v>5641.6</v>
      </c>
      <c r="AB42" s="246">
        <f>'DATA SHEET'!$N140</f>
        <v>1.3992361267131104E-2</v>
      </c>
      <c r="AH42" s="226">
        <f>'DATA SHEET'!$O140</f>
        <v>1598.4</v>
      </c>
      <c r="AI42" s="246">
        <f>'DATA SHEET'!$P140</f>
        <v>8.2634201728379875E-3</v>
      </c>
      <c r="AO42" s="226">
        <f>'DATA SHEET'!$Q140</f>
        <v>4882.5</v>
      </c>
      <c r="AP42" s="246">
        <f>'DATA SHEET'!$R140</f>
        <v>5.2191099718972289E-3</v>
      </c>
    </row>
    <row r="43" spans="2:42" x14ac:dyDescent="0.25">
      <c r="B43" s="223">
        <f>'DATA SHEET'!$B141</f>
        <v>45604</v>
      </c>
      <c r="C43" s="226">
        <f>'DATA SHEET'!$E141</f>
        <v>24541.15</v>
      </c>
      <c r="D43" s="246">
        <f>'DATA SHEET'!$F141</f>
        <v>7.1262952703396998E-3</v>
      </c>
      <c r="F43" s="226">
        <f>'DATA SHEET'!$G141</f>
        <v>4346.76</v>
      </c>
      <c r="G43" s="246">
        <f>'DATA SHEET'!$H141</f>
        <v>4.4291754756871082E-2</v>
      </c>
      <c r="M43" s="226">
        <f>'DATA SHEET'!$I141</f>
        <v>1858.95</v>
      </c>
      <c r="N43" s="246">
        <f>'DATA SHEET'!$J141</f>
        <v>4.9809402795425672E-2</v>
      </c>
      <c r="T43" s="226">
        <f>'DATA SHEET'!$K141</f>
        <v>1662.67</v>
      </c>
      <c r="U43" s="246">
        <f>'DATA SHEET'!$L141</f>
        <v>4.9248089459368982E-2</v>
      </c>
      <c r="AA43" s="226">
        <f>'DATA SHEET'!$M141</f>
        <v>5563.75</v>
      </c>
      <c r="AB43" s="246">
        <f>'DATA SHEET'!$N141</f>
        <v>3.5395595090768728E-2</v>
      </c>
      <c r="AH43" s="226">
        <f>'DATA SHEET'!$O141</f>
        <v>1585.3</v>
      </c>
      <c r="AI43" s="246">
        <f>'DATA SHEET'!$P141</f>
        <v>5.2166987456029768E-2</v>
      </c>
      <c r="AO43" s="226">
        <f>'DATA SHEET'!$Q141</f>
        <v>4857.1499999999996</v>
      </c>
      <c r="AP43" s="246">
        <f>'DATA SHEET'!$R141</f>
        <v>3.3645098477351754E-2</v>
      </c>
    </row>
    <row r="44" spans="2:42" x14ac:dyDescent="0.25">
      <c r="B44" s="223">
        <f>'DATA SHEET'!$B142</f>
        <v>45390</v>
      </c>
      <c r="C44" s="226">
        <f>'DATA SHEET'!$E142</f>
        <v>24367.5</v>
      </c>
      <c r="D44" s="246">
        <f>'DATA SHEET'!$F142</f>
        <v>-1.4167984885325113E-2</v>
      </c>
      <c r="F44" s="226">
        <f>'DATA SHEET'!$G142</f>
        <v>4162.3999999999996</v>
      </c>
      <c r="G44" s="246">
        <f>'DATA SHEET'!$H142</f>
        <v>-1.2678344817771192E-2</v>
      </c>
      <c r="M44" s="226">
        <f>'DATA SHEET'!$I142</f>
        <v>1770.75</v>
      </c>
      <c r="N44" s="246">
        <f>'DATA SHEET'!$J142</f>
        <v>-2.7701515484296113E-2</v>
      </c>
      <c r="T44" s="226">
        <f>'DATA SHEET'!$K142</f>
        <v>1584.63</v>
      </c>
      <c r="U44" s="246">
        <f>'DATA SHEET'!$L142</f>
        <v>-1.2020624598637064E-2</v>
      </c>
      <c r="AA44" s="226">
        <f>'DATA SHEET'!$M142</f>
        <v>5373.55</v>
      </c>
      <c r="AB44" s="246">
        <f>'DATA SHEET'!$N142</f>
        <v>-2.4746365632769995E-2</v>
      </c>
      <c r="AH44" s="226">
        <f>'DATA SHEET'!$O142</f>
        <v>1506.7</v>
      </c>
      <c r="AI44" s="246">
        <f>'DATA SHEET'!$P142</f>
        <v>-6.6326192213306268E-4</v>
      </c>
      <c r="AO44" s="226">
        <f>'DATA SHEET'!$Q142</f>
        <v>4699.05</v>
      </c>
      <c r="AP44" s="246">
        <f>'DATA SHEET'!$R142</f>
        <v>1.3523569186968176E-2</v>
      </c>
    </row>
    <row r="45" spans="2:42" x14ac:dyDescent="0.25">
      <c r="B45" s="223" t="str">
        <f>'DATA SHEET'!$B143</f>
        <v>28-07-2024</v>
      </c>
      <c r="C45" s="226">
        <f>'DATA SHEET'!$E143</f>
        <v>24717.7</v>
      </c>
      <c r="D45" s="246">
        <f>'DATA SHEET'!$F143</f>
        <v>-4.7171615693268887E-3</v>
      </c>
      <c r="F45" s="226">
        <f>'DATA SHEET'!$G143</f>
        <v>4215.8500000000004</v>
      </c>
      <c r="G45" s="246">
        <f>'DATA SHEET'!$H143</f>
        <v>-2.3882843250752406E-2</v>
      </c>
      <c r="M45" s="226">
        <f>'DATA SHEET'!$I143</f>
        <v>1821.2</v>
      </c>
      <c r="N45" s="246">
        <f>'DATA SHEET'!$J143</f>
        <v>-3.0709457661397654E-2</v>
      </c>
      <c r="T45" s="226">
        <f>'DATA SHEET'!$K143</f>
        <v>1603.91</v>
      </c>
      <c r="U45" s="246">
        <f>'DATA SHEET'!$L143</f>
        <v>-1.5933688369695997E-2</v>
      </c>
      <c r="AA45" s="226">
        <f>'DATA SHEET'!$M143</f>
        <v>5509.9</v>
      </c>
      <c r="AB45" s="246">
        <f>'DATA SHEET'!$N143</f>
        <v>-4.8121690608021184E-2</v>
      </c>
      <c r="AH45" s="226">
        <f>'DATA SHEET'!$O143</f>
        <v>1507.7</v>
      </c>
      <c r="AI45" s="246">
        <f>'DATA SHEET'!$P143</f>
        <v>-2.1704571261720207E-2</v>
      </c>
      <c r="AO45" s="226">
        <f>'DATA SHEET'!$Q143</f>
        <v>4636.3500000000004</v>
      </c>
      <c r="AP45" s="246">
        <f>'DATA SHEET'!$R143</f>
        <v>-2.8619616798834957E-2</v>
      </c>
    </row>
    <row r="46" spans="2:42" x14ac:dyDescent="0.25">
      <c r="B46" s="223" t="str">
        <f>'DATA SHEET'!$B144</f>
        <v>21-07-2024</v>
      </c>
      <c r="C46" s="226">
        <f>'DATA SHEET'!$E144</f>
        <v>24834.85</v>
      </c>
      <c r="D46" s="246">
        <f>'DATA SHEET'!$F144</f>
        <v>1.2390495252925682E-2</v>
      </c>
      <c r="F46" s="226">
        <f>'DATA SHEET'!$G144</f>
        <v>4319</v>
      </c>
      <c r="G46" s="246">
        <f>'DATA SHEET'!$H144</f>
        <v>1.9861200645117094E-2</v>
      </c>
      <c r="M46" s="226">
        <f>'DATA SHEET'!$I144</f>
        <v>1878.9</v>
      </c>
      <c r="N46" s="246">
        <f>'DATA SHEET'!$J144</f>
        <v>4.7937756211829718E-2</v>
      </c>
      <c r="T46" s="226">
        <f>'DATA SHEET'!$K144</f>
        <v>1629.88</v>
      </c>
      <c r="U46" s="246">
        <f>'DATA SHEET'!$L144</f>
        <v>2.5591331542087037E-2</v>
      </c>
      <c r="AA46" s="226">
        <f>'DATA SHEET'!$M144</f>
        <v>5788.45</v>
      </c>
      <c r="AB46" s="246">
        <f>'DATA SHEET'!$N144</f>
        <v>4.4596763697886121E-3</v>
      </c>
      <c r="AH46" s="226">
        <f>'DATA SHEET'!$O144</f>
        <v>1541.15</v>
      </c>
      <c r="AI46" s="246">
        <f>'DATA SHEET'!$P144</f>
        <v>3.3357918734075342E-2</v>
      </c>
      <c r="AO46" s="226">
        <f>'DATA SHEET'!$Q144</f>
        <v>4772.95</v>
      </c>
      <c r="AP46" s="246">
        <f>'DATA SHEET'!$R144</f>
        <v>4.134440214249091E-2</v>
      </c>
    </row>
    <row r="47" spans="2:42" x14ac:dyDescent="0.25">
      <c r="B47" s="223" t="str">
        <f>'DATA SHEET'!$B145</f>
        <v>14-07-2024</v>
      </c>
      <c r="C47" s="226">
        <f>'DATA SHEET'!$E145</f>
        <v>24530.9</v>
      </c>
      <c r="D47" s="246">
        <f>'DATA SHEET'!$F145</f>
        <v>1.1733664188653403E-3</v>
      </c>
      <c r="F47" s="226">
        <f>'DATA SHEET'!$G145</f>
        <v>4234.8900000000003</v>
      </c>
      <c r="G47" s="246">
        <f>'DATA SHEET'!$H145</f>
        <v>2.8310225092878172E-2</v>
      </c>
      <c r="M47" s="226">
        <f>'DATA SHEET'!$I145</f>
        <v>1792.95</v>
      </c>
      <c r="N47" s="246">
        <f>'DATA SHEET'!$J145</f>
        <v>4.7436833649773691E-2</v>
      </c>
      <c r="T47" s="226">
        <f>'DATA SHEET'!$K145</f>
        <v>1589.21</v>
      </c>
      <c r="U47" s="246">
        <f>'DATA SHEET'!$L145</f>
        <v>2.2013144863599621E-2</v>
      </c>
      <c r="AA47" s="226">
        <f>'DATA SHEET'!$M145</f>
        <v>5762.75</v>
      </c>
      <c r="AB47" s="246">
        <f>'DATA SHEET'!$N145</f>
        <v>3.4113034193785863E-2</v>
      </c>
      <c r="AH47" s="226">
        <f>'DATA SHEET'!$O145</f>
        <v>1491.4</v>
      </c>
      <c r="AI47" s="246">
        <f>'DATA SHEET'!$P145</f>
        <v>-9.06946613069326E-3</v>
      </c>
      <c r="AO47" s="226">
        <f>'DATA SHEET'!$Q145</f>
        <v>4583.45</v>
      </c>
      <c r="AP47" s="246">
        <f>'DATA SHEET'!$R145</f>
        <v>-4.6802537173754821E-2</v>
      </c>
    </row>
    <row r="48" spans="2:42" x14ac:dyDescent="0.25">
      <c r="B48" s="223">
        <f>'DATA SHEET'!$B146</f>
        <v>45480</v>
      </c>
      <c r="C48" s="226">
        <f>'DATA SHEET'!$E146</f>
        <v>24502.15</v>
      </c>
      <c r="D48" s="246">
        <f>'DATA SHEET'!$F146</f>
        <v>7.3302540510651326E-3</v>
      </c>
      <c r="F48" s="226">
        <f>'DATA SHEET'!$G146</f>
        <v>4118.3</v>
      </c>
      <c r="G48" s="246">
        <f>'DATA SHEET'!$H146</f>
        <v>4.2911227319346157E-2</v>
      </c>
      <c r="M48" s="226">
        <f>'DATA SHEET'!$I146</f>
        <v>1711.75</v>
      </c>
      <c r="N48" s="246">
        <f>'DATA SHEET'!$J146</f>
        <v>3.9030016085465302E-2</v>
      </c>
      <c r="T48" s="226">
        <f>'DATA SHEET'!$K146</f>
        <v>1554.98</v>
      </c>
      <c r="U48" s="246">
        <f>'DATA SHEET'!$L146</f>
        <v>2.685711644247224E-2</v>
      </c>
      <c r="AA48" s="226">
        <f>'DATA SHEET'!$M146</f>
        <v>5572.65</v>
      </c>
      <c r="AB48" s="246">
        <f>'DATA SHEET'!$N146</f>
        <v>2.7841820831104647E-2</v>
      </c>
      <c r="AH48" s="226">
        <f>'DATA SHEET'!$O146</f>
        <v>1505.05</v>
      </c>
      <c r="AI48" s="246">
        <f>'DATA SHEET'!$P146</f>
        <v>2.9903856023539843E-2</v>
      </c>
      <c r="AO48" s="226">
        <f>'DATA SHEET'!$Q146</f>
        <v>4808.5</v>
      </c>
      <c r="AP48" s="246">
        <f>'DATA SHEET'!$R146</f>
        <v>7.8071784123656673E-3</v>
      </c>
    </row>
    <row r="49" spans="2:42" x14ac:dyDescent="0.25">
      <c r="B49" s="223" t="str">
        <f>'DATA SHEET'!$B147</f>
        <v>30-06-2024</v>
      </c>
      <c r="C49" s="226">
        <f>'DATA SHEET'!$E147</f>
        <v>24323.85</v>
      </c>
      <c r="D49" s="246">
        <f>'DATA SHEET'!$F147</f>
        <v>1.3046321208133094E-2</v>
      </c>
      <c r="F49" s="226">
        <f>'DATA SHEET'!$G147</f>
        <v>3948.85</v>
      </c>
      <c r="G49" s="246">
        <f>'DATA SHEET'!$H147</f>
        <v>2.7572998446481645E-2</v>
      </c>
      <c r="M49" s="226">
        <f>'DATA SHEET'!$I147</f>
        <v>1647.45</v>
      </c>
      <c r="N49" s="246">
        <f>'DATA SHEET'!$J147</f>
        <v>5.1507898516036432E-2</v>
      </c>
      <c r="T49" s="226">
        <f>'DATA SHEET'!$K147</f>
        <v>1514.31</v>
      </c>
      <c r="U49" s="246">
        <f>'DATA SHEET'!$L147</f>
        <v>4.0970365227433581E-2</v>
      </c>
      <c r="AA49" s="226">
        <f>'DATA SHEET'!$M147</f>
        <v>5421.7</v>
      </c>
      <c r="AB49" s="246">
        <f>'DATA SHEET'!$N147</f>
        <v>6.8058792397469592E-3</v>
      </c>
      <c r="AH49" s="226">
        <f>'DATA SHEET'!$O147</f>
        <v>1461.35</v>
      </c>
      <c r="AI49" s="246">
        <f>'DATA SHEET'!$P147</f>
        <v>2.1673017093718272E-2</v>
      </c>
      <c r="AO49" s="226">
        <f>'DATA SHEET'!$Q147</f>
        <v>4771.25</v>
      </c>
      <c r="AP49" s="246">
        <f>'DATA SHEET'!$R147</f>
        <v>0.12491011328672985</v>
      </c>
    </row>
    <row r="50" spans="2:42" x14ac:dyDescent="0.25">
      <c r="B50" s="223" t="str">
        <f>'DATA SHEET'!$B148</f>
        <v>23-06-2024</v>
      </c>
      <c r="C50" s="226">
        <f>'DATA SHEET'!$E148</f>
        <v>24010.6</v>
      </c>
      <c r="D50" s="246">
        <f>'DATA SHEET'!$F148</f>
        <v>2.1679836262983532E-2</v>
      </c>
      <c r="F50" s="226">
        <f>'DATA SHEET'!$G148</f>
        <v>3842.89</v>
      </c>
      <c r="G50" s="246">
        <f>'DATA SHEET'!$H148</f>
        <v>2.4508392518181932E-2</v>
      </c>
      <c r="M50" s="226">
        <f>'DATA SHEET'!$I148</f>
        <v>1566.75</v>
      </c>
      <c r="N50" s="246">
        <f>'DATA SHEET'!$J148</f>
        <v>2.2215697788216859E-2</v>
      </c>
      <c r="T50" s="226">
        <f>'DATA SHEET'!$K148</f>
        <v>1454.71</v>
      </c>
      <c r="U50" s="246">
        <f>'DATA SHEET'!$L148</f>
        <v>8.115038115038109E-3</v>
      </c>
      <c r="AA50" s="226">
        <f>'DATA SHEET'!$M148</f>
        <v>5385.05</v>
      </c>
      <c r="AB50" s="246">
        <f>'DATA SHEET'!$N148</f>
        <v>5.0649211288764873E-2</v>
      </c>
      <c r="AH50" s="226">
        <f>'DATA SHEET'!$O148</f>
        <v>1430.35</v>
      </c>
      <c r="AI50" s="246">
        <f>'DATA SHEET'!$P148</f>
        <v>2.1824546363766295E-2</v>
      </c>
      <c r="AO50" s="226">
        <f>'DATA SHEET'!$Q148</f>
        <v>4241.45</v>
      </c>
      <c r="AP50" s="246">
        <f>'DATA SHEET'!$R148</f>
        <v>7.5295668597649801E-2</v>
      </c>
    </row>
    <row r="51" spans="2:42" x14ac:dyDescent="0.25">
      <c r="B51" s="223" t="str">
        <f>'DATA SHEET'!$B149</f>
        <v>16-06-2024</v>
      </c>
      <c r="C51" s="226">
        <f>'DATA SHEET'!$E149</f>
        <v>23501.1</v>
      </c>
      <c r="D51" s="246">
        <f>'DATA SHEET'!$F149</f>
        <v>1.5128528569481325E-3</v>
      </c>
      <c r="F51" s="226">
        <f>'DATA SHEET'!$G149</f>
        <v>3750.96</v>
      </c>
      <c r="G51" s="246">
        <f>'DATA SHEET'!$H149</f>
        <v>-5.5568516829624937E-3</v>
      </c>
      <c r="M51" s="226">
        <f>'DATA SHEET'!$I149</f>
        <v>1532.7</v>
      </c>
      <c r="N51" s="246">
        <f>'DATA SHEET'!$J149</f>
        <v>2.9417690912754368E-2</v>
      </c>
      <c r="T51" s="226">
        <f>'DATA SHEET'!$K149</f>
        <v>1443</v>
      </c>
      <c r="U51" s="246">
        <f>'DATA SHEET'!$L149</f>
        <v>1.1736990450549101E-2</v>
      </c>
      <c r="AA51" s="226">
        <f>'DATA SHEET'!$M149</f>
        <v>5125.45</v>
      </c>
      <c r="AB51" s="246">
        <f>'DATA SHEET'!$N149</f>
        <v>1.8459826529294121E-2</v>
      </c>
      <c r="AH51" s="226">
        <f>'DATA SHEET'!$O149</f>
        <v>1399.8</v>
      </c>
      <c r="AI51" s="246">
        <f>'DATA SHEET'!$P149</f>
        <v>2.0671552006999772E-2</v>
      </c>
      <c r="AO51" s="226">
        <f>'DATA SHEET'!$Q149</f>
        <v>3944.45</v>
      </c>
      <c r="AP51" s="246">
        <f>'DATA SHEET'!$R149</f>
        <v>4.549671331636973E-2</v>
      </c>
    </row>
    <row r="52" spans="2:42" x14ac:dyDescent="0.25">
      <c r="B52" s="223">
        <f>'DATA SHEET'!$B150</f>
        <v>45541</v>
      </c>
      <c r="C52" s="226">
        <f>'DATA SHEET'!$E150</f>
        <v>23465.599999999999</v>
      </c>
      <c r="D52" s="246">
        <f>'DATA SHEET'!$F150</f>
        <v>7.5332275661599279E-3</v>
      </c>
      <c r="F52" s="226">
        <f>'DATA SHEET'!$G150</f>
        <v>3771.92</v>
      </c>
      <c r="G52" s="246">
        <f>'DATA SHEET'!$H150</f>
        <v>-1.589678698618513E-2</v>
      </c>
      <c r="M52" s="226">
        <f>'DATA SHEET'!$I150</f>
        <v>1488.9</v>
      </c>
      <c r="N52" s="246">
        <f>'DATA SHEET'!$J150</f>
        <v>-2.9147104851330097E-2</v>
      </c>
      <c r="T52" s="226">
        <f>'DATA SHEET'!$K150</f>
        <v>1426.26</v>
      </c>
      <c r="U52" s="246">
        <f>'DATA SHEET'!$L150</f>
        <v>-3.1541098050757999E-4</v>
      </c>
      <c r="AA52" s="226">
        <f>'DATA SHEET'!$M150</f>
        <v>5032.55</v>
      </c>
      <c r="AB52" s="246">
        <f>'DATA SHEET'!$N150</f>
        <v>1.112071043960472E-2</v>
      </c>
      <c r="AH52" s="226">
        <f>'DATA SHEET'!$O150</f>
        <v>1371.45</v>
      </c>
      <c r="AI52" s="246">
        <f>'DATA SHEET'!$P150</f>
        <v>-4.4642857142855874E-3</v>
      </c>
      <c r="AO52" s="226">
        <f>'DATA SHEET'!$Q150</f>
        <v>3772.8</v>
      </c>
      <c r="AP52" s="246">
        <f>'DATA SHEET'!$R150</f>
        <v>-2.0115576910590183E-2</v>
      </c>
    </row>
    <row r="53" spans="2:42" x14ac:dyDescent="0.25">
      <c r="B53" s="223">
        <f>'DATA SHEET'!$B151</f>
        <v>45328</v>
      </c>
      <c r="C53" s="226">
        <f>'DATA SHEET'!$E151</f>
        <v>23290.15</v>
      </c>
      <c r="D53" s="246">
        <f>'DATA SHEET'!$F151</f>
        <v>3.3707341538434354E-2</v>
      </c>
      <c r="F53" s="226">
        <f>'DATA SHEET'!$G151</f>
        <v>3832.85</v>
      </c>
      <c r="G53" s="246">
        <f>'DATA SHEET'!$H151</f>
        <v>6.0746952274205457E-2</v>
      </c>
      <c r="M53" s="226">
        <f>'DATA SHEET'!$I151</f>
        <v>1533.6</v>
      </c>
      <c r="N53" s="246">
        <f>'DATA SHEET'!$J151</f>
        <v>9.0056151823157071E-2</v>
      </c>
      <c r="T53" s="226">
        <f>'DATA SHEET'!$K151</f>
        <v>1426.71</v>
      </c>
      <c r="U53" s="246">
        <f>'DATA SHEET'!$L151</f>
        <v>8.1111186887630859E-2</v>
      </c>
      <c r="AA53" s="226">
        <f>'DATA SHEET'!$M151</f>
        <v>4977.2</v>
      </c>
      <c r="AB53" s="246">
        <f>'DATA SHEET'!$N151</f>
        <v>5.855079861332646E-2</v>
      </c>
      <c r="AH53" s="226">
        <f>'DATA SHEET'!$O151</f>
        <v>1377.6</v>
      </c>
      <c r="AI53" s="246">
        <f>'DATA SHEET'!$P151</f>
        <v>0.12141316292889393</v>
      </c>
      <c r="AO53" s="226">
        <f>'DATA SHEET'!$Q151</f>
        <v>3850.25</v>
      </c>
      <c r="AP53" s="246">
        <f>'DATA SHEET'!$R151</f>
        <v>0.12894003811757804</v>
      </c>
    </row>
    <row r="54" spans="2:42" x14ac:dyDescent="0.25">
      <c r="B54" s="223" t="str">
        <f>'DATA SHEET'!$B152</f>
        <v>26-05-2024</v>
      </c>
      <c r="C54" s="226">
        <f>'DATA SHEET'!$E152</f>
        <v>22530.7</v>
      </c>
      <c r="D54" s="246">
        <f>'DATA SHEET'!$F152</f>
        <v>-1.8573774562117951E-2</v>
      </c>
      <c r="F54" s="226">
        <f>'DATA SHEET'!$G152</f>
        <v>3613.35</v>
      </c>
      <c r="G54" s="246">
        <f>'DATA SHEET'!$H152</f>
        <v>-4.6383046105935466E-2</v>
      </c>
      <c r="M54" s="226">
        <f>'DATA SHEET'!$I152</f>
        <v>1406.9</v>
      </c>
      <c r="N54" s="246">
        <f>'DATA SHEET'!$J152</f>
        <v>-3.4312817028052889E-2</v>
      </c>
      <c r="T54" s="226">
        <f>'DATA SHEET'!$K152</f>
        <v>1319.67</v>
      </c>
      <c r="U54" s="246">
        <f>'DATA SHEET'!$L152</f>
        <v>-1.5685835757440092E-2</v>
      </c>
      <c r="AA54" s="226">
        <f>'DATA SHEET'!$M152</f>
        <v>4701.8999999999996</v>
      </c>
      <c r="AB54" s="246">
        <f>'DATA SHEET'!$N152</f>
        <v>-2.8482876181621042E-2</v>
      </c>
      <c r="AH54" s="226">
        <f>'DATA SHEET'!$O152</f>
        <v>1228.45</v>
      </c>
      <c r="AI54" s="246">
        <f>'DATA SHEET'!$P152</f>
        <v>-7.0588235294117618E-2</v>
      </c>
      <c r="AO54" s="226">
        <f>'DATA SHEET'!$Q152</f>
        <v>3410.5</v>
      </c>
      <c r="AP54" s="246">
        <f>'DATA SHEET'!$R152</f>
        <v>-4.0700945094509389E-2</v>
      </c>
    </row>
    <row r="55" spans="2:42" x14ac:dyDescent="0.25">
      <c r="B55" s="223" t="str">
        <f>'DATA SHEET'!$B153</f>
        <v>19-05-2024</v>
      </c>
      <c r="C55" s="226">
        <f>'DATA SHEET'!$E153</f>
        <v>22957.1</v>
      </c>
      <c r="D55" s="246">
        <f>'DATA SHEET'!$F153</f>
        <v>2.1855150649200406E-2</v>
      </c>
      <c r="F55" s="226">
        <f>'DATA SHEET'!$G153</f>
        <v>3789.1</v>
      </c>
      <c r="G55" s="246">
        <f>'DATA SHEET'!$H153</f>
        <v>4.0170219982298416E-3</v>
      </c>
      <c r="M55" s="226">
        <f>'DATA SHEET'!$I153</f>
        <v>1456.89</v>
      </c>
      <c r="N55" s="246">
        <f>'DATA SHEET'!$J153</f>
        <v>1.4399008501542188E-2</v>
      </c>
      <c r="T55" s="226">
        <f>'DATA SHEET'!$K153</f>
        <v>1340.7</v>
      </c>
      <c r="U55" s="246">
        <f>'DATA SHEET'!$L153</f>
        <v>9.0010084741936058E-3</v>
      </c>
      <c r="AA55" s="226">
        <f>'DATA SHEET'!$M153</f>
        <v>4839.75</v>
      </c>
      <c r="AB55" s="246">
        <f>'DATA SHEET'!$N153</f>
        <v>1.583653422328557E-2</v>
      </c>
      <c r="AH55" s="226">
        <f>'DATA SHEET'!$O153</f>
        <v>1321.75</v>
      </c>
      <c r="AI55" s="246">
        <f>'DATA SHEET'!$P153</f>
        <v>1.2524896583422596E-2</v>
      </c>
      <c r="AO55" s="226">
        <f>'DATA SHEET'!$Q153</f>
        <v>3555.2</v>
      </c>
      <c r="AP55" s="246">
        <f>'DATA SHEET'!$R153</f>
        <v>4.2512322924168622E-3</v>
      </c>
    </row>
    <row r="56" spans="2:42" x14ac:dyDescent="0.25">
      <c r="B56" s="223">
        <f>'DATA SHEET'!$B154</f>
        <v>45631</v>
      </c>
      <c r="C56" s="226">
        <f>'DATA SHEET'!$E154</f>
        <v>22466.1</v>
      </c>
      <c r="D56" s="246">
        <f>'DATA SHEET'!$F154</f>
        <v>1.8630527041241907E-2</v>
      </c>
      <c r="F56" s="226">
        <f>'DATA SHEET'!$G154</f>
        <v>3773.94</v>
      </c>
      <c r="G56" s="246">
        <f>'DATA SHEET'!$H154</f>
        <v>-1.5356919223544208E-2</v>
      </c>
      <c r="M56" s="226">
        <f>'DATA SHEET'!$I154</f>
        <v>1436.21</v>
      </c>
      <c r="N56" s="246">
        <f>'DATA SHEET'!$J154</f>
        <v>1.3614036078254177E-2</v>
      </c>
      <c r="T56" s="226">
        <f>'DATA SHEET'!$K154</f>
        <v>1328.74</v>
      </c>
      <c r="U56" s="246">
        <f>'DATA SHEET'!$L154</f>
        <v>1.2921275509037322E-2</v>
      </c>
      <c r="AA56" s="226">
        <f>'DATA SHEET'!$M154</f>
        <v>4764.3</v>
      </c>
      <c r="AB56" s="246">
        <f>'DATA SHEET'!$N154</f>
        <v>3.3997807993228824E-2</v>
      </c>
      <c r="AH56" s="226">
        <f>'DATA SHEET'!$O154</f>
        <v>1305.4000000000001</v>
      </c>
      <c r="AI56" s="246">
        <f>'DATA SHEET'!$P154</f>
        <v>3.2426447326795227E-2</v>
      </c>
      <c r="AO56" s="226">
        <f>'DATA SHEET'!$Q154</f>
        <v>3540.15</v>
      </c>
      <c r="AP56" s="246">
        <f>'DATA SHEET'!$R154</f>
        <v>5.1269487750556841E-2</v>
      </c>
    </row>
    <row r="57" spans="2:42" x14ac:dyDescent="0.25">
      <c r="B57" s="223">
        <f>'DATA SHEET'!$B155</f>
        <v>45417</v>
      </c>
      <c r="C57" s="226">
        <f>'DATA SHEET'!$E155</f>
        <v>22055.200000000001</v>
      </c>
      <c r="D57" s="246">
        <f>'DATA SHEET'!$F155</f>
        <v>-1.8715643679771743E-2</v>
      </c>
      <c r="F57" s="226">
        <f>'DATA SHEET'!$G155</f>
        <v>3832.8</v>
      </c>
      <c r="G57" s="246">
        <f>'DATA SHEET'!$H155</f>
        <v>1.3140052179567485E-2</v>
      </c>
      <c r="M57" s="226">
        <f>'DATA SHEET'!$I155</f>
        <v>1416.92</v>
      </c>
      <c r="N57" s="246">
        <f>'DATA SHEET'!$J155</f>
        <v>6.0779914226476439E-3</v>
      </c>
      <c r="T57" s="226">
        <f>'DATA SHEET'!$K155</f>
        <v>1311.79</v>
      </c>
      <c r="U57" s="246">
        <f>'DATA SHEET'!$L155</f>
        <v>-2.3631600101225114E-2</v>
      </c>
      <c r="AA57" s="226">
        <f>'DATA SHEET'!$M155</f>
        <v>4607.6499999999996</v>
      </c>
      <c r="AB57" s="246">
        <f>'DATA SHEET'!$N155</f>
        <v>-9.5228882511635415E-3</v>
      </c>
      <c r="AH57" s="226">
        <f>'DATA SHEET'!$O155</f>
        <v>1264.4000000000001</v>
      </c>
      <c r="AI57" s="246">
        <f>'DATA SHEET'!$P155</f>
        <v>1.1155983845815509E-2</v>
      </c>
      <c r="AO57" s="226">
        <f>'DATA SHEET'!$Q155</f>
        <v>3367.5</v>
      </c>
      <c r="AP57" s="246">
        <f>'DATA SHEET'!$R155</f>
        <v>1.9305879382813806E-4</v>
      </c>
    </row>
    <row r="58" spans="2:42" x14ac:dyDescent="0.25">
      <c r="B58" s="223" t="str">
        <f>'DATA SHEET'!$B156</f>
        <v>28-04-2024</v>
      </c>
      <c r="C58" s="226">
        <f>'DATA SHEET'!$E156</f>
        <v>22475.85</v>
      </c>
      <c r="D58" s="246">
        <f>'DATA SHEET'!$F156</f>
        <v>2.4933151055197555E-3</v>
      </c>
      <c r="F58" s="226">
        <f>'DATA SHEET'!$G156</f>
        <v>3783.09</v>
      </c>
      <c r="G58" s="246">
        <f>'DATA SHEET'!$H156</f>
        <v>5.7691438537350592E-3</v>
      </c>
      <c r="M58" s="226">
        <f>'DATA SHEET'!$I156</f>
        <v>1408.36</v>
      </c>
      <c r="N58" s="246">
        <f>'DATA SHEET'!$J156</f>
        <v>-9.7522904171618574E-3</v>
      </c>
      <c r="T58" s="226">
        <f>'DATA SHEET'!$K156</f>
        <v>1343.54</v>
      </c>
      <c r="U58" s="246">
        <f>'DATA SHEET'!$L156</f>
        <v>-8.5355226969474285E-2</v>
      </c>
      <c r="AA58" s="226">
        <f>'DATA SHEET'!$M156</f>
        <v>4651.95</v>
      </c>
      <c r="AB58" s="246">
        <f>'DATA SHEET'!$N156</f>
        <v>-2.8424932905880329E-2</v>
      </c>
      <c r="AH58" s="226">
        <f>'DATA SHEET'!$O156</f>
        <v>1250.45</v>
      </c>
      <c r="AI58" s="246">
        <f>'DATA SHEET'!$P156</f>
        <v>-2.2130987292277582E-2</v>
      </c>
      <c r="AO58" s="226">
        <f>'DATA SHEET'!$Q156</f>
        <v>3366.85</v>
      </c>
      <c r="AP58" s="246">
        <f>'DATA SHEET'!$R156</f>
        <v>-9.0067550662996654E-3</v>
      </c>
    </row>
    <row r="59" spans="2:42" x14ac:dyDescent="0.25">
      <c r="B59" s="223" t="str">
        <f>'DATA SHEET'!$B157</f>
        <v>21-04-2024</v>
      </c>
      <c r="C59" s="226">
        <f>'DATA SHEET'!$E157</f>
        <v>22419.95</v>
      </c>
      <c r="D59" s="246">
        <f>'DATA SHEET'!$F157</f>
        <v>1.2324468325281002E-2</v>
      </c>
      <c r="F59" s="226">
        <f>'DATA SHEET'!$G157</f>
        <v>3761.39</v>
      </c>
      <c r="G59" s="246">
        <f>'DATA SHEET'!$H157</f>
        <v>-1.2665420481339229E-3</v>
      </c>
      <c r="M59" s="226">
        <f>'DATA SHEET'!$I157</f>
        <v>1422.23</v>
      </c>
      <c r="N59" s="246">
        <f>'DATA SHEET'!$J157</f>
        <v>1.3460743654424512E-2</v>
      </c>
      <c r="T59" s="226">
        <f>'DATA SHEET'!$K157</f>
        <v>1468.92</v>
      </c>
      <c r="U59" s="246">
        <f>'DATA SHEET'!$L157</f>
        <v>1.8209544934668864E-2</v>
      </c>
      <c r="AA59" s="226">
        <f>'DATA SHEET'!$M157</f>
        <v>4788.05</v>
      </c>
      <c r="AB59" s="246">
        <f>'DATA SHEET'!$N157</f>
        <v>2.7357286157213112E-2</v>
      </c>
      <c r="AH59" s="226">
        <f>'DATA SHEET'!$O157</f>
        <v>1278.75</v>
      </c>
      <c r="AI59" s="246">
        <f>'DATA SHEET'!$P157</f>
        <v>7.1293930381602477E-2</v>
      </c>
      <c r="AO59" s="226">
        <f>'DATA SHEET'!$Q157</f>
        <v>3397.45</v>
      </c>
      <c r="AP59" s="246">
        <f>'DATA SHEET'!$R157</f>
        <v>-0.12542796097510744</v>
      </c>
    </row>
    <row r="60" spans="2:42" x14ac:dyDescent="0.25">
      <c r="B60" s="223" t="str">
        <f>'DATA SHEET'!$B158</f>
        <v>14-04-2024</v>
      </c>
      <c r="C60" s="226">
        <f>'DATA SHEET'!$E158</f>
        <v>22147</v>
      </c>
      <c r="D60" s="246">
        <f>'DATA SHEET'!$F158</f>
        <v>-1.6536852669254087E-2</v>
      </c>
      <c r="F60" s="226">
        <f>'DATA SHEET'!$G158</f>
        <v>3766.16</v>
      </c>
      <c r="G60" s="246">
        <f>'DATA SHEET'!$H158</f>
        <v>-4.378448234275556E-2</v>
      </c>
      <c r="M60" s="226">
        <f>'DATA SHEET'!$I158</f>
        <v>1403.34</v>
      </c>
      <c r="N60" s="246">
        <f>'DATA SHEET'!$J158</f>
        <v>-4.950454813299654E-2</v>
      </c>
      <c r="T60" s="226">
        <f>'DATA SHEET'!$K158</f>
        <v>1442.65</v>
      </c>
      <c r="U60" s="246">
        <f>'DATA SHEET'!$L158</f>
        <v>-4.8641198620425818E-2</v>
      </c>
      <c r="AA60" s="226">
        <f>'DATA SHEET'!$M158</f>
        <v>4660.55</v>
      </c>
      <c r="AB60" s="246">
        <f>'DATA SHEET'!$N158</f>
        <v>-4.6707848391253526E-2</v>
      </c>
      <c r="AH60" s="226">
        <f>'DATA SHEET'!$O158</f>
        <v>1193.6500000000001</v>
      </c>
      <c r="AI60" s="246">
        <f>'DATA SHEET'!$P158</f>
        <v>-3.9006521214072776E-2</v>
      </c>
      <c r="AO60" s="226">
        <f>'DATA SHEET'!$Q158</f>
        <v>3884.7</v>
      </c>
      <c r="AP60" s="246">
        <f>'DATA SHEET'!$R158</f>
        <v>-2.3441722495255113E-2</v>
      </c>
    </row>
    <row r="61" spans="2:42" x14ac:dyDescent="0.25">
      <c r="B61" s="223">
        <f>'DATA SHEET'!$B159</f>
        <v>45477</v>
      </c>
      <c r="C61" s="226">
        <f>'DATA SHEET'!$E159</f>
        <v>22519.4</v>
      </c>
      <c r="D61" s="246">
        <f>'DATA SHEET'!$F159</f>
        <v>2.5317917534661838E-4</v>
      </c>
      <c r="F61" s="226">
        <f>'DATA SHEET'!$G159</f>
        <v>3938.61</v>
      </c>
      <c r="G61" s="246">
        <f>'DATA SHEET'!$H159</f>
        <v>5.5657537639048904E-3</v>
      </c>
      <c r="M61" s="226">
        <f>'DATA SHEET'!$I159</f>
        <v>1476.43</v>
      </c>
      <c r="N61" s="246">
        <f>'DATA SHEET'!$J159</f>
        <v>3.8210237896125765E-3</v>
      </c>
      <c r="T61" s="226">
        <f>'DATA SHEET'!$K159</f>
        <v>1516.41</v>
      </c>
      <c r="U61" s="246">
        <f>'DATA SHEET'!$L159</f>
        <v>-1.5369331463300551E-2</v>
      </c>
      <c r="AA61" s="226">
        <f>'DATA SHEET'!$M159</f>
        <v>4888.8999999999996</v>
      </c>
      <c r="AB61" s="246">
        <f>'DATA SHEET'!$N159</f>
        <v>-7.8335870116692519E-3</v>
      </c>
      <c r="AH61" s="226">
        <f>'DATA SHEET'!$O159</f>
        <v>1242.0999999999999</v>
      </c>
      <c r="AI61" s="246">
        <f>'DATA SHEET'!$P159</f>
        <v>-1.6859268640177394E-2</v>
      </c>
      <c r="AO61" s="226">
        <f>'DATA SHEET'!$Q159</f>
        <v>3977.95</v>
      </c>
      <c r="AP61" s="246">
        <f>'DATA SHEET'!$R159</f>
        <v>-4.7038218552574174E-3</v>
      </c>
    </row>
    <row r="62" spans="2:42" x14ac:dyDescent="0.25">
      <c r="B62" s="223" t="str">
        <f>'DATA SHEET'!$B160</f>
        <v>31-03-2024</v>
      </c>
      <c r="C62" s="226">
        <f>'DATA SHEET'!$E160</f>
        <v>22513.7</v>
      </c>
      <c r="D62" s="246">
        <f>'DATA SHEET'!$F160</f>
        <v>8.3665891816597782E-3</v>
      </c>
      <c r="F62" s="226">
        <f>'DATA SHEET'!$G160</f>
        <v>3916.81</v>
      </c>
      <c r="G62" s="246">
        <f>'DATA SHEET'!$H160</f>
        <v>2.6557602188977514E-2</v>
      </c>
      <c r="M62" s="226">
        <f>'DATA SHEET'!$I160</f>
        <v>1470.81</v>
      </c>
      <c r="N62" s="246">
        <f>'DATA SHEET'!$J160</f>
        <v>-1.2653894177194869E-2</v>
      </c>
      <c r="T62" s="226">
        <f>'DATA SHEET'!$K160</f>
        <v>1540.08</v>
      </c>
      <c r="U62" s="246">
        <f>'DATA SHEET'!$L160</f>
        <v>1.1050585681040559E-3</v>
      </c>
      <c r="AA62" s="226">
        <f>'DATA SHEET'!$M160</f>
        <v>4927.5</v>
      </c>
      <c r="AB62" s="246">
        <f>'DATA SHEET'!$N160</f>
        <v>-2.2071926129919595E-3</v>
      </c>
      <c r="AH62" s="226">
        <f>'DATA SHEET'!$O160</f>
        <v>1263.4000000000001</v>
      </c>
      <c r="AI62" s="246">
        <f>'DATA SHEET'!$P160</f>
        <v>1.2258633122346208E-2</v>
      </c>
      <c r="AO62" s="226">
        <f>'DATA SHEET'!$Q160</f>
        <v>3996.75</v>
      </c>
      <c r="AP62" s="246">
        <f>'DATA SHEET'!$R160</f>
        <v>3.0618263040995686E-3</v>
      </c>
    </row>
    <row r="63" spans="2:42" x14ac:dyDescent="0.25">
      <c r="B63" s="223" t="str">
        <f>'DATA SHEET'!$B161</f>
        <v>24-03-2024</v>
      </c>
      <c r="C63" s="226">
        <f>'DATA SHEET'!$E161</f>
        <v>22326.9</v>
      </c>
      <c r="D63" s="246">
        <f>'DATA SHEET'!$F161</f>
        <v>1.0415558849152129E-2</v>
      </c>
      <c r="F63" s="226">
        <f>'DATA SHEET'!$G161</f>
        <v>3815.48</v>
      </c>
      <c r="G63" s="246">
        <f>'DATA SHEET'!$H161</f>
        <v>-8.8452356521445674E-3</v>
      </c>
      <c r="M63" s="226">
        <f>'DATA SHEET'!$I161</f>
        <v>1489.66</v>
      </c>
      <c r="N63" s="246">
        <f>'DATA SHEET'!$J161</f>
        <v>-7.1514739501062907E-3</v>
      </c>
      <c r="T63" s="226">
        <f>'DATA SHEET'!$K161</f>
        <v>1538.38</v>
      </c>
      <c r="U63" s="246">
        <f>'DATA SHEET'!$L161</f>
        <v>-9.1779754352292464E-3</v>
      </c>
      <c r="AA63" s="226">
        <f>'DATA SHEET'!$M161</f>
        <v>4938.3999999999996</v>
      </c>
      <c r="AB63" s="246">
        <f>'DATA SHEET'!$N161</f>
        <v>-1.3306693306693429E-2</v>
      </c>
      <c r="AH63" s="226">
        <f>'DATA SHEET'!$O161</f>
        <v>1248.0999999999999</v>
      </c>
      <c r="AI63" s="246">
        <f>'DATA SHEET'!$P161</f>
        <v>-1.1523383360392936E-2</v>
      </c>
      <c r="AO63" s="226">
        <f>'DATA SHEET'!$Q161</f>
        <v>3984.55</v>
      </c>
      <c r="AP63" s="246">
        <f>'DATA SHEET'!$R161</f>
        <v>-2.8853150011276529E-4</v>
      </c>
    </row>
    <row r="64" spans="2:42" x14ac:dyDescent="0.25">
      <c r="B64" s="223" t="str">
        <f>'DATA SHEET'!$B162</f>
        <v>17-03-2024</v>
      </c>
      <c r="C64" s="226">
        <f>'DATA SHEET'!$E162</f>
        <v>22096.75</v>
      </c>
      <c r="D64" s="246">
        <f>'DATA SHEET'!$F162</f>
        <v>3.3328262957270649E-3</v>
      </c>
      <c r="F64" s="226">
        <f>'DATA SHEET'!$G162</f>
        <v>3849.53</v>
      </c>
      <c r="G64" s="246">
        <f>'DATA SHEET'!$H162</f>
        <v>-7.3083637326783912E-2</v>
      </c>
      <c r="M64" s="226">
        <f>'DATA SHEET'!$I162</f>
        <v>1500.39</v>
      </c>
      <c r="N64" s="246">
        <f>'DATA SHEET'!$J162</f>
        <v>-7.6592156766204567E-2</v>
      </c>
      <c r="T64" s="226">
        <f>'DATA SHEET'!$K162</f>
        <v>1552.63</v>
      </c>
      <c r="U64" s="246">
        <f>'DATA SHEET'!$L162</f>
        <v>-5.430658001327815E-2</v>
      </c>
      <c r="AA64" s="226">
        <f>'DATA SHEET'!$M162</f>
        <v>5005</v>
      </c>
      <c r="AB64" s="246">
        <f>'DATA SHEET'!$N162</f>
        <v>-3.6453069200188759E-2</v>
      </c>
      <c r="AH64" s="226">
        <f>'DATA SHEET'!$O162</f>
        <v>1262.6500000000001</v>
      </c>
      <c r="AI64" s="246">
        <f>'DATA SHEET'!$P162</f>
        <v>-1.5247231321166677E-2</v>
      </c>
      <c r="AO64" s="226">
        <f>'DATA SHEET'!$Q162</f>
        <v>3985.7</v>
      </c>
      <c r="AP64" s="246">
        <f>'DATA SHEET'!$R162</f>
        <v>-5.4676808428382628E-2</v>
      </c>
    </row>
    <row r="65" spans="2:42" x14ac:dyDescent="0.25">
      <c r="B65" s="223">
        <f>'DATA SHEET'!$B163</f>
        <v>45568</v>
      </c>
      <c r="C65" s="226">
        <f>'DATA SHEET'!$E163</f>
        <v>22023.35</v>
      </c>
      <c r="D65" s="246">
        <f>'DATA SHEET'!$F163</f>
        <v>-2.0903770191899484E-2</v>
      </c>
      <c r="F65" s="226">
        <f>'DATA SHEET'!$G163</f>
        <v>4153.05</v>
      </c>
      <c r="G65" s="246">
        <f>'DATA SHEET'!$H163</f>
        <v>2.6932863186890588E-2</v>
      </c>
      <c r="M65" s="226">
        <f>'DATA SHEET'!$I163</f>
        <v>1624.84</v>
      </c>
      <c r="N65" s="246">
        <f>'DATA SHEET'!$J163</f>
        <v>1.0856108349560412E-2</v>
      </c>
      <c r="T65" s="226">
        <f>'DATA SHEET'!$K163</f>
        <v>1641.79</v>
      </c>
      <c r="U65" s="246">
        <f>'DATA SHEET'!$L163</f>
        <v>5.8939938854407625E-3</v>
      </c>
      <c r="AA65" s="226">
        <f>'DATA SHEET'!$M163</f>
        <v>5194.3500000000004</v>
      </c>
      <c r="AB65" s="246">
        <f>'DATA SHEET'!$N163</f>
        <v>1.3986764792004225E-2</v>
      </c>
      <c r="AH65" s="226">
        <f>'DATA SHEET'!$O163</f>
        <v>1282.2</v>
      </c>
      <c r="AI65" s="246">
        <f>'DATA SHEET'!$P163</f>
        <v>-4.6190272871948768E-3</v>
      </c>
      <c r="AO65" s="226">
        <f>'DATA SHEET'!$Q163</f>
        <v>4216.2299999999996</v>
      </c>
      <c r="AP65" s="246">
        <f>'DATA SHEET'!$R163</f>
        <v>7.2096606586160572E-3</v>
      </c>
    </row>
    <row r="66" spans="2:42" x14ac:dyDescent="0.25">
      <c r="B66" s="223">
        <f>'DATA SHEET'!$B164</f>
        <v>45354</v>
      </c>
      <c r="C66" s="226">
        <f>'DATA SHEET'!$E164</f>
        <v>22493.55</v>
      </c>
      <c r="D66" s="246">
        <f>'DATA SHEET'!$F164</f>
        <v>6.929662581836471E-3</v>
      </c>
      <c r="F66" s="226">
        <f>'DATA SHEET'!$G164</f>
        <v>4044.13</v>
      </c>
      <c r="G66" s="246">
        <f>'DATA SHEET'!$H164</f>
        <v>3.4788132333856137E-3</v>
      </c>
      <c r="M66" s="226">
        <f>'DATA SHEET'!$I164</f>
        <v>1607.39</v>
      </c>
      <c r="N66" s="246">
        <f>'DATA SHEET'!$J164</f>
        <v>-2.3118576906948296E-2</v>
      </c>
      <c r="T66" s="226">
        <f>'DATA SHEET'!$K164</f>
        <v>1632.17</v>
      </c>
      <c r="U66" s="246">
        <f>'DATA SHEET'!$L164</f>
        <v>-3.9240815330159329E-3</v>
      </c>
      <c r="AA66" s="226">
        <f>'DATA SHEET'!$M164</f>
        <v>5122.7</v>
      </c>
      <c r="AB66" s="246">
        <f>'DATA SHEET'!$N164</f>
        <v>-2.8605019389216113E-2</v>
      </c>
      <c r="AH66" s="226">
        <f>'DATA SHEET'!$O164</f>
        <v>1288.1500000000001</v>
      </c>
      <c r="AI66" s="246">
        <f>'DATA SHEET'!$P164</f>
        <v>1.2855794936310838E-2</v>
      </c>
      <c r="AO66" s="226">
        <f>'DATA SHEET'!$Q164</f>
        <v>4186.05</v>
      </c>
      <c r="AP66" s="246">
        <f>'DATA SHEET'!$R164</f>
        <v>-2.6386789161530366E-2</v>
      </c>
    </row>
    <row r="67" spans="2:42" x14ac:dyDescent="0.25">
      <c r="B67" s="223" t="str">
        <f>'DATA SHEET'!$B165</f>
        <v>25-02-2024</v>
      </c>
      <c r="C67" s="226">
        <f>'DATA SHEET'!$E165</f>
        <v>22338.75</v>
      </c>
      <c r="D67" s="246">
        <f>'DATA SHEET'!$F165</f>
        <v>5.6746816010659895E-3</v>
      </c>
      <c r="F67" s="226">
        <f>'DATA SHEET'!$G165</f>
        <v>4030.11</v>
      </c>
      <c r="G67" s="246">
        <f>'DATA SHEET'!$H165</f>
        <v>1.0427426714671117E-2</v>
      </c>
      <c r="M67" s="226">
        <f>'DATA SHEET'!$I165</f>
        <v>1645.43</v>
      </c>
      <c r="N67" s="246">
        <f>'DATA SHEET'!$J165</f>
        <v>-1.3205793277159761E-2</v>
      </c>
      <c r="T67" s="226">
        <f>'DATA SHEET'!$K165</f>
        <v>1638.6</v>
      </c>
      <c r="U67" s="246">
        <f>'DATA SHEET'!$L165</f>
        <v>-1.2992645331502239E-2</v>
      </c>
      <c r="AA67" s="226">
        <f>'DATA SHEET'!$M165</f>
        <v>5273.55</v>
      </c>
      <c r="AB67" s="246">
        <f>'DATA SHEET'!$N165</f>
        <v>-4.8550783470000747E-2</v>
      </c>
      <c r="AH67" s="226">
        <f>'DATA SHEET'!$O165</f>
        <v>1271.8</v>
      </c>
      <c r="AI67" s="246">
        <f>'DATA SHEET'!$P165</f>
        <v>-3.8154660616373626E-2</v>
      </c>
      <c r="AO67" s="226">
        <f>'DATA SHEET'!$Q165</f>
        <v>4299.5</v>
      </c>
      <c r="AP67" s="246">
        <f>'DATA SHEET'!$R165</f>
        <v>-6.1602117356077679E-3</v>
      </c>
    </row>
    <row r="68" spans="2:42" x14ac:dyDescent="0.25">
      <c r="B68" s="223" t="str">
        <f>'DATA SHEET'!$B166</f>
        <v>18-02-2024</v>
      </c>
      <c r="C68" s="226">
        <f>'DATA SHEET'!$E166</f>
        <v>22212.7</v>
      </c>
      <c r="D68" s="246">
        <f>'DATA SHEET'!$F166</f>
        <v>7.8037448901351336E-3</v>
      </c>
      <c r="F68" s="226">
        <f>'DATA SHEET'!$G166</f>
        <v>3988.52</v>
      </c>
      <c r="G68" s="246">
        <f>'DATA SHEET'!$H166</f>
        <v>-1.8456904358782555E-2</v>
      </c>
      <c r="M68" s="226">
        <f>'DATA SHEET'!$I166</f>
        <v>1667.45</v>
      </c>
      <c r="N68" s="246">
        <f>'DATA SHEET'!$J166</f>
        <v>-1.4573520634001302E-2</v>
      </c>
      <c r="T68" s="226">
        <f>'DATA SHEET'!$K166</f>
        <v>1660.17</v>
      </c>
      <c r="U68" s="246">
        <f>'DATA SHEET'!$L166</f>
        <v>-1.022944032926687E-3</v>
      </c>
      <c r="AA68" s="226">
        <f>'DATA SHEET'!$M166</f>
        <v>5542.65</v>
      </c>
      <c r="AB68" s="246">
        <f>'DATA SHEET'!$N166</f>
        <v>-6.7647480467349919E-3</v>
      </c>
      <c r="AH68" s="226">
        <f>'DATA SHEET'!$O166</f>
        <v>1322.25</v>
      </c>
      <c r="AI68" s="246">
        <f>'DATA SHEET'!$P166</f>
        <v>1.5124179494069301E-2</v>
      </c>
      <c r="AO68" s="226">
        <f>'DATA SHEET'!$Q166</f>
        <v>4326.1499999999996</v>
      </c>
      <c r="AP68" s="246">
        <f>'DATA SHEET'!$R166</f>
        <v>-2.44928147344734E-2</v>
      </c>
    </row>
    <row r="69" spans="2:42" x14ac:dyDescent="0.25">
      <c r="B69" s="223">
        <f>'DATA SHEET'!$B167</f>
        <v>45598</v>
      </c>
      <c r="C69" s="226">
        <f>'DATA SHEET'!$E167</f>
        <v>22040.7</v>
      </c>
      <c r="D69" s="246">
        <f>'DATA SHEET'!$F167</f>
        <v>1.1853552163433978E-2</v>
      </c>
      <c r="F69" s="226">
        <f>'DATA SHEET'!$G167</f>
        <v>4063.52</v>
      </c>
      <c r="G69" s="246">
        <f>'DATA SHEET'!$H167</f>
        <v>-1.3074979601066516E-3</v>
      </c>
      <c r="M69" s="226">
        <f>'DATA SHEET'!$I167</f>
        <v>1692.11</v>
      </c>
      <c r="N69" s="246">
        <f>'DATA SHEET'!$J167</f>
        <v>1.9349514153699676E-2</v>
      </c>
      <c r="T69" s="226">
        <f>'DATA SHEET'!$K167</f>
        <v>1661.87</v>
      </c>
      <c r="U69" s="246">
        <f>'DATA SHEET'!$L167</f>
        <v>2.2601129748821558E-2</v>
      </c>
      <c r="AA69" s="226">
        <f>'DATA SHEET'!$M167</f>
        <v>5580.4</v>
      </c>
      <c r="AB69" s="246">
        <f>'DATA SHEET'!$N167</f>
        <v>2.3306988429024456E-2</v>
      </c>
      <c r="AH69" s="226">
        <f>'DATA SHEET'!$O167</f>
        <v>1302.55</v>
      </c>
      <c r="AI69" s="246">
        <f>'DATA SHEET'!$P167</f>
        <v>-6.4833530376415816E-3</v>
      </c>
      <c r="AO69" s="226">
        <f>'DATA SHEET'!$Q167</f>
        <v>4434.7700000000004</v>
      </c>
      <c r="AP69" s="246">
        <f>'DATA SHEET'!$R167</f>
        <v>2.6714482171052323E-2</v>
      </c>
    </row>
    <row r="70" spans="2:42" x14ac:dyDescent="0.25">
      <c r="B70" s="223">
        <f>'DATA SHEET'!$B168</f>
        <v>45384</v>
      </c>
      <c r="C70" s="226">
        <f>'DATA SHEET'!$E168</f>
        <v>21782.5</v>
      </c>
      <c r="D70" s="246">
        <f>'DATA SHEET'!$F168</f>
        <v>-3.2625904876955047E-3</v>
      </c>
      <c r="F70" s="226">
        <f>'DATA SHEET'!$G168</f>
        <v>4068.84</v>
      </c>
      <c r="G70" s="246">
        <f>'DATA SHEET'!$H168</f>
        <v>4.2207343124849528E-2</v>
      </c>
      <c r="M70" s="226">
        <f>'DATA SHEET'!$I168</f>
        <v>1659.99</v>
      </c>
      <c r="N70" s="246">
        <f>'DATA SHEET'!$J168</f>
        <v>-1.4175762830639038E-2</v>
      </c>
      <c r="T70" s="226">
        <f>'DATA SHEET'!$K168</f>
        <v>1625.14</v>
      </c>
      <c r="U70" s="246">
        <f>'DATA SHEET'!$L168</f>
        <v>2.9579650923374334E-2</v>
      </c>
      <c r="AA70" s="226">
        <f>'DATA SHEET'!$M168</f>
        <v>5453.3</v>
      </c>
      <c r="AB70" s="246">
        <f>'DATA SHEET'!$N168</f>
        <v>-5.9334469589945593E-3</v>
      </c>
      <c r="AH70" s="226">
        <f>'DATA SHEET'!$O168</f>
        <v>1311.05</v>
      </c>
      <c r="AI70" s="246">
        <f>'DATA SHEET'!$P168</f>
        <v>-2.0215230550780894E-2</v>
      </c>
      <c r="AO70" s="226">
        <f>'DATA SHEET'!$Q168</f>
        <v>4319.38</v>
      </c>
      <c r="AP70" s="246">
        <f>'DATA SHEET'!$R168</f>
        <v>1.6013925152306374E-2</v>
      </c>
    </row>
    <row r="71" spans="2:42" x14ac:dyDescent="0.25">
      <c r="B71" s="223" t="str">
        <f>'DATA SHEET'!$B169</f>
        <v>28-01-2024</v>
      </c>
      <c r="C71" s="226">
        <f>'DATA SHEET'!$E169</f>
        <v>21853.8</v>
      </c>
      <c r="D71" s="246">
        <f>'DATA SHEET'!$F169</f>
        <v>2.3472551352060167E-2</v>
      </c>
      <c r="F71" s="226">
        <f>'DATA SHEET'!$G169</f>
        <v>3904.06</v>
      </c>
      <c r="G71" s="246">
        <f>'DATA SHEET'!$H169</f>
        <v>4.094109867724649E-2</v>
      </c>
      <c r="M71" s="226">
        <f>'DATA SHEET'!$I169</f>
        <v>1683.86</v>
      </c>
      <c r="N71" s="246">
        <f>'DATA SHEET'!$J169</f>
        <v>1.4526284078927532E-2</v>
      </c>
      <c r="T71" s="226">
        <f>'DATA SHEET'!$K169</f>
        <v>1578.45</v>
      </c>
      <c r="U71" s="246">
        <f>'DATA SHEET'!$L169</f>
        <v>2.161081123063191E-2</v>
      </c>
      <c r="AA71" s="226">
        <f>'DATA SHEET'!$M169</f>
        <v>5485.85</v>
      </c>
      <c r="AB71" s="246">
        <f>'DATA SHEET'!$N169</f>
        <v>-1.6015578790276042E-3</v>
      </c>
      <c r="AH71" s="226">
        <f>'DATA SHEET'!$O169</f>
        <v>1338.1</v>
      </c>
      <c r="AI71" s="246">
        <f>'DATA SHEET'!$P169</f>
        <v>1.2140236753526601E-2</v>
      </c>
      <c r="AO71" s="226">
        <f>'DATA SHEET'!$Q169</f>
        <v>4251.3</v>
      </c>
      <c r="AP71" s="246">
        <f>'DATA SHEET'!$R169</f>
        <v>1.4780230010168482E-2</v>
      </c>
    </row>
    <row r="72" spans="2:42" x14ac:dyDescent="0.25">
      <c r="B72" s="223" t="str">
        <f>'DATA SHEET'!$B170</f>
        <v>21-01-2024</v>
      </c>
      <c r="C72" s="226">
        <f>'DATA SHEET'!$E170</f>
        <v>21352.6</v>
      </c>
      <c r="D72" s="246">
        <f>'DATA SHEET'!$F170</f>
        <v>-1.2477800799171379E-2</v>
      </c>
      <c r="F72" s="226">
        <f>'DATA SHEET'!$G170</f>
        <v>3750.51</v>
      </c>
      <c r="G72" s="246">
        <f>'DATA SHEET'!$H170</f>
        <v>-3.366759593731794E-2</v>
      </c>
      <c r="M72" s="226">
        <f>'DATA SHEET'!$I170</f>
        <v>1659.75</v>
      </c>
      <c r="N72" s="246">
        <f>'DATA SHEET'!$J170</f>
        <v>5.9700587914417458E-3</v>
      </c>
      <c r="T72" s="226">
        <f>'DATA SHEET'!$K170</f>
        <v>1545.06</v>
      </c>
      <c r="U72" s="246">
        <f>'DATA SHEET'!$L170</f>
        <v>-1.1288155116145226E-2</v>
      </c>
      <c r="AA72" s="226">
        <f>'DATA SHEET'!$M170</f>
        <v>5494.65</v>
      </c>
      <c r="AB72" s="246">
        <f>'DATA SHEET'!$N170</f>
        <v>-2.7865502507895212E-2</v>
      </c>
      <c r="AH72" s="226">
        <f>'DATA SHEET'!$O170</f>
        <v>1322.05</v>
      </c>
      <c r="AI72" s="246">
        <f>'DATA SHEET'!$P170</f>
        <v>-4.8816461615943663E-2</v>
      </c>
      <c r="AO72" s="226">
        <f>'DATA SHEET'!$Q170</f>
        <v>4189.38</v>
      </c>
      <c r="AP72" s="246">
        <f>'DATA SHEET'!$R170</f>
        <v>6.5219381216818251E-2</v>
      </c>
    </row>
    <row r="73" spans="2:42" x14ac:dyDescent="0.25">
      <c r="B73" s="223" t="str">
        <f>'DATA SHEET'!$B171</f>
        <v>14-01-2024</v>
      </c>
      <c r="C73" s="226">
        <f>'DATA SHEET'!$E171</f>
        <v>21622.400000000001</v>
      </c>
      <c r="D73" s="246">
        <f>'DATA SHEET'!$F171</f>
        <v>-1.2430033958222397E-2</v>
      </c>
      <c r="F73" s="226">
        <f>'DATA SHEET'!$G171</f>
        <v>3881.18</v>
      </c>
      <c r="G73" s="246">
        <f>'DATA SHEET'!$H171</f>
        <v>2.0222119997371335E-2</v>
      </c>
      <c r="M73" s="226">
        <f>'DATA SHEET'!$I171</f>
        <v>1649.9</v>
      </c>
      <c r="N73" s="246">
        <f>'DATA SHEET'!$J171</f>
        <v>2.8801965442629918E-2</v>
      </c>
      <c r="T73" s="226">
        <f>'DATA SHEET'!$K171</f>
        <v>1562.7</v>
      </c>
      <c r="U73" s="246">
        <f>'DATA SHEET'!$L171</f>
        <v>1.7621317496288258E-2</v>
      </c>
      <c r="AA73" s="226">
        <f>'DATA SHEET'!$M171</f>
        <v>5652.15</v>
      </c>
      <c r="AB73" s="246">
        <f>'DATA SHEET'!$N171</f>
        <v>-9.3778308655534381E-2</v>
      </c>
      <c r="AH73" s="226">
        <f>'DATA SHEET'!$O171</f>
        <v>1389.9</v>
      </c>
      <c r="AI73" s="246">
        <f>'DATA SHEET'!$P171</f>
        <v>6.2574060624593919E-2</v>
      </c>
      <c r="AO73" s="226">
        <f>'DATA SHEET'!$Q171</f>
        <v>3932.88</v>
      </c>
      <c r="AP73" s="246">
        <f>'DATA SHEET'!$R171</f>
        <v>2.7526962628542817E-2</v>
      </c>
    </row>
    <row r="74" spans="2:42" x14ac:dyDescent="0.25">
      <c r="B74" s="223">
        <f>'DATA SHEET'!$B172</f>
        <v>45474</v>
      </c>
      <c r="C74" s="226">
        <f>'DATA SHEET'!$E172</f>
        <v>21894.55</v>
      </c>
      <c r="D74" s="246">
        <f>'DATA SHEET'!$F172</f>
        <v>8.4635296718684749E-3</v>
      </c>
      <c r="F74" s="226">
        <f>'DATA SHEET'!$G172</f>
        <v>3804.25</v>
      </c>
      <c r="G74" s="246">
        <f>'DATA SHEET'!$H172</f>
        <v>3.8765468505957967E-2</v>
      </c>
      <c r="M74" s="226">
        <f>'DATA SHEET'!$I172</f>
        <v>1603.71</v>
      </c>
      <c r="N74" s="246">
        <f>'DATA SHEET'!$J172</f>
        <v>5.2330769836478552E-2</v>
      </c>
      <c r="T74" s="226">
        <f>'DATA SHEET'!$K172</f>
        <v>1535.64</v>
      </c>
      <c r="U74" s="246">
        <f>'DATA SHEET'!$L172</f>
        <v>7.5378151260504289E-2</v>
      </c>
      <c r="AA74" s="226">
        <f>'DATA SHEET'!$M172</f>
        <v>6237.05</v>
      </c>
      <c r="AB74" s="246">
        <f>'DATA SHEET'!$N172</f>
        <v>4.8657873277681229E-2</v>
      </c>
      <c r="AH74" s="226">
        <f>'DATA SHEET'!$O172</f>
        <v>1308.05</v>
      </c>
      <c r="AI74" s="246">
        <f>'DATA SHEET'!$P172</f>
        <v>4.7865096531282569E-2</v>
      </c>
      <c r="AO74" s="226">
        <f>'DATA SHEET'!$Q172</f>
        <v>3827.52</v>
      </c>
      <c r="AP74" s="246">
        <f>'DATA SHEET'!$R172</f>
        <v>4.1394359222719723E-2</v>
      </c>
    </row>
    <row r="75" spans="2:42" x14ac:dyDescent="0.25">
      <c r="B75" s="223" t="str">
        <f>'DATA SHEET'!$B173</f>
        <v>31-12-2023</v>
      </c>
      <c r="C75" s="226">
        <f>'DATA SHEET'!$E173</f>
        <v>21710.799999999999</v>
      </c>
      <c r="D75" s="246">
        <f>'DATA SHEET'!$F173</f>
        <v>-9.479370864280412E-4</v>
      </c>
      <c r="F75" s="226">
        <f>'DATA SHEET'!$G173</f>
        <v>3662.28</v>
      </c>
      <c r="G75" s="246">
        <f>'DATA SHEET'!$H173</f>
        <v>-1.4631416379222162E-2</v>
      </c>
      <c r="M75" s="226">
        <f>'DATA SHEET'!$I173</f>
        <v>1523.96</v>
      </c>
      <c r="N75" s="246">
        <f>'DATA SHEET'!$J173</f>
        <v>-6.7068600293302971E-3</v>
      </c>
      <c r="T75" s="226">
        <f>'DATA SHEET'!$K173</f>
        <v>1428</v>
      </c>
      <c r="U75" s="246">
        <f>'DATA SHEET'!$L173</f>
        <v>-2.2714362950745692E-2</v>
      </c>
      <c r="AA75" s="226">
        <f>'DATA SHEET'!$M173</f>
        <v>5947.65</v>
      </c>
      <c r="AB75" s="246">
        <f>'DATA SHEET'!$N173</f>
        <v>-5.5171208667265104E-2</v>
      </c>
      <c r="AH75" s="226">
        <f>'DATA SHEET'!$O173</f>
        <v>1248.3</v>
      </c>
      <c r="AI75" s="246">
        <f>'DATA SHEET'!$P173</f>
        <v>-1.9133304522060413E-2</v>
      </c>
      <c r="AO75" s="226">
        <f>'DATA SHEET'!$Q173</f>
        <v>3675.38</v>
      </c>
      <c r="AP75" s="246">
        <f>'DATA SHEET'!$R173</f>
        <v>-5.2291119712019052E-3</v>
      </c>
    </row>
    <row r="76" spans="2:42" x14ac:dyDescent="0.25">
      <c r="B76" s="223" t="str">
        <f>'DATA SHEET'!$B174</f>
        <v>24-12-2023</v>
      </c>
      <c r="C76" s="226">
        <f>'DATA SHEET'!$E174</f>
        <v>21731.4</v>
      </c>
      <c r="D76" s="246">
        <f>'DATA SHEET'!$F174</f>
        <v>1.7892774504201459E-2</v>
      </c>
      <c r="F76" s="226">
        <f>'DATA SHEET'!$G174</f>
        <v>3716.66</v>
      </c>
      <c r="G76" s="246">
        <f>'DATA SHEET'!$H174</f>
        <v>-8.0018363120022418E-3</v>
      </c>
      <c r="M76" s="226">
        <f>'DATA SHEET'!$I174</f>
        <v>1534.25</v>
      </c>
      <c r="N76" s="246">
        <f>'DATA SHEET'!$J174</f>
        <v>-1.2798074819514338E-2</v>
      </c>
      <c r="T76" s="226">
        <f>'DATA SHEET'!$K174</f>
        <v>1461.19</v>
      </c>
      <c r="U76" s="246">
        <f>'DATA SHEET'!$L174</f>
        <v>2.3254218685690997E-3</v>
      </c>
      <c r="AA76" s="226">
        <f>'DATA SHEET'!$M174</f>
        <v>6294.95</v>
      </c>
      <c r="AB76" s="246">
        <f>'DATA SHEET'!$N174</f>
        <v>1.0571350596394247E-2</v>
      </c>
      <c r="AH76" s="226">
        <f>'DATA SHEET'!$O174</f>
        <v>1272.6500000000001</v>
      </c>
      <c r="AI76" s="246">
        <f>'DATA SHEET'!$P174</f>
        <v>-1.9605536603536367E-3</v>
      </c>
      <c r="AO76" s="226">
        <f>'DATA SHEET'!$Q174</f>
        <v>3694.7</v>
      </c>
      <c r="AP76" s="246">
        <f>'DATA SHEET'!$R174</f>
        <v>-5.6463419885458555E-3</v>
      </c>
    </row>
    <row r="77" spans="2:42" x14ac:dyDescent="0.25">
      <c r="B77" s="223" t="str">
        <f>'DATA SHEET'!$B175</f>
        <v>17-12-2023</v>
      </c>
      <c r="C77" s="226">
        <f>'DATA SHEET'!$E175</f>
        <v>21349.4</v>
      </c>
      <c r="D77" s="246">
        <f>'DATA SHEET'!$F175</f>
        <v>-4.9984503638732525E-3</v>
      </c>
      <c r="F77" s="226">
        <f>'DATA SHEET'!$G175</f>
        <v>3746.64</v>
      </c>
      <c r="G77" s="246">
        <f>'DATA SHEET'!$H175</f>
        <v>-9.5826206947597914E-3</v>
      </c>
      <c r="M77" s="226">
        <f>'DATA SHEET'!$I175</f>
        <v>1554.14</v>
      </c>
      <c r="N77" s="246">
        <f>'DATA SHEET'!$J175</f>
        <v>-9.8244093886183936E-3</v>
      </c>
      <c r="T77" s="226">
        <f>'DATA SHEET'!$K175</f>
        <v>1457.8</v>
      </c>
      <c r="U77" s="246">
        <f>'DATA SHEET'!$L175</f>
        <v>-1.9181731940174029E-2</v>
      </c>
      <c r="AA77" s="226">
        <f>'DATA SHEET'!$M175</f>
        <v>6229.1</v>
      </c>
      <c r="AB77" s="246">
        <f>'DATA SHEET'!$N175</f>
        <v>1.6282446608911316E-2</v>
      </c>
      <c r="AH77" s="226">
        <f>'DATA SHEET'!$O175</f>
        <v>1275.1500000000001</v>
      </c>
      <c r="AI77" s="246">
        <f>'DATA SHEET'!$P175</f>
        <v>-2.3696501033611428E-2</v>
      </c>
      <c r="AO77" s="226">
        <f>'DATA SHEET'!$Q175</f>
        <v>3715.68</v>
      </c>
      <c r="AP77" s="246">
        <f>'DATA SHEET'!$R175</f>
        <v>2.8581868714411041E-2</v>
      </c>
    </row>
    <row r="78" spans="2:42" x14ac:dyDescent="0.25">
      <c r="B78" s="223">
        <f>'DATA SHEET'!$B176</f>
        <v>45211</v>
      </c>
      <c r="C78" s="226">
        <f>'DATA SHEET'!$E176</f>
        <v>21456.65</v>
      </c>
      <c r="D78" s="246">
        <f>'DATA SHEET'!$F176</f>
        <v>2.3236239472755438E-2</v>
      </c>
      <c r="F78" s="226">
        <f>'DATA SHEET'!$G176</f>
        <v>3782.89</v>
      </c>
      <c r="G78" s="246">
        <f>'DATA SHEET'!$H176</f>
        <v>6.4604188184041345E-2</v>
      </c>
      <c r="M78" s="226">
        <f>'DATA SHEET'!$I176</f>
        <v>1569.56</v>
      </c>
      <c r="N78" s="246">
        <f>'DATA SHEET'!$J176</f>
        <v>5.8518063920042662E-2</v>
      </c>
      <c r="T78" s="226">
        <f>'DATA SHEET'!$K176</f>
        <v>1486.31</v>
      </c>
      <c r="U78" s="246">
        <f>'DATA SHEET'!$L176</f>
        <v>9.3252815311173798E-2</v>
      </c>
      <c r="AA78" s="226">
        <f>'DATA SHEET'!$M176</f>
        <v>6129.3</v>
      </c>
      <c r="AB78" s="246">
        <f>'DATA SHEET'!$N176</f>
        <v>7.3677019286352508E-2</v>
      </c>
      <c r="AH78" s="226">
        <f>'DATA SHEET'!$O176</f>
        <v>1306.0999999999999</v>
      </c>
      <c r="AI78" s="246">
        <f>'DATA SHEET'!$P176</f>
        <v>6.5943034358932451E-2</v>
      </c>
      <c r="AO78" s="226">
        <f>'DATA SHEET'!$Q176</f>
        <v>3612.43</v>
      </c>
      <c r="AP78" s="246">
        <f>'DATA SHEET'!$R176</f>
        <v>0.11762085234743602</v>
      </c>
    </row>
    <row r="79" spans="2:42" x14ac:dyDescent="0.25">
      <c r="B79" s="223">
        <f>'DATA SHEET'!$B177</f>
        <v>44997</v>
      </c>
      <c r="C79" s="226">
        <f>'DATA SHEET'!$E177</f>
        <v>20969.400000000001</v>
      </c>
      <c r="D79" s="246">
        <f>'DATA SHEET'!$F177</f>
        <v>3.4611380557433069E-2</v>
      </c>
      <c r="F79" s="226">
        <f>'DATA SHEET'!$G177</f>
        <v>3553.33</v>
      </c>
      <c r="G79" s="246">
        <f>'DATA SHEET'!$H177</f>
        <v>3.2761632384954886E-2</v>
      </c>
      <c r="M79" s="226">
        <f>'DATA SHEET'!$I177</f>
        <v>1482.79</v>
      </c>
      <c r="N79" s="246">
        <f>'DATA SHEET'!$J177</f>
        <v>2.6749113671615143E-2</v>
      </c>
      <c r="T79" s="226">
        <f>'DATA SHEET'!$K177</f>
        <v>1359.53</v>
      </c>
      <c r="U79" s="246">
        <f>'DATA SHEET'!$L177</f>
        <v>2.0499617180345542E-2</v>
      </c>
      <c r="AA79" s="226">
        <f>'DATA SHEET'!$M177</f>
        <v>5708.7</v>
      </c>
      <c r="AB79" s="246">
        <f>'DATA SHEET'!$N177</f>
        <v>2.3605669664069628E-2</v>
      </c>
      <c r="AH79" s="226">
        <f>'DATA SHEET'!$O177</f>
        <v>1225.3</v>
      </c>
      <c r="AI79" s="246">
        <f>'DATA SHEET'!$P177</f>
        <v>3.8916881733643827E-3</v>
      </c>
      <c r="AO79" s="226">
        <f>'DATA SHEET'!$Q177</f>
        <v>3232.25</v>
      </c>
      <c r="AP79" s="246">
        <f>'DATA SHEET'!$R177</f>
        <v>4.8497660609641002E-3</v>
      </c>
    </row>
    <row r="80" spans="2:42" x14ac:dyDescent="0.25">
      <c r="B80" s="223" t="str">
        <f>'DATA SHEET'!$B178</f>
        <v>26-11-2023</v>
      </c>
      <c r="C80" s="226">
        <f>'DATA SHEET'!$E178</f>
        <v>20267.900000000001</v>
      </c>
      <c r="D80" s="246">
        <f>'DATA SHEET'!$F178</f>
        <v>2.3905388816198414E-2</v>
      </c>
      <c r="F80" s="226">
        <f>'DATA SHEET'!$G178</f>
        <v>3440.61</v>
      </c>
      <c r="G80" s="246">
        <f>'DATA SHEET'!$H178</f>
        <v>1.5780181627085943E-2</v>
      </c>
      <c r="M80" s="226">
        <f>'DATA SHEET'!$I178</f>
        <v>1444.16</v>
      </c>
      <c r="N80" s="246">
        <f>'DATA SHEET'!$J178</f>
        <v>1.0368421789077598E-2</v>
      </c>
      <c r="T80" s="226">
        <f>'DATA SHEET'!$K178</f>
        <v>1332.22</v>
      </c>
      <c r="U80" s="246">
        <f>'DATA SHEET'!$L178</f>
        <v>2.1038190638963172E-2</v>
      </c>
      <c r="AA80" s="226">
        <f>'DATA SHEET'!$M178</f>
        <v>5577.05</v>
      </c>
      <c r="AB80" s="246">
        <f>'DATA SHEET'!$N178</f>
        <v>1.9085992033037291E-2</v>
      </c>
      <c r="AH80" s="226">
        <f>'DATA SHEET'!$O178</f>
        <v>1220.55</v>
      </c>
      <c r="AI80" s="246">
        <f>'DATA SHEET'!$P178</f>
        <v>1.8950619860583551E-2</v>
      </c>
      <c r="AO80" s="226">
        <f>'DATA SHEET'!$Q178</f>
        <v>3216.65</v>
      </c>
      <c r="AP80" s="246">
        <f>'DATA SHEET'!$R178</f>
        <v>6.7194962412133741E-3</v>
      </c>
    </row>
    <row r="81" spans="2:42" x14ac:dyDescent="0.25">
      <c r="B81" s="223" t="str">
        <f>'DATA SHEET'!$B179</f>
        <v>19-11-2023</v>
      </c>
      <c r="C81" s="226">
        <f>'DATA SHEET'!$E179</f>
        <v>19794.7</v>
      </c>
      <c r="D81" s="246">
        <f>'DATA SHEET'!$F179</f>
        <v>3.1877476966115648E-3</v>
      </c>
      <c r="F81" s="226">
        <f>'DATA SHEET'!$G179</f>
        <v>3387.16</v>
      </c>
      <c r="G81" s="246">
        <f>'DATA SHEET'!$H179</f>
        <v>-1.29473509364465E-2</v>
      </c>
      <c r="M81" s="226">
        <f>'DATA SHEET'!$I179</f>
        <v>1429.34</v>
      </c>
      <c r="N81" s="246">
        <f>'DATA SHEET'!$J179</f>
        <v>-1.049325283842828E-4</v>
      </c>
      <c r="T81" s="226">
        <f>'DATA SHEET'!$K179</f>
        <v>1304.77</v>
      </c>
      <c r="U81" s="246">
        <f>'DATA SHEET'!$L179</f>
        <v>0</v>
      </c>
      <c r="AA81" s="226">
        <f>'DATA SHEET'!$M179</f>
        <v>5472.6</v>
      </c>
      <c r="AB81" s="246">
        <f>'DATA SHEET'!$N179</f>
        <v>-8.3174775754280006E-3</v>
      </c>
      <c r="AH81" s="226">
        <f>'DATA SHEET'!$O179</f>
        <v>1197.8499999999999</v>
      </c>
      <c r="AI81" s="246">
        <f>'DATA SHEET'!$P179</f>
        <v>-4.0739970900021127E-3</v>
      </c>
      <c r="AO81" s="226">
        <f>'DATA SHEET'!$Q179</f>
        <v>3195.18</v>
      </c>
      <c r="AP81" s="246">
        <f>'DATA SHEET'!$R179</f>
        <v>5.4800011273137272E-4</v>
      </c>
    </row>
    <row r="82" spans="2:42" x14ac:dyDescent="0.25">
      <c r="B82" s="223">
        <f>'DATA SHEET'!$B180</f>
        <v>45271</v>
      </c>
      <c r="C82" s="226">
        <f>'DATA SHEET'!$E180</f>
        <v>19731.8</v>
      </c>
      <c r="D82" s="246">
        <f>'DATA SHEET'!$F180</f>
        <v>1.5775777527818002E-2</v>
      </c>
      <c r="F82" s="226">
        <f>'DATA SHEET'!$G180</f>
        <v>3431.59</v>
      </c>
      <c r="G82" s="246">
        <f>'DATA SHEET'!$H180</f>
        <v>5.069794642392389E-2</v>
      </c>
      <c r="M82" s="226">
        <f>'DATA SHEET'!$I180</f>
        <v>1429.49</v>
      </c>
      <c r="N82" s="246">
        <f>'DATA SHEET'!$J180</f>
        <v>5.0184398830426469E-2</v>
      </c>
      <c r="T82" s="226">
        <f>'DATA SHEET'!$K180</f>
        <v>1304.77</v>
      </c>
      <c r="U82" s="246">
        <f>'DATA SHEET'!$L180</f>
        <v>4.2773226773226813E-2</v>
      </c>
      <c r="AA82" s="226">
        <f>'DATA SHEET'!$M180</f>
        <v>5518.5</v>
      </c>
      <c r="AB82" s="246">
        <f>'DATA SHEET'!$N180</f>
        <v>4.8715829081269035E-2</v>
      </c>
      <c r="AH82" s="226">
        <f>'DATA SHEET'!$O180</f>
        <v>1202.75</v>
      </c>
      <c r="AI82" s="246">
        <f>'DATA SHEET'!$P180</f>
        <v>5.6758775205377088E-2</v>
      </c>
      <c r="AO82" s="226">
        <f>'DATA SHEET'!$Q180</f>
        <v>3193.43</v>
      </c>
      <c r="AP82" s="246">
        <f>'DATA SHEET'!$R180</f>
        <v>2.252911398079438E-2</v>
      </c>
    </row>
    <row r="83" spans="2:42" x14ac:dyDescent="0.25">
      <c r="B83" s="223">
        <f>'DATA SHEET'!$B181</f>
        <v>45057</v>
      </c>
      <c r="C83" s="226">
        <f>'DATA SHEET'!$E181</f>
        <v>19425.349999999999</v>
      </c>
      <c r="D83" s="246">
        <f>'DATA SHEET'!$F181</f>
        <v>1.0127089118384225E-2</v>
      </c>
      <c r="F83" s="226">
        <f>'DATA SHEET'!$G181</f>
        <v>3266.01</v>
      </c>
      <c r="G83" s="246">
        <f>'DATA SHEET'!$H181</f>
        <v>-5.2084761095424481E-3</v>
      </c>
      <c r="M83" s="226">
        <f>'DATA SHEET'!$I181</f>
        <v>1361.18</v>
      </c>
      <c r="N83" s="246">
        <f>'DATA SHEET'!$J181</f>
        <v>-1.4544585779753372E-2</v>
      </c>
      <c r="T83" s="226">
        <f>'DATA SHEET'!$K181</f>
        <v>1251.25</v>
      </c>
      <c r="U83" s="246">
        <f>'DATA SHEET'!$L181</f>
        <v>-8.5260814098144788E-3</v>
      </c>
      <c r="AA83" s="226">
        <f>'DATA SHEET'!$M181</f>
        <v>5262.15</v>
      </c>
      <c r="AB83" s="246">
        <f>'DATA SHEET'!$N181</f>
        <v>2.477141939064631E-2</v>
      </c>
      <c r="AH83" s="226">
        <f>'DATA SHEET'!$O181</f>
        <v>1138.1500000000001</v>
      </c>
      <c r="AI83" s="246">
        <f>'DATA SHEET'!$P181</f>
        <v>4.4567999293974037E-3</v>
      </c>
      <c r="AO83" s="226">
        <f>'DATA SHEET'!$Q181</f>
        <v>3123.07</v>
      </c>
      <c r="AP83" s="246">
        <f>'DATA SHEET'!$R181</f>
        <v>-6.3632054010887007E-3</v>
      </c>
    </row>
    <row r="84" spans="2:42" x14ac:dyDescent="0.25">
      <c r="B84" s="223" t="str">
        <f>'DATA SHEET'!$B182</f>
        <v>29-10-2023</v>
      </c>
      <c r="C84" s="226">
        <f>'DATA SHEET'!$E182</f>
        <v>19230.599999999999</v>
      </c>
      <c r="D84" s="246">
        <f>'DATA SHEET'!$F182</f>
        <v>9.6260615049414966E-3</v>
      </c>
      <c r="F84" s="226">
        <f>'DATA SHEET'!$G182</f>
        <v>3283.11</v>
      </c>
      <c r="G84" s="246">
        <f>'DATA SHEET'!$H182</f>
        <v>-1.5229230375557457E-5</v>
      </c>
      <c r="M84" s="226">
        <f>'DATA SHEET'!$I182</f>
        <v>1381.27</v>
      </c>
      <c r="N84" s="246">
        <f>'DATA SHEET'!$J182</f>
        <v>6.3091482649841879E-3</v>
      </c>
      <c r="T84" s="226">
        <f>'DATA SHEET'!$K182</f>
        <v>1262.01</v>
      </c>
      <c r="U84" s="246">
        <f>'DATA SHEET'!$L182</f>
        <v>-1.9296927517893359E-3</v>
      </c>
      <c r="AA84" s="226">
        <f>'DATA SHEET'!$M182</f>
        <v>5134.95</v>
      </c>
      <c r="AB84" s="246">
        <f>'DATA SHEET'!$N182</f>
        <v>-6.9715722297428728E-3</v>
      </c>
      <c r="AH84" s="226">
        <f>'DATA SHEET'!$O182</f>
        <v>1133.0999999999999</v>
      </c>
      <c r="AI84" s="246">
        <f>'DATA SHEET'!$P182</f>
        <v>1.1199857212975672E-2</v>
      </c>
      <c r="AO84" s="226">
        <f>'DATA SHEET'!$Q182</f>
        <v>3143.07</v>
      </c>
      <c r="AP84" s="246">
        <f>'DATA SHEET'!$R182</f>
        <v>3.3265612055702443E-2</v>
      </c>
    </row>
    <row r="85" spans="2:42" x14ac:dyDescent="0.25">
      <c r="B85" s="223" t="str">
        <f>'DATA SHEET'!$B183</f>
        <v>22-10-2023</v>
      </c>
      <c r="C85" s="226">
        <f>'DATA SHEET'!$E183</f>
        <v>19047.25</v>
      </c>
      <c r="D85" s="246">
        <f>'DATA SHEET'!$F183</f>
        <v>-2.5349683896503383E-2</v>
      </c>
      <c r="F85" s="226">
        <f>'DATA SHEET'!$G183</f>
        <v>3283.16</v>
      </c>
      <c r="G85" s="246">
        <f>'DATA SHEET'!$H183</f>
        <v>-4.1091169297720387E-2</v>
      </c>
      <c r="M85" s="226">
        <f>'DATA SHEET'!$I183</f>
        <v>1372.61</v>
      </c>
      <c r="N85" s="246">
        <f>'DATA SHEET'!$J183</f>
        <v>-3.2862427338383071E-2</v>
      </c>
      <c r="T85" s="226">
        <f>'DATA SHEET'!$K183</f>
        <v>1264.45</v>
      </c>
      <c r="U85" s="246">
        <f>'DATA SHEET'!$L183</f>
        <v>8.019834341791654E-3</v>
      </c>
      <c r="AA85" s="226">
        <f>'DATA SHEET'!$M183</f>
        <v>5171</v>
      </c>
      <c r="AB85" s="246">
        <f>'DATA SHEET'!$N183</f>
        <v>-4.5271592629518853E-2</v>
      </c>
      <c r="AH85" s="226">
        <f>'DATA SHEET'!$O183</f>
        <v>1120.55</v>
      </c>
      <c r="AI85" s="246">
        <f>'DATA SHEET'!$P183</f>
        <v>-4.2837618518834941E-2</v>
      </c>
      <c r="AO85" s="226">
        <f>'DATA SHEET'!$Q183</f>
        <v>3041.88</v>
      </c>
      <c r="AP85" s="246">
        <f>'DATA SHEET'!$R183</f>
        <v>2.9871514905286611E-2</v>
      </c>
    </row>
    <row r="86" spans="2:42" x14ac:dyDescent="0.25">
      <c r="B86" s="223" t="str">
        <f>'DATA SHEET'!$B184</f>
        <v>15-10-2023</v>
      </c>
      <c r="C86" s="226">
        <f>'DATA SHEET'!$E184</f>
        <v>19542.650000000001</v>
      </c>
      <c r="D86" s="246">
        <f>'DATA SHEET'!$F184</f>
        <v>-1.0551337776978809E-2</v>
      </c>
      <c r="F86" s="226">
        <f>'DATA SHEET'!$G184</f>
        <v>3423.85</v>
      </c>
      <c r="G86" s="246">
        <f>'DATA SHEET'!$H184</f>
        <v>-2.1368486341718618E-2</v>
      </c>
      <c r="M86" s="226">
        <f>'DATA SHEET'!$I184</f>
        <v>1419.25</v>
      </c>
      <c r="N86" s="246">
        <f>'DATA SHEET'!$J184</f>
        <v>-2.7263847997021085E-3</v>
      </c>
      <c r="T86" s="226">
        <f>'DATA SHEET'!$K184</f>
        <v>1254.3900000000001</v>
      </c>
      <c r="U86" s="246">
        <f>'DATA SHEET'!$L184</f>
        <v>2.1570836229418688E-3</v>
      </c>
      <c r="AA86" s="226">
        <f>'DATA SHEET'!$M184</f>
        <v>5416.2</v>
      </c>
      <c r="AB86" s="246">
        <f>'DATA SHEET'!$N184</f>
        <v>6.3010902524950341E-2</v>
      </c>
      <c r="AH86" s="226">
        <f>'DATA SHEET'!$O184</f>
        <v>1170.7</v>
      </c>
      <c r="AI86" s="246">
        <f>'DATA SHEET'!$P184</f>
        <v>-1.9596348714512879E-2</v>
      </c>
      <c r="AO86" s="226">
        <f>'DATA SHEET'!$Q184</f>
        <v>2953.65</v>
      </c>
      <c r="AP86" s="246">
        <f>'DATA SHEET'!$R184</f>
        <v>2.4601679657824338E-2</v>
      </c>
    </row>
    <row r="87" spans="2:42" x14ac:dyDescent="0.25">
      <c r="B87" s="223">
        <f>'DATA SHEET'!$B185</f>
        <v>45148</v>
      </c>
      <c r="C87" s="226">
        <f>'DATA SHEET'!$E185</f>
        <v>19751.05</v>
      </c>
      <c r="D87" s="246">
        <f>'DATA SHEET'!$F185</f>
        <v>4.9634925076957881E-3</v>
      </c>
      <c r="F87" s="226">
        <f>'DATA SHEET'!$G185</f>
        <v>3498.61</v>
      </c>
      <c r="G87" s="246">
        <f>'DATA SHEET'!$H185</f>
        <v>-1.3959426629163385E-2</v>
      </c>
      <c r="M87" s="226">
        <f>'DATA SHEET'!$I185</f>
        <v>1423.13</v>
      </c>
      <c r="N87" s="246">
        <f>'DATA SHEET'!$J185</f>
        <v>-3.2154297100808638E-2</v>
      </c>
      <c r="T87" s="226">
        <f>'DATA SHEET'!$K185</f>
        <v>1251.69</v>
      </c>
      <c r="U87" s="246">
        <f>'DATA SHEET'!$L185</f>
        <v>1.4697298874801534E-2</v>
      </c>
      <c r="AA87" s="226">
        <f>'DATA SHEET'!$M185</f>
        <v>5095.1499999999996</v>
      </c>
      <c r="AB87" s="246">
        <f>'DATA SHEET'!$N185</f>
        <v>-2.7494655672621771E-2</v>
      </c>
      <c r="AH87" s="226">
        <f>'DATA SHEET'!$O185</f>
        <v>1194.0999999999999</v>
      </c>
      <c r="AI87" s="246">
        <f>'DATA SHEET'!$P185</f>
        <v>-1.8736132796450145E-2</v>
      </c>
      <c r="AO87" s="226">
        <f>'DATA SHEET'!$Q185</f>
        <v>2882.73</v>
      </c>
      <c r="AP87" s="246">
        <f>'DATA SHEET'!$R185</f>
        <v>3.0305982561011913E-3</v>
      </c>
    </row>
    <row r="88" spans="2:42" x14ac:dyDescent="0.25">
      <c r="B88" s="223">
        <f>'DATA SHEET'!$B186</f>
        <v>44936</v>
      </c>
      <c r="C88" s="226">
        <f>'DATA SHEET'!$E186</f>
        <v>19653.5</v>
      </c>
      <c r="D88" s="246">
        <f>'DATA SHEET'!$F186</f>
        <v>7.7399774929598486E-4</v>
      </c>
      <c r="F88" s="226">
        <f>'DATA SHEET'!$G186</f>
        <v>3548.14</v>
      </c>
      <c r="G88" s="246">
        <f>'DATA SHEET'!$H186</f>
        <v>2.6301555300372259E-2</v>
      </c>
      <c r="M88" s="226">
        <f>'DATA SHEET'!$I186</f>
        <v>1470.41</v>
      </c>
      <c r="N88" s="246">
        <f>'DATA SHEET'!$J186</f>
        <v>3.0124491211354743E-2</v>
      </c>
      <c r="T88" s="226">
        <f>'DATA SHEET'!$K186</f>
        <v>1233.56</v>
      </c>
      <c r="U88" s="246">
        <f>'DATA SHEET'!$L186</f>
        <v>2.3483143328428824E-3</v>
      </c>
      <c r="AA88" s="226">
        <f>'DATA SHEET'!$M186</f>
        <v>5239.2</v>
      </c>
      <c r="AB88" s="246">
        <f>'DATA SHEET'!$N186</f>
        <v>5.6335595074712419E-3</v>
      </c>
      <c r="AH88" s="226">
        <f>'DATA SHEET'!$O186</f>
        <v>1216.9000000000001</v>
      </c>
      <c r="AI88" s="246">
        <f>'DATA SHEET'!$P186</f>
        <v>-4.8249918220476529E-3</v>
      </c>
      <c r="AO88" s="226">
        <f>'DATA SHEET'!$Q186</f>
        <v>2874.02</v>
      </c>
      <c r="AP88" s="246">
        <f>'DATA SHEET'!$R186</f>
        <v>-8.3944313143684557E-3</v>
      </c>
    </row>
    <row r="89" spans="2:42" x14ac:dyDescent="0.25">
      <c r="B89" s="223" t="str">
        <f>'DATA SHEET'!$B187</f>
        <v>24-09-2023</v>
      </c>
      <c r="C89" s="226">
        <f>'DATA SHEET'!$E187</f>
        <v>19638.3</v>
      </c>
      <c r="D89" s="246">
        <f>'DATA SHEET'!$F187</f>
        <v>-1.8272615220402688E-3</v>
      </c>
      <c r="F89" s="226">
        <f>'DATA SHEET'!$G187</f>
        <v>3457.21</v>
      </c>
      <c r="G89" s="246">
        <f>'DATA SHEET'!$H187</f>
        <v>-2.0828435884727048E-2</v>
      </c>
      <c r="M89" s="226">
        <f>'DATA SHEET'!$I187</f>
        <v>1427.41</v>
      </c>
      <c r="N89" s="246">
        <f>'DATA SHEET'!$J187</f>
        <v>-4.057078715123974E-2</v>
      </c>
      <c r="T89" s="226">
        <f>'DATA SHEET'!$K187</f>
        <v>1230.67</v>
      </c>
      <c r="U89" s="246">
        <f>'DATA SHEET'!$L187</f>
        <v>-3.0541025964204715E-2</v>
      </c>
      <c r="AA89" s="226">
        <f>'DATA SHEET'!$M187</f>
        <v>5209.8500000000004</v>
      </c>
      <c r="AB89" s="246">
        <f>'DATA SHEET'!$N187</f>
        <v>-4.0101335789958448E-2</v>
      </c>
      <c r="AH89" s="226">
        <f>'DATA SHEET'!$O187</f>
        <v>1222.8</v>
      </c>
      <c r="AI89" s="246">
        <f>'DATA SHEET'!$P187</f>
        <v>-6.3239744129926834E-2</v>
      </c>
      <c r="AO89" s="226">
        <f>'DATA SHEET'!$Q187</f>
        <v>2898.35</v>
      </c>
      <c r="AP89" s="246">
        <f>'DATA SHEET'!$R187</f>
        <v>-9.0026943118562963E-3</v>
      </c>
    </row>
    <row r="90" spans="2:42" x14ac:dyDescent="0.25">
      <c r="B90" s="223" t="str">
        <f>'DATA SHEET'!$B188</f>
        <v>17-09-2023</v>
      </c>
      <c r="C90" s="226">
        <f>'DATA SHEET'!$E188</f>
        <v>19674.25</v>
      </c>
      <c r="D90" s="246">
        <f>'DATA SHEET'!$F188</f>
        <v>-2.5658231954180599E-2</v>
      </c>
      <c r="F90" s="226">
        <f>'DATA SHEET'!$G188</f>
        <v>3530.75</v>
      </c>
      <c r="G90" s="246">
        <f>'DATA SHEET'!$H188</f>
        <v>1.4891504751100015E-3</v>
      </c>
      <c r="M90" s="226">
        <f>'DATA SHEET'!$I188</f>
        <v>1487.77</v>
      </c>
      <c r="N90" s="246">
        <f>'DATA SHEET'!$J188</f>
        <v>-1.0218677027269862E-2</v>
      </c>
      <c r="T90" s="226">
        <f>'DATA SHEET'!$K188</f>
        <v>1269.44</v>
      </c>
      <c r="U90" s="246">
        <f>'DATA SHEET'!$L188</f>
        <v>-2.3680425770825186E-2</v>
      </c>
      <c r="AA90" s="226">
        <f>'DATA SHEET'!$M188</f>
        <v>5427.5</v>
      </c>
      <c r="AB90" s="246">
        <f>'DATA SHEET'!$N188</f>
        <v>-1.9031954887218094E-2</v>
      </c>
      <c r="AH90" s="226">
        <f>'DATA SHEET'!$O188</f>
        <v>1305.3499999999999</v>
      </c>
      <c r="AI90" s="246">
        <f>'DATA SHEET'!$P188</f>
        <v>4.0767662782199565E-3</v>
      </c>
      <c r="AO90" s="226">
        <f>'DATA SHEET'!$Q188</f>
        <v>2924.68</v>
      </c>
      <c r="AP90" s="246">
        <f>'DATA SHEET'!$R188</f>
        <v>-1.9491622022113408E-2</v>
      </c>
    </row>
    <row r="91" spans="2:42" x14ac:dyDescent="0.25">
      <c r="B91" s="223">
        <f>'DATA SHEET'!$B189</f>
        <v>45208</v>
      </c>
      <c r="C91" s="226">
        <f>'DATA SHEET'!$E189</f>
        <v>20192.349999999999</v>
      </c>
      <c r="D91" s="246">
        <f>'DATA SHEET'!$F189</f>
        <v>1.8789149316723597E-2</v>
      </c>
      <c r="F91" s="226">
        <f>'DATA SHEET'!$G189</f>
        <v>3525.5</v>
      </c>
      <c r="G91" s="246">
        <f>'DATA SHEET'!$H189</f>
        <v>4.5438235965684859E-2</v>
      </c>
      <c r="M91" s="226">
        <f>'DATA SHEET'!$I189</f>
        <v>1503.13</v>
      </c>
      <c r="N91" s="246">
        <f>'DATA SHEET'!$J189</f>
        <v>2.8582963814529183E-2</v>
      </c>
      <c r="T91" s="226">
        <f>'DATA SHEET'!$K189</f>
        <v>1300.23</v>
      </c>
      <c r="U91" s="246">
        <f>'DATA SHEET'!$L189</f>
        <v>3.3717066034885779E-2</v>
      </c>
      <c r="AA91" s="226">
        <f>'DATA SHEET'!$M189</f>
        <v>5532.8</v>
      </c>
      <c r="AB91" s="246">
        <f>'DATA SHEET'!$N189</f>
        <v>9.9114721182806953E-3</v>
      </c>
      <c r="AH91" s="226">
        <f>'DATA SHEET'!$O189</f>
        <v>1300.05</v>
      </c>
      <c r="AI91" s="246">
        <f>'DATA SHEET'!$P189</f>
        <v>2.9375668078704509E-2</v>
      </c>
      <c r="AO91" s="226">
        <f>'DATA SHEET'!$Q189</f>
        <v>2982.82</v>
      </c>
      <c r="AP91" s="246">
        <f>'DATA SHEET'!$R189</f>
        <v>-9.0436506873170508E-4</v>
      </c>
    </row>
    <row r="92" spans="2:42" x14ac:dyDescent="0.25">
      <c r="B92" s="223">
        <f>'DATA SHEET'!$B190</f>
        <v>44994</v>
      </c>
      <c r="C92" s="226">
        <f>'DATA SHEET'!$E190</f>
        <v>19819.95</v>
      </c>
      <c r="D92" s="246">
        <f>'DATA SHEET'!$F190</f>
        <v>1.9791307569216876E-2</v>
      </c>
      <c r="F92" s="226">
        <f>'DATA SHEET'!$G190</f>
        <v>3372.27</v>
      </c>
      <c r="G92" s="246">
        <f>'DATA SHEET'!$H190</f>
        <v>1.8554203767019883E-2</v>
      </c>
      <c r="M92" s="226">
        <f>'DATA SHEET'!$I190</f>
        <v>1461.36</v>
      </c>
      <c r="N92" s="246">
        <f>'DATA SHEET'!$J190</f>
        <v>1.7830278040898095E-2</v>
      </c>
      <c r="T92" s="226">
        <f>'DATA SHEET'!$K190</f>
        <v>1257.82</v>
      </c>
      <c r="U92" s="246">
        <f>'DATA SHEET'!$L190</f>
        <v>6.4298587783352845E-2</v>
      </c>
      <c r="AA92" s="226">
        <f>'DATA SHEET'!$M190</f>
        <v>5478.5</v>
      </c>
      <c r="AB92" s="246">
        <f>'DATA SHEET'!$N190</f>
        <v>3.3026294700519321E-2</v>
      </c>
      <c r="AH92" s="226">
        <f>'DATA SHEET'!$O190</f>
        <v>1262.95</v>
      </c>
      <c r="AI92" s="246">
        <f>'DATA SHEET'!$P190</f>
        <v>2.841903831277226E-2</v>
      </c>
      <c r="AO92" s="226">
        <f>'DATA SHEET'!$Q190</f>
        <v>2985.52</v>
      </c>
      <c r="AP92" s="246">
        <f>'DATA SHEET'!$R190</f>
        <v>7.7163422510057034E-2</v>
      </c>
    </row>
    <row r="93" spans="2:42" x14ac:dyDescent="0.25">
      <c r="B93" s="223" t="str">
        <f>'DATA SHEET'!$B191</f>
        <v>27-08-2023</v>
      </c>
      <c r="C93" s="226">
        <f>'DATA SHEET'!$E191</f>
        <v>19435.3</v>
      </c>
      <c r="D93" s="246">
        <f>'DATA SHEET'!$F191</f>
        <v>8.7979736112697715E-3</v>
      </c>
      <c r="F93" s="226">
        <f>'DATA SHEET'!$G191</f>
        <v>3310.84</v>
      </c>
      <c r="G93" s="246">
        <f>'DATA SHEET'!$H191</f>
        <v>-6.187950701652678E-4</v>
      </c>
      <c r="M93" s="226">
        <f>'DATA SHEET'!$I191</f>
        <v>1435.76</v>
      </c>
      <c r="N93" s="246">
        <f>'DATA SHEET'!$J191</f>
        <v>1.6726386902148338E-2</v>
      </c>
      <c r="T93" s="226">
        <f>'DATA SHEET'!$K191</f>
        <v>1181.83</v>
      </c>
      <c r="U93" s="246">
        <f>'DATA SHEET'!$L191</f>
        <v>2.7597840169030219E-2</v>
      </c>
      <c r="AA93" s="226">
        <f>'DATA SHEET'!$M191</f>
        <v>5303.35</v>
      </c>
      <c r="AB93" s="246">
        <f>'DATA SHEET'!$N191</f>
        <v>3.4315637555096368E-2</v>
      </c>
      <c r="AH93" s="226">
        <f>'DATA SHEET'!$O191</f>
        <v>1228.05</v>
      </c>
      <c r="AI93" s="246">
        <f>'DATA SHEET'!$P191</f>
        <v>3.2408575031525721E-2</v>
      </c>
      <c r="AO93" s="226">
        <f>'DATA SHEET'!$Q191</f>
        <v>2771.65</v>
      </c>
      <c r="AP93" s="246">
        <f>'DATA SHEET'!$R191</f>
        <v>7.890383230502751E-2</v>
      </c>
    </row>
    <row r="94" spans="2:42" x14ac:dyDescent="0.25">
      <c r="B94" s="223" t="str">
        <f>'DATA SHEET'!$B192</f>
        <v>20-08-2023</v>
      </c>
      <c r="C94" s="226">
        <f>'DATA SHEET'!$E192</f>
        <v>19265.8</v>
      </c>
      <c r="D94" s="246">
        <f>'DATA SHEET'!$F192</f>
        <v>-2.2967196008317758E-3</v>
      </c>
      <c r="F94" s="226">
        <f>'DATA SHEET'!$G192</f>
        <v>3312.89</v>
      </c>
      <c r="G94" s="246">
        <f>'DATA SHEET'!$H192</f>
        <v>4.216454782993484E-3</v>
      </c>
      <c r="M94" s="226">
        <f>'DATA SHEET'!$I192</f>
        <v>1412.14</v>
      </c>
      <c r="N94" s="246">
        <f>'DATA SHEET'!$J192</f>
        <v>2.2534069021447944E-2</v>
      </c>
      <c r="T94" s="226">
        <f>'DATA SHEET'!$K192</f>
        <v>1150.0899999999999</v>
      </c>
      <c r="U94" s="246">
        <f>'DATA SHEET'!$L192</f>
        <v>-1.6823820067192741E-2</v>
      </c>
      <c r="AA94" s="226">
        <f>'DATA SHEET'!$M192</f>
        <v>5127.3999999999996</v>
      </c>
      <c r="AB94" s="246">
        <f>'DATA SHEET'!$N192</f>
        <v>8.3085061404284399E-3</v>
      </c>
      <c r="AH94" s="226">
        <f>'DATA SHEET'!$O192</f>
        <v>1189.5</v>
      </c>
      <c r="AI94" s="246">
        <f>'DATA SHEET'!$P192</f>
        <v>-1.7591674925668932E-2</v>
      </c>
      <c r="AO94" s="226">
        <f>'DATA SHEET'!$Q192</f>
        <v>2568.9499999999998</v>
      </c>
      <c r="AP94" s="246">
        <f>'DATA SHEET'!$R192</f>
        <v>5.8989632499948375E-2</v>
      </c>
    </row>
    <row r="95" spans="2:42" x14ac:dyDescent="0.25">
      <c r="B95" s="223" t="str">
        <f>'DATA SHEET'!$B193</f>
        <v>13-08-2023</v>
      </c>
      <c r="C95" s="226">
        <f>'DATA SHEET'!$E193</f>
        <v>19310.150000000001</v>
      </c>
      <c r="D95" s="246">
        <f>'DATA SHEET'!$F193</f>
        <v>-6.0813349598265454E-3</v>
      </c>
      <c r="F95" s="226">
        <f>'DATA SHEET'!$G193</f>
        <v>3298.98</v>
      </c>
      <c r="G95" s="246">
        <f>'DATA SHEET'!$H193</f>
        <v>-2.3690230628316433E-2</v>
      </c>
      <c r="M95" s="226">
        <f>'DATA SHEET'!$I193</f>
        <v>1381.02</v>
      </c>
      <c r="N95" s="246">
        <f>'DATA SHEET'!$J193</f>
        <v>1.2359254046446111E-2</v>
      </c>
      <c r="T95" s="226">
        <f>'DATA SHEET'!$K193</f>
        <v>1169.77</v>
      </c>
      <c r="U95" s="246">
        <f>'DATA SHEET'!$L193</f>
        <v>1.9185802506145322E-3</v>
      </c>
      <c r="AA95" s="226">
        <f>'DATA SHEET'!$M193</f>
        <v>5085.1499999999996</v>
      </c>
      <c r="AB95" s="246">
        <f>'DATA SHEET'!$N193</f>
        <v>-4.3466768480719953E-3</v>
      </c>
      <c r="AH95" s="226">
        <f>'DATA SHEET'!$O193</f>
        <v>1210.8</v>
      </c>
      <c r="AI95" s="246">
        <f>'DATA SHEET'!$P193</f>
        <v>-7.9069195788439295E-3</v>
      </c>
      <c r="AO95" s="226">
        <f>'DATA SHEET'!$Q193</f>
        <v>2425.85</v>
      </c>
      <c r="AP95" s="246">
        <f>'DATA SHEET'!$R193</f>
        <v>-8.3474023717742263E-3</v>
      </c>
    </row>
    <row r="96" spans="2:42" x14ac:dyDescent="0.25">
      <c r="B96" s="223">
        <f>'DATA SHEET'!$B194</f>
        <v>45085</v>
      </c>
      <c r="C96" s="226">
        <f>'DATA SHEET'!$E194</f>
        <v>19428.3</v>
      </c>
      <c r="D96" s="246">
        <f>'DATA SHEET'!$F194</f>
        <v>-4.5447558538710409E-3</v>
      </c>
      <c r="F96" s="226">
        <f>'DATA SHEET'!$G194</f>
        <v>3379.03</v>
      </c>
      <c r="G96" s="246">
        <f>'DATA SHEET'!$H194</f>
        <v>1.5234640133496846E-3</v>
      </c>
      <c r="M96" s="226">
        <f>'DATA SHEET'!$I194</f>
        <v>1364.16</v>
      </c>
      <c r="N96" s="246">
        <f>'DATA SHEET'!$J194</f>
        <v>-4.7204570161166748E-3</v>
      </c>
      <c r="T96" s="226">
        <f>'DATA SHEET'!$K194</f>
        <v>1167.53</v>
      </c>
      <c r="U96" s="246">
        <f>'DATA SHEET'!$L194</f>
        <v>2.3682180058218982E-2</v>
      </c>
      <c r="AA96" s="226">
        <f>'DATA SHEET'!$M194</f>
        <v>5107.3500000000004</v>
      </c>
      <c r="AB96" s="246">
        <f>'DATA SHEET'!$N194</f>
        <v>3.3688194458499687E-2</v>
      </c>
      <c r="AH96" s="226">
        <f>'DATA SHEET'!$O194</f>
        <v>1220.45</v>
      </c>
      <c r="AI96" s="246">
        <f>'DATA SHEET'!$P194</f>
        <v>3.8504084411164152E-2</v>
      </c>
      <c r="AO96" s="226">
        <f>'DATA SHEET'!$Q194</f>
        <v>2446.27</v>
      </c>
      <c r="AP96" s="246">
        <f>'DATA SHEET'!$R194</f>
        <v>2.2312025676172631E-2</v>
      </c>
    </row>
    <row r="97" spans="2:42" x14ac:dyDescent="0.25">
      <c r="B97" s="223" t="str">
        <f>'DATA SHEET'!$B195</f>
        <v>30-07-2023</v>
      </c>
      <c r="C97" s="226">
        <f>'DATA SHEET'!$E195</f>
        <v>19517</v>
      </c>
      <c r="D97" s="246">
        <f>'DATA SHEET'!$F195</f>
        <v>-6.568750461288575E-3</v>
      </c>
      <c r="F97" s="226">
        <f>'DATA SHEET'!$G195</f>
        <v>3373.89</v>
      </c>
      <c r="G97" s="246">
        <f>'DATA SHEET'!$H195</f>
        <v>2.6272083515841649E-2</v>
      </c>
      <c r="M97" s="226">
        <f>'DATA SHEET'!$I195</f>
        <v>1370.63</v>
      </c>
      <c r="N97" s="246">
        <f>'DATA SHEET'!$J195</f>
        <v>2.8237271097307559E-2</v>
      </c>
      <c r="T97" s="226">
        <f>'DATA SHEET'!$K195</f>
        <v>1140.52</v>
      </c>
      <c r="U97" s="246">
        <f>'DATA SHEET'!$L195</f>
        <v>3.6977769695867746E-2</v>
      </c>
      <c r="AA97" s="226">
        <f>'DATA SHEET'!$M195</f>
        <v>4940.8999999999996</v>
      </c>
      <c r="AB97" s="246">
        <f>'DATA SHEET'!$N195</f>
        <v>1.9993600396362332E-2</v>
      </c>
      <c r="AH97" s="226">
        <f>'DATA SHEET'!$O195</f>
        <v>1175.2</v>
      </c>
      <c r="AI97" s="246">
        <f>'DATA SHEET'!$P195</f>
        <v>7.7127537693048032E-2</v>
      </c>
      <c r="AO97" s="226">
        <f>'DATA SHEET'!$Q195</f>
        <v>2392.88</v>
      </c>
      <c r="AP97" s="246">
        <f>'DATA SHEET'!$R195</f>
        <v>1.8940555271674375E-2</v>
      </c>
    </row>
    <row r="98" spans="2:42" x14ac:dyDescent="0.25">
      <c r="B98" s="223" t="str">
        <f>'DATA SHEET'!$B196</f>
        <v>23-07-2023</v>
      </c>
      <c r="C98" s="226">
        <f>'DATA SHEET'!$E196</f>
        <v>19646.05</v>
      </c>
      <c r="D98" s="246">
        <f>'DATA SHEET'!$F196</f>
        <v>-5.0113952899468739E-3</v>
      </c>
      <c r="F98" s="226">
        <f>'DATA SHEET'!$G196</f>
        <v>3287.52</v>
      </c>
      <c r="G98" s="246">
        <f>'DATA SHEET'!$H196</f>
        <v>-3.8301173276447109E-3</v>
      </c>
      <c r="M98" s="226">
        <f>'DATA SHEET'!$I196</f>
        <v>1332.99</v>
      </c>
      <c r="N98" s="246">
        <f>'DATA SHEET'!$J196</f>
        <v>6.6835833069009976E-3</v>
      </c>
      <c r="T98" s="226">
        <f>'DATA SHEET'!$K196</f>
        <v>1099.8499999999999</v>
      </c>
      <c r="U98" s="246">
        <f>'DATA SHEET'!$L196</f>
        <v>-1.0668249813350683E-2</v>
      </c>
      <c r="AA98" s="226">
        <f>'DATA SHEET'!$M196</f>
        <v>4844.05</v>
      </c>
      <c r="AB98" s="246">
        <f>'DATA SHEET'!$N196</f>
        <v>-1.5986999136661351E-2</v>
      </c>
      <c r="AH98" s="226">
        <f>'DATA SHEET'!$O196</f>
        <v>1091.05</v>
      </c>
      <c r="AI98" s="246">
        <f>'DATA SHEET'!$P196</f>
        <v>-8.7063844029788284E-2</v>
      </c>
      <c r="AO98" s="226">
        <f>'DATA SHEET'!$Q196</f>
        <v>2348.4</v>
      </c>
      <c r="AP98" s="246">
        <f>'DATA SHEET'!$R196</f>
        <v>-1.1116725618999568E-2</v>
      </c>
    </row>
    <row r="99" spans="2:42" x14ac:dyDescent="0.25">
      <c r="B99" s="223" t="str">
        <f>'DATA SHEET'!$B197</f>
        <v>16-07-2023</v>
      </c>
      <c r="C99" s="226">
        <f>'DATA SHEET'!$E197</f>
        <v>19745</v>
      </c>
      <c r="D99" s="246">
        <f>'DATA SHEET'!$F197</f>
        <v>9.225893838329613E-3</v>
      </c>
      <c r="F99" s="226">
        <f>'DATA SHEET'!$G197</f>
        <v>3300.16</v>
      </c>
      <c r="G99" s="246">
        <f>'DATA SHEET'!$H197</f>
        <v>-4.1640167850038545E-2</v>
      </c>
      <c r="M99" s="226">
        <f>'DATA SHEET'!$I197</f>
        <v>1324.14</v>
      </c>
      <c r="N99" s="246">
        <f>'DATA SHEET'!$J197</f>
        <v>-6.6165477164376929E-2</v>
      </c>
      <c r="T99" s="226">
        <f>'DATA SHEET'!$K197</f>
        <v>1111.71</v>
      </c>
      <c r="U99" s="246">
        <f>'DATA SHEET'!$L197</f>
        <v>-3.0851713015430104E-2</v>
      </c>
      <c r="AA99" s="226">
        <f>'DATA SHEET'!$M197</f>
        <v>4922.75</v>
      </c>
      <c r="AB99" s="246">
        <f>'DATA SHEET'!$N197</f>
        <v>-3.344721289587882E-2</v>
      </c>
      <c r="AH99" s="226">
        <f>'DATA SHEET'!$O197</f>
        <v>1195.0999999999999</v>
      </c>
      <c r="AI99" s="246">
        <f>'DATA SHEET'!$P197</f>
        <v>-2.7306393195784096E-2</v>
      </c>
      <c r="AO99" s="226">
        <f>'DATA SHEET'!$Q197</f>
        <v>2374.8000000000002</v>
      </c>
      <c r="AP99" s="246">
        <f>'DATA SHEET'!$R197</f>
        <v>-3.5418359057676652E-2</v>
      </c>
    </row>
    <row r="100" spans="2:42" x14ac:dyDescent="0.25">
      <c r="B100" s="223">
        <f>'DATA SHEET'!$B198</f>
        <v>45176</v>
      </c>
      <c r="C100" s="226">
        <f>'DATA SHEET'!$E198</f>
        <v>19564.5</v>
      </c>
      <c r="D100" s="246">
        <f>'DATA SHEET'!$F198</f>
        <v>1.2037161567986399E-2</v>
      </c>
      <c r="F100" s="226">
        <f>'DATA SHEET'!$G198</f>
        <v>3443.55</v>
      </c>
      <c r="G100" s="246">
        <f>'DATA SHEET'!$H198</f>
        <v>5.5688402464821207E-2</v>
      </c>
      <c r="M100" s="226">
        <f>'DATA SHEET'!$I198</f>
        <v>1417.96</v>
      </c>
      <c r="N100" s="246">
        <f>'DATA SHEET'!$J198</f>
        <v>7.1978831978831925E-2</v>
      </c>
      <c r="T100" s="226">
        <f>'DATA SHEET'!$K198</f>
        <v>1147.0999999999999</v>
      </c>
      <c r="U100" s="246">
        <f>'DATA SHEET'!$L198</f>
        <v>-5.7379606837014707E-3</v>
      </c>
      <c r="AA100" s="226">
        <f>'DATA SHEET'!$M198</f>
        <v>5093.1000000000004</v>
      </c>
      <c r="AB100" s="246">
        <f>'DATA SHEET'!$N198</f>
        <v>-4.1939173534327745E-3</v>
      </c>
      <c r="AH100" s="226">
        <f>'DATA SHEET'!$O198</f>
        <v>1228.6500000000001</v>
      </c>
      <c r="AI100" s="246">
        <f>'DATA SHEET'!$P198</f>
        <v>6.2846020761245791E-2</v>
      </c>
      <c r="AO100" s="226">
        <f>'DATA SHEET'!$Q198</f>
        <v>2462</v>
      </c>
      <c r="AP100" s="246">
        <f>'DATA SHEET'!$R198</f>
        <v>2.1708186530217555E-2</v>
      </c>
    </row>
    <row r="101" spans="2:42" x14ac:dyDescent="0.25">
      <c r="B101" s="223">
        <f>'DATA SHEET'!$B199</f>
        <v>44964</v>
      </c>
      <c r="C101" s="226">
        <f>'DATA SHEET'!$E199</f>
        <v>19331.8</v>
      </c>
      <c r="D101" s="246">
        <f>'DATA SHEET'!$F199</f>
        <v>7.4391384669902916E-3</v>
      </c>
      <c r="F101" s="226">
        <f>'DATA SHEET'!$G199</f>
        <v>3261.9</v>
      </c>
      <c r="G101" s="246">
        <f>'DATA SHEET'!$H199</f>
        <v>8.1781766931237065E-3</v>
      </c>
      <c r="M101" s="226">
        <f>'DATA SHEET'!$I199</f>
        <v>1322.75</v>
      </c>
      <c r="N101" s="246">
        <f>'DATA SHEET'!$J199</f>
        <v>-3.9683137302148896E-3</v>
      </c>
      <c r="T101" s="226">
        <f>'DATA SHEET'!$K199</f>
        <v>1153.72</v>
      </c>
      <c r="U101" s="246">
        <f>'DATA SHEET'!$L199</f>
        <v>-2.5549633858966025E-2</v>
      </c>
      <c r="AA101" s="226">
        <f>'DATA SHEET'!$M199</f>
        <v>5114.55</v>
      </c>
      <c r="AB101" s="246">
        <f>'DATA SHEET'!$N199</f>
        <v>-1.5902793812052618E-2</v>
      </c>
      <c r="AH101" s="226">
        <f>'DATA SHEET'!$O199</f>
        <v>1156</v>
      </c>
      <c r="AI101" s="246">
        <f>'DATA SHEET'!$P199</f>
        <v>2.2239908033780065E-2</v>
      </c>
      <c r="AO101" s="226">
        <f>'DATA SHEET'!$Q199</f>
        <v>2409.69</v>
      </c>
      <c r="AP101" s="246">
        <f>'DATA SHEET'!$R199</f>
        <v>-3.6220377962203787E-2</v>
      </c>
    </row>
    <row r="102" spans="2:42" x14ac:dyDescent="0.25">
      <c r="B102" s="223" t="str">
        <f>'DATA SHEET'!$B200</f>
        <v>25-06-2023</v>
      </c>
      <c r="C102" s="226">
        <f>'DATA SHEET'!$E200</f>
        <v>19189.05</v>
      </c>
      <c r="D102" s="246">
        <f>'DATA SHEET'!$F200</f>
        <v>2.8049074495727355E-2</v>
      </c>
      <c r="F102" s="226">
        <f>'DATA SHEET'!$G200</f>
        <v>3235.44</v>
      </c>
      <c r="G102" s="246">
        <f>'DATA SHEET'!$H200</f>
        <v>2.6706608108451046E-2</v>
      </c>
      <c r="M102" s="226">
        <f>'DATA SHEET'!$I200</f>
        <v>1328.02</v>
      </c>
      <c r="N102" s="246">
        <f>'DATA SHEET'!$J200</f>
        <v>5.5735306977446664E-2</v>
      </c>
      <c r="T102" s="226">
        <f>'DATA SHEET'!$K200</f>
        <v>1183.97</v>
      </c>
      <c r="U102" s="246">
        <f>'DATA SHEET'!$L200</f>
        <v>1.9565123789020422E-2</v>
      </c>
      <c r="AA102" s="226">
        <f>'DATA SHEET'!$M200</f>
        <v>5197.2</v>
      </c>
      <c r="AB102" s="246">
        <f>'DATA SHEET'!$N200</f>
        <v>4.8530761703973413E-2</v>
      </c>
      <c r="AH102" s="226">
        <f>'DATA SHEET'!$O200</f>
        <v>1130.8499999999999</v>
      </c>
      <c r="AI102" s="246">
        <f>'DATA SHEET'!$P200</f>
        <v>1.3760645450470621E-2</v>
      </c>
      <c r="AO102" s="226">
        <f>'DATA SHEET'!$Q200</f>
        <v>2500.25</v>
      </c>
      <c r="AP102" s="246">
        <f>'DATA SHEET'!$R200</f>
        <v>4.2918043180832255E-2</v>
      </c>
    </row>
    <row r="103" spans="2:42" x14ac:dyDescent="0.25">
      <c r="B103" s="223" t="str">
        <f>'DATA SHEET'!$B201</f>
        <v>18-06-2023</v>
      </c>
      <c r="C103" s="226">
        <f>'DATA SHEET'!$E201</f>
        <v>18665.5</v>
      </c>
      <c r="D103" s="246">
        <f>'DATA SHEET'!$F201</f>
        <v>-8.5254435355359703E-3</v>
      </c>
      <c r="F103" s="226">
        <f>'DATA SHEET'!$G201</f>
        <v>3151.28</v>
      </c>
      <c r="G103" s="246">
        <f>'DATA SHEET'!$H201</f>
        <v>1.3055065307473912E-2</v>
      </c>
      <c r="M103" s="226">
        <f>'DATA SHEET'!$I201</f>
        <v>1257.9100000000001</v>
      </c>
      <c r="N103" s="246">
        <f>'DATA SHEET'!$J201</f>
        <v>-2.0632041170654203E-2</v>
      </c>
      <c r="T103" s="226">
        <f>'DATA SHEET'!$K201</f>
        <v>1161.25</v>
      </c>
      <c r="U103" s="246">
        <f>'DATA SHEET'!$L201</f>
        <v>1.4759341465972353E-2</v>
      </c>
      <c r="AA103" s="226">
        <f>'DATA SHEET'!$M201</f>
        <v>4956.6499999999996</v>
      </c>
      <c r="AB103" s="246">
        <f>'DATA SHEET'!$N201</f>
        <v>-1.0767173591985091E-2</v>
      </c>
      <c r="AH103" s="226">
        <f>'DATA SHEET'!$O201</f>
        <v>1115.5</v>
      </c>
      <c r="AI103" s="246">
        <f>'DATA SHEET'!$P201</f>
        <v>3.5555142963237918E-2</v>
      </c>
      <c r="AO103" s="226">
        <f>'DATA SHEET'!$Q201</f>
        <v>2397.36</v>
      </c>
      <c r="AP103" s="246">
        <f>'DATA SHEET'!$R201</f>
        <v>-3.1036921771113279E-2</v>
      </c>
    </row>
    <row r="104" spans="2:42" x14ac:dyDescent="0.25">
      <c r="B104" s="223">
        <f>'DATA SHEET'!$B202</f>
        <v>45236</v>
      </c>
      <c r="C104" s="226">
        <f>'DATA SHEET'!$E202</f>
        <v>18826</v>
      </c>
      <c r="D104" s="246">
        <f>'DATA SHEET'!$F202</f>
        <v>1.4146115474535925E-2</v>
      </c>
      <c r="F104" s="226">
        <f>'DATA SHEET'!$G202</f>
        <v>3110.67</v>
      </c>
      <c r="G104" s="246">
        <f>'DATA SHEET'!$H202</f>
        <v>-1.0717568225113383E-2</v>
      </c>
      <c r="M104" s="226">
        <f>'DATA SHEET'!$I202</f>
        <v>1284.4100000000001</v>
      </c>
      <c r="N104" s="246">
        <f>'DATA SHEET'!$J202</f>
        <v>2.0296140952925867E-2</v>
      </c>
      <c r="T104" s="226">
        <f>'DATA SHEET'!$K202</f>
        <v>1144.3599999999999</v>
      </c>
      <c r="U104" s="246">
        <f>'DATA SHEET'!$L202</f>
        <v>3.4646124914107901E-2</v>
      </c>
      <c r="AA104" s="226">
        <f>'DATA SHEET'!$M202</f>
        <v>5010.6000000000004</v>
      </c>
      <c r="AB104" s="246">
        <f>'DATA SHEET'!$N202</f>
        <v>3.8886181980282153E-2</v>
      </c>
      <c r="AH104" s="226">
        <f>'DATA SHEET'!$O202</f>
        <v>1077.2</v>
      </c>
      <c r="AI104" s="246">
        <f>'DATA SHEET'!$P202</f>
        <v>1.3310756784723266E-2</v>
      </c>
      <c r="AO104" s="226">
        <f>'DATA SHEET'!$Q202</f>
        <v>2474.15</v>
      </c>
      <c r="AP104" s="246">
        <f>'DATA SHEET'!$R202</f>
        <v>1.4731998211817698E-2</v>
      </c>
    </row>
    <row r="105" spans="2:42" x14ac:dyDescent="0.25">
      <c r="B105" s="223">
        <f>'DATA SHEET'!$B203</f>
        <v>45022</v>
      </c>
      <c r="C105" s="226">
        <f>'DATA SHEET'!$E203</f>
        <v>18563.400000000001</v>
      </c>
      <c r="D105" s="246">
        <f>'DATA SHEET'!$F203</f>
        <v>1.5808698561032841E-3</v>
      </c>
      <c r="F105" s="226">
        <f>'DATA SHEET'!$G203</f>
        <v>3144.37</v>
      </c>
      <c r="G105" s="246">
        <f>'DATA SHEET'!$H203</f>
        <v>-2.9134876942505272E-2</v>
      </c>
      <c r="M105" s="226">
        <f>'DATA SHEET'!$I203</f>
        <v>1258.8599999999999</v>
      </c>
      <c r="N105" s="246">
        <f>'DATA SHEET'!$J203</f>
        <v>-2.5438949617564321E-2</v>
      </c>
      <c r="T105" s="226">
        <f>'DATA SHEET'!$K203</f>
        <v>1106.04</v>
      </c>
      <c r="U105" s="246">
        <f>'DATA SHEET'!$L203</f>
        <v>-2.4001976633369893E-2</v>
      </c>
      <c r="AA105" s="226">
        <f>'DATA SHEET'!$M203</f>
        <v>4823.05</v>
      </c>
      <c r="AB105" s="246">
        <f>'DATA SHEET'!$N203</f>
        <v>-3.4260084298629256E-2</v>
      </c>
      <c r="AH105" s="226">
        <f>'DATA SHEET'!$O203</f>
        <v>1063.05</v>
      </c>
      <c r="AI105" s="246">
        <f>'DATA SHEET'!$P203</f>
        <v>-5.3468079423025561E-2</v>
      </c>
      <c r="AO105" s="226">
        <f>'DATA SHEET'!$Q203</f>
        <v>2438.23</v>
      </c>
      <c r="AP105" s="246">
        <f>'DATA SHEET'!$R203</f>
        <v>-6.5006231425558392E-2</v>
      </c>
    </row>
    <row r="106" spans="2:42" x14ac:dyDescent="0.25">
      <c r="B106" s="223" t="str">
        <f>'DATA SHEET'!$B204</f>
        <v>28-05-2023</v>
      </c>
      <c r="C106" s="226">
        <f>'DATA SHEET'!$E204</f>
        <v>18534.099999999999</v>
      </c>
      <c r="D106" s="246">
        <f>'DATA SHEET'!$F204</f>
        <v>1.8784443777755122E-3</v>
      </c>
      <c r="F106" s="226">
        <f>'DATA SHEET'!$G204</f>
        <v>3238.73</v>
      </c>
      <c r="G106" s="246">
        <f>'DATA SHEET'!$H204</f>
        <v>-6.9966733608254339E-3</v>
      </c>
      <c r="M106" s="226">
        <f>'DATA SHEET'!$I204</f>
        <v>1291.72</v>
      </c>
      <c r="N106" s="246">
        <f>'DATA SHEET'!$J204</f>
        <v>-1.4006885128275526E-2</v>
      </c>
      <c r="T106" s="226">
        <f>'DATA SHEET'!$K204</f>
        <v>1133.24</v>
      </c>
      <c r="U106" s="246">
        <f>'DATA SHEET'!$L204</f>
        <v>-1.893622455720112E-3</v>
      </c>
      <c r="AA106" s="226">
        <f>'DATA SHEET'!$M204</f>
        <v>4994.1499999999996</v>
      </c>
      <c r="AB106" s="246">
        <f>'DATA SHEET'!$N204</f>
        <v>-1.3896942672613211E-3</v>
      </c>
      <c r="AH106" s="226">
        <f>'DATA SHEET'!$O204</f>
        <v>1123.0999999999999</v>
      </c>
      <c r="AI106" s="246">
        <f>'DATA SHEET'!$P204</f>
        <v>7.4904687149583982E-3</v>
      </c>
      <c r="AO106" s="226">
        <f>'DATA SHEET'!$Q204</f>
        <v>2607.75</v>
      </c>
      <c r="AP106" s="246">
        <f>'DATA SHEET'!$R204</f>
        <v>2.7029049434449837E-2</v>
      </c>
    </row>
    <row r="107" spans="2:42" x14ac:dyDescent="0.25">
      <c r="B107" s="223" t="str">
        <f>'DATA SHEET'!$B205</f>
        <v>21-05-2023</v>
      </c>
      <c r="C107" s="226">
        <f>'DATA SHEET'!$E205</f>
        <v>18499.349999999999</v>
      </c>
      <c r="D107" s="246">
        <f>'DATA SHEET'!$F205</f>
        <v>1.6257951811200044E-2</v>
      </c>
      <c r="F107" s="226">
        <f>'DATA SHEET'!$G205</f>
        <v>3261.55</v>
      </c>
      <c r="G107" s="246">
        <f>'DATA SHEET'!$H205</f>
        <v>3.2904216743464332E-2</v>
      </c>
      <c r="M107" s="226">
        <f>'DATA SHEET'!$I205</f>
        <v>1310.07</v>
      </c>
      <c r="N107" s="246">
        <f>'DATA SHEET'!$J205</f>
        <v>3.8263102417993355E-2</v>
      </c>
      <c r="T107" s="226">
        <f>'DATA SHEET'!$K205</f>
        <v>1135.3900000000001</v>
      </c>
      <c r="U107" s="246">
        <f>'DATA SHEET'!$L205</f>
        <v>4.0039205628022989E-2</v>
      </c>
      <c r="AA107" s="226">
        <f>'DATA SHEET'!$M205</f>
        <v>5001.1000000000004</v>
      </c>
      <c r="AB107" s="246">
        <f>'DATA SHEET'!$N205</f>
        <v>4.1245055173849687E-2</v>
      </c>
      <c r="AH107" s="226">
        <f>'DATA SHEET'!$O205</f>
        <v>1114.75</v>
      </c>
      <c r="AI107" s="246">
        <f>'DATA SHEET'!$P205</f>
        <v>3.973324628083752E-2</v>
      </c>
      <c r="AO107" s="226">
        <f>'DATA SHEET'!$Q205</f>
        <v>2539.12</v>
      </c>
      <c r="AP107" s="246">
        <f>'DATA SHEET'!$R205</f>
        <v>4.1070952664056248E-2</v>
      </c>
    </row>
    <row r="108" spans="2:42" x14ac:dyDescent="0.25">
      <c r="B108" s="223" t="str">
        <f>'DATA SHEET'!$B206</f>
        <v>14-05-2023</v>
      </c>
      <c r="C108" s="226">
        <f>'DATA SHEET'!$E206</f>
        <v>18203.400000000001</v>
      </c>
      <c r="D108" s="246">
        <f>'DATA SHEET'!$F206</f>
        <v>-6.0825125035489647E-3</v>
      </c>
      <c r="F108" s="226">
        <f>'DATA SHEET'!$G206</f>
        <v>3157.65</v>
      </c>
      <c r="G108" s="246">
        <f>'DATA SHEET'!$H206</f>
        <v>-1.5713546504741105E-2</v>
      </c>
      <c r="M108" s="226">
        <f>'DATA SHEET'!$I206</f>
        <v>1261.79</v>
      </c>
      <c r="N108" s="246">
        <f>'DATA SHEET'!$J206</f>
        <v>1.9035389510749345E-2</v>
      </c>
      <c r="T108" s="226">
        <f>'DATA SHEET'!$K206</f>
        <v>1091.68</v>
      </c>
      <c r="U108" s="246">
        <f>'DATA SHEET'!$L206</f>
        <v>-1.3738402498542079E-4</v>
      </c>
      <c r="AA108" s="226">
        <f>'DATA SHEET'!$M206</f>
        <v>4803</v>
      </c>
      <c r="AB108" s="246">
        <f>'DATA SHEET'!$N206</f>
        <v>2.4705581157194123E-2</v>
      </c>
      <c r="AH108" s="226">
        <f>'DATA SHEET'!$O206</f>
        <v>1072.1500000000001</v>
      </c>
      <c r="AI108" s="246">
        <f>'DATA SHEET'!$P206</f>
        <v>2.465714149185283E-2</v>
      </c>
      <c r="AO108" s="226">
        <f>'DATA SHEET'!$Q206</f>
        <v>2438.9499999999998</v>
      </c>
      <c r="AP108" s="246">
        <f>'DATA SHEET'!$R206</f>
        <v>5.0795975959156303E-2</v>
      </c>
    </row>
    <row r="109" spans="2:42" x14ac:dyDescent="0.25">
      <c r="B109" s="223">
        <f>'DATA SHEET'!$B207</f>
        <v>45112</v>
      </c>
      <c r="C109" s="226">
        <f>'DATA SHEET'!$E207</f>
        <v>18314.8</v>
      </c>
      <c r="D109" s="246">
        <f>'DATA SHEET'!$F207</f>
        <v>1.3603409153799317E-2</v>
      </c>
      <c r="F109" s="226">
        <f>'DATA SHEET'!$G207</f>
        <v>3208.06</v>
      </c>
      <c r="G109" s="246">
        <f>'DATA SHEET'!$H207</f>
        <v>1.3496180505095712E-2</v>
      </c>
      <c r="M109" s="226">
        <f>'DATA SHEET'!$I207</f>
        <v>1238.22</v>
      </c>
      <c r="N109" s="246">
        <f>'DATA SHEET'!$J207</f>
        <v>-1.1037986006836809E-2</v>
      </c>
      <c r="T109" s="226">
        <f>'DATA SHEET'!$K207</f>
        <v>1091.83</v>
      </c>
      <c r="U109" s="246">
        <f>'DATA SHEET'!$L207</f>
        <v>3.7841485903309824E-2</v>
      </c>
      <c r="AA109" s="226">
        <f>'DATA SHEET'!$M207</f>
        <v>4687.2</v>
      </c>
      <c r="AB109" s="246">
        <f>'DATA SHEET'!$N207</f>
        <v>4.441993382131737E-2</v>
      </c>
      <c r="AH109" s="226">
        <f>'DATA SHEET'!$O207</f>
        <v>1046.3499999999999</v>
      </c>
      <c r="AI109" s="246">
        <f>'DATA SHEET'!$P207</f>
        <v>9.6005403319179283E-3</v>
      </c>
      <c r="AO109" s="226">
        <f>'DATA SHEET'!$Q207</f>
        <v>2321.0500000000002</v>
      </c>
      <c r="AP109" s="246">
        <f>'DATA SHEET'!$R207</f>
        <v>2.6177218908074451E-3</v>
      </c>
    </row>
    <row r="110" spans="2:42" x14ac:dyDescent="0.25">
      <c r="B110" s="223" t="str">
        <f>'DATA SHEET'!$B208</f>
        <v>30-04-2023</v>
      </c>
      <c r="C110" s="226">
        <f>'DATA SHEET'!$E208</f>
        <v>18069</v>
      </c>
      <c r="D110" s="246">
        <f>'DATA SHEET'!$F208</f>
        <v>2.2142264046509652E-4</v>
      </c>
      <c r="F110" s="226">
        <f>'DATA SHEET'!$G208</f>
        <v>3165.34</v>
      </c>
      <c r="G110" s="246">
        <f>'DATA SHEET'!$H208</f>
        <v>3.5572521020126313E-3</v>
      </c>
      <c r="M110" s="226">
        <f>'DATA SHEET'!$I208</f>
        <v>1252.04</v>
      </c>
      <c r="N110" s="246">
        <f>'DATA SHEET'!$J208</f>
        <v>5.065303075305172E-3</v>
      </c>
      <c r="T110" s="226">
        <f>'DATA SHEET'!$K208</f>
        <v>1052.02</v>
      </c>
      <c r="U110" s="246">
        <f>'DATA SHEET'!$L208</f>
        <v>-8.0336432383502077E-3</v>
      </c>
      <c r="AA110" s="226">
        <f>'DATA SHEET'!$M208</f>
        <v>4487.8500000000004</v>
      </c>
      <c r="AB110" s="246">
        <f>'DATA SHEET'!$N208</f>
        <v>1.5477038998065407E-2</v>
      </c>
      <c r="AH110" s="226">
        <f>'DATA SHEET'!$O208</f>
        <v>1036.4000000000001</v>
      </c>
      <c r="AI110" s="246">
        <f>'DATA SHEET'!$P208</f>
        <v>1.2405978313959176E-2</v>
      </c>
      <c r="AO110" s="226">
        <f>'DATA SHEET'!$Q208</f>
        <v>2314.9899999999998</v>
      </c>
      <c r="AP110" s="246">
        <f>'DATA SHEET'!$R208</f>
        <v>-2.0582660642060602E-2</v>
      </c>
    </row>
    <row r="111" spans="2:42" x14ac:dyDescent="0.25">
      <c r="B111" s="223" t="str">
        <f>'DATA SHEET'!$B209</f>
        <v>23-04-2023</v>
      </c>
      <c r="C111" s="226">
        <f>'DATA SHEET'!$E209</f>
        <v>18065</v>
      </c>
      <c r="D111" s="246">
        <f>'DATA SHEET'!$F209</f>
        <v>2.5019788300645995E-2</v>
      </c>
      <c r="F111" s="226">
        <f>'DATA SHEET'!$G209</f>
        <v>3154.12</v>
      </c>
      <c r="G111" s="246">
        <f>'DATA SHEET'!$H209</f>
        <v>1.8476541057186102E-2</v>
      </c>
      <c r="M111" s="226">
        <f>'DATA SHEET'!$I209</f>
        <v>1245.73</v>
      </c>
      <c r="N111" s="246">
        <f>'DATA SHEET'!$J209</f>
        <v>2.0696944619695623E-2</v>
      </c>
      <c r="T111" s="226">
        <f>'DATA SHEET'!$K209</f>
        <v>1060.54</v>
      </c>
      <c r="U111" s="246">
        <f>'DATA SHEET'!$L209</f>
        <v>1.4443679216406435E-2</v>
      </c>
      <c r="AA111" s="226">
        <f>'DATA SHEET'!$M209</f>
        <v>4419.45</v>
      </c>
      <c r="AB111" s="246">
        <f>'DATA SHEET'!$N209</f>
        <v>5.9604157425944271E-2</v>
      </c>
      <c r="AH111" s="226">
        <f>'DATA SHEET'!$O209</f>
        <v>1023.7</v>
      </c>
      <c r="AI111" s="246">
        <f>'DATA SHEET'!$P209</f>
        <v>2.4981226533166589E-2</v>
      </c>
      <c r="AO111" s="226">
        <f>'DATA SHEET'!$Q209</f>
        <v>2363.64</v>
      </c>
      <c r="AP111" s="246">
        <f>'DATA SHEET'!$R209</f>
        <v>0.10133960813549825</v>
      </c>
    </row>
    <row r="112" spans="2:42" x14ac:dyDescent="0.25">
      <c r="B112" s="223" t="str">
        <f>'DATA SHEET'!$B210</f>
        <v>16-04-2023</v>
      </c>
      <c r="C112" s="226">
        <f>'DATA SHEET'!$E210</f>
        <v>17624.05</v>
      </c>
      <c r="D112" s="246">
        <f>'DATA SHEET'!$F210</f>
        <v>-1.143986986762402E-2</v>
      </c>
      <c r="F112" s="226">
        <f>'DATA SHEET'!$G210</f>
        <v>3096.9</v>
      </c>
      <c r="G112" s="246">
        <f>'DATA SHEET'!$H210</f>
        <v>-8.7826548967141482E-3</v>
      </c>
      <c r="M112" s="226">
        <f>'DATA SHEET'!$I210</f>
        <v>1220.47</v>
      </c>
      <c r="N112" s="246">
        <f>'DATA SHEET'!$J210</f>
        <v>-0.11651054711818276</v>
      </c>
      <c r="T112" s="226">
        <f>'DATA SHEET'!$K210</f>
        <v>1045.44</v>
      </c>
      <c r="U112" s="246">
        <f>'DATA SHEET'!$L210</f>
        <v>-2.1361840750379057E-2</v>
      </c>
      <c r="AA112" s="226">
        <f>'DATA SHEET'!$M210</f>
        <v>4170.8500000000004</v>
      </c>
      <c r="AB112" s="246">
        <f>'DATA SHEET'!$N210</f>
        <v>-0.10234805440771333</v>
      </c>
      <c r="AH112" s="226">
        <f>'DATA SHEET'!$O210</f>
        <v>998.75</v>
      </c>
      <c r="AI112" s="246">
        <f>'DATA SHEET'!$P210</f>
        <v>-8.1059943874499663E-2</v>
      </c>
      <c r="AO112" s="226">
        <f>'DATA SHEET'!$Q210</f>
        <v>2146.15</v>
      </c>
      <c r="AP112" s="246">
        <f>'DATA SHEET'!$R210</f>
        <v>-2.0581859669138614E-2</v>
      </c>
    </row>
    <row r="113" spans="2:46" x14ac:dyDescent="0.25">
      <c r="B113" s="223">
        <f>'DATA SHEET'!$B211</f>
        <v>45173</v>
      </c>
      <c r="C113" s="226">
        <f>'DATA SHEET'!$E211</f>
        <v>17828</v>
      </c>
      <c r="D113" s="246">
        <f>'DATA SHEET'!$F211</f>
        <v>1.3003468917532901E-2</v>
      </c>
      <c r="F113" s="226">
        <f>'DATA SHEET'!$G211</f>
        <v>3124.34</v>
      </c>
      <c r="G113" s="246">
        <f>'DATA SHEET'!$H211</f>
        <v>-9.8873726842314547E-3</v>
      </c>
      <c r="M113" s="226">
        <f>'DATA SHEET'!$I211</f>
        <v>1381.42</v>
      </c>
      <c r="N113" s="246">
        <f>'DATA SHEET'!$J211</f>
        <v>-2.2992651687141485E-2</v>
      </c>
      <c r="T113" s="226">
        <f>'DATA SHEET'!$K211</f>
        <v>1068.26</v>
      </c>
      <c r="U113" s="246">
        <f>'DATA SHEET'!$L211</f>
        <v>-1.831481634641019E-2</v>
      </c>
      <c r="AA113" s="226">
        <f>'DATA SHEET'!$M211</f>
        <v>4646.3999999999996</v>
      </c>
      <c r="AB113" s="246">
        <f>'DATA SHEET'!$N211</f>
        <v>-2.6575184622636638E-2</v>
      </c>
      <c r="AH113" s="226">
        <f>'DATA SHEET'!$O211</f>
        <v>1086.8499999999999</v>
      </c>
      <c r="AI113" s="246">
        <f>'DATA SHEET'!$P211</f>
        <v>-5.3992221459621126E-3</v>
      </c>
      <c r="AO113" s="226">
        <f>'DATA SHEET'!$Q211</f>
        <v>2191.25</v>
      </c>
      <c r="AP113" s="246">
        <f>'DATA SHEET'!$R211</f>
        <v>-3.4206605960702796E-2</v>
      </c>
    </row>
    <row r="114" spans="2:46" x14ac:dyDescent="0.25">
      <c r="B114" s="224">
        <f>'DATA SHEET'!$B212</f>
        <v>44961</v>
      </c>
      <c r="C114" s="227">
        <f>'DATA SHEET'!$E212</f>
        <v>17599.150000000001</v>
      </c>
      <c r="D114" s="247"/>
      <c r="F114" s="227">
        <f>'DATA SHEET'!$G212</f>
        <v>3155.54</v>
      </c>
      <c r="G114" s="228"/>
      <c r="M114" s="227">
        <f>'DATA SHEET'!$I212</f>
        <v>1413.93</v>
      </c>
      <c r="N114" s="228"/>
      <c r="T114" s="227">
        <f>'DATA SHEET'!$K212</f>
        <v>1088.19</v>
      </c>
      <c r="U114" s="228"/>
      <c r="AA114" s="227">
        <f>'DATA SHEET'!$M212</f>
        <v>4773.25</v>
      </c>
      <c r="AB114" s="228"/>
      <c r="AH114" s="227">
        <f>'DATA SHEET'!$O212</f>
        <v>1092.75</v>
      </c>
      <c r="AI114" s="228"/>
      <c r="AO114" s="227">
        <f>'DATA SHEET'!$Q212</f>
        <v>2268.86</v>
      </c>
      <c r="AP114" s="247"/>
    </row>
    <row r="116" spans="2:46" x14ac:dyDescent="0.25">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c r="AA116" s="236"/>
      <c r="AB116" s="236"/>
      <c r="AC116" s="236"/>
      <c r="AD116" s="236"/>
      <c r="AE116" s="236"/>
      <c r="AF116" s="236"/>
      <c r="AG116" s="236"/>
      <c r="AH116" s="236"/>
      <c r="AI116" s="236"/>
      <c r="AJ116" s="236"/>
      <c r="AK116" s="236"/>
      <c r="AL116" s="236"/>
      <c r="AM116" s="236"/>
      <c r="AN116" s="236"/>
      <c r="AO116" s="236"/>
      <c r="AP116" s="236"/>
      <c r="AQ116" s="236"/>
      <c r="AR116" s="236"/>
      <c r="AS116" s="236"/>
      <c r="AT116" s="236"/>
    </row>
  </sheetData>
  <mergeCells count="39">
    <mergeCell ref="B1:B3"/>
    <mergeCell ref="B6:D6"/>
    <mergeCell ref="F6:G6"/>
    <mergeCell ref="I6:K6"/>
    <mergeCell ref="I8:J8"/>
    <mergeCell ref="C1:AT3"/>
    <mergeCell ref="I9:J9"/>
    <mergeCell ref="I12:J12"/>
    <mergeCell ref="I17:K17"/>
    <mergeCell ref="M6:N6"/>
    <mergeCell ref="P6:R6"/>
    <mergeCell ref="P8:Q8"/>
    <mergeCell ref="P9:Q9"/>
    <mergeCell ref="P12:Q12"/>
    <mergeCell ref="P17:R17"/>
    <mergeCell ref="AD17:AF17"/>
    <mergeCell ref="T6:U6"/>
    <mergeCell ref="W6:Y6"/>
    <mergeCell ref="W8:X8"/>
    <mergeCell ref="W9:X9"/>
    <mergeCell ref="W12:X12"/>
    <mergeCell ref="W17:Y17"/>
    <mergeCell ref="AA6:AB6"/>
    <mergeCell ref="AD6:AF6"/>
    <mergeCell ref="AD8:AE8"/>
    <mergeCell ref="AD9:AE9"/>
    <mergeCell ref="AD12:AE12"/>
    <mergeCell ref="AR17:AT17"/>
    <mergeCell ref="AH6:AI6"/>
    <mergeCell ref="AK6:AM6"/>
    <mergeCell ref="AK8:AL8"/>
    <mergeCell ref="AK9:AL9"/>
    <mergeCell ref="AK12:AL12"/>
    <mergeCell ref="AK17:AM17"/>
    <mergeCell ref="AO6:AP6"/>
    <mergeCell ref="AR6:AT6"/>
    <mergeCell ref="AR8:AS8"/>
    <mergeCell ref="AR9:AS9"/>
    <mergeCell ref="AR12:AS12"/>
  </mergeCells>
  <printOptions horizontalCentered="1"/>
  <pageMargins left="0" right="0" top="0" bottom="0" header="0" footer="0"/>
  <pageSetup paperSize="9" scale="19" orientation="landscape" horizontalDpi="1200" verticalDpi="1200" r:id="rId1"/>
  <colBreaks count="1" manualBreakCount="1">
    <brk id="46" max="1048575"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91ECE-9132-4E5A-9091-C32125A4B932}">
  <sheetPr>
    <pageSetUpPr fitToPage="1"/>
  </sheetPr>
  <dimension ref="B1:O46"/>
  <sheetViews>
    <sheetView zoomScale="70" zoomScaleNormal="70" workbookViewId="0"/>
  </sheetViews>
  <sheetFormatPr defaultColWidth="15.77734375" defaultRowHeight="15" x14ac:dyDescent="0.25"/>
  <cols>
    <col min="1" max="1" width="2" style="29" customWidth="1"/>
    <col min="2" max="2" width="44.77734375" style="29" customWidth="1"/>
    <col min="3" max="3" width="15.77734375" style="29" customWidth="1"/>
    <col min="4" max="8" width="15.77734375" style="29"/>
    <col min="9" max="10" width="15.77734375" style="29" customWidth="1"/>
    <col min="11" max="16384" width="15.77734375" style="29"/>
  </cols>
  <sheetData>
    <row r="1" spans="2:15" ht="15.6" customHeight="1" x14ac:dyDescent="0.25">
      <c r="B1" s="974" t="s">
        <v>3336</v>
      </c>
      <c r="C1" s="975" t="s">
        <v>297</v>
      </c>
      <c r="D1" s="975"/>
      <c r="E1" s="975"/>
      <c r="F1" s="975"/>
      <c r="G1" s="975"/>
      <c r="H1" s="975"/>
      <c r="I1" s="975"/>
      <c r="J1" s="975"/>
      <c r="K1" s="975"/>
      <c r="L1" s="187"/>
      <c r="M1" s="187"/>
      <c r="N1" s="187"/>
      <c r="O1" s="187"/>
    </row>
    <row r="2" spans="2:15" ht="15.6" customHeight="1" x14ac:dyDescent="0.25">
      <c r="B2" s="974"/>
      <c r="C2" s="975"/>
      <c r="D2" s="975"/>
      <c r="E2" s="975"/>
      <c r="F2" s="975"/>
      <c r="G2" s="975"/>
      <c r="H2" s="975"/>
      <c r="I2" s="975"/>
      <c r="J2" s="975"/>
      <c r="K2" s="975"/>
      <c r="L2" s="187"/>
      <c r="M2" s="187"/>
      <c r="N2" s="187"/>
      <c r="O2" s="187"/>
    </row>
    <row r="3" spans="2:15" ht="24.6" x14ac:dyDescent="0.4">
      <c r="B3" s="974"/>
      <c r="C3" s="975"/>
      <c r="D3" s="975"/>
      <c r="E3" s="975"/>
      <c r="F3" s="975"/>
      <c r="G3" s="975"/>
      <c r="H3" s="975"/>
      <c r="I3" s="975"/>
      <c r="J3" s="975"/>
      <c r="K3" s="975"/>
      <c r="L3" s="186"/>
      <c r="M3" s="186"/>
      <c r="N3" s="186"/>
      <c r="O3" s="186"/>
    </row>
    <row r="4" spans="2:15" ht="28.2" x14ac:dyDescent="0.5">
      <c r="B4" s="38" t="s">
        <v>121</v>
      </c>
      <c r="C4" s="185"/>
      <c r="D4" s="36"/>
      <c r="E4" s="36"/>
      <c r="F4" s="36"/>
      <c r="G4" s="36"/>
      <c r="H4" s="36"/>
      <c r="I4" s="36"/>
      <c r="J4" s="36"/>
      <c r="K4" s="36"/>
      <c r="L4" s="67"/>
      <c r="M4" s="67"/>
      <c r="N4" s="67"/>
      <c r="O4" s="67"/>
    </row>
    <row r="6" spans="2:15" ht="15.6" x14ac:dyDescent="0.3">
      <c r="B6" s="191" t="s">
        <v>261</v>
      </c>
      <c r="C6" s="162"/>
      <c r="D6" s="162"/>
      <c r="E6" s="162"/>
      <c r="F6" s="162"/>
      <c r="G6" s="162"/>
      <c r="H6" s="162"/>
      <c r="I6" s="162"/>
      <c r="J6" s="162"/>
      <c r="K6" s="162"/>
    </row>
    <row r="7" spans="2:15" ht="15.6" customHeight="1" x14ac:dyDescent="0.3">
      <c r="B7" s="46"/>
      <c r="C7" s="46"/>
      <c r="D7" s="61"/>
      <c r="E7" s="62"/>
      <c r="F7" s="62"/>
      <c r="G7" s="62"/>
      <c r="H7" s="196" t="s">
        <v>266</v>
      </c>
      <c r="I7" s="197" t="s">
        <v>266</v>
      </c>
      <c r="J7" s="197" t="s">
        <v>269</v>
      </c>
      <c r="K7" s="198" t="s">
        <v>270</v>
      </c>
    </row>
    <row r="8" spans="2:15" ht="18" x14ac:dyDescent="0.3">
      <c r="B8" s="192" t="s">
        <v>262</v>
      </c>
      <c r="C8" s="193" t="s">
        <v>263</v>
      </c>
      <c r="D8" s="194" t="s">
        <v>288</v>
      </c>
      <c r="E8" s="194" t="s">
        <v>264</v>
      </c>
      <c r="F8" s="194" t="s">
        <v>217</v>
      </c>
      <c r="G8" s="194" t="s">
        <v>298</v>
      </c>
      <c r="H8" s="195" t="s">
        <v>267</v>
      </c>
      <c r="I8" s="194" t="s">
        <v>268</v>
      </c>
      <c r="J8" s="194" t="s">
        <v>299</v>
      </c>
      <c r="K8" s="193" t="s">
        <v>300</v>
      </c>
    </row>
    <row r="9" spans="2:15" ht="15" customHeight="1" x14ac:dyDescent="0.25"/>
    <row r="10" spans="2:15" x14ac:dyDescent="0.25">
      <c r="B10" s="46" t="s">
        <v>271</v>
      </c>
      <c r="C10" s="61" t="s">
        <v>277</v>
      </c>
      <c r="D10" s="211">
        <v>1000000</v>
      </c>
      <c r="E10" s="212">
        <v>9000</v>
      </c>
      <c r="F10" s="211">
        <v>90000</v>
      </c>
      <c r="G10" s="237">
        <v>0.25</v>
      </c>
      <c r="H10" s="201">
        <f>E10/F10</f>
        <v>0.1</v>
      </c>
      <c r="I10" s="201">
        <f>E10/(E10+F10)</f>
        <v>9.0909090909090912E-2</v>
      </c>
      <c r="J10" s="220">
        <f>'COMPS. REGRESSION BETA'!$K$14</f>
        <v>0.93537643343744292</v>
      </c>
      <c r="K10" s="215">
        <f>J10/(1+(1-G10)*H10)</f>
        <v>0.8701176124999469</v>
      </c>
    </row>
    <row r="11" spans="2:15" x14ac:dyDescent="0.25">
      <c r="B11" s="104" t="s">
        <v>272</v>
      </c>
      <c r="C11" s="189" t="s">
        <v>277</v>
      </c>
      <c r="D11" s="110">
        <v>500000</v>
      </c>
      <c r="E11" s="213">
        <v>7000</v>
      </c>
      <c r="F11" s="110">
        <v>90000</v>
      </c>
      <c r="G11" s="238">
        <v>0.25</v>
      </c>
      <c r="H11" s="202">
        <f t="shared" ref="H11:H15" si="0">E11/F11</f>
        <v>7.7777777777777779E-2</v>
      </c>
      <c r="I11" s="202">
        <f t="shared" ref="I11:I15" si="1">E11/(E11+F11)</f>
        <v>7.2164948453608241E-2</v>
      </c>
      <c r="J11" s="218">
        <f>'COMPS. REGRESSION BETA'!$R$14</f>
        <v>0.93692955439705317</v>
      </c>
      <c r="K11" s="216">
        <f t="shared" ref="K11:K15" si="2">J11/(1+(1-G11)*H11)</f>
        <v>0.88528776793422348</v>
      </c>
    </row>
    <row r="12" spans="2:15" x14ac:dyDescent="0.25">
      <c r="B12" s="104" t="s">
        <v>273</v>
      </c>
      <c r="C12" s="189" t="s">
        <v>277</v>
      </c>
      <c r="D12" s="110">
        <v>400000</v>
      </c>
      <c r="E12" s="213">
        <v>22500</v>
      </c>
      <c r="F12" s="110">
        <v>100000</v>
      </c>
      <c r="G12" s="238">
        <v>0.25</v>
      </c>
      <c r="H12" s="202">
        <f t="shared" si="0"/>
        <v>0.22500000000000001</v>
      </c>
      <c r="I12" s="202">
        <f t="shared" si="1"/>
        <v>0.18367346938775511</v>
      </c>
      <c r="J12" s="218">
        <f>'COMPS. REGRESSION BETA'!$Y$14</f>
        <v>0.91819475227803782</v>
      </c>
      <c r="K12" s="216">
        <f t="shared" si="2"/>
        <v>0.78562117841971157</v>
      </c>
    </row>
    <row r="13" spans="2:15" x14ac:dyDescent="0.25">
      <c r="B13" s="104" t="s">
        <v>275</v>
      </c>
      <c r="C13" s="189" t="s">
        <v>277</v>
      </c>
      <c r="D13" s="110">
        <v>160000</v>
      </c>
      <c r="E13" s="213">
        <v>500</v>
      </c>
      <c r="F13" s="110">
        <v>27500</v>
      </c>
      <c r="G13" s="238">
        <v>0.25</v>
      </c>
      <c r="H13" s="202">
        <f t="shared" si="0"/>
        <v>1.8181818181818181E-2</v>
      </c>
      <c r="I13" s="202">
        <f t="shared" si="1"/>
        <v>1.7857142857142856E-2</v>
      </c>
      <c r="J13" s="218">
        <f>'COMPS. REGRESSION BETA'!$AF$14</f>
        <v>1.2273527086219886</v>
      </c>
      <c r="K13" s="216">
        <f t="shared" si="2"/>
        <v>1.2108412372055493</v>
      </c>
    </row>
    <row r="14" spans="2:15" x14ac:dyDescent="0.25">
      <c r="B14" s="104" t="s">
        <v>274</v>
      </c>
      <c r="C14" s="189" t="s">
        <v>277</v>
      </c>
      <c r="D14" s="110">
        <v>150000</v>
      </c>
      <c r="E14" s="213">
        <v>12500</v>
      </c>
      <c r="F14" s="110">
        <v>55000</v>
      </c>
      <c r="G14" s="238">
        <v>0.25</v>
      </c>
      <c r="H14" s="202">
        <f t="shared" si="0"/>
        <v>0.22727272727272727</v>
      </c>
      <c r="I14" s="202">
        <f t="shared" si="1"/>
        <v>0.18518518518518517</v>
      </c>
      <c r="J14" s="218">
        <f>'COMPS. REGRESSION BETA'!$AM$14</f>
        <v>0.93703479280666579</v>
      </c>
      <c r="K14" s="216">
        <f t="shared" si="2"/>
        <v>0.80057341521346204</v>
      </c>
    </row>
    <row r="15" spans="2:15" x14ac:dyDescent="0.25">
      <c r="B15" s="105" t="s">
        <v>276</v>
      </c>
      <c r="C15" s="188" t="s">
        <v>277</v>
      </c>
      <c r="D15" s="111">
        <v>95000</v>
      </c>
      <c r="E15" s="214">
        <v>500</v>
      </c>
      <c r="F15" s="111">
        <v>14000</v>
      </c>
      <c r="G15" s="239">
        <v>0.25</v>
      </c>
      <c r="H15" s="203">
        <f t="shared" si="0"/>
        <v>3.5714285714285712E-2</v>
      </c>
      <c r="I15" s="203">
        <f t="shared" si="1"/>
        <v>3.4482758620689655E-2</v>
      </c>
      <c r="J15" s="219">
        <f>'COMPS. REGRESSION BETA'!$AT$14</f>
        <v>1.0714868471799821</v>
      </c>
      <c r="K15" s="217">
        <f t="shared" si="2"/>
        <v>1.0435350163839827</v>
      </c>
    </row>
    <row r="17" spans="2:11" ht="15.6" x14ac:dyDescent="0.3">
      <c r="F17" s="313" t="s">
        <v>278</v>
      </c>
      <c r="G17" s="268">
        <f>AVERAGE(G10:G15)</f>
        <v>0.25</v>
      </c>
      <c r="H17" s="204">
        <f t="shared" ref="H17:K17" si="3">AVERAGE(H10:H15)</f>
        <v>0.11399110149110149</v>
      </c>
      <c r="I17" s="204">
        <f t="shared" si="3"/>
        <v>9.7378765902245312E-2</v>
      </c>
      <c r="J17" s="204">
        <f t="shared" si="3"/>
        <v>1.0043958481201949</v>
      </c>
      <c r="K17" s="204">
        <f t="shared" si="3"/>
        <v>0.93266270460947931</v>
      </c>
    </row>
    <row r="18" spans="2:11" ht="15.6" x14ac:dyDescent="0.3">
      <c r="F18" s="314" t="s">
        <v>279</v>
      </c>
      <c r="G18" s="262">
        <f>MEDIAN(G10:G15)</f>
        <v>0.25</v>
      </c>
      <c r="H18" s="113">
        <f t="shared" ref="H18:K18" si="4">MEDIAN(H10:H15)</f>
        <v>8.8888888888888892E-2</v>
      </c>
      <c r="I18" s="113">
        <f t="shared" si="4"/>
        <v>8.1537019681349576E-2</v>
      </c>
      <c r="J18" s="113">
        <f t="shared" si="4"/>
        <v>0.93698217360185954</v>
      </c>
      <c r="K18" s="113">
        <f t="shared" si="4"/>
        <v>0.87770269021708525</v>
      </c>
    </row>
    <row r="21" spans="2:11" ht="15.6" x14ac:dyDescent="0.3">
      <c r="B21" s="190" t="s">
        <v>284</v>
      </c>
      <c r="C21" s="161"/>
      <c r="D21" s="39"/>
      <c r="F21" s="165" t="s">
        <v>280</v>
      </c>
      <c r="G21" s="39"/>
      <c r="H21" s="161"/>
      <c r="I21" s="161"/>
      <c r="J21" s="161"/>
      <c r="K21" s="39"/>
    </row>
    <row r="22" spans="2:11" ht="7.05" customHeight="1" x14ac:dyDescent="0.3">
      <c r="B22" s="104"/>
      <c r="D22" s="181"/>
      <c r="F22" s="166"/>
      <c r="G22" s="181"/>
      <c r="K22" s="181"/>
    </row>
    <row r="23" spans="2:11" x14ac:dyDescent="0.25">
      <c r="B23" s="104" t="s">
        <v>285</v>
      </c>
      <c r="D23" s="246">
        <f>'PROFIT &amp; LOSS'!$H$30/('BALANCE SHEET'!$H$45+'BALANCE SHEET'!$H$59)</f>
        <v>9.1279896174525685E-2</v>
      </c>
      <c r="F23" s="102" t="s">
        <v>281</v>
      </c>
      <c r="G23" s="181"/>
      <c r="K23" s="238">
        <v>7.0999999999999994E-2</v>
      </c>
    </row>
    <row r="24" spans="2:11" x14ac:dyDescent="0.25">
      <c r="B24" s="105" t="s">
        <v>180</v>
      </c>
      <c r="C24" s="162"/>
      <c r="D24" s="247">
        <f>$G$17</f>
        <v>0.25</v>
      </c>
      <c r="F24" s="1007" t="s">
        <v>282</v>
      </c>
      <c r="G24" s="1008"/>
      <c r="K24" s="238">
        <v>6.5000000000000002E-2</v>
      </c>
    </row>
    <row r="25" spans="2:11" ht="17.399999999999999" x14ac:dyDescent="0.25">
      <c r="F25" s="43" t="s">
        <v>283</v>
      </c>
      <c r="G25" s="163"/>
      <c r="H25" s="162"/>
      <c r="I25" s="162"/>
      <c r="J25" s="162"/>
      <c r="K25" s="63">
        <f>'REGRESSION BETA'!$K$14</f>
        <v>1.0232714558407314</v>
      </c>
    </row>
    <row r="26" spans="2:11" ht="15.6" x14ac:dyDescent="0.3">
      <c r="B26" s="582" t="s">
        <v>286</v>
      </c>
      <c r="C26" s="580"/>
      <c r="D26" s="581">
        <f>D23*(1-D24)</f>
        <v>6.845992213089426E-2</v>
      </c>
    </row>
    <row r="27" spans="2:11" ht="15.6" x14ac:dyDescent="0.3">
      <c r="F27" s="583" t="s">
        <v>280</v>
      </c>
      <c r="G27" s="584"/>
      <c r="H27" s="580"/>
      <c r="I27" s="580"/>
      <c r="J27" s="580"/>
      <c r="K27" s="581">
        <f>K23+K24*K25</f>
        <v>0.13751264462964752</v>
      </c>
    </row>
    <row r="28" spans="2:11" ht="15" customHeight="1" x14ac:dyDescent="0.25"/>
    <row r="30" spans="2:11" ht="15.6" x14ac:dyDescent="0.3">
      <c r="B30" s="190" t="s">
        <v>287</v>
      </c>
      <c r="C30" s="46"/>
      <c r="D30" s="39"/>
      <c r="F30" s="165" t="s">
        <v>291</v>
      </c>
      <c r="G30" s="39"/>
      <c r="H30" s="161"/>
      <c r="I30" s="161"/>
      <c r="J30" s="161"/>
      <c r="K30" s="39"/>
    </row>
    <row r="31" spans="2:11" ht="7.05" customHeight="1" x14ac:dyDescent="0.25">
      <c r="B31" s="104"/>
      <c r="C31" s="104"/>
      <c r="D31" s="181"/>
      <c r="F31" s="102"/>
      <c r="G31" s="181"/>
      <c r="K31" s="181"/>
    </row>
    <row r="32" spans="2:11" ht="15" customHeight="1" x14ac:dyDescent="0.3">
      <c r="B32" s="104"/>
      <c r="C32" s="200" t="s">
        <v>289</v>
      </c>
      <c r="D32" s="199" t="s">
        <v>290</v>
      </c>
      <c r="F32" s="1007" t="s">
        <v>293</v>
      </c>
      <c r="G32" s="1008"/>
      <c r="K32" s="263">
        <f>$K$18</f>
        <v>0.87770269021708525</v>
      </c>
    </row>
    <row r="33" spans="2:11" x14ac:dyDescent="0.25">
      <c r="B33" s="104" t="s">
        <v>264</v>
      </c>
      <c r="C33" s="261">
        <f>('BALANCE SHEET'!$H$59+'BALANCE SHEET'!$H$45)/('BALANCE SHEET'!$H$45+'BALANCE SHEET'!$H$59+'DATA SHEET'!$C$219)</f>
        <v>0.10397184462238324</v>
      </c>
      <c r="D33" s="246">
        <f>CHOOSE($C$44,$C$40,$C$41,$C$42)</f>
        <v>0.10454722239297862</v>
      </c>
      <c r="F33" s="1007" t="s">
        <v>292</v>
      </c>
      <c r="G33" s="1008"/>
      <c r="K33" s="246">
        <f>$D$36</f>
        <v>0.11675347378157359</v>
      </c>
    </row>
    <row r="34" spans="2:11" x14ac:dyDescent="0.25">
      <c r="B34" s="105" t="s">
        <v>288</v>
      </c>
      <c r="C34" s="262">
        <f>100%-C33</f>
        <v>0.89602815537761682</v>
      </c>
      <c r="D34" s="262">
        <f>100%-D33</f>
        <v>0.89545277760702136</v>
      </c>
      <c r="F34" s="43" t="s">
        <v>180</v>
      </c>
      <c r="G34" s="163"/>
      <c r="H34" s="162"/>
      <c r="I34" s="162"/>
      <c r="J34" s="162"/>
      <c r="K34" s="247">
        <f>$D$24</f>
        <v>0.25</v>
      </c>
    </row>
    <row r="36" spans="2:11" ht="15.6" x14ac:dyDescent="0.3">
      <c r="B36" s="583" t="s">
        <v>265</v>
      </c>
      <c r="C36" s="586">
        <f>C33/C34</f>
        <v>0.11603635890053696</v>
      </c>
      <c r="D36" s="581">
        <f>D33/D34</f>
        <v>0.11675347378157359</v>
      </c>
      <c r="F36" s="583" t="s">
        <v>291</v>
      </c>
      <c r="G36" s="584"/>
      <c r="H36" s="580"/>
      <c r="I36" s="580"/>
      <c r="J36" s="580"/>
      <c r="K36" s="585">
        <f>K32*(1+(1-K34)*K33)</f>
        <v>0.95455881873979298</v>
      </c>
    </row>
    <row r="38" spans="2:11" ht="15.6" x14ac:dyDescent="0.3">
      <c r="B38" s="83" t="s">
        <v>508</v>
      </c>
      <c r="C38" s="39"/>
      <c r="F38" s="165" t="s">
        <v>260</v>
      </c>
      <c r="G38" s="39"/>
      <c r="H38" s="161"/>
      <c r="I38" s="161"/>
      <c r="J38" s="39"/>
      <c r="K38" s="39"/>
    </row>
    <row r="39" spans="2:11" ht="7.05" customHeight="1" x14ac:dyDescent="0.25">
      <c r="B39" s="104"/>
      <c r="C39" s="181"/>
      <c r="F39" s="102"/>
      <c r="G39" s="181"/>
      <c r="J39" s="181"/>
      <c r="K39" s="181"/>
    </row>
    <row r="40" spans="2:11" ht="15" customHeight="1" x14ac:dyDescent="0.3">
      <c r="B40" s="104" t="s">
        <v>127</v>
      </c>
      <c r="C40" s="246">
        <f>('P &amp; L ASSUMPTIONS'!K88+'P &amp; L ASSUMPTIONS'!K90)/('P &amp; L ASSUMPTIONS'!K88+'P &amp; L ASSUMPTIONS'!K90+'DATA SHEET'!C219)</f>
        <v>0.10281886795519213</v>
      </c>
      <c r="F40" s="102"/>
      <c r="G40" s="181"/>
      <c r="J40" s="199" t="s">
        <v>295</v>
      </c>
      <c r="K40" s="199" t="s">
        <v>296</v>
      </c>
    </row>
    <row r="41" spans="2:11" x14ac:dyDescent="0.25">
      <c r="B41" s="104" t="s">
        <v>128</v>
      </c>
      <c r="C41" s="246">
        <f>('P &amp; L ASSUMPTIONS'!R88+'P &amp; L ASSUMPTIONS'!R90)/('P &amp; L ASSUMPTIONS'!R88+'P &amp; L ASSUMPTIONS'!R90+'DATA SHEET'!C219)</f>
        <v>0.10454722239297862</v>
      </c>
      <c r="F41" s="102" t="s">
        <v>294</v>
      </c>
      <c r="G41" s="181"/>
      <c r="J41" s="246">
        <f>$D$26</f>
        <v>6.845992213089426E-2</v>
      </c>
      <c r="K41" s="246">
        <f>$D$33</f>
        <v>0.10454722239297862</v>
      </c>
    </row>
    <row r="42" spans="2:11" x14ac:dyDescent="0.25">
      <c r="B42" s="105" t="s">
        <v>129</v>
      </c>
      <c r="C42" s="247">
        <f>('P &amp; L ASSUMPTIONS'!Y88+'P &amp; L ASSUMPTIONS'!Y90)/('P &amp; L ASSUMPTIONS'!Y88+'P &amp; L ASSUMPTIONS'!Y90+'DATA SHEET'!C219)</f>
        <v>0.10512186168872607</v>
      </c>
      <c r="F42" s="43" t="s">
        <v>267</v>
      </c>
      <c r="G42" s="163"/>
      <c r="H42" s="162"/>
      <c r="I42" s="162"/>
      <c r="J42" s="247">
        <f>$K$27</f>
        <v>0.13751264462964752</v>
      </c>
      <c r="K42" s="247">
        <f>$D$34</f>
        <v>0.89545277760702136</v>
      </c>
    </row>
    <row r="44" spans="2:11" ht="15.6" x14ac:dyDescent="0.3">
      <c r="B44" s="311" t="s">
        <v>509</v>
      </c>
      <c r="C44" s="312">
        <v>2</v>
      </c>
      <c r="F44" s="583" t="s">
        <v>260</v>
      </c>
      <c r="G44" s="580"/>
      <c r="H44" s="580"/>
      <c r="I44" s="580"/>
      <c r="J44" s="584"/>
      <c r="K44" s="581">
        <f>SUMPRODUCT(J41:J42,K41:K42)</f>
        <v>0.13029337429372972</v>
      </c>
    </row>
    <row r="46" spans="2:11" x14ac:dyDescent="0.25">
      <c r="B46" s="30"/>
      <c r="C46" s="30"/>
      <c r="D46" s="30"/>
      <c r="E46" s="30"/>
      <c r="F46" s="30"/>
      <c r="G46" s="30"/>
      <c r="H46" s="30"/>
      <c r="I46" s="30"/>
      <c r="J46" s="30"/>
      <c r="K46" s="30"/>
    </row>
  </sheetData>
  <mergeCells count="5">
    <mergeCell ref="F32:G32"/>
    <mergeCell ref="F33:G33"/>
    <mergeCell ref="B1:B3"/>
    <mergeCell ref="F24:G24"/>
    <mergeCell ref="C1:K3"/>
  </mergeCells>
  <printOptions horizontalCentered="1" verticalCentered="1"/>
  <pageMargins left="0" right="0" top="0" bottom="0" header="0" footer="0"/>
  <pageSetup scale="74" orientation="landscape" horizontalDpi="1200" verticalDpi="1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DBC22-A70F-4ACF-84AD-D32E13CAE840}">
  <sheetPr>
    <pageSetUpPr fitToPage="1"/>
  </sheetPr>
  <dimension ref="B1:H91"/>
  <sheetViews>
    <sheetView zoomScale="70" zoomScaleNormal="70" workbookViewId="0"/>
  </sheetViews>
  <sheetFormatPr defaultColWidth="15.77734375" defaultRowHeight="15" x14ac:dyDescent="0.25"/>
  <cols>
    <col min="1" max="1" width="2" style="1" customWidth="1"/>
    <col min="2" max="2" width="44.77734375" style="1" customWidth="1"/>
    <col min="3" max="3" width="8.88671875" style="1" customWidth="1"/>
    <col min="4" max="4" width="15.77734375" style="1"/>
    <col min="5" max="5" width="15.77734375" style="1" customWidth="1"/>
    <col min="6" max="16384" width="15.77734375" style="1"/>
  </cols>
  <sheetData>
    <row r="1" spans="2:8" x14ac:dyDescent="0.25">
      <c r="B1" s="974" t="s">
        <v>3336</v>
      </c>
      <c r="C1" s="30"/>
      <c r="D1" s="975" t="s">
        <v>417</v>
      </c>
      <c r="E1" s="975"/>
      <c r="F1" s="975"/>
      <c r="G1" s="975"/>
      <c r="H1" s="975"/>
    </row>
    <row r="2" spans="2:8" x14ac:dyDescent="0.25">
      <c r="B2" s="974"/>
      <c r="C2" s="30"/>
      <c r="D2" s="975"/>
      <c r="E2" s="975"/>
      <c r="F2" s="975"/>
      <c r="G2" s="975"/>
      <c r="H2" s="975"/>
    </row>
    <row r="3" spans="2:8" ht="24.6" x14ac:dyDescent="0.4">
      <c r="B3" s="974"/>
      <c r="C3" s="34" t="s">
        <v>82</v>
      </c>
      <c r="D3" s="35" t="s">
        <v>83</v>
      </c>
      <c r="E3" s="35" t="s">
        <v>84</v>
      </c>
      <c r="F3" s="35" t="s">
        <v>85</v>
      </c>
      <c r="G3" s="35" t="s">
        <v>86</v>
      </c>
      <c r="H3" s="35" t="s">
        <v>87</v>
      </c>
    </row>
    <row r="4" spans="2:8" ht="28.2" x14ac:dyDescent="0.5">
      <c r="B4" s="38" t="s">
        <v>121</v>
      </c>
      <c r="C4" s="33"/>
      <c r="D4" s="36">
        <v>44276</v>
      </c>
      <c r="E4" s="36">
        <f>EDATE(D4,12)</f>
        <v>44641</v>
      </c>
      <c r="F4" s="36">
        <f t="shared" ref="F4:H4" si="0">EDATE(E4,12)</f>
        <v>45006</v>
      </c>
      <c r="G4" s="36">
        <f t="shared" si="0"/>
        <v>45372</v>
      </c>
      <c r="H4" s="36">
        <f t="shared" si="0"/>
        <v>45737</v>
      </c>
    </row>
    <row r="6" spans="2:8" x14ac:dyDescent="0.25">
      <c r="B6" s="986" t="s">
        <v>418</v>
      </c>
      <c r="C6" s="986"/>
      <c r="D6" s="986"/>
      <c r="E6" s="986"/>
      <c r="F6" s="986"/>
      <c r="G6" s="986"/>
      <c r="H6" s="986"/>
    </row>
    <row r="7" spans="2:8" x14ac:dyDescent="0.25">
      <c r="B7" s="986"/>
      <c r="C7" s="986"/>
      <c r="D7" s="986"/>
      <c r="E7" s="986"/>
      <c r="F7" s="986"/>
      <c r="G7" s="986"/>
      <c r="H7" s="986"/>
    </row>
    <row r="9" spans="2:8" x14ac:dyDescent="0.25">
      <c r="B9" s="233" t="str">
        <f>'BALANCE SHEET'!B10</f>
        <v>Inventories</v>
      </c>
      <c r="C9" s="587" t="str">
        <f>'BALANCE SHEET'!C10</f>
        <v>₹</v>
      </c>
      <c r="D9" s="229">
        <f>'BALANCE SHEET'!D10</f>
        <v>106</v>
      </c>
      <c r="E9" s="229">
        <f>'BALANCE SHEET'!E10</f>
        <v>133</v>
      </c>
      <c r="F9" s="229">
        <f>'BALANCE SHEET'!F10</f>
        <v>119</v>
      </c>
      <c r="G9" s="229">
        <f>'BALANCE SHEET'!G10</f>
        <v>91</v>
      </c>
      <c r="H9" s="229">
        <f>'BALANCE SHEET'!H10</f>
        <v>69</v>
      </c>
    </row>
    <row r="10" spans="2:8" x14ac:dyDescent="0.25">
      <c r="B10" s="266" t="str">
        <f>'BALANCE SHEET'!B11</f>
        <v>Investments</v>
      </c>
      <c r="C10" s="588" t="str">
        <f>'BALANCE SHEET'!C11</f>
        <v>₹</v>
      </c>
      <c r="D10" s="230">
        <f>'BALANCE SHEET'!D11</f>
        <v>17571</v>
      </c>
      <c r="E10" s="230">
        <f>'BALANCE SHEET'!E11</f>
        <v>24166</v>
      </c>
      <c r="F10" s="230">
        <f>'BALANCE SHEET'!F11</f>
        <v>30923</v>
      </c>
      <c r="G10" s="230">
        <f>'BALANCE SHEET'!G11</f>
        <v>31117</v>
      </c>
      <c r="H10" s="230">
        <f>'BALANCE SHEET'!H11</f>
        <v>41147</v>
      </c>
    </row>
    <row r="11" spans="2:8" x14ac:dyDescent="0.25">
      <c r="B11" s="266" t="str">
        <f>'BALANCE SHEET'!B12</f>
        <v>Derivative Assets</v>
      </c>
      <c r="C11" s="588" t="str">
        <f>'BALANCE SHEET'!C12</f>
        <v>₹</v>
      </c>
      <c r="D11" s="230">
        <f>'BALANCE SHEET'!D12</f>
        <v>41</v>
      </c>
      <c r="E11" s="230">
        <f>'BALANCE SHEET'!E12</f>
        <v>303</v>
      </c>
      <c r="F11" s="230">
        <f>'BALANCE SHEET'!F12</f>
        <v>184</v>
      </c>
      <c r="G11" s="230">
        <f>'BALANCE SHEET'!G12</f>
        <v>133</v>
      </c>
      <c r="H11" s="230">
        <f>'BALANCE SHEET'!H12</f>
        <v>182</v>
      </c>
    </row>
    <row r="12" spans="2:8" x14ac:dyDescent="0.25">
      <c r="B12" s="266" t="str">
        <f>'BALANCE SHEET'!B13</f>
        <v>Trade Receivables</v>
      </c>
      <c r="C12" s="588" t="str">
        <f>'BALANCE SHEET'!C13</f>
        <v>₹</v>
      </c>
      <c r="D12" s="230">
        <f>'BALANCE SHEET'!D13</f>
        <v>9430</v>
      </c>
      <c r="E12" s="230">
        <f>'BALANCE SHEET'!E13</f>
        <v>11522</v>
      </c>
      <c r="F12" s="230">
        <f>'BALANCE SHEET'!F13</f>
        <v>12635</v>
      </c>
      <c r="G12" s="230">
        <f>'BALANCE SHEET'!G13</f>
        <v>11548</v>
      </c>
      <c r="H12" s="230">
        <f>'BALANCE SHEET'!H13</f>
        <v>11745</v>
      </c>
    </row>
    <row r="13" spans="2:8" x14ac:dyDescent="0.25">
      <c r="B13" s="266" t="str">
        <f>'BALANCE SHEET'!B14</f>
        <v>Unbilled Receivables</v>
      </c>
      <c r="C13" s="588" t="str">
        <f>'BALANCE SHEET'!C14</f>
        <v>₹</v>
      </c>
      <c r="D13" s="230">
        <f>'BALANCE SHEET'!D14</f>
        <v>2712</v>
      </c>
      <c r="E13" s="230">
        <f>'BALANCE SHEET'!E14</f>
        <v>6081</v>
      </c>
      <c r="F13" s="230">
        <f>'BALANCE SHEET'!F14</f>
        <v>6052</v>
      </c>
      <c r="G13" s="230">
        <f>'BALANCE SHEET'!G14</f>
        <v>5835</v>
      </c>
      <c r="H13" s="230">
        <f>'BALANCE SHEET'!H14</f>
        <v>6428</v>
      </c>
    </row>
    <row r="14" spans="2:8" x14ac:dyDescent="0.25">
      <c r="B14" s="266" t="str">
        <f>'BALANCE SHEET'!B15</f>
        <v>Cash Equivalents</v>
      </c>
      <c r="C14" s="588" t="str">
        <f>'BALANCE SHEET'!C15</f>
        <v>₹</v>
      </c>
      <c r="D14" s="230">
        <f>'BALANCE SHEET'!D15</f>
        <v>17473</v>
      </c>
      <c r="E14" s="230">
        <f>'BALANCE SHEET'!E15</f>
        <v>10002</v>
      </c>
      <c r="F14" s="230">
        <f>'BALANCE SHEET'!F15</f>
        <v>9247</v>
      </c>
      <c r="G14" s="230">
        <f>'BALANCE SHEET'!G15</f>
        <v>9802</v>
      </c>
      <c r="H14" s="230">
        <f>'BALANCE SHEET'!H15</f>
        <v>12358</v>
      </c>
    </row>
    <row r="15" spans="2:8" x14ac:dyDescent="0.25">
      <c r="B15" s="266" t="str">
        <f>'BALANCE SHEET'!B16</f>
        <v>Other Financial Assets</v>
      </c>
      <c r="C15" s="588" t="str">
        <f>'BALANCE SHEET'!C16</f>
        <v>₹</v>
      </c>
      <c r="D15" s="230">
        <f>'BALANCE SHEET'!D16</f>
        <v>745</v>
      </c>
      <c r="E15" s="230">
        <f>'BALANCE SHEET'!E16</f>
        <v>4291</v>
      </c>
      <c r="F15" s="230">
        <f>'BALANCE SHEET'!F16</f>
        <v>910</v>
      </c>
      <c r="G15" s="230">
        <f>'BALANCE SHEET'!G16</f>
        <v>1054</v>
      </c>
      <c r="H15" s="230">
        <f>'BALANCE SHEET'!H16</f>
        <v>845</v>
      </c>
    </row>
    <row r="16" spans="2:8" x14ac:dyDescent="0.25">
      <c r="B16" s="266" t="str">
        <f>'BALANCE SHEET'!B17</f>
        <v>Current Tax Assets</v>
      </c>
      <c r="C16" s="588" t="str">
        <f>'BALANCE SHEET'!C17</f>
        <v>₹</v>
      </c>
      <c r="D16" s="230">
        <f>'BALANCE SHEET'!D17</f>
        <v>246</v>
      </c>
      <c r="E16" s="230">
        <f>'BALANCE SHEET'!E17</f>
        <v>237</v>
      </c>
      <c r="F16" s="230">
        <f>'BALANCE SHEET'!F17</f>
        <v>509</v>
      </c>
      <c r="G16" s="230">
        <f>'BALANCE SHEET'!G17</f>
        <v>648</v>
      </c>
      <c r="H16" s="230">
        <f>'BALANCE SHEET'!H17</f>
        <v>642</v>
      </c>
    </row>
    <row r="17" spans="2:8" x14ac:dyDescent="0.25">
      <c r="B17" s="266" t="str">
        <f>'BALANCE SHEET'!B18</f>
        <v>Contract Assets</v>
      </c>
      <c r="C17" s="588" t="str">
        <f>'BALANCE SHEET'!C18</f>
        <v>₹</v>
      </c>
      <c r="D17" s="230">
        <f>'BALANCE SHEET'!D18</f>
        <v>1651</v>
      </c>
      <c r="E17" s="230">
        <f>'BALANCE SHEET'!E18</f>
        <v>2065</v>
      </c>
      <c r="F17" s="230">
        <f>'BALANCE SHEET'!F18</f>
        <v>2300</v>
      </c>
      <c r="G17" s="230">
        <f>'BALANCE SHEET'!G18</f>
        <v>1985</v>
      </c>
      <c r="H17" s="230">
        <f>'BALANCE SHEET'!H18</f>
        <v>1580</v>
      </c>
    </row>
    <row r="18" spans="2:8" x14ac:dyDescent="0.25">
      <c r="B18" s="265" t="str">
        <f>'BALANCE SHEET'!B19</f>
        <v>Other Current Assets</v>
      </c>
      <c r="C18" s="589" t="str">
        <f>'BALANCE SHEET'!C19</f>
        <v>₹</v>
      </c>
      <c r="D18" s="231">
        <f>'BALANCE SHEET'!D19</f>
        <v>2492</v>
      </c>
      <c r="E18" s="231">
        <f>'BALANCE SHEET'!E19</f>
        <v>2893</v>
      </c>
      <c r="F18" s="231">
        <f>'BALANCE SHEET'!F19</f>
        <v>3290</v>
      </c>
      <c r="G18" s="231">
        <f>'BALANCE SHEET'!G19</f>
        <v>2960</v>
      </c>
      <c r="H18" s="231">
        <f>'BALANCE SHEET'!H19</f>
        <v>2913</v>
      </c>
    </row>
    <row r="20" spans="2:8" ht="15.6" x14ac:dyDescent="0.3">
      <c r="B20" s="590" t="s">
        <v>200</v>
      </c>
      <c r="C20" s="591" t="s">
        <v>112</v>
      </c>
      <c r="D20" s="592">
        <f>SUM(D9:D18)</f>
        <v>52467</v>
      </c>
      <c r="E20" s="592">
        <f t="shared" ref="E20:H20" si="1">SUM(E9:E18)</f>
        <v>61693</v>
      </c>
      <c r="F20" s="592">
        <f t="shared" si="1"/>
        <v>66169</v>
      </c>
      <c r="G20" s="592">
        <f t="shared" si="1"/>
        <v>65173</v>
      </c>
      <c r="H20" s="592">
        <f t="shared" si="1"/>
        <v>77909</v>
      </c>
    </row>
    <row r="22" spans="2:8" x14ac:dyDescent="0.25">
      <c r="B22" s="986" t="s">
        <v>419</v>
      </c>
      <c r="C22" s="986"/>
      <c r="D22" s="986"/>
      <c r="E22" s="986"/>
      <c r="F22" s="986"/>
      <c r="G22" s="986"/>
      <c r="H22" s="986"/>
    </row>
    <row r="23" spans="2:8" x14ac:dyDescent="0.25">
      <c r="B23" s="986"/>
      <c r="C23" s="986"/>
      <c r="D23" s="986"/>
      <c r="E23" s="986"/>
      <c r="F23" s="986"/>
      <c r="G23" s="986"/>
      <c r="H23" s="986"/>
    </row>
    <row r="25" spans="2:8" x14ac:dyDescent="0.25">
      <c r="B25" s="233" t="str">
        <f>'BALANCE SHEET'!B45</f>
        <v>Short Term Borrowings</v>
      </c>
      <c r="C25" s="587" t="str">
        <f>'BALANCE SHEET'!C45</f>
        <v>₹</v>
      </c>
      <c r="D25" s="229">
        <f>'BALANCE SHEET'!D45</f>
        <v>7587</v>
      </c>
      <c r="E25" s="229">
        <f>'BALANCE SHEET'!E45</f>
        <v>9523</v>
      </c>
      <c r="F25" s="229">
        <f>'BALANCE SHEET'!F45</f>
        <v>8882</v>
      </c>
      <c r="G25" s="229">
        <f>'BALANCE SHEET'!G45</f>
        <v>7917</v>
      </c>
      <c r="H25" s="229">
        <f>'BALANCE SHEET'!H45</f>
        <v>9786</v>
      </c>
    </row>
    <row r="26" spans="2:8" x14ac:dyDescent="0.25">
      <c r="B26" s="266" t="str">
        <f>'BALANCE SHEET'!B46</f>
        <v>Lease Liabilities</v>
      </c>
      <c r="C26" s="588" t="str">
        <f>'BALANCE SHEET'!C46</f>
        <v>₹</v>
      </c>
      <c r="D26" s="230">
        <f>'BALANCE SHEET'!D46</f>
        <v>767</v>
      </c>
      <c r="E26" s="230">
        <f>'BALANCE SHEET'!E46</f>
        <v>906</v>
      </c>
      <c r="F26" s="230">
        <f>'BALANCE SHEET'!F46</f>
        <v>862</v>
      </c>
      <c r="G26" s="230">
        <f>'BALANCE SHEET'!G46</f>
        <v>922</v>
      </c>
      <c r="H26" s="230">
        <f>'BALANCE SHEET'!H46</f>
        <v>803</v>
      </c>
    </row>
    <row r="27" spans="2:8" x14ac:dyDescent="0.25">
      <c r="B27" s="266" t="str">
        <f>'BALANCE SHEET'!B47</f>
        <v>Derivative Liabilities</v>
      </c>
      <c r="C27" s="588" t="str">
        <f>'BALANCE SHEET'!C47</f>
        <v>₹</v>
      </c>
      <c r="D27" s="230">
        <f>'BALANCE SHEET'!D47</f>
        <v>107</v>
      </c>
      <c r="E27" s="230">
        <f>'BALANCE SHEET'!E47</f>
        <v>59</v>
      </c>
      <c r="F27" s="230">
        <f>'BALANCE SHEET'!F47</f>
        <v>283</v>
      </c>
      <c r="G27" s="230">
        <f>'BALANCE SHEET'!G47</f>
        <v>56</v>
      </c>
      <c r="H27" s="230">
        <f>'BALANCE SHEET'!H47</f>
        <v>97</v>
      </c>
    </row>
    <row r="28" spans="2:8" x14ac:dyDescent="0.25">
      <c r="B28" s="266" t="str">
        <f>'BALANCE SHEET'!B48</f>
        <v>Trade Payables</v>
      </c>
      <c r="C28" s="588" t="str">
        <f>'BALANCE SHEET'!C48</f>
        <v>₹</v>
      </c>
      <c r="D28" s="230">
        <f>'BALANCE SHEET'!D48</f>
        <v>5182</v>
      </c>
      <c r="E28" s="230">
        <f>'BALANCE SHEET'!E48</f>
        <v>6252</v>
      </c>
      <c r="F28" s="230">
        <f>'BALANCE SHEET'!F48</f>
        <v>5972</v>
      </c>
      <c r="G28" s="230">
        <f>'BALANCE SHEET'!G48</f>
        <v>5766</v>
      </c>
      <c r="H28" s="230">
        <f>'BALANCE SHEET'!H48</f>
        <v>5867</v>
      </c>
    </row>
    <row r="29" spans="2:8" x14ac:dyDescent="0.25">
      <c r="B29" s="266" t="str">
        <f>'BALANCE SHEET'!B49</f>
        <v>Other Financial Liabilities</v>
      </c>
      <c r="C29" s="588" t="str">
        <f>'BALANCE SHEET'!C49</f>
        <v>₹</v>
      </c>
      <c r="D29" s="230">
        <f>'BALANCE SHEET'!D49</f>
        <v>2617</v>
      </c>
      <c r="E29" s="230">
        <f>'BALANCE SHEET'!E49</f>
        <v>6507</v>
      </c>
      <c r="F29" s="230">
        <f>'BALANCE SHEET'!F49</f>
        <v>3347</v>
      </c>
      <c r="G29" s="230">
        <f>'BALANCE SHEET'!G49</f>
        <v>3318</v>
      </c>
      <c r="H29" s="230">
        <f>'BALANCE SHEET'!H49</f>
        <v>3346</v>
      </c>
    </row>
    <row r="30" spans="2:8" x14ac:dyDescent="0.25">
      <c r="B30" s="266" t="str">
        <f>'BALANCE SHEET'!B50</f>
        <v>Contract Liabilities</v>
      </c>
      <c r="C30" s="588" t="str">
        <f>'BALANCE SHEET'!C50</f>
        <v>₹</v>
      </c>
      <c r="D30" s="230">
        <f>'BALANCE SHEET'!D50</f>
        <v>2253</v>
      </c>
      <c r="E30" s="230">
        <f>'BALANCE SHEET'!E50</f>
        <v>2792</v>
      </c>
      <c r="F30" s="230">
        <f>'BALANCE SHEET'!F50</f>
        <v>2268</v>
      </c>
      <c r="G30" s="230">
        <f>'BALANCE SHEET'!G50</f>
        <v>1765</v>
      </c>
      <c r="H30" s="230">
        <f>'BALANCE SHEET'!H50</f>
        <v>2006</v>
      </c>
    </row>
    <row r="31" spans="2:8" x14ac:dyDescent="0.25">
      <c r="B31" s="266" t="str">
        <f>'BALANCE SHEET'!B51</f>
        <v>Other Current Liabilities</v>
      </c>
      <c r="C31" s="588" t="str">
        <f>'BALANCE SHEET'!C51</f>
        <v>₹</v>
      </c>
      <c r="D31" s="230">
        <f>'BALANCE SHEET'!D51</f>
        <v>975</v>
      </c>
      <c r="E31" s="230">
        <f>'BALANCE SHEET'!E51</f>
        <v>1208</v>
      </c>
      <c r="F31" s="230">
        <f>'BALANCE SHEET'!F51</f>
        <v>1430</v>
      </c>
      <c r="G31" s="230">
        <f>'BALANCE SHEET'!G51</f>
        <v>1524</v>
      </c>
      <c r="H31" s="230">
        <f>'BALANCE SHEET'!H51</f>
        <v>1508</v>
      </c>
    </row>
    <row r="32" spans="2:8" x14ac:dyDescent="0.25">
      <c r="B32" s="266" t="str">
        <f>'BALANCE SHEET'!B52</f>
        <v>Provisions</v>
      </c>
      <c r="C32" s="588" t="str">
        <f>'BALANCE SHEET'!C52</f>
        <v>₹</v>
      </c>
      <c r="D32" s="230">
        <f>'BALANCE SHEET'!D52</f>
        <v>1784</v>
      </c>
      <c r="E32" s="230">
        <f>'BALANCE SHEET'!E52</f>
        <v>1808</v>
      </c>
      <c r="F32" s="230">
        <f>'BALANCE SHEET'!F52</f>
        <v>1843</v>
      </c>
      <c r="G32" s="230">
        <f>'BALANCE SHEET'!G52</f>
        <v>1803</v>
      </c>
      <c r="H32" s="230">
        <f>'BALANCE SHEET'!H52</f>
        <v>1764</v>
      </c>
    </row>
    <row r="33" spans="2:8" x14ac:dyDescent="0.25">
      <c r="B33" s="265" t="str">
        <f>'BALANCE SHEET'!B53</f>
        <v>Tax Liabilities</v>
      </c>
      <c r="C33" s="589" t="str">
        <f>'BALANCE SHEET'!C53</f>
        <v>₹</v>
      </c>
      <c r="D33" s="231">
        <f>'BALANCE SHEET'!D53</f>
        <v>1732</v>
      </c>
      <c r="E33" s="231">
        <f>'BALANCE SHEET'!E53</f>
        <v>1323</v>
      </c>
      <c r="F33" s="231">
        <f>'BALANCE SHEET'!F53</f>
        <v>1885</v>
      </c>
      <c r="G33" s="231">
        <f>'BALANCE SHEET'!G53</f>
        <v>2176</v>
      </c>
      <c r="H33" s="231">
        <f>'BALANCE SHEET'!H53</f>
        <v>3448</v>
      </c>
    </row>
    <row r="35" spans="2:8" ht="15.6" x14ac:dyDescent="0.3">
      <c r="B35" s="590" t="s">
        <v>210</v>
      </c>
      <c r="C35" s="591" t="s">
        <v>112</v>
      </c>
      <c r="D35" s="592">
        <f>SUM(D25:D33)</f>
        <v>23004</v>
      </c>
      <c r="E35" s="592">
        <f t="shared" ref="E35:H35" si="2">SUM(E25:E33)</f>
        <v>30378</v>
      </c>
      <c r="F35" s="592">
        <f t="shared" si="2"/>
        <v>26772</v>
      </c>
      <c r="G35" s="592">
        <f t="shared" si="2"/>
        <v>25247</v>
      </c>
      <c r="H35" s="592">
        <f t="shared" si="2"/>
        <v>28625</v>
      </c>
    </row>
    <row r="36" spans="2:8" ht="15.6" x14ac:dyDescent="0.3">
      <c r="B36" s="205"/>
      <c r="C36" s="205"/>
      <c r="D36" s="205"/>
      <c r="E36" s="205"/>
      <c r="F36" s="205"/>
      <c r="G36" s="205"/>
      <c r="H36" s="205"/>
    </row>
    <row r="37" spans="2:8" ht="15.6" x14ac:dyDescent="0.3">
      <c r="B37" s="590" t="s">
        <v>420</v>
      </c>
      <c r="C37" s="591" t="s">
        <v>112</v>
      </c>
      <c r="D37" s="592">
        <f>D20-D35</f>
        <v>29463</v>
      </c>
      <c r="E37" s="592">
        <f t="shared" ref="E37:H37" si="3">E20-E35</f>
        <v>31315</v>
      </c>
      <c r="F37" s="592">
        <f t="shared" si="3"/>
        <v>39397</v>
      </c>
      <c r="G37" s="592">
        <f t="shared" si="3"/>
        <v>39926</v>
      </c>
      <c r="H37" s="592">
        <f t="shared" si="3"/>
        <v>49284</v>
      </c>
    </row>
    <row r="39" spans="2:8" x14ac:dyDescent="0.25">
      <c r="B39" s="986" t="s">
        <v>421</v>
      </c>
      <c r="C39" s="986"/>
      <c r="D39" s="986"/>
      <c r="E39" s="986"/>
      <c r="F39" s="986"/>
      <c r="G39" s="986"/>
      <c r="H39" s="986"/>
    </row>
    <row r="40" spans="2:8" x14ac:dyDescent="0.25">
      <c r="B40" s="986"/>
      <c r="C40" s="986"/>
      <c r="D40" s="986"/>
      <c r="E40" s="986"/>
      <c r="F40" s="986"/>
      <c r="G40" s="986"/>
      <c r="H40" s="986"/>
    </row>
    <row r="42" spans="2:8" x14ac:dyDescent="0.25">
      <c r="B42" s="233" t="str">
        <f>'BALANCE SHEET'!B25</f>
        <v>PPE</v>
      </c>
      <c r="C42" s="587" t="str">
        <f>'BALANCE SHEET'!C25</f>
        <v>₹</v>
      </c>
      <c r="D42" s="229">
        <f>'BALANCE SHEET'!D25</f>
        <v>6575</v>
      </c>
      <c r="E42" s="229">
        <f>'BALANCE SHEET'!E25</f>
        <v>7461</v>
      </c>
      <c r="F42" s="229">
        <f>'BALANCE SHEET'!F25</f>
        <v>8234</v>
      </c>
      <c r="G42" s="229">
        <f>'BALANCE SHEET'!G25</f>
        <v>7413</v>
      </c>
      <c r="H42" s="229">
        <f>'BALANCE SHEET'!H25</f>
        <v>7847</v>
      </c>
    </row>
    <row r="43" spans="2:8" x14ac:dyDescent="0.25">
      <c r="B43" s="266" t="str">
        <f>'BALANCE SHEET'!B26</f>
        <v>Right of Use Assets</v>
      </c>
      <c r="C43" s="588" t="str">
        <f>'BALANCE SHEET'!C26</f>
        <v>₹</v>
      </c>
      <c r="D43" s="230">
        <f>'BALANCE SHEET'!D26</f>
        <v>1642</v>
      </c>
      <c r="E43" s="230">
        <f>'BALANCE SHEET'!E26</f>
        <v>1887</v>
      </c>
      <c r="F43" s="230">
        <f>'BALANCE SHEET'!F26</f>
        <v>1870</v>
      </c>
      <c r="G43" s="230">
        <f>'BALANCE SHEET'!G26</f>
        <v>1796</v>
      </c>
      <c r="H43" s="230">
        <f>'BALANCE SHEET'!H26</f>
        <v>2560</v>
      </c>
    </row>
    <row r="44" spans="2:8" x14ac:dyDescent="0.25">
      <c r="B44" s="266" t="str">
        <f>'BALANCE SHEET'!B27</f>
        <v>CWIP</v>
      </c>
      <c r="C44" s="588" t="str">
        <f>'BALANCE SHEET'!C27</f>
        <v>₹</v>
      </c>
      <c r="D44" s="230">
        <f>'BALANCE SHEET'!D27</f>
        <v>1853</v>
      </c>
      <c r="E44" s="230">
        <f>'BALANCE SHEET'!E27</f>
        <v>1602</v>
      </c>
      <c r="F44" s="230">
        <f>'BALANCE SHEET'!F27</f>
        <v>617</v>
      </c>
      <c r="G44" s="230">
        <f>'BALANCE SHEET'!G27</f>
        <v>723</v>
      </c>
      <c r="H44" s="230">
        <f>'BALANCE SHEET'!H27</f>
        <v>196</v>
      </c>
    </row>
    <row r="45" spans="2:8" x14ac:dyDescent="0.25">
      <c r="B45" s="266" t="str">
        <f>'BALANCE SHEET'!B28</f>
        <v>Goodwill</v>
      </c>
      <c r="C45" s="588" t="str">
        <f>'BALANCE SHEET'!C28</f>
        <v>₹</v>
      </c>
      <c r="D45" s="230">
        <f>'BALANCE SHEET'!D28</f>
        <v>13515</v>
      </c>
      <c r="E45" s="230">
        <f>'BALANCE SHEET'!E28</f>
        <v>24286</v>
      </c>
      <c r="F45" s="230">
        <f>'BALANCE SHEET'!F28</f>
        <v>30349</v>
      </c>
      <c r="G45" s="230">
        <f>'BALANCE SHEET'!G28</f>
        <v>31145</v>
      </c>
      <c r="H45" s="230">
        <f>'BALANCE SHEET'!H28</f>
        <v>32035</v>
      </c>
    </row>
    <row r="46" spans="2:8" x14ac:dyDescent="0.25">
      <c r="B46" s="266" t="str">
        <f>'BALANCE SHEET'!B29</f>
        <v>Other Intangiable Assets</v>
      </c>
      <c r="C46" s="588" t="str">
        <f>'BALANCE SHEET'!C29</f>
        <v>₹</v>
      </c>
      <c r="D46" s="230">
        <f>'BALANCE SHEET'!D29</f>
        <v>1309</v>
      </c>
      <c r="E46" s="230">
        <f>'BALANCE SHEET'!E29</f>
        <v>4356</v>
      </c>
      <c r="F46" s="230">
        <f>'BALANCE SHEET'!F29</f>
        <v>4305</v>
      </c>
      <c r="G46" s="230">
        <f>'BALANCE SHEET'!G29</f>
        <v>3275</v>
      </c>
      <c r="H46" s="230">
        <f>'BALANCE SHEET'!H29</f>
        <v>2745</v>
      </c>
    </row>
    <row r="47" spans="2:8" x14ac:dyDescent="0.25">
      <c r="B47" s="266" t="str">
        <f>'BALANCE SHEET'!B30</f>
        <v>Investments</v>
      </c>
      <c r="C47" s="588" t="str">
        <f>'BALANCE SHEET'!C30</f>
        <v>₹</v>
      </c>
      <c r="D47" s="230">
        <f>'BALANCE SHEET'!D30</f>
        <v>1058</v>
      </c>
      <c r="E47" s="230">
        <f>'BALANCE SHEET'!E30</f>
        <v>1911</v>
      </c>
      <c r="F47" s="230">
        <f>'BALANCE SHEET'!F30</f>
        <v>2072</v>
      </c>
      <c r="G47" s="230">
        <f>'BALANCE SHEET'!G30</f>
        <v>2163</v>
      </c>
      <c r="H47" s="230">
        <f>'BALANCE SHEET'!H30</f>
        <v>2646</v>
      </c>
    </row>
    <row r="48" spans="2:8" x14ac:dyDescent="0.25">
      <c r="B48" s="266" t="str">
        <f>'BALANCE SHEET'!B31</f>
        <v>Trade Receivables</v>
      </c>
      <c r="C48" s="588" t="str">
        <f>'BALANCE SHEET'!C31</f>
        <v>₹</v>
      </c>
      <c r="D48" s="230">
        <f>'BALANCE SHEET'!D31</f>
        <v>436</v>
      </c>
      <c r="E48" s="230">
        <f>'BALANCE SHEET'!E31</f>
        <v>476</v>
      </c>
      <c r="F48" s="230">
        <f>'BALANCE SHEET'!F31</f>
        <v>86</v>
      </c>
      <c r="G48" s="230">
        <f>'BALANCE SHEET'!G31</f>
        <v>405</v>
      </c>
      <c r="H48" s="230">
        <f>'BALANCE SHEET'!H31</f>
        <v>30</v>
      </c>
    </row>
    <row r="49" spans="2:8" x14ac:dyDescent="0.25">
      <c r="B49" s="266" t="str">
        <f>'BALANCE SHEET'!B32</f>
        <v>Other Financial Assets</v>
      </c>
      <c r="C49" s="588" t="str">
        <f>'BALANCE SHEET'!C32</f>
        <v>₹</v>
      </c>
      <c r="D49" s="230">
        <f>'BALANCE SHEET'!D32</f>
        <v>609</v>
      </c>
      <c r="E49" s="230">
        <f>'BALANCE SHEET'!E32</f>
        <v>608</v>
      </c>
      <c r="F49" s="230">
        <f>'BALANCE SHEET'!F32</f>
        <v>633</v>
      </c>
      <c r="G49" s="230">
        <f>'BALANCE SHEET'!G32</f>
        <v>555</v>
      </c>
      <c r="H49" s="230">
        <f>'BALANCE SHEET'!H32</f>
        <v>466</v>
      </c>
    </row>
    <row r="50" spans="2:8" x14ac:dyDescent="0.25">
      <c r="B50" s="266" t="str">
        <f>'BALANCE SHEET'!B33</f>
        <v>Deferred Tax Assets</v>
      </c>
      <c r="C50" s="588" t="str">
        <f>'BALANCE SHEET'!C33</f>
        <v>₹</v>
      </c>
      <c r="D50" s="230">
        <f>'BALANCE SHEET'!D33</f>
        <v>166</v>
      </c>
      <c r="E50" s="230">
        <f>'BALANCE SHEET'!E33</f>
        <v>230</v>
      </c>
      <c r="F50" s="230">
        <f>'BALANCE SHEET'!F33</f>
        <v>210</v>
      </c>
      <c r="G50" s="230">
        <f>'BALANCE SHEET'!G33</f>
        <v>182</v>
      </c>
      <c r="H50" s="230">
        <f>'BALANCE SHEET'!H33</f>
        <v>256</v>
      </c>
    </row>
    <row r="51" spans="2:8" x14ac:dyDescent="0.25">
      <c r="B51" s="266" t="str">
        <f>'BALANCE SHEET'!B34</f>
        <v>Non Current Tax Assets</v>
      </c>
      <c r="C51" s="588" t="str">
        <f>'BALANCE SHEET'!C34</f>
        <v>₹</v>
      </c>
      <c r="D51" s="230">
        <f>'BALANCE SHEET'!D34</f>
        <v>1432</v>
      </c>
      <c r="E51" s="230">
        <f>'BALANCE SHEET'!E34</f>
        <v>1026</v>
      </c>
      <c r="F51" s="230">
        <f>'BALANCE SHEET'!F34</f>
        <v>1192</v>
      </c>
      <c r="G51" s="230">
        <f>'BALANCE SHEET'!G34</f>
        <v>904</v>
      </c>
      <c r="H51" s="230">
        <f>'BALANCE SHEET'!H34</f>
        <v>723</v>
      </c>
    </row>
    <row r="52" spans="2:8" x14ac:dyDescent="0.25">
      <c r="B52" s="265" t="str">
        <f>'BALANCE SHEET'!B35</f>
        <v>Other Fixed Assets</v>
      </c>
      <c r="C52" s="589" t="str">
        <f>'BALANCE SHEET'!C35</f>
        <v>₹</v>
      </c>
      <c r="D52" s="231">
        <f>'BALANCE SHEET'!D35</f>
        <v>1671</v>
      </c>
      <c r="E52" s="231">
        <f>'BALANCE SHEET'!E35</f>
        <v>1510</v>
      </c>
      <c r="F52" s="231">
        <f>'BALANCE SHEET'!F35</f>
        <v>1376</v>
      </c>
      <c r="G52" s="231">
        <f>'BALANCE SHEET'!G35</f>
        <v>1058</v>
      </c>
      <c r="H52" s="231">
        <f>'BALANCE SHEET'!H35</f>
        <v>771</v>
      </c>
    </row>
    <row r="54" spans="2:8" ht="15.6" x14ac:dyDescent="0.3">
      <c r="B54" s="590" t="str">
        <f>'BALANCE SHEET'!$B37</f>
        <v>Total Fixed Assets</v>
      </c>
      <c r="C54" s="591" t="s">
        <v>112</v>
      </c>
      <c r="D54" s="592">
        <f>SUM(D42:D52)</f>
        <v>30266</v>
      </c>
      <c r="E54" s="592">
        <f t="shared" ref="E54:H54" si="4">SUM(E42:E52)</f>
        <v>45353</v>
      </c>
      <c r="F54" s="592">
        <f t="shared" si="4"/>
        <v>50944</v>
      </c>
      <c r="G54" s="592">
        <f t="shared" si="4"/>
        <v>49619</v>
      </c>
      <c r="H54" s="592">
        <f t="shared" si="4"/>
        <v>50275</v>
      </c>
    </row>
    <row r="55" spans="2:8" ht="15.6" x14ac:dyDescent="0.3">
      <c r="B55" s="205"/>
      <c r="C55" s="205"/>
      <c r="D55" s="205"/>
      <c r="E55" s="205"/>
      <c r="F55" s="205"/>
      <c r="G55" s="205"/>
      <c r="H55" s="205"/>
    </row>
    <row r="56" spans="2:8" ht="15.6" x14ac:dyDescent="0.3">
      <c r="B56" s="590" t="s">
        <v>45</v>
      </c>
      <c r="C56" s="591" t="s">
        <v>112</v>
      </c>
      <c r="D56" s="592">
        <f>'P &amp; L ASSUMPTIONS'!D75</f>
        <v>13327</v>
      </c>
      <c r="E56" s="592">
        <f>'P &amp; L ASSUMPTIONS'!E75</f>
        <v>14000</v>
      </c>
      <c r="F56" s="592">
        <f>'P &amp; L ASSUMPTIONS'!F75</f>
        <v>14631</v>
      </c>
      <c r="G56" s="592">
        <f>'P &amp; L ASSUMPTIONS'!G75</f>
        <v>14339</v>
      </c>
      <c r="H56" s="592">
        <f>'P &amp; L ASSUMPTIONS'!H75</f>
        <v>14676</v>
      </c>
    </row>
    <row r="58" spans="2:8" ht="15.6" x14ac:dyDescent="0.3">
      <c r="B58" s="269" t="s">
        <v>422</v>
      </c>
      <c r="C58" s="269"/>
      <c r="D58" s="269">
        <f>D54-D56</f>
        <v>16939</v>
      </c>
      <c r="E58" s="269">
        <f t="shared" ref="E58:H58" si="5">E54-E56</f>
        <v>31353</v>
      </c>
      <c r="F58" s="269">
        <f t="shared" si="5"/>
        <v>36313</v>
      </c>
      <c r="G58" s="269">
        <f t="shared" si="5"/>
        <v>35280</v>
      </c>
      <c r="H58" s="269">
        <f t="shared" si="5"/>
        <v>35599</v>
      </c>
    </row>
    <row r="60" spans="2:8" x14ac:dyDescent="0.25">
      <c r="B60" s="233" t="s">
        <v>423</v>
      </c>
      <c r="C60" s="587" t="s">
        <v>112</v>
      </c>
      <c r="D60" s="229">
        <f>D58+D37</f>
        <v>46402</v>
      </c>
      <c r="E60" s="229">
        <f t="shared" ref="E60:H60" si="6">E58+E37</f>
        <v>62668</v>
      </c>
      <c r="F60" s="229">
        <f t="shared" si="6"/>
        <v>75710</v>
      </c>
      <c r="G60" s="229">
        <f t="shared" si="6"/>
        <v>75206</v>
      </c>
      <c r="H60" s="229">
        <f t="shared" si="6"/>
        <v>84883</v>
      </c>
    </row>
    <row r="61" spans="2:8" x14ac:dyDescent="0.25">
      <c r="B61" s="266" t="s">
        <v>102</v>
      </c>
      <c r="C61" s="588" t="s">
        <v>112</v>
      </c>
      <c r="D61" s="230">
        <f>'PROFIT &amp; LOSS'!D$27</f>
        <v>14699</v>
      </c>
      <c r="E61" s="230">
        <f>'PROFIT &amp; LOSS'!E$27</f>
        <v>14516</v>
      </c>
      <c r="F61" s="230">
        <f>'PROFIT &amp; LOSS'!F$27</f>
        <v>16280</v>
      </c>
      <c r="G61" s="230">
        <f>'PROFIT &amp; LOSS'!G$27</f>
        <v>16032</v>
      </c>
      <c r="H61" s="230">
        <f>'PROFIT &amp; LOSS'!H$27</f>
        <v>18946</v>
      </c>
    </row>
    <row r="62" spans="2:8" x14ac:dyDescent="0.25">
      <c r="B62" s="265" t="s">
        <v>424</v>
      </c>
      <c r="C62" s="589" t="s">
        <v>113</v>
      </c>
      <c r="D62" s="267">
        <v>0.25</v>
      </c>
      <c r="E62" s="267">
        <v>0.25</v>
      </c>
      <c r="F62" s="267">
        <v>0.25</v>
      </c>
      <c r="G62" s="267">
        <v>0.25</v>
      </c>
      <c r="H62" s="267">
        <v>0.25</v>
      </c>
    </row>
    <row r="63" spans="2:8" x14ac:dyDescent="0.25">
      <c r="C63" s="315"/>
    </row>
    <row r="64" spans="2:8" ht="15.6" x14ac:dyDescent="0.3">
      <c r="B64" s="270" t="s">
        <v>425</v>
      </c>
      <c r="C64" s="594" t="s">
        <v>113</v>
      </c>
      <c r="D64" s="271">
        <f>D61/D60</f>
        <v>0.31677513900262921</v>
      </c>
      <c r="E64" s="271">
        <f t="shared" ref="E64:H64" si="7">E61/E60</f>
        <v>0.23163336950277655</v>
      </c>
      <c r="F64" s="271">
        <f t="shared" si="7"/>
        <v>0.21503103949280147</v>
      </c>
      <c r="G64" s="271">
        <f t="shared" si="7"/>
        <v>0.21317448075951387</v>
      </c>
      <c r="H64" s="271">
        <f t="shared" si="7"/>
        <v>0.22320134773747394</v>
      </c>
    </row>
    <row r="66" spans="2:8" x14ac:dyDescent="0.25">
      <c r="B66" s="986" t="s">
        <v>426</v>
      </c>
      <c r="C66" s="986"/>
      <c r="D66" s="986"/>
      <c r="E66" s="986"/>
      <c r="F66" s="986"/>
      <c r="G66" s="986"/>
      <c r="H66" s="986"/>
    </row>
    <row r="67" spans="2:8" x14ac:dyDescent="0.25">
      <c r="B67" s="986"/>
      <c r="C67" s="986"/>
      <c r="D67" s="986"/>
      <c r="E67" s="986"/>
      <c r="F67" s="986"/>
      <c r="G67" s="986"/>
      <c r="H67" s="986"/>
    </row>
    <row r="69" spans="2:8" x14ac:dyDescent="0.25">
      <c r="B69" s="233" t="s">
        <v>427</v>
      </c>
      <c r="C69" s="587" t="s">
        <v>112</v>
      </c>
      <c r="D69" s="229">
        <f>-SUM('CASH FLOW STATEMENT'!D42:D42)</f>
        <v>3277</v>
      </c>
      <c r="E69" s="229">
        <f>-SUM('CASH FLOW STATEMENT'!E42:E42)</f>
        <v>3964</v>
      </c>
      <c r="F69" s="229">
        <f>-SUM('CASH FLOW STATEMENT'!F42:F42)</f>
        <v>4113</v>
      </c>
      <c r="G69" s="229">
        <f>-SUM('CASH FLOW STATEMENT'!G42:G42)</f>
        <v>2586</v>
      </c>
      <c r="H69" s="229">
        <f>-SUM('CASH FLOW STATEMENT'!H42:H42)</f>
        <v>3392</v>
      </c>
    </row>
    <row r="70" spans="2:8" x14ac:dyDescent="0.25">
      <c r="B70" s="266" t="s">
        <v>428</v>
      </c>
      <c r="C70" s="588" t="s">
        <v>112</v>
      </c>
      <c r="D70" s="104">
        <v>0</v>
      </c>
      <c r="E70" s="230">
        <f>E37-D37</f>
        <v>1852</v>
      </c>
      <c r="F70" s="230">
        <f t="shared" ref="F70:H70" si="8">F37-E37</f>
        <v>8082</v>
      </c>
      <c r="G70" s="230">
        <f t="shared" si="8"/>
        <v>529</v>
      </c>
      <c r="H70" s="230">
        <f t="shared" si="8"/>
        <v>9358</v>
      </c>
    </row>
    <row r="71" spans="2:8" x14ac:dyDescent="0.25">
      <c r="B71" s="265" t="s">
        <v>429</v>
      </c>
      <c r="C71" s="589" t="s">
        <v>112</v>
      </c>
      <c r="D71" s="593">
        <f>D61*(1-D62)</f>
        <v>11024.25</v>
      </c>
      <c r="E71" s="593">
        <f t="shared" ref="E71:H71" si="9">E61*(1-E62)</f>
        <v>10887</v>
      </c>
      <c r="F71" s="593">
        <f t="shared" si="9"/>
        <v>12210</v>
      </c>
      <c r="G71" s="593">
        <f t="shared" si="9"/>
        <v>12024</v>
      </c>
      <c r="H71" s="593">
        <f t="shared" si="9"/>
        <v>14209.5</v>
      </c>
    </row>
    <row r="72" spans="2:8" x14ac:dyDescent="0.25">
      <c r="C72" s="315"/>
    </row>
    <row r="73" spans="2:8" ht="15.6" x14ac:dyDescent="0.3">
      <c r="B73" s="590" t="s">
        <v>430</v>
      </c>
      <c r="C73" s="591" t="s">
        <v>112</v>
      </c>
      <c r="D73" s="500">
        <v>0</v>
      </c>
      <c r="E73" s="592">
        <f>SUM(E69:E70)</f>
        <v>5816</v>
      </c>
      <c r="F73" s="592">
        <f t="shared" ref="F73:H73" si="10">SUM(F69:F70)</f>
        <v>12195</v>
      </c>
      <c r="G73" s="592">
        <f t="shared" si="10"/>
        <v>3115</v>
      </c>
      <c r="H73" s="592">
        <f t="shared" si="10"/>
        <v>12750</v>
      </c>
    </row>
    <row r="74" spans="2:8" ht="15.6" x14ac:dyDescent="0.3">
      <c r="B74" s="205"/>
      <c r="C74" s="359"/>
      <c r="D74" s="272"/>
      <c r="E74" s="205"/>
      <c r="F74" s="205"/>
      <c r="G74" s="205"/>
      <c r="H74" s="205"/>
    </row>
    <row r="75" spans="2:8" ht="15.6" x14ac:dyDescent="0.3">
      <c r="B75" s="590" t="s">
        <v>431</v>
      </c>
      <c r="C75" s="591" t="s">
        <v>113</v>
      </c>
      <c r="D75" s="500">
        <v>0</v>
      </c>
      <c r="E75" s="572">
        <f>E73/E71</f>
        <v>0.53421511894920548</v>
      </c>
      <c r="F75" s="572">
        <f t="shared" ref="F75:H75" si="11">F73/F71</f>
        <v>0.99877149877149873</v>
      </c>
      <c r="G75" s="572">
        <f t="shared" si="11"/>
        <v>0.25906520292747837</v>
      </c>
      <c r="H75" s="572">
        <f t="shared" si="11"/>
        <v>0.89728702628523171</v>
      </c>
    </row>
    <row r="77" spans="2:8" x14ac:dyDescent="0.25">
      <c r="G77" s="264" t="s">
        <v>432</v>
      </c>
      <c r="H77" s="164">
        <f>AVERAGE(E75:H75)</f>
        <v>0.67233471173335357</v>
      </c>
    </row>
    <row r="78" spans="2:8" x14ac:dyDescent="0.25">
      <c r="G78" s="264" t="s">
        <v>433</v>
      </c>
      <c r="H78" s="164">
        <f>MEDIAN(E75:H75)</f>
        <v>0.7157510726172186</v>
      </c>
    </row>
    <row r="80" spans="2:8" x14ac:dyDescent="0.25">
      <c r="B80" s="986" t="s">
        <v>434</v>
      </c>
      <c r="C80" s="986"/>
      <c r="D80" s="986"/>
      <c r="E80" s="986"/>
      <c r="F80" s="986"/>
      <c r="G80" s="986"/>
      <c r="H80" s="986"/>
    </row>
    <row r="81" spans="2:8" x14ac:dyDescent="0.25">
      <c r="B81" s="986"/>
      <c r="C81" s="986"/>
      <c r="D81" s="986"/>
      <c r="E81" s="986"/>
      <c r="F81" s="986"/>
      <c r="G81" s="986"/>
      <c r="H81" s="986"/>
    </row>
    <row r="83" spans="2:8" x14ac:dyDescent="0.25">
      <c r="B83" s="233" t="s">
        <v>431</v>
      </c>
      <c r="C83" s="587" t="s">
        <v>113</v>
      </c>
      <c r="D83" s="46">
        <f>D75</f>
        <v>0</v>
      </c>
      <c r="E83" s="268">
        <f t="shared" ref="E83:H83" si="12">E75</f>
        <v>0.53421511894920548</v>
      </c>
      <c r="F83" s="268">
        <f t="shared" si="12"/>
        <v>0.99877149877149873</v>
      </c>
      <c r="G83" s="268">
        <f t="shared" si="12"/>
        <v>0.25906520292747837</v>
      </c>
      <c r="H83" s="268">
        <f t="shared" si="12"/>
        <v>0.89728702628523171</v>
      </c>
    </row>
    <row r="84" spans="2:8" x14ac:dyDescent="0.25">
      <c r="B84" s="265" t="s">
        <v>425</v>
      </c>
      <c r="C84" s="589" t="s">
        <v>113</v>
      </c>
      <c r="D84" s="262">
        <f>D64</f>
        <v>0.31677513900262921</v>
      </c>
      <c r="E84" s="262">
        <f t="shared" ref="E84:H84" si="13">E64</f>
        <v>0.23163336950277655</v>
      </c>
      <c r="F84" s="262">
        <f t="shared" si="13"/>
        <v>0.21503103949280147</v>
      </c>
      <c r="G84" s="262">
        <f t="shared" si="13"/>
        <v>0.21317448075951387</v>
      </c>
      <c r="H84" s="262">
        <f t="shared" si="13"/>
        <v>0.22320134773747394</v>
      </c>
    </row>
    <row r="85" spans="2:8" x14ac:dyDescent="0.25">
      <c r="C85" s="315"/>
    </row>
    <row r="86" spans="2:8" ht="15.6" x14ac:dyDescent="0.3">
      <c r="B86" s="590" t="s">
        <v>435</v>
      </c>
      <c r="C86" s="591" t="s">
        <v>113</v>
      </c>
      <c r="D86" s="500">
        <v>0</v>
      </c>
      <c r="E86" s="572">
        <f>E83*E84</f>
        <v>0.12374204804153104</v>
      </c>
      <c r="F86" s="572">
        <f t="shared" ref="F86:H86" si="14">F83*F84</f>
        <v>0.21476687359661867</v>
      </c>
      <c r="G86" s="572">
        <f t="shared" si="14"/>
        <v>5.5226090116923296E-2</v>
      </c>
      <c r="H86" s="572">
        <f t="shared" si="14"/>
        <v>0.20027567357421391</v>
      </c>
    </row>
    <row r="88" spans="2:8" x14ac:dyDescent="0.25">
      <c r="G88" s="264" t="s">
        <v>432</v>
      </c>
      <c r="H88" s="164">
        <f>AVERAGE(E86:H86)</f>
        <v>0.14850267133232173</v>
      </c>
    </row>
    <row r="89" spans="2:8" x14ac:dyDescent="0.25">
      <c r="G89" s="264" t="s">
        <v>433</v>
      </c>
      <c r="H89" s="164">
        <f>MEDIAN(E86:H86)</f>
        <v>0.16200886080787247</v>
      </c>
    </row>
    <row r="91" spans="2:8" x14ac:dyDescent="0.25">
      <c r="B91" s="236"/>
      <c r="C91" s="236"/>
      <c r="D91" s="236"/>
      <c r="E91" s="236"/>
      <c r="F91" s="236"/>
      <c r="G91" s="236"/>
      <c r="H91" s="236"/>
    </row>
  </sheetData>
  <mergeCells count="7">
    <mergeCell ref="B80:H81"/>
    <mergeCell ref="B1:B3"/>
    <mergeCell ref="D1:H2"/>
    <mergeCell ref="B6:H7"/>
    <mergeCell ref="B22:H23"/>
    <mergeCell ref="B39:H40"/>
    <mergeCell ref="B66:H67"/>
  </mergeCells>
  <printOptions horizontalCentered="1" verticalCentered="1"/>
  <pageMargins left="0" right="0" top="0" bottom="0" header="0" footer="0"/>
  <pageSetup scale="42" orientation="landscape" horizontalDpi="1200" verticalDpi="1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D9B5A-536D-476E-9F30-94DB03393799}">
  <sheetPr>
    <pageSetUpPr fitToPage="1"/>
  </sheetPr>
  <dimension ref="B1:J48"/>
  <sheetViews>
    <sheetView zoomScale="70" zoomScaleNormal="70" workbookViewId="0"/>
  </sheetViews>
  <sheetFormatPr defaultColWidth="15.77734375" defaultRowHeight="15" x14ac:dyDescent="0.25"/>
  <cols>
    <col min="1" max="1" width="2" style="1" customWidth="1"/>
    <col min="2" max="2" width="44.77734375" style="1" customWidth="1"/>
    <col min="3" max="16384" width="15.77734375" style="1"/>
  </cols>
  <sheetData>
    <row r="1" spans="2:8" ht="15" customHeight="1" x14ac:dyDescent="0.25">
      <c r="B1" s="974" t="s">
        <v>3336</v>
      </c>
      <c r="C1" s="975" t="s">
        <v>436</v>
      </c>
      <c r="D1" s="975"/>
      <c r="E1" s="975"/>
      <c r="F1" s="975"/>
      <c r="G1" s="975"/>
      <c r="H1" s="975"/>
    </row>
    <row r="2" spans="2:8" ht="15" customHeight="1" x14ac:dyDescent="0.25">
      <c r="B2" s="974"/>
      <c r="C2" s="975"/>
      <c r="D2" s="975"/>
      <c r="E2" s="975"/>
      <c r="F2" s="975"/>
      <c r="G2" s="975"/>
      <c r="H2" s="975"/>
    </row>
    <row r="3" spans="2:8" ht="24.6" x14ac:dyDescent="0.4">
      <c r="B3" s="974"/>
      <c r="C3" s="35" t="s">
        <v>87</v>
      </c>
      <c r="D3" s="35" t="s">
        <v>88</v>
      </c>
      <c r="E3" s="35" t="s">
        <v>89</v>
      </c>
      <c r="F3" s="35" t="s">
        <v>90</v>
      </c>
      <c r="G3" s="35" t="s">
        <v>91</v>
      </c>
      <c r="H3" s="35" t="s">
        <v>92</v>
      </c>
    </row>
    <row r="4" spans="2:8" ht="28.2" x14ac:dyDescent="0.5">
      <c r="B4" s="38" t="s">
        <v>121</v>
      </c>
      <c r="C4" s="36">
        <v>45737</v>
      </c>
      <c r="D4" s="36">
        <f>EDATE(C4,12)</f>
        <v>46102</v>
      </c>
      <c r="E4" s="36">
        <f t="shared" ref="E4:H4" si="0">EDATE(D4,12)</f>
        <v>46467</v>
      </c>
      <c r="F4" s="36">
        <f t="shared" si="0"/>
        <v>46833</v>
      </c>
      <c r="G4" s="36">
        <f t="shared" si="0"/>
        <v>47198</v>
      </c>
      <c r="H4" s="36">
        <f t="shared" si="0"/>
        <v>47563</v>
      </c>
    </row>
    <row r="6" spans="2:8" x14ac:dyDescent="0.25">
      <c r="B6" s="233" t="s">
        <v>441</v>
      </c>
      <c r="C6" s="83">
        <f>'PROFIT &amp; LOSS'!$H$27</f>
        <v>18946</v>
      </c>
      <c r="D6" s="46">
        <f>CHOOSE($H$46,'P &amp; L ASSUMPTIONS'!K96+'P &amp; L ASSUMPTIONS'!K82,'P &amp; L ASSUMPTIONS'!R82+'P &amp; L ASSUMPTIONS'!R96,'P &amp; L ASSUMPTIONS'!Y96+'P &amp; L ASSUMPTIONS'!Y82)</f>
        <v>19694.213439999996</v>
      </c>
      <c r="E6" s="46">
        <f>CHOOSE($H$46,'P &amp; L ASSUMPTIONS'!L96+'P &amp; L ASSUMPTIONS'!L82,'P &amp; L ASSUMPTIONS'!S82+'P &amp; L ASSUMPTIONS'!S96,'P &amp; L ASSUMPTIONS'!Z96+'P &amp; L ASSUMPTIONS'!Z82)</f>
        <v>19635.884883631999</v>
      </c>
      <c r="F6" s="46">
        <f>CHOOSE($H$46,'P &amp; L ASSUMPTIONS'!M96+'P &amp; L ASSUMPTIONS'!M82,'P &amp; L ASSUMPTIONS'!T82+'P &amp; L ASSUMPTIONS'!T96,'P &amp; L ASSUMPTIONS'!AA96+'P &amp; L ASSUMPTIONS'!AA82)</f>
        <v>19976.102328614888</v>
      </c>
      <c r="G6" s="46">
        <f>CHOOSE($H$46,'P &amp; L ASSUMPTIONS'!N96+'P &amp; L ASSUMPTIONS'!N82,'P &amp; L ASSUMPTIONS'!U82+'P &amp; L ASSUMPTIONS'!U96,'P &amp; L ASSUMPTIONS'!AB96+'P &amp; L ASSUMPTIONS'!AB82)</f>
        <v>20326.835385626484</v>
      </c>
      <c r="H6" s="46">
        <f>CHOOSE($H$46,'P &amp; L ASSUMPTIONS'!O96+'P &amp; L ASSUMPTIONS'!O82,'P &amp; L ASSUMPTIONS'!V82+'P &amp; L ASSUMPTIONS'!V96,'P &amp; L ASSUMPTIONS'!AC96+'P &amp; L ASSUMPTIONS'!AC82)</f>
        <v>20881.94806777795</v>
      </c>
    </row>
    <row r="7" spans="2:8" x14ac:dyDescent="0.25">
      <c r="B7" s="266" t="s">
        <v>180</v>
      </c>
      <c r="C7" s="289">
        <v>0.25</v>
      </c>
      <c r="D7" s="274">
        <v>0.25</v>
      </c>
      <c r="E7" s="274">
        <v>0.25</v>
      </c>
      <c r="F7" s="274">
        <v>0.25</v>
      </c>
      <c r="G7" s="274">
        <v>0.25</v>
      </c>
      <c r="H7" s="274">
        <v>0.25</v>
      </c>
    </row>
    <row r="8" spans="2:8" x14ac:dyDescent="0.25">
      <c r="B8" s="266" t="s">
        <v>429</v>
      </c>
      <c r="C8" s="77">
        <f>C6*(1-C7)</f>
        <v>14209.5</v>
      </c>
      <c r="D8" s="104">
        <f t="shared" ref="D8:H8" si="1">D6*(1-D7)</f>
        <v>14770.660079999998</v>
      </c>
      <c r="E8" s="104">
        <f t="shared" si="1"/>
        <v>14726.913662724</v>
      </c>
      <c r="F8" s="104">
        <f t="shared" si="1"/>
        <v>14982.076746461167</v>
      </c>
      <c r="G8" s="104">
        <f t="shared" si="1"/>
        <v>15245.126539219862</v>
      </c>
      <c r="H8" s="104">
        <f t="shared" si="1"/>
        <v>15661.461050833463</v>
      </c>
    </row>
    <row r="9" spans="2:8" x14ac:dyDescent="0.25">
      <c r="B9" s="266" t="s">
        <v>437</v>
      </c>
      <c r="C9" s="152">
        <f>'INTRINSIC GROWTH'!$H$75</f>
        <v>0.89728702628523171</v>
      </c>
      <c r="D9" s="261">
        <f>C9+(($H$9-$C$9)/4)</f>
        <v>0.77296526971392376</v>
      </c>
      <c r="E9" s="261">
        <f t="shared" ref="E9:G9" si="2">D9+(($H$9-$C$9)/4)</f>
        <v>0.64864351314261581</v>
      </c>
      <c r="F9" s="261">
        <f t="shared" si="2"/>
        <v>0.52432175657130786</v>
      </c>
      <c r="G9" s="261">
        <f t="shared" si="2"/>
        <v>0.39999999999999991</v>
      </c>
      <c r="H9" s="274">
        <v>0.4</v>
      </c>
    </row>
    <row r="10" spans="2:8" x14ac:dyDescent="0.25">
      <c r="B10" s="266" t="s">
        <v>438</v>
      </c>
      <c r="C10" s="77">
        <f>C8*(1-C9)</f>
        <v>1459.5</v>
      </c>
      <c r="D10" s="104">
        <f t="shared" ref="D10:H10" si="3">D8*(1-D9)</f>
        <v>3353.4528274101126</v>
      </c>
      <c r="E10" s="104">
        <f t="shared" si="3"/>
        <v>5174.3966467867167</v>
      </c>
      <c r="F10" s="104">
        <f t="shared" si="3"/>
        <v>7126.6479496705033</v>
      </c>
      <c r="G10" s="104">
        <f t="shared" si="3"/>
        <v>9147.0759235319183</v>
      </c>
      <c r="H10" s="104">
        <f t="shared" si="3"/>
        <v>9396.8766305000772</v>
      </c>
    </row>
    <row r="11" spans="2:8" x14ac:dyDescent="0.25">
      <c r="B11" s="266" t="s">
        <v>439</v>
      </c>
      <c r="C11" s="77">
        <v>0</v>
      </c>
      <c r="D11" s="275">
        <v>0.5</v>
      </c>
      <c r="E11" s="230">
        <f>D11+1</f>
        <v>1.5</v>
      </c>
      <c r="F11" s="230">
        <f t="shared" ref="F11:H11" si="4">E11+1</f>
        <v>2.5</v>
      </c>
      <c r="G11" s="230">
        <f t="shared" si="4"/>
        <v>3.5</v>
      </c>
      <c r="H11" s="230">
        <f t="shared" si="4"/>
        <v>4.5</v>
      </c>
    </row>
    <row r="12" spans="2:8" x14ac:dyDescent="0.25">
      <c r="B12" s="265" t="s">
        <v>440</v>
      </c>
      <c r="C12" s="148">
        <v>0</v>
      </c>
      <c r="D12" s="276">
        <f>1/(1+$C$18)^D11</f>
        <v>0.94059877564323702</v>
      </c>
      <c r="E12" s="276">
        <f t="shared" ref="E12:H12" si="5">1/(1+$C$18)^E11</f>
        <v>0.83217224575077742</v>
      </c>
      <c r="F12" s="276">
        <f t="shared" si="5"/>
        <v>0.73624446951285094</v>
      </c>
      <c r="G12" s="276">
        <f t="shared" si="5"/>
        <v>0.65137466630988394</v>
      </c>
      <c r="H12" s="276">
        <f t="shared" si="5"/>
        <v>0.57628813998569095</v>
      </c>
    </row>
    <row r="13" spans="2:8" x14ac:dyDescent="0.25">
      <c r="C13" s="29"/>
    </row>
    <row r="14" spans="2:8" ht="15.6" x14ac:dyDescent="0.3">
      <c r="B14" s="590" t="s">
        <v>442</v>
      </c>
      <c r="C14" s="500">
        <v>0</v>
      </c>
      <c r="D14" s="500">
        <f>D10*D12</f>
        <v>3154.2536236393034</v>
      </c>
      <c r="E14" s="500">
        <f t="shared" ref="E14:H14" si="6">E10*E12</f>
        <v>4305.989277961794</v>
      </c>
      <c r="F14" s="500">
        <f t="shared" si="6"/>
        <v>5246.9551391100067</v>
      </c>
      <c r="G14" s="500">
        <f t="shared" si="6"/>
        <v>5958.1735274017765</v>
      </c>
      <c r="H14" s="500">
        <f t="shared" si="6"/>
        <v>5415.3085550658961</v>
      </c>
    </row>
    <row r="16" spans="2:8" ht="15.6" customHeight="1" x14ac:dyDescent="0.25">
      <c r="B16" s="614" t="s">
        <v>443</v>
      </c>
      <c r="C16" s="612">
        <f>'INTRINSIC GROWTH'!$H$89</f>
        <v>0.16200886080787247</v>
      </c>
      <c r="D16" s="273"/>
      <c r="E16" s="1010" t="s">
        <v>459</v>
      </c>
      <c r="F16" s="1010"/>
      <c r="G16" s="1010"/>
      <c r="H16" s="1010"/>
    </row>
    <row r="17" spans="2:8" x14ac:dyDescent="0.25">
      <c r="B17" s="615" t="s">
        <v>444</v>
      </c>
      <c r="C17" s="696">
        <v>5.3800000000000001E-2</v>
      </c>
      <c r="E17" s="1010"/>
      <c r="F17" s="1010"/>
      <c r="G17" s="1010"/>
      <c r="H17" s="1010"/>
    </row>
    <row r="18" spans="2:8" ht="15.6" x14ac:dyDescent="0.3">
      <c r="B18" s="616" t="s">
        <v>260</v>
      </c>
      <c r="C18" s="613">
        <f>WACC!$K$44</f>
        <v>0.13029337429372972</v>
      </c>
      <c r="E18" s="282"/>
      <c r="F18" s="283"/>
      <c r="G18" s="283"/>
      <c r="H18" s="283"/>
    </row>
    <row r="19" spans="2:8" ht="15.6" x14ac:dyDescent="0.3">
      <c r="E19" s="285">
        <f>$C$27</f>
        <v>142747.7086659855</v>
      </c>
      <c r="F19" s="280">
        <v>0.11</v>
      </c>
      <c r="G19" s="280">
        <v>0.1303</v>
      </c>
      <c r="H19" s="277">
        <v>0.14000000000000001</v>
      </c>
    </row>
    <row r="20" spans="2:8" ht="15.6" x14ac:dyDescent="0.3">
      <c r="B20" s="971" t="s">
        <v>445</v>
      </c>
      <c r="C20" s="971"/>
      <c r="E20" s="278">
        <v>0.03</v>
      </c>
      <c r="F20" s="104">
        <f t="dataTable" ref="F20:H24" dt2D="1" dtr="1" r1="C24" r2="C25"/>
        <v>136490.67385699393</v>
      </c>
      <c r="G20" s="104">
        <v>108865.94126180971</v>
      </c>
      <c r="H20" s="181">
        <v>99265.944623268297</v>
      </c>
    </row>
    <row r="21" spans="2:8" ht="15.6" x14ac:dyDescent="0.3">
      <c r="B21" s="971"/>
      <c r="C21" s="971"/>
      <c r="E21" s="278">
        <v>0.04</v>
      </c>
      <c r="F21" s="104">
        <v>155989.34155085019</v>
      </c>
      <c r="G21" s="286">
        <v>120921.97019445754</v>
      </c>
      <c r="H21" s="181">
        <v>109192.53908559514</v>
      </c>
    </row>
    <row r="22" spans="2:8" ht="15.6" x14ac:dyDescent="0.3">
      <c r="E22" s="278">
        <v>5.3800000000000001E-2</v>
      </c>
      <c r="F22" s="104">
        <v>194292.77417365683</v>
      </c>
      <c r="G22" s="281">
        <v>142735.34520992829</v>
      </c>
      <c r="H22" s="181">
        <v>126673.47921762776</v>
      </c>
    </row>
    <row r="23" spans="2:8" ht="15.6" x14ac:dyDescent="0.3">
      <c r="B23" s="229" t="s">
        <v>446</v>
      </c>
      <c r="C23" s="39">
        <f>H10*(1+C16)</f>
        <v>10919.253908559514</v>
      </c>
      <c r="E23" s="278">
        <v>0.06</v>
      </c>
      <c r="F23" s="104">
        <v>218385.07817119028</v>
      </c>
      <c r="G23" s="104">
        <v>155323.66868505711</v>
      </c>
      <c r="H23" s="181">
        <v>136490.6738569939</v>
      </c>
    </row>
    <row r="24" spans="2:8" ht="15.6" x14ac:dyDescent="0.3">
      <c r="B24" s="230" t="s">
        <v>260</v>
      </c>
      <c r="C24" s="246">
        <f>$C$18</f>
        <v>0.13029337429372972</v>
      </c>
      <c r="E24" s="279">
        <v>7.0000000000000007E-2</v>
      </c>
      <c r="F24" s="105">
        <v>272981.34771398793</v>
      </c>
      <c r="G24" s="105">
        <v>181082.15437080458</v>
      </c>
      <c r="H24" s="163">
        <v>155989.34155085019</v>
      </c>
    </row>
    <row r="25" spans="2:8" ht="15.6" customHeight="1" x14ac:dyDescent="0.25">
      <c r="B25" s="231" t="s">
        <v>447</v>
      </c>
      <c r="C25" s="247">
        <f>$C$17</f>
        <v>5.3800000000000001E-2</v>
      </c>
      <c r="E25" s="284"/>
      <c r="F25" s="284"/>
      <c r="G25" s="284"/>
      <c r="H25" s="284"/>
    </row>
    <row r="26" spans="2:8" ht="15" customHeight="1" x14ac:dyDescent="0.25">
      <c r="E26" s="1010" t="s">
        <v>460</v>
      </c>
      <c r="F26" s="1010"/>
      <c r="G26" s="1010"/>
      <c r="H26" s="1010"/>
    </row>
    <row r="27" spans="2:8" x14ac:dyDescent="0.25">
      <c r="B27" s="618" t="s">
        <v>448</v>
      </c>
      <c r="C27" s="617">
        <f>C23/(C24-C25)</f>
        <v>142747.7086659855</v>
      </c>
      <c r="E27" s="1010"/>
      <c r="F27" s="1010"/>
      <c r="G27" s="1010"/>
      <c r="H27" s="1010"/>
    </row>
    <row r="28" spans="2:8" ht="15.6" x14ac:dyDescent="0.3">
      <c r="E28" s="282"/>
      <c r="F28" s="283"/>
      <c r="G28" s="283"/>
      <c r="H28" s="283"/>
    </row>
    <row r="29" spans="2:8" ht="15.6" x14ac:dyDescent="0.3">
      <c r="B29" s="971" t="s">
        <v>449</v>
      </c>
      <c r="C29" s="971"/>
      <c r="E29" s="285">
        <f>$C$35</f>
        <v>106344.49163751886</v>
      </c>
      <c r="F29" s="280">
        <v>0.11</v>
      </c>
      <c r="G29" s="280">
        <v>0.1303</v>
      </c>
      <c r="H29" s="277">
        <v>0.14000000000000001</v>
      </c>
    </row>
    <row r="30" spans="2:8" ht="15.6" x14ac:dyDescent="0.3">
      <c r="B30" s="971"/>
      <c r="C30" s="971"/>
      <c r="E30" s="278">
        <v>0.03</v>
      </c>
      <c r="F30" s="104">
        <f t="dataTable" ref="F30:H34" dt2D="1" dtr="1" r1="C24" r2="C25" ca="1"/>
        <v>102738.63668561939</v>
      </c>
      <c r="G30" s="104">
        <v>86818.830920738576</v>
      </c>
      <c r="H30" s="181">
        <v>81286.466714044655</v>
      </c>
    </row>
    <row r="31" spans="2:8" ht="15.6" x14ac:dyDescent="0.3">
      <c r="E31" s="278">
        <v>0.04</v>
      </c>
      <c r="F31" s="104">
        <v>113975.48762311088</v>
      </c>
      <c r="G31" s="286">
        <v>93766.577409947873</v>
      </c>
      <c r="H31" s="181">
        <v>87007.045373131259</v>
      </c>
    </row>
    <row r="32" spans="2:8" ht="15.6" x14ac:dyDescent="0.3">
      <c r="B32" s="229" t="s">
        <v>442</v>
      </c>
      <c r="C32" s="39">
        <f>SUM(D14:H14)</f>
        <v>24080.680123178776</v>
      </c>
      <c r="E32" s="278">
        <v>5.3800000000000001E-2</v>
      </c>
      <c r="F32" s="104">
        <v>136049.30156437538</v>
      </c>
      <c r="G32" s="281">
        <v>106337.36672442386</v>
      </c>
      <c r="H32" s="181">
        <v>97081.103847021557</v>
      </c>
    </row>
    <row r="33" spans="2:10" ht="15.6" x14ac:dyDescent="0.3">
      <c r="B33" s="231" t="s">
        <v>450</v>
      </c>
      <c r="C33" s="163">
        <f>C27*H12</f>
        <v>82263.811514340079</v>
      </c>
      <c r="E33" s="278">
        <v>0.06</v>
      </c>
      <c r="F33" s="104">
        <v>149933.41062308374</v>
      </c>
      <c r="G33" s="104">
        <v>113591.86824544406</v>
      </c>
      <c r="H33" s="181">
        <v>102738.63668561936</v>
      </c>
    </row>
    <row r="34" spans="2:10" ht="15.6" x14ac:dyDescent="0.3">
      <c r="E34" s="279">
        <v>7.0000000000000007E-2</v>
      </c>
      <c r="F34" s="105">
        <v>181396.59324806003</v>
      </c>
      <c r="G34" s="105">
        <v>128436.17805013151</v>
      </c>
      <c r="H34" s="163">
        <v>113975.48762311088</v>
      </c>
    </row>
    <row r="35" spans="2:10" x14ac:dyDescent="0.25">
      <c r="B35" s="618" t="s">
        <v>451</v>
      </c>
      <c r="C35" s="617">
        <f>SUM(C32:C33)</f>
        <v>106344.49163751886</v>
      </c>
    </row>
    <row r="36" spans="2:10" x14ac:dyDescent="0.25">
      <c r="E36" s="1010" t="s">
        <v>461</v>
      </c>
      <c r="F36" s="1010"/>
      <c r="G36" s="1010"/>
      <c r="H36" s="1010"/>
    </row>
    <row r="37" spans="2:10" x14ac:dyDescent="0.25">
      <c r="B37" s="614" t="s">
        <v>452</v>
      </c>
      <c r="C37" s="697">
        <f>'BALANCE SHEET'!$H$15</f>
        <v>12358</v>
      </c>
      <c r="E37" s="1010"/>
      <c r="F37" s="1010"/>
      <c r="G37" s="1010"/>
      <c r="H37" s="1010"/>
    </row>
    <row r="38" spans="2:10" x14ac:dyDescent="0.25">
      <c r="B38" s="616" t="s">
        <v>458</v>
      </c>
      <c r="C38" s="698">
        <f>SUM('BALANCE SHEET'!H45,'BALANCE SHEET'!H59)</f>
        <v>16181</v>
      </c>
    </row>
    <row r="39" spans="2:10" ht="15.6" x14ac:dyDescent="0.3">
      <c r="E39" s="287">
        <f>$C$43</f>
        <v>181.07898976900731</v>
      </c>
      <c r="F39" s="280">
        <v>0.11</v>
      </c>
      <c r="G39" s="280">
        <v>0.1303</v>
      </c>
      <c r="H39" s="277">
        <v>0.14000000000000001</v>
      </c>
    </row>
    <row r="40" spans="2:10" ht="15.6" x14ac:dyDescent="0.3">
      <c r="B40" s="618" t="s">
        <v>453</v>
      </c>
      <c r="C40" s="617">
        <f>C35+C37-C38</f>
        <v>102521.49163751886</v>
      </c>
      <c r="E40" s="278">
        <v>0.03</v>
      </c>
      <c r="F40" s="288">
        <f t="dataTable" ref="F40:H44" dt2D="1" dtr="1" r1="C24" r2="C25" ca="1"/>
        <v>174.71013420990056</v>
      </c>
      <c r="G40" s="288">
        <v>146.59171436271541</v>
      </c>
      <c r="H40" s="263">
        <v>136.82015421877645</v>
      </c>
      <c r="J40" s="242"/>
    </row>
    <row r="41" spans="2:10" ht="15.6" x14ac:dyDescent="0.3">
      <c r="E41" s="278">
        <v>0.04</v>
      </c>
      <c r="F41" s="288">
        <v>194.55726658620358</v>
      </c>
      <c r="G41" s="288">
        <v>158.86319905672832</v>
      </c>
      <c r="H41" s="263">
        <v>146.92414888307621</v>
      </c>
      <c r="I41" s="242"/>
      <c r="J41" s="242"/>
    </row>
    <row r="42" spans="2:10" ht="15.6" x14ac:dyDescent="0.3">
      <c r="B42" s="229" t="s">
        <v>454</v>
      </c>
      <c r="C42" s="234">
        <f>'PROFIT &amp; LOSS'!$H$41</f>
        <v>566.16999999999996</v>
      </c>
      <c r="E42" s="278">
        <v>5.3800000000000001E-2</v>
      </c>
      <c r="F42" s="288">
        <v>233.545227695525</v>
      </c>
      <c r="G42" s="290">
        <v>181.06640536309567</v>
      </c>
      <c r="H42" s="263">
        <v>164.71749447519574</v>
      </c>
      <c r="I42" s="242"/>
      <c r="J42" s="242"/>
    </row>
    <row r="43" spans="2:10" ht="15.6" x14ac:dyDescent="0.3">
      <c r="B43" s="676" t="s">
        <v>455</v>
      </c>
      <c r="C43" s="677">
        <f>C40/C42</f>
        <v>181.07898976900731</v>
      </c>
      <c r="E43" s="278">
        <v>0.06</v>
      </c>
      <c r="F43" s="288">
        <v>258.06809019037348</v>
      </c>
      <c r="G43" s="288">
        <v>193.87969734433838</v>
      </c>
      <c r="H43" s="263">
        <v>174.7101342099005</v>
      </c>
      <c r="I43" s="242"/>
    </row>
    <row r="44" spans="2:10" ht="15.6" x14ac:dyDescent="0.3">
      <c r="E44" s="279">
        <v>7.0000000000000007E-2</v>
      </c>
      <c r="F44" s="113">
        <v>313.64006084402217</v>
      </c>
      <c r="G44" s="113">
        <v>220.09851820147927</v>
      </c>
      <c r="H44" s="63">
        <v>194.55726658620358</v>
      </c>
    </row>
    <row r="45" spans="2:10" ht="15.6" x14ac:dyDescent="0.3">
      <c r="B45" s="621" t="s">
        <v>456</v>
      </c>
      <c r="C45" s="619">
        <f>'REGRESSION BETA'!$F$10</f>
        <v>246.3</v>
      </c>
    </row>
    <row r="46" spans="2:10" ht="15.6" x14ac:dyDescent="0.3">
      <c r="B46" s="622" t="s">
        <v>457</v>
      </c>
      <c r="C46" s="620">
        <f>C45/C43-1</f>
        <v>0.36017988787209188</v>
      </c>
      <c r="E46" s="1009" t="s">
        <v>462</v>
      </c>
      <c r="F46" s="1009"/>
      <c r="G46" s="1009"/>
      <c r="H46" s="291">
        <v>2</v>
      </c>
    </row>
    <row r="48" spans="2:10" x14ac:dyDescent="0.25">
      <c r="B48" s="236"/>
      <c r="C48" s="236"/>
      <c r="D48" s="236"/>
      <c r="E48" s="236"/>
      <c r="F48" s="236"/>
      <c r="G48" s="236"/>
      <c r="H48" s="236"/>
    </row>
  </sheetData>
  <mergeCells count="8">
    <mergeCell ref="E46:G46"/>
    <mergeCell ref="E36:H37"/>
    <mergeCell ref="B1:B3"/>
    <mergeCell ref="B20:C21"/>
    <mergeCell ref="B29:C30"/>
    <mergeCell ref="C1:H2"/>
    <mergeCell ref="E16:H17"/>
    <mergeCell ref="E26:H27"/>
  </mergeCells>
  <printOptions horizontalCentered="1" verticalCentered="1"/>
  <pageMargins left="0" right="0" top="0" bottom="0" header="0" footer="0"/>
  <pageSetup scale="78" orientation="landscape" horizontalDpi="1200" verticalDpi="1200" r:id="rId1"/>
  <ignoredErrors>
    <ignoredError sqref="C9:G9" formula="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75420-F05A-4E6A-802E-F975B58AEABF}">
  <sheetPr>
    <pageSetUpPr fitToPage="1"/>
  </sheetPr>
  <dimension ref="B1:Q56"/>
  <sheetViews>
    <sheetView zoomScale="70" zoomScaleNormal="70" workbookViewId="0"/>
  </sheetViews>
  <sheetFormatPr defaultColWidth="15.77734375" defaultRowHeight="15" x14ac:dyDescent="0.25"/>
  <cols>
    <col min="1" max="1" width="2" style="1" customWidth="1"/>
    <col min="2" max="3" width="44.77734375" style="1" customWidth="1"/>
    <col min="4" max="4" width="2" style="1" customWidth="1"/>
    <col min="5" max="9" width="15.77734375" style="1"/>
    <col min="10" max="10" width="2" style="1" customWidth="1"/>
    <col min="11" max="13" width="15.77734375" style="1"/>
    <col min="14" max="14" width="2" style="1" customWidth="1"/>
    <col min="15" max="16384" width="15.77734375" style="1"/>
  </cols>
  <sheetData>
    <row r="1" spans="2:17" ht="15" customHeight="1" x14ac:dyDescent="0.25">
      <c r="B1" s="974" t="s">
        <v>3336</v>
      </c>
      <c r="C1" s="975" t="s">
        <v>507</v>
      </c>
      <c r="D1" s="975"/>
      <c r="E1" s="975"/>
      <c r="F1" s="975"/>
      <c r="G1" s="975"/>
      <c r="H1" s="975"/>
      <c r="I1" s="975"/>
      <c r="J1" s="975"/>
      <c r="K1" s="975"/>
      <c r="L1" s="975"/>
      <c r="M1" s="975"/>
      <c r="N1" s="975"/>
      <c r="O1" s="975"/>
      <c r="P1" s="975"/>
      <c r="Q1" s="975"/>
    </row>
    <row r="2" spans="2:17" ht="15" customHeight="1" x14ac:dyDescent="0.25">
      <c r="B2" s="974"/>
      <c r="C2" s="975"/>
      <c r="D2" s="975"/>
      <c r="E2" s="975"/>
      <c r="F2" s="975"/>
      <c r="G2" s="975"/>
      <c r="H2" s="975"/>
      <c r="I2" s="975"/>
      <c r="J2" s="975"/>
      <c r="K2" s="975"/>
      <c r="L2" s="975"/>
      <c r="M2" s="975"/>
      <c r="N2" s="975"/>
      <c r="O2" s="975"/>
      <c r="P2" s="975"/>
      <c r="Q2" s="975"/>
    </row>
    <row r="3" spans="2:17" ht="24.6" customHeight="1" x14ac:dyDescent="0.25">
      <c r="B3" s="974"/>
      <c r="C3" s="975"/>
      <c r="D3" s="975"/>
      <c r="E3" s="975"/>
      <c r="F3" s="975"/>
      <c r="G3" s="975"/>
      <c r="H3" s="975"/>
      <c r="I3" s="975"/>
      <c r="J3" s="975"/>
      <c r="K3" s="975"/>
      <c r="L3" s="975"/>
      <c r="M3" s="975"/>
      <c r="N3" s="975"/>
      <c r="O3" s="975"/>
      <c r="P3" s="975"/>
      <c r="Q3" s="975"/>
    </row>
    <row r="4" spans="2:17" ht="28.2" x14ac:dyDescent="0.5">
      <c r="B4" s="38" t="s">
        <v>121</v>
      </c>
      <c r="C4" s="38"/>
      <c r="D4" s="185"/>
      <c r="E4" s="36"/>
      <c r="F4" s="36"/>
      <c r="G4" s="36"/>
      <c r="H4" s="36"/>
      <c r="I4" s="36"/>
      <c r="J4" s="36"/>
      <c r="K4" s="36"/>
      <c r="L4" s="36"/>
      <c r="M4" s="36"/>
      <c r="N4" s="36"/>
      <c r="O4" s="36"/>
      <c r="P4" s="36"/>
      <c r="Q4" s="36"/>
    </row>
    <row r="6" spans="2:17" ht="15.6" customHeight="1" x14ac:dyDescent="0.3">
      <c r="B6" s="1014" t="s">
        <v>479</v>
      </c>
      <c r="C6" s="1014" t="s">
        <v>478</v>
      </c>
      <c r="D6" s="205"/>
      <c r="E6" s="1011" t="s">
        <v>463</v>
      </c>
      <c r="F6" s="1012"/>
      <c r="G6" s="1012"/>
      <c r="H6" s="1012"/>
      <c r="I6" s="1013"/>
      <c r="J6" s="205"/>
      <c r="K6" s="1011" t="s">
        <v>464</v>
      </c>
      <c r="L6" s="1012"/>
      <c r="M6" s="1013"/>
      <c r="N6" s="205"/>
      <c r="O6" s="1011" t="s">
        <v>465</v>
      </c>
      <c r="P6" s="1012"/>
      <c r="Q6" s="1013"/>
    </row>
    <row r="7" spans="2:17" x14ac:dyDescent="0.25">
      <c r="B7" s="1015"/>
      <c r="C7" s="1015"/>
      <c r="E7" s="229"/>
      <c r="F7" s="229"/>
      <c r="G7" s="229"/>
      <c r="H7" s="229"/>
      <c r="I7" s="229"/>
      <c r="K7" s="229"/>
      <c r="L7" s="229"/>
      <c r="M7" s="229"/>
      <c r="O7" s="229"/>
      <c r="P7" s="229"/>
      <c r="Q7" s="229"/>
    </row>
    <row r="8" spans="2:17" x14ac:dyDescent="0.25">
      <c r="B8" s="1015"/>
      <c r="C8" s="1015"/>
      <c r="E8" s="294" t="s">
        <v>466</v>
      </c>
      <c r="F8" s="294" t="s">
        <v>467</v>
      </c>
      <c r="G8" s="294" t="s">
        <v>469</v>
      </c>
      <c r="H8" s="294" t="s">
        <v>471</v>
      </c>
      <c r="I8" s="294" t="s">
        <v>472</v>
      </c>
      <c r="K8" s="294"/>
      <c r="L8" s="294"/>
      <c r="M8" s="294"/>
      <c r="O8" s="294"/>
      <c r="P8" s="294"/>
      <c r="Q8" s="294"/>
    </row>
    <row r="9" spans="2:17" x14ac:dyDescent="0.25">
      <c r="B9" s="1016"/>
      <c r="C9" s="1016"/>
      <c r="E9" s="295" t="s">
        <v>376</v>
      </c>
      <c r="F9" s="295" t="s">
        <v>468</v>
      </c>
      <c r="G9" s="295" t="s">
        <v>470</v>
      </c>
      <c r="H9" s="295" t="s">
        <v>294</v>
      </c>
      <c r="I9" s="295" t="s">
        <v>473</v>
      </c>
      <c r="K9" s="295" t="s">
        <v>95</v>
      </c>
      <c r="L9" s="295" t="s">
        <v>100</v>
      </c>
      <c r="M9" s="295" t="s">
        <v>474</v>
      </c>
      <c r="O9" s="295" t="s">
        <v>475</v>
      </c>
      <c r="P9" s="295" t="s">
        <v>476</v>
      </c>
      <c r="Q9" s="295" t="s">
        <v>477</v>
      </c>
    </row>
    <row r="10" spans="2:17" x14ac:dyDescent="0.25">
      <c r="B10" s="229"/>
      <c r="C10" s="293"/>
      <c r="E10" s="229"/>
      <c r="F10" s="229"/>
      <c r="G10" s="229"/>
      <c r="H10" s="229"/>
      <c r="I10" s="293"/>
      <c r="K10" s="229"/>
      <c r="L10" s="229"/>
      <c r="M10" s="293"/>
      <c r="O10" s="229"/>
      <c r="P10" s="229"/>
      <c r="Q10" s="293"/>
    </row>
    <row r="11" spans="2:17" ht="15.6" x14ac:dyDescent="0.3">
      <c r="B11" s="299" t="s">
        <v>407</v>
      </c>
      <c r="C11" s="298" t="s">
        <v>378</v>
      </c>
      <c r="E11" s="300">
        <f>'PV OF FCFF'!$C$45</f>
        <v>246.3</v>
      </c>
      <c r="F11" s="299">
        <f>'PV OF FCFF'!$C$42</f>
        <v>566.16999999999996</v>
      </c>
      <c r="G11" s="301">
        <f>E11*F11</f>
        <v>139447.671</v>
      </c>
      <c r="H11" s="299">
        <f>('BALANCE SHEET'!H45+'BALANCE SHEET'!H59)-'BALANCE SHEET'!H15</f>
        <v>3823</v>
      </c>
      <c r="I11" s="302">
        <f>G11+H11</f>
        <v>143270.671</v>
      </c>
      <c r="J11" s="205"/>
      <c r="K11" s="301">
        <f>'PROFIT &amp; LOSS'!$H$6</f>
        <v>89088</v>
      </c>
      <c r="L11" s="301">
        <f>'PROFIT &amp; LOSS'!$H$21</f>
        <v>21904</v>
      </c>
      <c r="M11" s="302">
        <f>'PROFIT &amp; LOSS'!$H$38</f>
        <v>13191</v>
      </c>
      <c r="N11" s="205"/>
      <c r="O11" s="303">
        <f>I11/K11</f>
        <v>1.608192697108477</v>
      </c>
      <c r="P11" s="303">
        <f>I11/L11</f>
        <v>6.5408450967859757</v>
      </c>
      <c r="Q11" s="303">
        <f>E11/'PROFIT &amp; LOSS'!H42</f>
        <v>19.672523961661344</v>
      </c>
    </row>
    <row r="12" spans="2:17" x14ac:dyDescent="0.25">
      <c r="B12" s="230"/>
      <c r="C12" s="293"/>
      <c r="E12" s="230"/>
      <c r="F12" s="230"/>
      <c r="G12" s="230"/>
      <c r="H12" s="230"/>
      <c r="I12" s="293"/>
      <c r="K12" s="230"/>
      <c r="L12" s="230"/>
      <c r="M12" s="293"/>
      <c r="O12" s="230"/>
      <c r="P12" s="230"/>
      <c r="Q12" s="293"/>
    </row>
    <row r="13" spans="2:17" x14ac:dyDescent="0.25">
      <c r="B13" s="230" t="str">
        <f>WACC!$B10</f>
        <v>TCS</v>
      </c>
      <c r="C13" s="293" t="s">
        <v>271</v>
      </c>
      <c r="E13" s="288">
        <f>'DATA SHEET'!C227</f>
        <v>3299.4</v>
      </c>
      <c r="F13" s="230">
        <f>'DATA SHEET'!D227</f>
        <v>362</v>
      </c>
      <c r="G13" s="104">
        <f>'DATA SHEET'!E227</f>
        <v>1194382.8</v>
      </c>
      <c r="H13" s="230">
        <f>'DATA SHEET'!F227</f>
        <v>-1625</v>
      </c>
      <c r="I13" s="181">
        <f>'DATA SHEET'!G227</f>
        <v>1192757.8</v>
      </c>
      <c r="K13" s="104">
        <f>'DATA SHEET'!H227</f>
        <v>255324</v>
      </c>
      <c r="L13" s="104">
        <f>'DATA SHEET'!I227</f>
        <v>71369</v>
      </c>
      <c r="M13" s="104">
        <f>'DATA SHEET'!J227</f>
        <v>48797</v>
      </c>
      <c r="O13" s="306">
        <f>I13/K13</f>
        <v>4.6715459572934783</v>
      </c>
      <c r="P13" s="306">
        <f>I13/L13</f>
        <v>16.712547464585466</v>
      </c>
      <c r="Q13" s="307">
        <f>G13/M13</f>
        <v>24.476562083734656</v>
      </c>
    </row>
    <row r="14" spans="2:17" x14ac:dyDescent="0.25">
      <c r="B14" s="230" t="str">
        <f>WACC!$B11</f>
        <v>Infosys</v>
      </c>
      <c r="C14" s="293" t="s">
        <v>491</v>
      </c>
      <c r="E14" s="288">
        <f>'DATA SHEET'!C228</f>
        <v>1451.65</v>
      </c>
      <c r="F14" s="230">
        <f>'DATA SHEET'!D228</f>
        <v>405</v>
      </c>
      <c r="G14" s="104">
        <f>'DATA SHEET'!E228</f>
        <v>587918.25</v>
      </c>
      <c r="H14" s="230">
        <f>'DATA SHEET'!F228</f>
        <v>-11179</v>
      </c>
      <c r="I14" s="181">
        <f>'DATA SHEET'!G228</f>
        <v>576739.25</v>
      </c>
      <c r="K14" s="104">
        <f>'DATA SHEET'!H228</f>
        <v>162990</v>
      </c>
      <c r="L14" s="104">
        <f>'DATA SHEET'!I228</f>
        <v>42836</v>
      </c>
      <c r="M14" s="104">
        <f>'DATA SHEET'!J228</f>
        <v>26750</v>
      </c>
      <c r="O14" s="306">
        <f t="shared" ref="O14:O18" si="0">I14/K14</f>
        <v>3.5384946929259464</v>
      </c>
      <c r="P14" s="306">
        <f t="shared" ref="P14:P18" si="1">I14/L14</f>
        <v>13.463891353067513</v>
      </c>
      <c r="Q14" s="307">
        <f t="shared" ref="Q14:Q18" si="2">G14/M14</f>
        <v>21.978252336448598</v>
      </c>
    </row>
    <row r="15" spans="2:17" x14ac:dyDescent="0.25">
      <c r="B15" s="230" t="str">
        <f>WACC!$B12</f>
        <v>HCL Technologies</v>
      </c>
      <c r="C15" s="293" t="s">
        <v>492</v>
      </c>
      <c r="E15" s="288">
        <f>'DATA SHEET'!C229</f>
        <v>1422.1</v>
      </c>
      <c r="F15" s="230">
        <f>'DATA SHEET'!D229</f>
        <v>271</v>
      </c>
      <c r="G15" s="104">
        <f>'DATA SHEET'!E229</f>
        <v>385389.1</v>
      </c>
      <c r="H15" s="230">
        <f>'DATA SHEET'!F229</f>
        <v>-16968</v>
      </c>
      <c r="I15" s="181">
        <f>'DATA SHEET'!G229</f>
        <v>368421.1</v>
      </c>
      <c r="K15" s="104">
        <f>'DATA SHEET'!H229</f>
        <v>117055</v>
      </c>
      <c r="L15" s="104">
        <f>'DATA SHEET'!I229</f>
        <v>27989</v>
      </c>
      <c r="M15" s="104">
        <f>'DATA SHEET'!J229</f>
        <v>17399</v>
      </c>
      <c r="O15" s="306">
        <f t="shared" si="0"/>
        <v>3.1474187347827942</v>
      </c>
      <c r="P15" s="306">
        <f t="shared" si="1"/>
        <v>13.163067633713244</v>
      </c>
      <c r="Q15" s="307">
        <f t="shared" si="2"/>
        <v>22.150071843209378</v>
      </c>
    </row>
    <row r="16" spans="2:17" x14ac:dyDescent="0.25">
      <c r="B16" s="230" t="str">
        <f>WACC!$B13</f>
        <v>LTIMindtree</v>
      </c>
      <c r="C16" s="293" t="s">
        <v>493</v>
      </c>
      <c r="E16" s="288">
        <f>'DATA SHEET'!C230</f>
        <v>4136.25</v>
      </c>
      <c r="F16" s="230">
        <f>'DATA SHEET'!D230</f>
        <v>30</v>
      </c>
      <c r="G16" s="104">
        <f>'DATA SHEET'!E230</f>
        <v>124087.5</v>
      </c>
      <c r="H16" s="230">
        <f>'DATA SHEET'!F230</f>
        <v>-602</v>
      </c>
      <c r="I16" s="181">
        <f>'DATA SHEET'!G230</f>
        <v>123485.5</v>
      </c>
      <c r="K16" s="104">
        <f>'DATA SHEET'!H230</f>
        <v>38008</v>
      </c>
      <c r="L16" s="104">
        <f>'DATA SHEET'!I230</f>
        <v>7485</v>
      </c>
      <c r="M16" s="104">
        <f>'DATA SHEET'!J230</f>
        <v>4602</v>
      </c>
      <c r="O16" s="306">
        <f t="shared" si="0"/>
        <v>3.24893443485582</v>
      </c>
      <c r="P16" s="306">
        <f t="shared" si="1"/>
        <v>16.497728790915165</v>
      </c>
      <c r="Q16" s="307">
        <f t="shared" si="2"/>
        <v>26.963820078226856</v>
      </c>
    </row>
    <row r="17" spans="2:17" x14ac:dyDescent="0.25">
      <c r="B17" s="230" t="str">
        <f>WACC!$B14</f>
        <v>Tech Mahindra</v>
      </c>
      <c r="C17" s="293" t="s">
        <v>494</v>
      </c>
      <c r="E17" s="288">
        <f>'DATA SHEET'!C231</f>
        <v>1320.95</v>
      </c>
      <c r="F17" s="230">
        <f>'DATA SHEET'!D231</f>
        <v>97</v>
      </c>
      <c r="G17" s="104">
        <f>'DATA SHEET'!E231</f>
        <v>128132.15000000001</v>
      </c>
      <c r="H17" s="230">
        <f>'DATA SHEET'!F231</f>
        <v>-2333</v>
      </c>
      <c r="I17" s="181">
        <f>'DATA SHEET'!G231</f>
        <v>125799.15000000001</v>
      </c>
      <c r="K17" s="104">
        <f>'DATA SHEET'!H231</f>
        <v>52988</v>
      </c>
      <c r="L17" s="104">
        <f>'DATA SHEET'!I231</f>
        <v>7828</v>
      </c>
      <c r="M17" s="104">
        <f>'DATA SHEET'!J231</f>
        <v>4253</v>
      </c>
      <c r="O17" s="306">
        <f t="shared" si="0"/>
        <v>2.3741064014493851</v>
      </c>
      <c r="P17" s="306">
        <f t="shared" si="1"/>
        <v>16.070407511497191</v>
      </c>
      <c r="Q17" s="307">
        <f t="shared" si="2"/>
        <v>30.127474723724433</v>
      </c>
    </row>
    <row r="18" spans="2:17" x14ac:dyDescent="0.25">
      <c r="B18" s="231" t="str">
        <f>WACC!$B15</f>
        <v>Persistent Systems</v>
      </c>
      <c r="C18" s="228" t="s">
        <v>495</v>
      </c>
      <c r="E18" s="113">
        <f>'DATA SHEET'!C232</f>
        <v>4609.95</v>
      </c>
      <c r="F18" s="231">
        <f>'DATA SHEET'!D232</f>
        <v>15</v>
      </c>
      <c r="G18" s="105">
        <f>'DATA SHEET'!E232</f>
        <v>69149.25</v>
      </c>
      <c r="H18" s="231">
        <f>'DATA SHEET'!F232</f>
        <v>-799</v>
      </c>
      <c r="I18" s="163">
        <f>'DATA SHEET'!G232</f>
        <v>68350.25</v>
      </c>
      <c r="K18" s="105">
        <f>'DATA SHEET'!H232</f>
        <v>11939</v>
      </c>
      <c r="L18" s="105">
        <f>'DATA SHEET'!I232</f>
        <v>2196</v>
      </c>
      <c r="M18" s="105">
        <f>'DATA SHEET'!J232</f>
        <v>1400</v>
      </c>
      <c r="O18" s="308">
        <f t="shared" si="0"/>
        <v>5.7249560264678783</v>
      </c>
      <c r="P18" s="308">
        <f t="shared" si="1"/>
        <v>31.124886156648451</v>
      </c>
      <c r="Q18" s="309">
        <f t="shared" si="2"/>
        <v>49.392321428571428</v>
      </c>
    </row>
    <row r="20" spans="2:17" x14ac:dyDescent="0.25">
      <c r="B20" s="597" t="s">
        <v>487</v>
      </c>
      <c r="C20" s="595"/>
      <c r="D20" s="595"/>
      <c r="E20" s="595"/>
      <c r="F20" s="595"/>
      <c r="G20" s="595"/>
      <c r="H20" s="595"/>
      <c r="I20" s="595"/>
      <c r="J20" s="595"/>
      <c r="K20" s="595"/>
      <c r="L20" s="595"/>
      <c r="M20" s="595"/>
      <c r="N20" s="595"/>
      <c r="O20" s="601">
        <f>MAX(O11,O13:O18)</f>
        <v>5.7249560264678783</v>
      </c>
      <c r="P20" s="601">
        <f t="shared" ref="P20:Q20" si="3">MAX(P11,P13:P18)</f>
        <v>31.124886156648451</v>
      </c>
      <c r="Q20" s="605">
        <f t="shared" si="3"/>
        <v>49.392321428571428</v>
      </c>
    </row>
    <row r="21" spans="2:17" ht="17.399999999999999" x14ac:dyDescent="0.25">
      <c r="B21" s="598" t="s">
        <v>488</v>
      </c>
      <c r="C21" s="259"/>
      <c r="D21" s="259"/>
      <c r="E21" s="259"/>
      <c r="F21" s="259"/>
      <c r="G21" s="259"/>
      <c r="H21" s="259"/>
      <c r="I21" s="259"/>
      <c r="J21" s="259"/>
      <c r="K21" s="259"/>
      <c r="L21" s="259"/>
      <c r="M21" s="259"/>
      <c r="N21" s="259"/>
      <c r="O21" s="602">
        <f>QUARTILE(O11:O18,3)</f>
        <v>4.1050203251097122</v>
      </c>
      <c r="P21" s="602">
        <f t="shared" ref="P21:Q21" si="4">QUARTILE(P11:P18,3)</f>
        <v>16.605138127750315</v>
      </c>
      <c r="Q21" s="606">
        <f t="shared" si="4"/>
        <v>28.545647400975646</v>
      </c>
    </row>
    <row r="22" spans="2:17" ht="15.6" x14ac:dyDescent="0.3">
      <c r="B22" s="599" t="s">
        <v>278</v>
      </c>
      <c r="C22" s="259"/>
      <c r="D22" s="259"/>
      <c r="E22" s="259"/>
      <c r="F22" s="259"/>
      <c r="G22" s="259"/>
      <c r="H22" s="259"/>
      <c r="I22" s="259"/>
      <c r="J22" s="259"/>
      <c r="K22" s="259"/>
      <c r="L22" s="259"/>
      <c r="M22" s="259"/>
      <c r="N22" s="259"/>
      <c r="O22" s="603">
        <f>AVERAGE(O11,O13:O18)</f>
        <v>3.4733784206976828</v>
      </c>
      <c r="P22" s="603">
        <f t="shared" ref="P22:Q22" si="5">AVERAGE(P11,P13:P18)</f>
        <v>16.224767715316144</v>
      </c>
      <c r="Q22" s="607">
        <f t="shared" si="5"/>
        <v>27.823003779368097</v>
      </c>
    </row>
    <row r="23" spans="2:17" ht="15.6" x14ac:dyDescent="0.3">
      <c r="B23" s="599" t="s">
        <v>279</v>
      </c>
      <c r="C23" s="259"/>
      <c r="D23" s="259"/>
      <c r="E23" s="259"/>
      <c r="F23" s="259"/>
      <c r="G23" s="259"/>
      <c r="H23" s="259"/>
      <c r="I23" s="259"/>
      <c r="J23" s="259"/>
      <c r="K23" s="259"/>
      <c r="L23" s="259"/>
      <c r="M23" s="259"/>
      <c r="N23" s="259"/>
      <c r="O23" s="603">
        <f>MEDIAN(O11,O13:O18)</f>
        <v>3.24893443485582</v>
      </c>
      <c r="P23" s="603">
        <f t="shared" ref="P23:Q23" si="6">MEDIAN(P11,P13:P18)</f>
        <v>16.070407511497191</v>
      </c>
      <c r="Q23" s="607">
        <f t="shared" si="6"/>
        <v>24.476562083734656</v>
      </c>
    </row>
    <row r="24" spans="2:17" ht="17.399999999999999" x14ac:dyDescent="0.25">
      <c r="B24" s="598" t="s">
        <v>490</v>
      </c>
      <c r="C24" s="259"/>
      <c r="D24" s="259"/>
      <c r="E24" s="259"/>
      <c r="F24" s="259"/>
      <c r="G24" s="259"/>
      <c r="H24" s="259"/>
      <c r="I24" s="259"/>
      <c r="J24" s="259"/>
      <c r="K24" s="259"/>
      <c r="L24" s="259"/>
      <c r="M24" s="259"/>
      <c r="N24" s="259"/>
      <c r="O24" s="602">
        <f>QUARTILE(O11:O18,1)</f>
        <v>2.7607625681160899</v>
      </c>
      <c r="P24" s="602">
        <f t="shared" ref="P24:Q24" si="7">QUARTILE(P11:P18,1)</f>
        <v>13.313479493390378</v>
      </c>
      <c r="Q24" s="606">
        <f t="shared" si="7"/>
        <v>22.06416208982899</v>
      </c>
    </row>
    <row r="25" spans="2:17" x14ac:dyDescent="0.25">
      <c r="B25" s="600" t="s">
        <v>489</v>
      </c>
      <c r="C25" s="596"/>
      <c r="D25" s="596"/>
      <c r="E25" s="596"/>
      <c r="F25" s="596"/>
      <c r="G25" s="596"/>
      <c r="H25" s="596"/>
      <c r="I25" s="596"/>
      <c r="J25" s="596"/>
      <c r="K25" s="596"/>
      <c r="L25" s="596"/>
      <c r="M25" s="596"/>
      <c r="N25" s="596"/>
      <c r="O25" s="604">
        <f>MIN(O11,O13:O18)</f>
        <v>1.608192697108477</v>
      </c>
      <c r="P25" s="604">
        <f t="shared" ref="P25:Q25" si="8">MIN(P11,P13:P18)</f>
        <v>6.5408450967859757</v>
      </c>
      <c r="Q25" s="608">
        <f t="shared" si="8"/>
        <v>19.672523961661344</v>
      </c>
    </row>
    <row r="27" spans="2:17" ht="15.6" x14ac:dyDescent="0.3">
      <c r="B27" s="270" t="s">
        <v>486</v>
      </c>
      <c r="C27" s="28"/>
      <c r="D27" s="28"/>
      <c r="E27" s="28"/>
      <c r="F27" s="28"/>
      <c r="G27" s="28"/>
      <c r="H27" s="28"/>
      <c r="I27" s="28"/>
      <c r="J27" s="28"/>
      <c r="K27" s="28"/>
      <c r="L27" s="28"/>
      <c r="M27" s="28"/>
      <c r="N27" s="28"/>
      <c r="O27" s="28"/>
      <c r="P27" s="28"/>
      <c r="Q27" s="28"/>
    </row>
    <row r="29" spans="2:17" x14ac:dyDescent="0.25">
      <c r="B29" s="233" t="s">
        <v>482</v>
      </c>
      <c r="C29" s="296"/>
      <c r="D29" s="296"/>
      <c r="E29" s="296"/>
      <c r="F29" s="296"/>
      <c r="G29" s="296"/>
      <c r="H29" s="296"/>
      <c r="I29" s="296"/>
      <c r="J29" s="296"/>
      <c r="K29" s="296"/>
      <c r="L29" s="296"/>
      <c r="M29" s="296"/>
      <c r="N29" s="296"/>
      <c r="O29" s="46">
        <f>O$23*K11</f>
        <v>289441.07093243528</v>
      </c>
      <c r="P29" s="46">
        <f>P$23*L11</f>
        <v>352006.20613183448</v>
      </c>
      <c r="Q29" s="46">
        <f>Q31+Q30</f>
        <v>326693.33044654387</v>
      </c>
    </row>
    <row r="30" spans="2:17" x14ac:dyDescent="0.25">
      <c r="B30" s="266" t="s">
        <v>483</v>
      </c>
      <c r="O30" s="104">
        <f>$H$11</f>
        <v>3823</v>
      </c>
      <c r="P30" s="104">
        <f t="shared" ref="P30:Q30" si="9">$H$11</f>
        <v>3823</v>
      </c>
      <c r="Q30" s="104">
        <f t="shared" si="9"/>
        <v>3823</v>
      </c>
    </row>
    <row r="31" spans="2:17" x14ac:dyDescent="0.25">
      <c r="B31" s="266" t="s">
        <v>484</v>
      </c>
      <c r="O31" s="104">
        <f>O29-O30</f>
        <v>285618.07093243528</v>
      </c>
      <c r="P31" s="104">
        <f t="shared" ref="P31" si="10">P29-P30</f>
        <v>348183.20613183448</v>
      </c>
      <c r="Q31" s="104">
        <f>Q23*M11</f>
        <v>322870.33044654387</v>
      </c>
    </row>
    <row r="32" spans="2:17" x14ac:dyDescent="0.25">
      <c r="B32" s="265" t="s">
        <v>485</v>
      </c>
      <c r="C32" s="297"/>
      <c r="D32" s="297"/>
      <c r="E32" s="297"/>
      <c r="F32" s="297"/>
      <c r="G32" s="297"/>
      <c r="H32" s="297"/>
      <c r="I32" s="297"/>
      <c r="J32" s="297"/>
      <c r="K32" s="297"/>
      <c r="L32" s="297"/>
      <c r="M32" s="297"/>
      <c r="N32" s="297"/>
      <c r="O32" s="105">
        <f>$F$11</f>
        <v>566.16999999999996</v>
      </c>
      <c r="P32" s="163">
        <f t="shared" ref="P32:Q32" si="11">$F$11</f>
        <v>566.16999999999996</v>
      </c>
      <c r="Q32" s="163">
        <f t="shared" si="11"/>
        <v>566.16999999999996</v>
      </c>
    </row>
    <row r="34" spans="2:17" ht="15.6" x14ac:dyDescent="0.3">
      <c r="B34" s="590" t="s">
        <v>481</v>
      </c>
      <c r="C34" s="609"/>
      <c r="D34" s="609"/>
      <c r="E34" s="609"/>
      <c r="F34" s="609"/>
      <c r="G34" s="609"/>
      <c r="H34" s="609"/>
      <c r="I34" s="609"/>
      <c r="J34" s="609"/>
      <c r="K34" s="609"/>
      <c r="L34" s="609"/>
      <c r="M34" s="609"/>
      <c r="N34" s="609"/>
      <c r="O34" s="610">
        <f>O31/O32</f>
        <v>504.47404654509302</v>
      </c>
      <c r="P34" s="610">
        <f t="shared" ref="P34:Q34" si="12">P31/P32</f>
        <v>614.97996384802184</v>
      </c>
      <c r="Q34" s="611">
        <f t="shared" si="12"/>
        <v>570.27099713256428</v>
      </c>
    </row>
    <row r="36" spans="2:17" ht="15.6" x14ac:dyDescent="0.3">
      <c r="B36" s="269" t="s">
        <v>480</v>
      </c>
      <c r="C36" s="269"/>
      <c r="D36" s="269"/>
      <c r="E36" s="269"/>
      <c r="F36" s="269"/>
      <c r="G36" s="269"/>
      <c r="H36" s="269"/>
      <c r="I36" s="269"/>
      <c r="J36" s="269"/>
      <c r="K36" s="269"/>
      <c r="L36" s="269"/>
      <c r="M36" s="269"/>
      <c r="N36" s="269"/>
      <c r="O36" s="310" t="str">
        <f>IF(O34&gt;$E$11,"Undervalued","Overvalued")</f>
        <v>Undervalued</v>
      </c>
      <c r="P36" s="310" t="str">
        <f t="shared" ref="P36:Q36" si="13">IF(P34&gt;$E$11,"Undervalued","Overvalued")</f>
        <v>Undervalued</v>
      </c>
      <c r="Q36" s="310" t="str">
        <f t="shared" si="13"/>
        <v>Undervalued</v>
      </c>
    </row>
    <row r="38" spans="2:17" x14ac:dyDescent="0.25">
      <c r="B38" s="947" t="s">
        <v>504</v>
      </c>
      <c r="C38" s="947"/>
      <c r="D38" s="947"/>
      <c r="F38" s="947" t="s">
        <v>505</v>
      </c>
      <c r="G38" s="947"/>
      <c r="H38" s="947"/>
      <c r="I38" s="947"/>
      <c r="J38" s="947"/>
      <c r="L38" s="947" t="s">
        <v>506</v>
      </c>
      <c r="M38" s="947"/>
      <c r="N38" s="947"/>
      <c r="O38" s="947"/>
      <c r="P38" s="947"/>
      <c r="Q38" s="947"/>
    </row>
    <row r="39" spans="2:17" x14ac:dyDescent="0.25">
      <c r="B39" s="947"/>
      <c r="C39" s="947"/>
      <c r="D39" s="947"/>
      <c r="F39" s="947"/>
      <c r="G39" s="947"/>
      <c r="H39" s="947"/>
      <c r="I39" s="947"/>
      <c r="J39" s="947"/>
      <c r="L39" s="947"/>
      <c r="M39" s="947"/>
      <c r="N39" s="947"/>
      <c r="O39" s="947"/>
      <c r="P39" s="947"/>
      <c r="Q39" s="947"/>
    </row>
    <row r="54" spans="2:17" ht="15.6" thickBot="1" x14ac:dyDescent="0.3">
      <c r="B54" s="258"/>
      <c r="C54" s="258"/>
      <c r="D54" s="258"/>
      <c r="E54" s="258"/>
      <c r="F54" s="258"/>
      <c r="G54" s="258"/>
      <c r="H54" s="258"/>
      <c r="I54" s="258"/>
      <c r="J54" s="258"/>
      <c r="K54" s="258"/>
      <c r="L54" s="258"/>
      <c r="M54" s="258"/>
      <c r="N54" s="258"/>
      <c r="O54" s="258"/>
      <c r="P54" s="258"/>
      <c r="Q54" s="258"/>
    </row>
    <row r="56" spans="2:17" x14ac:dyDescent="0.25">
      <c r="B56" s="236"/>
      <c r="C56" s="236"/>
      <c r="D56" s="236"/>
      <c r="E56" s="236"/>
      <c r="F56" s="236"/>
      <c r="G56" s="236"/>
      <c r="H56" s="236"/>
      <c r="I56" s="236"/>
      <c r="J56" s="236"/>
      <c r="K56" s="236"/>
      <c r="L56" s="236"/>
      <c r="M56" s="236"/>
      <c r="N56" s="236"/>
      <c r="O56" s="236"/>
      <c r="P56" s="236"/>
      <c r="Q56" s="236"/>
    </row>
  </sheetData>
  <mergeCells count="10">
    <mergeCell ref="B38:D39"/>
    <mergeCell ref="F38:J39"/>
    <mergeCell ref="L38:Q39"/>
    <mergeCell ref="C1:Q3"/>
    <mergeCell ref="B1:B3"/>
    <mergeCell ref="E6:I6"/>
    <mergeCell ref="K6:M6"/>
    <mergeCell ref="O6:Q6"/>
    <mergeCell ref="B6:B9"/>
    <mergeCell ref="C6:C9"/>
  </mergeCells>
  <printOptions horizontalCentered="1" verticalCentered="1"/>
  <pageMargins left="0" right="0" top="0" bottom="0" header="0" footer="0"/>
  <pageSetup scale="51" orientation="landscape" horizontalDpi="1200" verticalDpi="1200" r:id="rId1"/>
  <colBreaks count="1" manualBreakCount="1">
    <brk id="17" max="104857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5F92E-EB09-45A1-BF12-C1BF20339BA6}">
  <sheetPr>
    <pageSetUpPr fitToPage="1"/>
  </sheetPr>
  <dimension ref="B1:L64"/>
  <sheetViews>
    <sheetView zoomScale="70" zoomScaleNormal="70" workbookViewId="0"/>
  </sheetViews>
  <sheetFormatPr defaultColWidth="15.77734375" defaultRowHeight="15" x14ac:dyDescent="0.25"/>
  <cols>
    <col min="1" max="1" width="2" style="1" customWidth="1"/>
    <col min="2" max="2" width="44.77734375" style="1" customWidth="1"/>
    <col min="3" max="7" width="15.77734375" style="1"/>
    <col min="8" max="9" width="2" style="1" customWidth="1"/>
    <col min="10" max="12" width="20.77734375" style="1" customWidth="1"/>
    <col min="13" max="16384" width="15.77734375" style="1"/>
  </cols>
  <sheetData>
    <row r="1" spans="2:12" ht="15" customHeight="1" x14ac:dyDescent="0.25">
      <c r="B1" s="974" t="s">
        <v>3336</v>
      </c>
      <c r="C1" s="975" t="s">
        <v>510</v>
      </c>
      <c r="D1" s="975"/>
      <c r="E1" s="975"/>
      <c r="F1" s="975"/>
      <c r="G1" s="975"/>
      <c r="H1" s="316"/>
      <c r="I1" s="236"/>
      <c r="J1" s="1017" t="s">
        <v>540</v>
      </c>
      <c r="K1" s="1017"/>
      <c r="L1" s="1017"/>
    </row>
    <row r="2" spans="2:12" ht="15" customHeight="1" x14ac:dyDescent="0.25">
      <c r="B2" s="974"/>
      <c r="C2" s="975"/>
      <c r="D2" s="975"/>
      <c r="E2" s="975"/>
      <c r="F2" s="975"/>
      <c r="G2" s="975"/>
      <c r="H2" s="316"/>
      <c r="I2" s="236"/>
      <c r="J2" s="1017"/>
      <c r="K2" s="1017"/>
      <c r="L2" s="1017"/>
    </row>
    <row r="3" spans="2:12" ht="24.6" x14ac:dyDescent="0.4">
      <c r="B3" s="974"/>
      <c r="C3" s="35" t="s">
        <v>83</v>
      </c>
      <c r="D3" s="35" t="s">
        <v>84</v>
      </c>
      <c r="E3" s="35" t="s">
        <v>85</v>
      </c>
      <c r="F3" s="35" t="s">
        <v>86</v>
      </c>
      <c r="G3" s="35" t="s">
        <v>87</v>
      </c>
      <c r="H3" s="35"/>
      <c r="I3" s="236"/>
      <c r="J3" s="1017" t="s">
        <v>541</v>
      </c>
      <c r="K3" s="1017"/>
      <c r="L3" s="1017"/>
    </row>
    <row r="4" spans="2:12" ht="28.2" x14ac:dyDescent="0.5">
      <c r="B4" s="38" t="s">
        <v>121</v>
      </c>
      <c r="C4" s="36">
        <v>44276</v>
      </c>
      <c r="D4" s="36">
        <f>EDATE(C4,12)</f>
        <v>44641</v>
      </c>
      <c r="E4" s="36">
        <f t="shared" ref="E4:G4" si="0">EDATE(D4,12)</f>
        <v>45006</v>
      </c>
      <c r="F4" s="36">
        <f t="shared" si="0"/>
        <v>45372</v>
      </c>
      <c r="G4" s="36">
        <f t="shared" si="0"/>
        <v>45737</v>
      </c>
      <c r="H4" s="36"/>
      <c r="I4" s="319"/>
      <c r="J4" s="319"/>
      <c r="K4" s="319"/>
      <c r="L4" s="319"/>
    </row>
    <row r="6" spans="2:12" ht="15" customHeight="1" x14ac:dyDescent="0.25">
      <c r="B6" s="971" t="s">
        <v>511</v>
      </c>
      <c r="C6" s="971"/>
      <c r="D6" s="971"/>
      <c r="E6" s="971"/>
      <c r="F6" s="971"/>
      <c r="G6" s="971"/>
      <c r="H6" s="318"/>
      <c r="J6" s="947" t="s">
        <v>537</v>
      </c>
      <c r="K6" s="947" t="s">
        <v>538</v>
      </c>
      <c r="L6" s="947" t="s">
        <v>539</v>
      </c>
    </row>
    <row r="7" spans="2:12" ht="15" customHeight="1" x14ac:dyDescent="0.25">
      <c r="B7" s="971"/>
      <c r="C7" s="971"/>
      <c r="D7" s="971"/>
      <c r="E7" s="971"/>
      <c r="F7" s="971"/>
      <c r="G7" s="971"/>
      <c r="H7" s="318"/>
      <c r="J7" s="947"/>
      <c r="K7" s="947"/>
      <c r="L7" s="947"/>
    </row>
    <row r="8" spans="2:12" x14ac:dyDescent="0.25">
      <c r="H8" s="293"/>
      <c r="K8" s="315"/>
      <c r="L8" s="315"/>
    </row>
    <row r="9" spans="2:12" x14ac:dyDescent="0.25">
      <c r="B9" s="233" t="s">
        <v>516</v>
      </c>
      <c r="C9" s="321">
        <f>'BALANCE SHEET'!D21/'BALANCE SHEET'!D55</f>
        <v>2.2807772561293689</v>
      </c>
      <c r="D9" s="321">
        <f>'BALANCE SHEET'!E21/'BALANCE SHEET'!E55</f>
        <v>2.0308446902363553</v>
      </c>
      <c r="E9" s="321">
        <f>'BALANCE SHEET'!F21/'BALANCE SHEET'!F55</f>
        <v>2.4715747796204992</v>
      </c>
      <c r="F9" s="321">
        <f>'BALANCE SHEET'!G21/'BALANCE SHEET'!G55</f>
        <v>2.5814156137362856</v>
      </c>
      <c r="G9" s="321">
        <f>'BALANCE SHEET'!H21/'BALANCE SHEET'!H55</f>
        <v>2.7217117903930133</v>
      </c>
      <c r="H9" s="293"/>
      <c r="J9" s="233"/>
      <c r="K9" s="322">
        <f>AVERAGE(C9:G9)</f>
        <v>2.4172648260231044</v>
      </c>
      <c r="L9" s="323">
        <f>MEDIAN(C9:G9)</f>
        <v>2.4715747796204992</v>
      </c>
    </row>
    <row r="10" spans="2:12" x14ac:dyDescent="0.25">
      <c r="B10" s="266" t="s">
        <v>517</v>
      </c>
      <c r="C10" s="306">
        <f>('BALANCE SHEET'!D21-'BALANCE SHEET'!D10)/'BALANCE SHEET'!D55</f>
        <v>2.2761693618501129</v>
      </c>
      <c r="D10" s="306">
        <f>('BALANCE SHEET'!E21-'BALANCE SHEET'!E10)/'BALANCE SHEET'!E55</f>
        <v>2.0264665218250051</v>
      </c>
      <c r="E10" s="306">
        <f>('BALANCE SHEET'!F21-'BALANCE SHEET'!F10)/'BALANCE SHEET'!F55</f>
        <v>2.4671298371432839</v>
      </c>
      <c r="F10" s="306">
        <f>('BALANCE SHEET'!G21-'BALANCE SHEET'!G10)/'BALANCE SHEET'!G55</f>
        <v>2.5778112250960512</v>
      </c>
      <c r="G10" s="306">
        <f>('BALANCE SHEET'!H21-'BALANCE SHEET'!H10)/'BALANCE SHEET'!H55</f>
        <v>2.7193013100436683</v>
      </c>
      <c r="H10" s="293"/>
      <c r="J10" s="266"/>
      <c r="K10" s="324">
        <f t="shared" ref="K10:K11" si="1">AVERAGE(C10:G10)</f>
        <v>2.4133756511916244</v>
      </c>
      <c r="L10" s="325">
        <f t="shared" ref="L10:L11" si="2">MEDIAN(C10:G10)</f>
        <v>2.4671298371432839</v>
      </c>
    </row>
    <row r="11" spans="2:12" x14ac:dyDescent="0.25">
      <c r="B11" s="265" t="s">
        <v>518</v>
      </c>
      <c r="C11" s="308">
        <f>'BALANCE SHEET'!D15/'BALANCE SHEET'!D55</f>
        <v>0.75956355416449317</v>
      </c>
      <c r="D11" s="308">
        <f>'BALANCE SHEET'!E15/'BALANCE SHEET'!E55</f>
        <v>0.32925143195733753</v>
      </c>
      <c r="E11" s="308">
        <f>'BALANCE SHEET'!F15/'BALANCE SHEET'!F55</f>
        <v>0.34539817720005977</v>
      </c>
      <c r="F11" s="308">
        <f>'BALANCE SHEET'!G15/'BALANCE SHEET'!G55</f>
        <v>0.38824414781954292</v>
      </c>
      <c r="G11" s="308">
        <f>'BALANCE SHEET'!H15/'BALANCE SHEET'!H55</f>
        <v>0.43172052401746724</v>
      </c>
      <c r="H11" s="293"/>
      <c r="J11" s="265"/>
      <c r="K11" s="326">
        <f t="shared" si="1"/>
        <v>0.45083556703178013</v>
      </c>
      <c r="L11" s="327">
        <f t="shared" si="2"/>
        <v>0.38824414781954292</v>
      </c>
    </row>
    <row r="12" spans="2:12" x14ac:dyDescent="0.25">
      <c r="H12" s="293"/>
      <c r="K12" s="315"/>
      <c r="L12" s="315"/>
    </row>
    <row r="13" spans="2:12" ht="15" customHeight="1" x14ac:dyDescent="0.25">
      <c r="B13" s="971" t="s">
        <v>512</v>
      </c>
      <c r="C13" s="971"/>
      <c r="D13" s="971"/>
      <c r="E13" s="971"/>
      <c r="F13" s="971"/>
      <c r="G13" s="971"/>
      <c r="H13" s="318"/>
      <c r="J13" s="947" t="s">
        <v>537</v>
      </c>
      <c r="K13" s="947" t="s">
        <v>538</v>
      </c>
      <c r="L13" s="947" t="s">
        <v>539</v>
      </c>
    </row>
    <row r="14" spans="2:12" ht="15" customHeight="1" x14ac:dyDescent="0.25">
      <c r="B14" s="971"/>
      <c r="C14" s="971"/>
      <c r="D14" s="971"/>
      <c r="E14" s="971"/>
      <c r="F14" s="971"/>
      <c r="G14" s="971"/>
      <c r="H14" s="318"/>
      <c r="J14" s="947"/>
      <c r="K14" s="947"/>
      <c r="L14" s="947"/>
    </row>
    <row r="15" spans="2:12" x14ac:dyDescent="0.25">
      <c r="H15" s="293"/>
      <c r="K15" s="315"/>
      <c r="L15" s="315"/>
    </row>
    <row r="16" spans="2:12" x14ac:dyDescent="0.25">
      <c r="B16" s="233" t="s">
        <v>519</v>
      </c>
      <c r="C16" s="268">
        <f>'PROFIT &amp; LOSS'!D22</f>
        <v>0.27020502901353965</v>
      </c>
      <c r="D16" s="268">
        <f>'PROFIT &amp; LOSS'!E22</f>
        <v>0.21563917146709155</v>
      </c>
      <c r="E16" s="268">
        <f>'PROFIT &amp; LOSS'!F22</f>
        <v>0.21051276273859723</v>
      </c>
      <c r="F16" s="268">
        <f>'PROFIT &amp; LOSS'!G22</f>
        <v>0.21032188260751961</v>
      </c>
      <c r="G16" s="245">
        <f>'PROFIT &amp; LOSS'!H22</f>
        <v>0.23559781439573205</v>
      </c>
      <c r="H16" s="293"/>
      <c r="J16" s="233"/>
      <c r="K16" s="331">
        <f>AVERAGE(C16:G16)</f>
        <v>0.22845533204449603</v>
      </c>
      <c r="L16" s="328">
        <f>MEDIAN(C16:G16)</f>
        <v>0.21563917146709155</v>
      </c>
    </row>
    <row r="17" spans="2:12" x14ac:dyDescent="0.25">
      <c r="B17" s="266" t="s">
        <v>520</v>
      </c>
      <c r="C17" s="261">
        <f>'PROFIT &amp; LOSS'!D28</f>
        <v>0.22745067698259189</v>
      </c>
      <c r="D17" s="261">
        <f>'PROFIT &amp; LOSS'!E28</f>
        <v>0.17791396004412305</v>
      </c>
      <c r="E17" s="261">
        <f>'PROFIT &amp; LOSS'!F28</f>
        <v>0.17467623737942725</v>
      </c>
      <c r="F17" s="261">
        <f>'PROFIT &amp; LOSS'!G28</f>
        <v>0.17345956180687044</v>
      </c>
      <c r="G17" s="246">
        <f>'PROFIT &amp; LOSS'!H28</f>
        <v>0.20378178376285333</v>
      </c>
      <c r="H17" s="293"/>
      <c r="J17" s="266"/>
      <c r="K17" s="332">
        <f t="shared" ref="K17:K18" si="3">AVERAGE(C17:G17)</f>
        <v>0.1914564439951732</v>
      </c>
      <c r="L17" s="329">
        <f t="shared" ref="L17:L18" si="4">MEDIAN(C17:G17)</f>
        <v>0.17791396004412305</v>
      </c>
    </row>
    <row r="18" spans="2:12" x14ac:dyDescent="0.25">
      <c r="B18" s="266" t="s">
        <v>521</v>
      </c>
      <c r="C18" s="261">
        <f>'PROFIT &amp; LOSS'!D39</f>
        <v>0.17261121856866538</v>
      </c>
      <c r="D18" s="261">
        <f>'PROFIT &amp; LOSS'!E39</f>
        <v>0.13584998161539405</v>
      </c>
      <c r="E18" s="261">
        <f>'PROFIT &amp; LOSS'!F39</f>
        <v>0.1266510015986953</v>
      </c>
      <c r="F18" s="261">
        <f>'PROFIT &amp; LOSS'!G39</f>
        <v>0.12083310792534488</v>
      </c>
      <c r="G18" s="246">
        <f>'PROFIT &amp; LOSS'!H39</f>
        <v>0.14188142666609302</v>
      </c>
      <c r="H18" s="293"/>
      <c r="J18" s="266"/>
      <c r="K18" s="332">
        <f t="shared" si="3"/>
        <v>0.13956534727483855</v>
      </c>
      <c r="L18" s="329">
        <f t="shared" si="4"/>
        <v>0.13584998161539405</v>
      </c>
    </row>
    <row r="19" spans="2:12" x14ac:dyDescent="0.25">
      <c r="B19" s="266" t="s">
        <v>522</v>
      </c>
      <c r="C19" s="294" t="s">
        <v>122</v>
      </c>
      <c r="D19" s="261">
        <f>'PROFIT &amp; LOSS'!E38/(('BALANCE SHEET'!E77+'BALANCE SHEET'!D77)/2)</f>
        <v>0.18395764526247654</v>
      </c>
      <c r="E19" s="261">
        <f>'PROFIT &amp; LOSS'!F38/(('BALANCE SHEET'!F77+'BALANCE SHEET'!E77)/2)</f>
        <v>0.16488106046849466</v>
      </c>
      <c r="F19" s="261">
        <f>'PROFIT &amp; LOSS'!G38/(('BALANCE SHEET'!G77+'BALANCE SHEET'!F77)/2)</f>
        <v>0.14656745016207987</v>
      </c>
      <c r="G19" s="246">
        <f>'PROFIT &amp; LOSS'!H38/(('BALANCE SHEET'!H77+'BALANCE SHEET'!G77)/2)</f>
        <v>0.16777639988552895</v>
      </c>
      <c r="H19" s="293"/>
      <c r="J19" s="266"/>
      <c r="K19" s="332">
        <f>AVERAGE(D19:G19)</f>
        <v>0.165795638944645</v>
      </c>
      <c r="L19" s="329">
        <f>MEDIAN(D19:G19)</f>
        <v>0.1663287301770118</v>
      </c>
    </row>
    <row r="20" spans="2:12" x14ac:dyDescent="0.25">
      <c r="B20" s="266" t="s">
        <v>523</v>
      </c>
      <c r="C20" s="261">
        <f>'PROFIT &amp; LOSS'!D27/('BALANCE SHEET'!D39-'BALANCE SHEET'!D55)</f>
        <v>0.24609486179242915</v>
      </c>
      <c r="D20" s="261">
        <f>'PROFIT &amp; LOSS'!E27/('BALANCE SHEET'!E39-'BALANCE SHEET'!E55)</f>
        <v>0.18933583763760631</v>
      </c>
      <c r="E20" s="261">
        <f>'PROFIT &amp; LOSS'!F27/('BALANCE SHEET'!F39-'BALANCE SHEET'!F55)</f>
        <v>0.18020610796869638</v>
      </c>
      <c r="F20" s="261">
        <f>'PROFIT &amp; LOSS'!G27/('BALANCE SHEET'!G39-'BALANCE SHEET'!G55)</f>
        <v>0.17903847227650901</v>
      </c>
      <c r="G20" s="246">
        <f>'PROFIT &amp; LOSS'!H27/('BALANCE SHEET'!H39-'BALANCE SHEET'!H55)</f>
        <v>0.19029921955825188</v>
      </c>
      <c r="H20" s="293"/>
      <c r="J20" s="266"/>
      <c r="K20" s="332">
        <f>AVERAGE(C20:G20)</f>
        <v>0.19699489984669855</v>
      </c>
      <c r="L20" s="329">
        <f>MEDIAN(C20:G20)</f>
        <v>0.18933583763760631</v>
      </c>
    </row>
    <row r="21" spans="2:12" x14ac:dyDescent="0.25">
      <c r="B21" s="265" t="s">
        <v>535</v>
      </c>
      <c r="C21" s="336" t="s">
        <v>122</v>
      </c>
      <c r="D21" s="262">
        <f>'PROFIT &amp; LOSS'!E38/(('BALANCE SHEET'!E39+'BALANCE SHEET'!D39)/2)</f>
        <v>0.11680955216330574</v>
      </c>
      <c r="E21" s="262">
        <f>'PROFIT &amp; LOSS'!F38/(('BALANCE SHEET'!F39+'BALANCE SHEET'!E39)/2)</f>
        <v>0.10531810009859073</v>
      </c>
      <c r="F21" s="262">
        <f>'PROFIT &amp; LOSS'!G38/(('BALANCE SHEET'!G39+'BALANCE SHEET'!F39)/2)</f>
        <v>9.6315301524331084E-2</v>
      </c>
      <c r="G21" s="247">
        <f>'PROFIT &amp; LOSS'!H38/(('BALANCE SHEET'!H39+'BALANCE SHEET'!G39)/2)</f>
        <v>0.10857862504938759</v>
      </c>
      <c r="H21" s="293"/>
      <c r="J21" s="265"/>
      <c r="K21" s="333">
        <f>AVERAGE(D21:G21)</f>
        <v>0.10675539470890379</v>
      </c>
      <c r="L21" s="330">
        <f>MEDIAN(D21:G21)</f>
        <v>0.10694836257398915</v>
      </c>
    </row>
    <row r="22" spans="2:12" x14ac:dyDescent="0.25">
      <c r="H22" s="293"/>
      <c r="K22" s="315"/>
      <c r="L22" s="315"/>
    </row>
    <row r="23" spans="2:12" ht="15" customHeight="1" x14ac:dyDescent="0.25">
      <c r="B23" s="971" t="s">
        <v>513</v>
      </c>
      <c r="C23" s="971"/>
      <c r="D23" s="971"/>
      <c r="E23" s="971"/>
      <c r="F23" s="971"/>
      <c r="G23" s="971"/>
      <c r="H23" s="318"/>
      <c r="J23" s="947" t="s">
        <v>537</v>
      </c>
      <c r="K23" s="947" t="s">
        <v>538</v>
      </c>
      <c r="L23" s="947" t="s">
        <v>539</v>
      </c>
    </row>
    <row r="24" spans="2:12" ht="15" customHeight="1" x14ac:dyDescent="0.25">
      <c r="B24" s="971"/>
      <c r="C24" s="971"/>
      <c r="D24" s="971"/>
      <c r="E24" s="971"/>
      <c r="F24" s="971"/>
      <c r="G24" s="971"/>
      <c r="H24" s="318"/>
      <c r="J24" s="947"/>
      <c r="K24" s="947"/>
      <c r="L24" s="947"/>
    </row>
    <row r="25" spans="2:12" x14ac:dyDescent="0.25">
      <c r="H25" s="293"/>
      <c r="K25" s="315"/>
      <c r="L25" s="315"/>
    </row>
    <row r="26" spans="2:12" x14ac:dyDescent="0.25">
      <c r="B26" s="233" t="s">
        <v>524</v>
      </c>
      <c r="C26" s="337" t="s">
        <v>122</v>
      </c>
      <c r="D26" s="321">
        <f>'PROFIT &amp; LOSS'!E6/(('BALANCE SHEET'!E39+'BALANCE SHEET'!D39)/2)</f>
        <v>0.83812223691767795</v>
      </c>
      <c r="E26" s="321">
        <f>'PROFIT &amp; LOSS'!F6/(('BALANCE SHEET'!F39+'BALANCE SHEET'!E39)/2)</f>
        <v>0.81134373368903323</v>
      </c>
      <c r="F26" s="321">
        <f>'PROFIT &amp; LOSS'!G6/(('BALANCE SHEET'!G39+'BALANCE SHEET'!F39)/2)</f>
        <v>0.77440331170091203</v>
      </c>
      <c r="G26" s="317">
        <f>'PROFIT &amp; LOSS'!H6/(('BALANCE SHEET'!H39+'BALANCE SHEET'!G39)/2)</f>
        <v>0.73330699328328719</v>
      </c>
      <c r="H26" s="293"/>
      <c r="J26" s="233"/>
      <c r="K26" s="322">
        <f>AVERAGE(D26:G26)</f>
        <v>0.78929406889772769</v>
      </c>
      <c r="L26" s="323">
        <f>MEDIAN(D26:G26)</f>
        <v>0.79287352269497258</v>
      </c>
    </row>
    <row r="27" spans="2:12" x14ac:dyDescent="0.25">
      <c r="B27" s="266" t="s">
        <v>525</v>
      </c>
      <c r="C27" s="294" t="s">
        <v>122</v>
      </c>
      <c r="D27" s="306">
        <f>'PROFIT &amp; LOSS'!E12/(('BALANCE SHEET'!E10+'BALANCE SHEET'!D10)/2)</f>
        <v>494.326359832636</v>
      </c>
      <c r="E27" s="306">
        <f>'PROFIT &amp; LOSS'!F12/(('BALANCE SHEET'!F10+'BALANCE SHEET'!E10)/2)</f>
        <v>534.14285714285711</v>
      </c>
      <c r="F27" s="306">
        <f>'PROFIT &amp; LOSS'!G12/(('BALANCE SHEET'!G10+'BALANCE SHEET'!F10)/2)</f>
        <v>639.04761904761904</v>
      </c>
      <c r="G27" s="307">
        <f>'PROFIT &amp; LOSS'!H12/(('BALANCE SHEET'!H10+'BALANCE SHEET'!G10)/2)</f>
        <v>816.08749999999998</v>
      </c>
      <c r="H27" s="293"/>
      <c r="J27" s="266"/>
      <c r="K27" s="324">
        <f t="shared" ref="K27:K33" si="5">AVERAGE(D27:G27)</f>
        <v>620.90108400577799</v>
      </c>
      <c r="L27" s="325">
        <f t="shared" ref="L27:L33" si="6">MEDIAN(D27:G27)</f>
        <v>586.59523809523807</v>
      </c>
    </row>
    <row r="28" spans="2:12" x14ac:dyDescent="0.25">
      <c r="B28" s="266" t="s">
        <v>228</v>
      </c>
      <c r="C28" s="294" t="s">
        <v>122</v>
      </c>
      <c r="D28" s="104">
        <f>365/D27</f>
        <v>0.7383785888407367</v>
      </c>
      <c r="E28" s="104">
        <f t="shared" ref="E28:G28" si="7">365/E27</f>
        <v>0.68333779085316937</v>
      </c>
      <c r="F28" s="104">
        <f t="shared" si="7"/>
        <v>0.57116244411326378</v>
      </c>
      <c r="G28" s="181">
        <f t="shared" si="7"/>
        <v>0.44725596213641305</v>
      </c>
      <c r="H28" s="293"/>
      <c r="J28" s="266"/>
      <c r="K28" s="100">
        <f t="shared" si="5"/>
        <v>0.61003369648589567</v>
      </c>
      <c r="L28" s="334">
        <f t="shared" si="6"/>
        <v>0.62725011748321657</v>
      </c>
    </row>
    <row r="29" spans="2:12" x14ac:dyDescent="0.25">
      <c r="B29" s="266" t="s">
        <v>3267</v>
      </c>
      <c r="C29" s="294" t="s">
        <v>122</v>
      </c>
      <c r="D29" s="306">
        <f>'PROFIT &amp; LOSS'!D6/(('BALANCE SHEET'!E13+'BALANCE SHEET'!D13)/2)</f>
        <v>5.9414852997327223</v>
      </c>
      <c r="E29" s="306">
        <f>'PROFIT &amp; LOSS'!E6/(('BALANCE SHEET'!F13+'BALANCE SHEET'!E13)/2)</f>
        <v>6.5843440824605706</v>
      </c>
      <c r="F29" s="306">
        <f>'PROFIT &amp; LOSS'!F6/(('BALANCE SHEET'!G13+'BALANCE SHEET'!F13)/2)</f>
        <v>7.5205723028573788</v>
      </c>
      <c r="G29" s="306">
        <f>'PROFIT &amp; LOSS'!G6/(('BALANCE SHEET'!H13+'BALANCE SHEET'!G13)/2)</f>
        <v>7.7099557807066503</v>
      </c>
      <c r="H29" s="293"/>
      <c r="J29" s="266"/>
      <c r="K29" s="324">
        <f t="shared" si="5"/>
        <v>6.9390893664393305</v>
      </c>
      <c r="L29" s="325">
        <f t="shared" si="6"/>
        <v>7.0524581926589747</v>
      </c>
    </row>
    <row r="30" spans="2:12" x14ac:dyDescent="0.25">
      <c r="B30" s="266" t="s">
        <v>526</v>
      </c>
      <c r="C30" s="294" t="s">
        <v>122</v>
      </c>
      <c r="D30" s="104">
        <f>365/D29</f>
        <v>61.432450235367831</v>
      </c>
      <c r="E30" s="104">
        <f t="shared" ref="E30:G30" si="8">365/E29</f>
        <v>55.434527027876619</v>
      </c>
      <c r="F30" s="104">
        <f t="shared" si="8"/>
        <v>48.533540440974328</v>
      </c>
      <c r="G30" s="181">
        <f t="shared" si="8"/>
        <v>47.341386952357617</v>
      </c>
      <c r="H30" s="293"/>
      <c r="J30" s="266"/>
      <c r="K30" s="100">
        <f t="shared" si="5"/>
        <v>53.185476164144099</v>
      </c>
      <c r="L30" s="334">
        <f t="shared" si="6"/>
        <v>51.984033734425473</v>
      </c>
    </row>
    <row r="31" spans="2:12" x14ac:dyDescent="0.25">
      <c r="B31" s="266" t="s">
        <v>536</v>
      </c>
      <c r="C31" s="294" t="s">
        <v>122</v>
      </c>
      <c r="D31" s="306">
        <f>'PROFIT &amp; LOSS'!E12/(('BALANCE SHEET'!E48+'BALANCE SHEET'!D48)/2)</f>
        <v>10.332691971313626</v>
      </c>
      <c r="E31" s="306">
        <f>'PROFIT &amp; LOSS'!F12/(('BALANCE SHEET'!F48+'BALANCE SHEET'!E48)/2)</f>
        <v>11.011452879581151</v>
      </c>
      <c r="F31" s="306">
        <f>'PROFIT &amp; LOSS'!G12/(('BALANCE SHEET'!G48+'BALANCE SHEET'!F48)/2)</f>
        <v>11.432952802862498</v>
      </c>
      <c r="G31" s="307">
        <f>'PROFIT &amp; LOSS'!H12/(('BALANCE SHEET'!H48+'BALANCE SHEET'!G48)/2)</f>
        <v>11.224447691910942</v>
      </c>
      <c r="H31" s="293"/>
      <c r="J31" s="266"/>
      <c r="K31" s="324">
        <f t="shared" si="5"/>
        <v>11.000386336417055</v>
      </c>
      <c r="L31" s="325">
        <f t="shared" si="6"/>
        <v>11.117950285746048</v>
      </c>
    </row>
    <row r="32" spans="2:12" x14ac:dyDescent="0.25">
      <c r="B32" s="266" t="s">
        <v>527</v>
      </c>
      <c r="C32" s="294" t="s">
        <v>122</v>
      </c>
      <c r="D32" s="104">
        <f>365/D31</f>
        <v>35.324773158179852</v>
      </c>
      <c r="E32" s="104">
        <f t="shared" ref="E32:G32" si="9">365/E31</f>
        <v>33.147306172179135</v>
      </c>
      <c r="F32" s="104">
        <f t="shared" si="9"/>
        <v>31.925260804769</v>
      </c>
      <c r="G32" s="181">
        <f t="shared" si="9"/>
        <v>32.518303797080584</v>
      </c>
      <c r="H32" s="293"/>
      <c r="J32" s="266"/>
      <c r="K32" s="100">
        <f t="shared" si="5"/>
        <v>33.228910983052138</v>
      </c>
      <c r="L32" s="334">
        <f t="shared" si="6"/>
        <v>32.83280498462986</v>
      </c>
    </row>
    <row r="33" spans="2:12" x14ac:dyDescent="0.25">
      <c r="B33" s="265" t="s">
        <v>528</v>
      </c>
      <c r="C33" s="295" t="s">
        <v>122</v>
      </c>
      <c r="D33" s="105">
        <f>D28+D30-D32</f>
        <v>26.846055666028718</v>
      </c>
      <c r="E33" s="105">
        <f>E28+E30-E32</f>
        <v>22.97055864655065</v>
      </c>
      <c r="F33" s="105">
        <f>F28+F30-F32</f>
        <v>17.179442080318591</v>
      </c>
      <c r="G33" s="163">
        <f>G28+G30-G32</f>
        <v>15.270339117413442</v>
      </c>
      <c r="H33" s="293"/>
      <c r="J33" s="265"/>
      <c r="K33" s="58">
        <f t="shared" si="5"/>
        <v>20.566598877577849</v>
      </c>
      <c r="L33" s="335">
        <f t="shared" si="6"/>
        <v>20.075000363434619</v>
      </c>
    </row>
    <row r="34" spans="2:12" x14ac:dyDescent="0.25">
      <c r="C34" s="292"/>
      <c r="H34" s="293"/>
      <c r="K34" s="315"/>
      <c r="L34" s="315"/>
    </row>
    <row r="35" spans="2:12" ht="15" customHeight="1" x14ac:dyDescent="0.25">
      <c r="B35" s="971" t="s">
        <v>514</v>
      </c>
      <c r="C35" s="971"/>
      <c r="D35" s="971"/>
      <c r="E35" s="971"/>
      <c r="F35" s="971"/>
      <c r="G35" s="971"/>
      <c r="H35" s="318"/>
      <c r="J35" s="947" t="s">
        <v>537</v>
      </c>
      <c r="K35" s="947" t="s">
        <v>538</v>
      </c>
      <c r="L35" s="947" t="s">
        <v>539</v>
      </c>
    </row>
    <row r="36" spans="2:12" ht="15" customHeight="1" x14ac:dyDescent="0.25">
      <c r="B36" s="971"/>
      <c r="C36" s="971"/>
      <c r="D36" s="971"/>
      <c r="E36" s="971"/>
      <c r="F36" s="971"/>
      <c r="G36" s="971"/>
      <c r="H36" s="318"/>
      <c r="J36" s="947"/>
      <c r="K36" s="947"/>
      <c r="L36" s="947"/>
    </row>
    <row r="37" spans="2:12" x14ac:dyDescent="0.25">
      <c r="C37" s="292"/>
      <c r="H37" s="293"/>
      <c r="K37" s="315"/>
      <c r="L37" s="315"/>
    </row>
    <row r="38" spans="2:12" x14ac:dyDescent="0.25">
      <c r="B38" s="233" t="s">
        <v>265</v>
      </c>
      <c r="C38" s="337" t="s">
        <v>122</v>
      </c>
      <c r="D38" s="321">
        <f>('BALANCE SHEET'!D45+'BALANCE SHEET'!D59)/'BALANCE SHEET'!D77</f>
        <v>0.15136873081324589</v>
      </c>
      <c r="E38" s="321">
        <f>('BALANCE SHEET'!E45+'BALANCE SHEET'!E59)/'BALANCE SHEET'!E77</f>
        <v>0.23174700175693225</v>
      </c>
      <c r="F38" s="321">
        <f>('BALANCE SHEET'!F45+'BALANCE SHEET'!F59)/'BALANCE SHEET'!F77</f>
        <v>0.19309892315411634</v>
      </c>
      <c r="G38" s="317">
        <f>('BALANCE SHEET'!G45+'BALANCE SHEET'!G59)/'BALANCE SHEET'!G77</f>
        <v>0.18946790416114215</v>
      </c>
      <c r="H38" s="293"/>
      <c r="J38" s="233"/>
      <c r="K38" s="322">
        <f>AVERAGE(D38:G38)</f>
        <v>0.19142063997135916</v>
      </c>
      <c r="L38" s="323">
        <f>MEDIAN(D38:G38)</f>
        <v>0.19128341365762924</v>
      </c>
    </row>
    <row r="39" spans="2:12" x14ac:dyDescent="0.25">
      <c r="B39" s="266" t="s">
        <v>529</v>
      </c>
      <c r="C39" s="294" t="s">
        <v>122</v>
      </c>
      <c r="D39" s="306">
        <f>('BALANCE SHEET'!D45+'BALANCE SHEET'!D59)/'PROFIT &amp; LOSS'!D21</f>
        <v>0.47720765089909517</v>
      </c>
      <c r="E39" s="306">
        <f>('BALANCE SHEET'!E45+'BALANCE SHEET'!E59)/'PROFIT &amp; LOSS'!E21</f>
        <v>0.86216892122314426</v>
      </c>
      <c r="F39" s="306">
        <f>('BALANCE SHEET'!F45+'BALANCE SHEET'!F59)/'PROFIT &amp; LOSS'!F21</f>
        <v>0.76498470948012232</v>
      </c>
      <c r="G39" s="307">
        <f>('BALANCE SHEET'!G45+'BALANCE SHEET'!G59)/'PROFIT &amp; LOSS'!G21</f>
        <v>0.7277637738566799</v>
      </c>
      <c r="H39" s="293"/>
      <c r="J39" s="266"/>
      <c r="K39" s="324">
        <f t="shared" ref="K39:K41" si="10">AVERAGE(D39:G39)</f>
        <v>0.70803126386476045</v>
      </c>
      <c r="L39" s="325">
        <f t="shared" ref="L39:L41" si="11">MEDIAN(D39:G39)</f>
        <v>0.74637424166840116</v>
      </c>
    </row>
    <row r="40" spans="2:12" x14ac:dyDescent="0.25">
      <c r="B40" s="266" t="s">
        <v>533</v>
      </c>
      <c r="C40" s="294" t="s">
        <v>122</v>
      </c>
      <c r="D40" s="306">
        <f>('BALANCE SHEET'!D45+'BALANCE SHEET'!D59-'BALANCE SHEET'!D15)/'PROFIT &amp; LOSS'!D21</f>
        <v>-0.52342228839766347</v>
      </c>
      <c r="E40" s="306">
        <f>('BALANCE SHEET'!E45+'BALANCE SHEET'!E59-'BALANCE SHEET'!E15)/'PROFIT &amp; LOSS'!E21</f>
        <v>0.29367966352165509</v>
      </c>
      <c r="F40" s="306">
        <f>('BALANCE SHEET'!F45+'BALANCE SHEET'!F59-'BALANCE SHEET'!F15)/'PROFIT &amp; LOSS'!F21</f>
        <v>0.29367991845056063</v>
      </c>
      <c r="G40" s="307">
        <f>('BALANCE SHEET'!G45+'BALANCE SHEET'!G59-'BALANCE SHEET'!G15)/'PROFIT &amp; LOSS'!G21</f>
        <v>0.22351972838108955</v>
      </c>
      <c r="H40" s="293"/>
      <c r="J40" s="266"/>
      <c r="K40" s="324">
        <f t="shared" si="10"/>
        <v>7.1864255488910456E-2</v>
      </c>
      <c r="L40" s="325">
        <f t="shared" si="11"/>
        <v>0.25859969595137233</v>
      </c>
    </row>
    <row r="41" spans="2:12" x14ac:dyDescent="0.25">
      <c r="B41" s="265" t="s">
        <v>534</v>
      </c>
      <c r="C41" s="295" t="s">
        <v>122</v>
      </c>
      <c r="D41" s="308">
        <f>'PROFIT &amp; LOSS'!D27/'PROFIT &amp; LOSS'!D30</f>
        <v>28.878192534381139</v>
      </c>
      <c r="E41" s="308">
        <f>'PROFIT &amp; LOSS'!E27/'PROFIT &amp; LOSS'!E30</f>
        <v>27.132710280373832</v>
      </c>
      <c r="F41" s="308">
        <f>'PROFIT &amp; LOSS'!F27/'PROFIT &amp; LOSS'!F30</f>
        <v>15.116063138347261</v>
      </c>
      <c r="G41" s="309">
        <f>'PROFIT &amp; LOSS'!G27/'PROFIT &amp; LOSS'!G30</f>
        <v>12.774501992031873</v>
      </c>
      <c r="H41" s="293"/>
      <c r="J41" s="265"/>
      <c r="K41" s="326">
        <f t="shared" si="10"/>
        <v>20.975366986283525</v>
      </c>
      <c r="L41" s="327">
        <f t="shared" si="11"/>
        <v>21.124386709360547</v>
      </c>
    </row>
    <row r="42" spans="2:12" x14ac:dyDescent="0.25">
      <c r="H42" s="293"/>
      <c r="K42" s="315"/>
      <c r="L42" s="315"/>
    </row>
    <row r="43" spans="2:12" ht="15" customHeight="1" x14ac:dyDescent="0.25">
      <c r="B43" s="971" t="s">
        <v>515</v>
      </c>
      <c r="C43" s="971"/>
      <c r="D43" s="971"/>
      <c r="E43" s="971"/>
      <c r="F43" s="971"/>
      <c r="G43" s="971"/>
      <c r="H43" s="318"/>
      <c r="J43" s="947" t="s">
        <v>537</v>
      </c>
      <c r="K43" s="947" t="s">
        <v>538</v>
      </c>
      <c r="L43" s="947" t="s">
        <v>539</v>
      </c>
    </row>
    <row r="44" spans="2:12" ht="15" customHeight="1" x14ac:dyDescent="0.25">
      <c r="B44" s="971"/>
      <c r="C44" s="971"/>
      <c r="D44" s="971"/>
      <c r="E44" s="971"/>
      <c r="F44" s="971"/>
      <c r="G44" s="971"/>
      <c r="H44" s="318"/>
      <c r="J44" s="947"/>
      <c r="K44" s="947"/>
      <c r="L44" s="947"/>
    </row>
    <row r="45" spans="2:12" x14ac:dyDescent="0.25">
      <c r="H45" s="293"/>
      <c r="K45" s="315"/>
      <c r="L45" s="315"/>
    </row>
    <row r="46" spans="2:12" x14ac:dyDescent="0.25">
      <c r="B46" s="233" t="s">
        <v>532</v>
      </c>
      <c r="C46" s="321">
        <f>'DATA SHEET'!$E$236</f>
        <v>10.015731515469323</v>
      </c>
      <c r="D46" s="321">
        <f>'DATA SHEET'!$E$237</f>
        <v>13.265351860152398</v>
      </c>
      <c r="E46" s="321">
        <f>'DATA SHEET'!$E$238</f>
        <v>8.8646034816247585</v>
      </c>
      <c r="F46" s="321">
        <f>'DATA SHEET'!$E$239</f>
        <v>23.296829971181555</v>
      </c>
      <c r="G46" s="317">
        <f>'RELATIVE VALUATION'!Q11</f>
        <v>19.672523961661344</v>
      </c>
      <c r="H46" s="293"/>
      <c r="J46" s="233"/>
      <c r="K46" s="342">
        <f>AVERAGE(C46:G46)</f>
        <v>15.023008158017873</v>
      </c>
      <c r="L46" s="322">
        <f>MEDIAN(C46:G46)</f>
        <v>13.265351860152398</v>
      </c>
    </row>
    <row r="47" spans="2:12" x14ac:dyDescent="0.25">
      <c r="B47" s="266" t="s">
        <v>476</v>
      </c>
      <c r="C47" s="306">
        <f>'DATA SHEET'!$K$236</f>
        <v>10.949375214752035</v>
      </c>
      <c r="D47" s="306">
        <f>'DATA SHEET'!$K$237</f>
        <v>18.143195578037968</v>
      </c>
      <c r="E47" s="306">
        <f>'DATA SHEET'!$K$238</f>
        <v>5.4223418960244647</v>
      </c>
      <c r="F47" s="306">
        <f>'DATA SHEET'!$K$239</f>
        <v>7.062960502083441</v>
      </c>
      <c r="G47" s="307">
        <f>'RELATIVE VALUATION'!P11</f>
        <v>6.5408450967859757</v>
      </c>
      <c r="H47" s="293"/>
      <c r="J47" s="266"/>
      <c r="K47" s="343">
        <f t="shared" ref="K47:K49" si="12">AVERAGE(C47:G47)</f>
        <v>9.6237436575367781</v>
      </c>
      <c r="L47" s="324">
        <f t="shared" ref="L47:L49" si="13">MEDIAN(C47:G47)</f>
        <v>7.062960502083441</v>
      </c>
    </row>
    <row r="48" spans="2:12" x14ac:dyDescent="0.25">
      <c r="B48" s="266" t="s">
        <v>530</v>
      </c>
      <c r="C48" s="306">
        <f>'DATA SHEET'!$L$236</f>
        <v>13.007550853799579</v>
      </c>
      <c r="D48" s="306">
        <f>'DATA SHEET'!$L$237</f>
        <v>21.990312965004136</v>
      </c>
      <c r="E48" s="306">
        <f>'DATA SHEET'!$L$238</f>
        <v>6.5347879606879609</v>
      </c>
      <c r="F48" s="306">
        <f>'DATA SHEET'!$L$239</f>
        <v>8.5639277195608781</v>
      </c>
      <c r="G48" s="307">
        <f>'DATA SHEET'!$L$240</f>
        <v>7.5620537844399873</v>
      </c>
      <c r="H48" s="293"/>
      <c r="J48" s="266"/>
      <c r="K48" s="343">
        <f t="shared" si="12"/>
        <v>11.531726656698508</v>
      </c>
      <c r="L48" s="324">
        <f t="shared" si="13"/>
        <v>8.5639277195608781</v>
      </c>
    </row>
    <row r="49" spans="2:12" x14ac:dyDescent="0.25">
      <c r="B49" s="265" t="s">
        <v>531</v>
      </c>
      <c r="C49" s="308">
        <f>'DATA SHEET'!C$245</f>
        <v>3.6391344389747693</v>
      </c>
      <c r="D49" s="308">
        <f>'DATA SHEET'!D$245</f>
        <v>4.7978669773126574</v>
      </c>
      <c r="E49" s="308">
        <f>'DATA SHEET'!E$245</f>
        <v>1.2945867973805756</v>
      </c>
      <c r="F49" s="308">
        <f>'DATA SHEET'!F$245</f>
        <v>1.7805977098316526</v>
      </c>
      <c r="G49" s="341">
        <f>'DATA SHEET'!G$245</f>
        <v>1.6886782314902273</v>
      </c>
      <c r="H49" s="293"/>
      <c r="J49" s="265"/>
      <c r="K49" s="344">
        <f t="shared" si="12"/>
        <v>2.6401728309979764</v>
      </c>
      <c r="L49" s="326">
        <f t="shared" si="13"/>
        <v>1.7805977098316526</v>
      </c>
    </row>
    <row r="50" spans="2:12" x14ac:dyDescent="0.25">
      <c r="K50" s="315"/>
      <c r="L50" s="315"/>
    </row>
    <row r="51" spans="2:12" x14ac:dyDescent="0.25">
      <c r="B51" s="236"/>
      <c r="C51" s="236"/>
      <c r="D51" s="236"/>
      <c r="E51" s="236"/>
      <c r="F51" s="236"/>
      <c r="G51" s="236"/>
      <c r="H51" s="236"/>
      <c r="I51" s="236"/>
      <c r="J51" s="236"/>
      <c r="K51" s="320"/>
      <c r="L51" s="320"/>
    </row>
    <row r="52" spans="2:12" x14ac:dyDescent="0.25">
      <c r="K52" s="315"/>
      <c r="L52" s="315"/>
    </row>
    <row r="53" spans="2:12" x14ac:dyDescent="0.25">
      <c r="K53" s="315"/>
      <c r="L53" s="315"/>
    </row>
    <row r="54" spans="2:12" x14ac:dyDescent="0.25">
      <c r="K54" s="315"/>
      <c r="L54" s="315"/>
    </row>
    <row r="55" spans="2:12" x14ac:dyDescent="0.25">
      <c r="K55" s="315"/>
      <c r="L55" s="315"/>
    </row>
    <row r="56" spans="2:12" x14ac:dyDescent="0.25">
      <c r="K56" s="315"/>
      <c r="L56" s="315"/>
    </row>
    <row r="57" spans="2:12" x14ac:dyDescent="0.25">
      <c r="K57" s="315"/>
      <c r="L57" s="315"/>
    </row>
    <row r="58" spans="2:12" x14ac:dyDescent="0.25">
      <c r="K58" s="315"/>
      <c r="L58" s="315"/>
    </row>
    <row r="59" spans="2:12" x14ac:dyDescent="0.25">
      <c r="K59" s="315"/>
      <c r="L59" s="315"/>
    </row>
    <row r="60" spans="2:12" x14ac:dyDescent="0.25">
      <c r="K60" s="315"/>
      <c r="L60" s="315"/>
    </row>
    <row r="61" spans="2:12" x14ac:dyDescent="0.25">
      <c r="K61" s="315"/>
      <c r="L61" s="315"/>
    </row>
    <row r="62" spans="2:12" x14ac:dyDescent="0.25">
      <c r="K62" s="315"/>
      <c r="L62" s="315"/>
    </row>
    <row r="63" spans="2:12" x14ac:dyDescent="0.25">
      <c r="K63" s="315"/>
      <c r="L63" s="315"/>
    </row>
    <row r="64" spans="2:12" x14ac:dyDescent="0.25">
      <c r="K64" s="315"/>
      <c r="L64" s="315"/>
    </row>
  </sheetData>
  <mergeCells count="24">
    <mergeCell ref="B43:G44"/>
    <mergeCell ref="J1:L2"/>
    <mergeCell ref="J3:L3"/>
    <mergeCell ref="K23:K24"/>
    <mergeCell ref="L23:L24"/>
    <mergeCell ref="J35:J36"/>
    <mergeCell ref="K35:K36"/>
    <mergeCell ref="L35:L36"/>
    <mergeCell ref="J43:J44"/>
    <mergeCell ref="K43:K44"/>
    <mergeCell ref="L43:L44"/>
    <mergeCell ref="C1:G2"/>
    <mergeCell ref="J6:J7"/>
    <mergeCell ref="K6:K7"/>
    <mergeCell ref="L6:L7"/>
    <mergeCell ref="J13:J14"/>
    <mergeCell ref="B35:G36"/>
    <mergeCell ref="K13:K14"/>
    <mergeCell ref="L13:L14"/>
    <mergeCell ref="J23:J24"/>
    <mergeCell ref="B1:B3"/>
    <mergeCell ref="B6:G7"/>
    <mergeCell ref="B13:G14"/>
    <mergeCell ref="B23:G24"/>
  </mergeCells>
  <printOptions horizontalCentered="1" verticalCentered="1"/>
  <pageMargins left="0" right="0" top="0" bottom="0" header="0" footer="0"/>
  <pageSetup scale="72" orientation="landscape" horizontalDpi="1200" verticalDpi="1200" r:id="rId1"/>
  <rowBreaks count="1" manualBreakCount="1">
    <brk id="51" max="16383" man="1"/>
  </rowBreaks>
  <colBreaks count="1" manualBreakCount="1">
    <brk id="12" max="71" man="1"/>
  </colBreaks>
  <ignoredErrors>
    <ignoredError sqref="D31:G31 K19:L20 D30:G30 D29:G29" formula="1"/>
  </ignoredErrors>
  <drawing r:id="rId2"/>
  <extLst>
    <ext xmlns:x14="http://schemas.microsoft.com/office/spreadsheetml/2009/9/main" uri="{05C60535-1F16-4fd2-B633-F4F36F0B64E0}">
      <x14:sparklineGroups xmlns:xm="http://schemas.microsoft.com/office/excel/2006/main">
        <x14:sparklineGroup displayEmptyCellsAs="gap" markers="1" high="1" low="1" first="1" last="1" negative="1" xr2:uid="{EF95A5C3-C9B7-4FE9-AC4F-E3BB57A091DD}">
          <x14:colorSeries theme="1"/>
          <x14:colorNegative rgb="FFD00000"/>
          <x14:colorAxis rgb="FF000000"/>
          <x14:colorMarkers rgb="FFD00000"/>
          <x14:colorFirst rgb="FFD00000"/>
          <x14:colorLast rgb="FFD00000"/>
          <x14:colorHigh rgb="FFD00000"/>
          <x14:colorLow rgb="FFD00000"/>
          <x14:sparklines>
            <x14:sparkline>
              <xm:f>'RATIO ANALYSIS'!D38:G38</xm:f>
              <xm:sqref>J38</xm:sqref>
            </x14:sparkline>
            <x14:sparkline>
              <xm:f>'RATIO ANALYSIS'!D39:G39</xm:f>
              <xm:sqref>J39</xm:sqref>
            </x14:sparkline>
            <x14:sparkline>
              <xm:f>'RATIO ANALYSIS'!D40:G40</xm:f>
              <xm:sqref>J40</xm:sqref>
            </x14:sparkline>
            <x14:sparkline>
              <xm:f>'RATIO ANALYSIS'!D41:G41</xm:f>
              <xm:sqref>J41</xm:sqref>
            </x14:sparkline>
          </x14:sparklines>
        </x14:sparklineGroup>
        <x14:sparklineGroup displayEmptyCellsAs="gap" markers="1" high="1" low="1" first="1" last="1" negative="1" xr2:uid="{FBB7339C-BEB4-4811-9829-A794FAA0649E}">
          <x14:colorSeries theme="1"/>
          <x14:colorNegative rgb="FFD00000"/>
          <x14:colorAxis rgb="FF000000"/>
          <x14:colorMarkers rgb="FFD00000"/>
          <x14:colorFirst rgb="FFD00000"/>
          <x14:colorLast rgb="FFD00000"/>
          <x14:colorHigh rgb="FFD00000"/>
          <x14:colorLow rgb="FFD00000"/>
          <x14:sparklines>
            <x14:sparkline>
              <xm:f>'RATIO ANALYSIS'!D26:G26</xm:f>
              <xm:sqref>J26</xm:sqref>
            </x14:sparkline>
            <x14:sparkline>
              <xm:f>'RATIO ANALYSIS'!D27:G27</xm:f>
              <xm:sqref>J27</xm:sqref>
            </x14:sparkline>
            <x14:sparkline>
              <xm:f>'RATIO ANALYSIS'!D28:G28</xm:f>
              <xm:sqref>J28</xm:sqref>
            </x14:sparkline>
            <x14:sparkline>
              <xm:f>'RATIO ANALYSIS'!D29:G29</xm:f>
              <xm:sqref>J29</xm:sqref>
            </x14:sparkline>
            <x14:sparkline>
              <xm:f>'RATIO ANALYSIS'!D30:G30</xm:f>
              <xm:sqref>J30</xm:sqref>
            </x14:sparkline>
            <x14:sparkline>
              <xm:f>'RATIO ANALYSIS'!D31:G31</xm:f>
              <xm:sqref>J31</xm:sqref>
            </x14:sparkline>
            <x14:sparkline>
              <xm:f>'RATIO ANALYSIS'!D32:G32</xm:f>
              <xm:sqref>J32</xm:sqref>
            </x14:sparkline>
            <x14:sparkline>
              <xm:f>'RATIO ANALYSIS'!D33:G33</xm:f>
              <xm:sqref>J33</xm:sqref>
            </x14:sparkline>
          </x14:sparklines>
        </x14:sparklineGroup>
        <x14:sparklineGroup displayEmptyCellsAs="gap" markers="1" high="1" low="1" first="1" last="1" negative="1" xr2:uid="{71652BA5-3154-497C-BF65-CE00A4A8C46C}">
          <x14:colorSeries theme="1"/>
          <x14:colorNegative rgb="FFD00000"/>
          <x14:colorAxis rgb="FF000000"/>
          <x14:colorMarkers rgb="FFD00000"/>
          <x14:colorFirst rgb="FFD00000"/>
          <x14:colorLast rgb="FFD00000"/>
          <x14:colorHigh rgb="FFD00000"/>
          <x14:colorLow rgb="FFD00000"/>
          <x14:sparklines>
            <x14:sparkline>
              <xm:f>'RATIO ANALYSIS'!C16:G16</xm:f>
              <xm:sqref>J16</xm:sqref>
            </x14:sparkline>
            <x14:sparkline>
              <xm:f>'RATIO ANALYSIS'!C17:G17</xm:f>
              <xm:sqref>J17</xm:sqref>
            </x14:sparkline>
            <x14:sparkline>
              <xm:f>'RATIO ANALYSIS'!C18:G18</xm:f>
              <xm:sqref>J18</xm:sqref>
            </x14:sparkline>
            <x14:sparkline>
              <xm:f>'RATIO ANALYSIS'!D19:G19</xm:f>
              <xm:sqref>J19</xm:sqref>
            </x14:sparkline>
            <x14:sparkline>
              <xm:f>'RATIO ANALYSIS'!C20:G20</xm:f>
              <xm:sqref>J20</xm:sqref>
            </x14:sparkline>
            <x14:sparkline>
              <xm:f>'RATIO ANALYSIS'!D21:G21</xm:f>
              <xm:sqref>J21</xm:sqref>
            </x14:sparkline>
          </x14:sparklines>
        </x14:sparklineGroup>
        <x14:sparklineGroup displayEmptyCellsAs="gap" markers="1" high="1" low="1" first="1" last="1" negative="1" xr2:uid="{25F61675-B5B3-4A5F-9F33-6EC1DECB075F}">
          <x14:colorSeries theme="1" tint="4.9989318521683403E-2"/>
          <x14:colorNegative rgb="FFC00000"/>
          <x14:colorAxis rgb="FF000000"/>
          <x14:colorMarkers rgb="FFD00000"/>
          <x14:colorFirst rgb="FFD00000"/>
          <x14:colorLast rgb="FFD00000"/>
          <x14:colorHigh rgb="FFD00000"/>
          <x14:colorLow rgb="FFFF0000"/>
          <x14:sparklines>
            <x14:sparkline>
              <xm:f>'RATIO ANALYSIS'!C9:G9</xm:f>
              <xm:sqref>J9</xm:sqref>
            </x14:sparkline>
            <x14:sparkline>
              <xm:f>'RATIO ANALYSIS'!C10:G10</xm:f>
              <xm:sqref>J10</xm:sqref>
            </x14:sparkline>
            <x14:sparkline>
              <xm:f>'RATIO ANALYSIS'!C11:G11</xm:f>
              <xm:sqref>J11</xm:sqref>
            </x14:sparkline>
          </x14:sparklines>
        </x14:sparklineGroup>
        <x14:sparklineGroup displayEmptyCellsAs="gap" markers="1" high="1" low="1" first="1" last="1" negative="1" xr2:uid="{89727384-5F30-404E-97C5-637D301E7706}">
          <x14:colorSeries theme="1"/>
          <x14:colorNegative rgb="FFD00000"/>
          <x14:colorAxis rgb="FF000000"/>
          <x14:colorMarkers rgb="FFD00000"/>
          <x14:colorFirst rgb="FFD00000"/>
          <x14:colorLast rgb="FFD00000"/>
          <x14:colorHigh rgb="FFD00000"/>
          <x14:colorLow rgb="FFD00000"/>
          <x14:sparklines>
            <x14:sparkline>
              <xm:f>'RATIO ANALYSIS'!C46:G46</xm:f>
              <xm:sqref>J46</xm:sqref>
            </x14:sparkline>
            <x14:sparkline>
              <xm:f>'RATIO ANALYSIS'!C47:G47</xm:f>
              <xm:sqref>J47</xm:sqref>
            </x14:sparkline>
            <x14:sparkline>
              <xm:f>'RATIO ANALYSIS'!C48:G48</xm:f>
              <xm:sqref>J48</xm:sqref>
            </x14:sparkline>
            <x14:sparkline>
              <xm:f>'RATIO ANALYSIS'!C49:G49</xm:f>
              <xm:sqref>J49</xm:sqref>
            </x14:sparkline>
          </x14:sparklines>
        </x14:sparklineGroup>
      </x14:sparklineGroup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16118-841F-4C20-9D98-3F0A3C87DC89}">
  <sheetPr>
    <pageSetUpPr fitToPage="1"/>
  </sheetPr>
  <dimension ref="B1:T4219"/>
  <sheetViews>
    <sheetView zoomScale="70" zoomScaleNormal="70" workbookViewId="0"/>
  </sheetViews>
  <sheetFormatPr defaultColWidth="15.77734375" defaultRowHeight="15" x14ac:dyDescent="0.25"/>
  <cols>
    <col min="1" max="1" width="2" style="1" customWidth="1"/>
    <col min="2" max="2" width="44.77734375" style="1" customWidth="1"/>
    <col min="3" max="16384" width="15.77734375" style="1"/>
  </cols>
  <sheetData>
    <row r="1" spans="2:20" ht="15" customHeight="1" x14ac:dyDescent="0.25">
      <c r="B1" s="974" t="s">
        <v>3336</v>
      </c>
      <c r="C1" s="975" t="s">
        <v>3124</v>
      </c>
      <c r="D1" s="975"/>
      <c r="E1" s="975"/>
      <c r="F1" s="975"/>
      <c r="G1" s="975"/>
      <c r="H1" s="975"/>
      <c r="I1" s="975"/>
      <c r="J1" s="975"/>
      <c r="K1" s="975"/>
      <c r="L1" s="975"/>
      <c r="M1" s="975"/>
      <c r="N1" s="187"/>
      <c r="O1" s="187"/>
      <c r="P1" s="187"/>
      <c r="Q1" s="187"/>
      <c r="R1" s="187"/>
      <c r="S1" s="187"/>
      <c r="T1" s="187"/>
    </row>
    <row r="2" spans="2:20" ht="15" customHeight="1" x14ac:dyDescent="0.25">
      <c r="B2" s="974"/>
      <c r="C2" s="975"/>
      <c r="D2" s="975"/>
      <c r="E2" s="975"/>
      <c r="F2" s="975"/>
      <c r="G2" s="975"/>
      <c r="H2" s="975"/>
      <c r="I2" s="975"/>
      <c r="J2" s="975"/>
      <c r="K2" s="975"/>
      <c r="L2" s="975"/>
      <c r="M2" s="975"/>
      <c r="N2" s="187"/>
      <c r="O2" s="187"/>
      <c r="P2" s="187"/>
      <c r="Q2" s="187"/>
      <c r="R2" s="187"/>
      <c r="S2" s="187"/>
      <c r="T2" s="187"/>
    </row>
    <row r="3" spans="2:20" ht="24.6" customHeight="1" x14ac:dyDescent="0.25">
      <c r="B3" s="974"/>
      <c r="C3" s="975"/>
      <c r="D3" s="975"/>
      <c r="E3" s="975"/>
      <c r="F3" s="975"/>
      <c r="G3" s="975"/>
      <c r="H3" s="975"/>
      <c r="I3" s="975"/>
      <c r="J3" s="975"/>
      <c r="K3" s="975"/>
      <c r="L3" s="975"/>
      <c r="M3" s="975"/>
      <c r="N3" s="187"/>
      <c r="O3" s="187"/>
      <c r="P3" s="187"/>
      <c r="Q3" s="187"/>
      <c r="R3" s="187"/>
      <c r="S3" s="187"/>
      <c r="T3" s="187"/>
    </row>
    <row r="4" spans="2:20" ht="28.2" x14ac:dyDescent="0.5">
      <c r="B4" s="38" t="s">
        <v>121</v>
      </c>
      <c r="C4" s="38"/>
      <c r="D4" s="185"/>
      <c r="E4" s="36"/>
      <c r="F4" s="36"/>
      <c r="G4" s="36"/>
      <c r="H4" s="36"/>
      <c r="I4" s="36"/>
      <c r="J4" s="36"/>
      <c r="K4" s="36"/>
      <c r="L4" s="36"/>
      <c r="M4" s="36"/>
      <c r="N4" s="67"/>
      <c r="O4" s="67"/>
      <c r="P4" s="67"/>
      <c r="Q4" s="67"/>
      <c r="R4" s="67"/>
      <c r="S4" s="67"/>
      <c r="T4" s="67"/>
    </row>
    <row r="6" spans="2:20" ht="15.6" x14ac:dyDescent="0.3">
      <c r="B6" s="207" t="s">
        <v>302</v>
      </c>
      <c r="C6" s="208" t="s">
        <v>376</v>
      </c>
      <c r="D6" s="208" t="s">
        <v>304</v>
      </c>
      <c r="E6" s="208" t="s">
        <v>3108</v>
      </c>
      <c r="F6" s="208" t="s">
        <v>3118</v>
      </c>
      <c r="G6" s="208" t="s">
        <v>3119</v>
      </c>
      <c r="I6" s="1006" t="s">
        <v>3120</v>
      </c>
      <c r="J6" s="1006"/>
      <c r="K6" s="1006"/>
      <c r="L6" s="1006"/>
      <c r="M6" s="1006"/>
    </row>
    <row r="7" spans="2:20" ht="15.6" x14ac:dyDescent="0.3">
      <c r="C7" s="292"/>
      <c r="I7" s="359"/>
      <c r="J7" s="359"/>
      <c r="K7" s="359"/>
      <c r="L7" s="359"/>
      <c r="M7" s="359"/>
    </row>
    <row r="8" spans="2:20" ht="15.6" x14ac:dyDescent="0.3">
      <c r="B8" s="347" t="s">
        <v>561</v>
      </c>
      <c r="C8" s="234">
        <v>262.25</v>
      </c>
      <c r="D8" s="229">
        <f>C8/C9-1</f>
        <v>-3.6554004408523078E-2</v>
      </c>
      <c r="E8" s="234">
        <v>0.16782222222222209</v>
      </c>
      <c r="F8" s="233">
        <v>1</v>
      </c>
      <c r="G8" s="229">
        <f ca="1">_xlfn.NORM.INV(RAND(),$M$10,$M$11)</f>
        <v>-1.0669664864929526E-2</v>
      </c>
      <c r="I8" s="1018" t="s">
        <v>3121</v>
      </c>
      <c r="J8" s="1018"/>
      <c r="K8" s="359"/>
      <c r="L8" s="359"/>
      <c r="M8" s="359"/>
    </row>
    <row r="9" spans="2:20" x14ac:dyDescent="0.25">
      <c r="B9" s="348" t="s">
        <v>562</v>
      </c>
      <c r="C9" s="293">
        <v>272.2</v>
      </c>
      <c r="D9" s="230">
        <f t="shared" ref="D9:D72" si="0">C9/C10-1</f>
        <v>1.7950635751682986E-2</v>
      </c>
      <c r="E9" s="293">
        <v>0.11299028427491908</v>
      </c>
      <c r="F9" s="266">
        <f>F8+1</f>
        <v>2</v>
      </c>
      <c r="G9" s="230">
        <f t="shared" ref="G9:G72" ca="1" si="1">_xlfn.NORM.INV(RAND(),$M$10,$M$11)</f>
        <v>3.8229966962958222E-3</v>
      </c>
    </row>
    <row r="10" spans="2:20" x14ac:dyDescent="0.25">
      <c r="B10" s="348" t="s">
        <v>563</v>
      </c>
      <c r="C10" s="293">
        <v>267.39999999999998</v>
      </c>
      <c r="D10" s="230">
        <f t="shared" si="0"/>
        <v>-1.3284132841328455E-2</v>
      </c>
      <c r="E10" s="293">
        <v>0.10486089880770399</v>
      </c>
      <c r="F10" s="266">
        <f t="shared" ref="F10:F73" si="2">F9+1</f>
        <v>3</v>
      </c>
      <c r="G10" s="230">
        <f t="shared" ca="1" si="1"/>
        <v>-8.8902370025897275E-3</v>
      </c>
      <c r="I10" s="233" t="s">
        <v>3109</v>
      </c>
      <c r="J10" s="296"/>
      <c r="K10" s="296"/>
      <c r="L10" s="234"/>
      <c r="M10" s="245">
        <f>AVERAGE(E8:E4217)</f>
        <v>6.05491851627055E-4</v>
      </c>
    </row>
    <row r="11" spans="2:20" x14ac:dyDescent="0.25">
      <c r="B11" s="348" t="s">
        <v>564</v>
      </c>
      <c r="C11" s="293">
        <v>271</v>
      </c>
      <c r="D11" s="230">
        <f t="shared" si="0"/>
        <v>5.9391239792132566E-3</v>
      </c>
      <c r="E11" s="293">
        <v>0.10420573265470123</v>
      </c>
      <c r="F11" s="266">
        <f t="shared" si="2"/>
        <v>4</v>
      </c>
      <c r="G11" s="230">
        <f t="shared" ca="1" si="1"/>
        <v>6.537338888490128E-3</v>
      </c>
      <c r="I11" s="266" t="s">
        <v>3110</v>
      </c>
      <c r="L11" s="293"/>
      <c r="M11" s="246">
        <f>_xlfn.STDEV.S(E8:E4217)</f>
        <v>1.8693324843440072E-2</v>
      </c>
    </row>
    <row r="12" spans="2:20" x14ac:dyDescent="0.25">
      <c r="B12" s="348" t="s">
        <v>565</v>
      </c>
      <c r="C12" s="293">
        <v>269.39999999999998</v>
      </c>
      <c r="D12" s="230">
        <f>C12/C13-1</f>
        <v>1.9296254256526479E-2</v>
      </c>
      <c r="E12" s="293">
        <v>0.10385610447209559</v>
      </c>
      <c r="F12" s="266">
        <f t="shared" si="2"/>
        <v>5</v>
      </c>
      <c r="G12" s="230">
        <f t="shared" ca="1" si="1"/>
        <v>2.1945550688331483E-3</v>
      </c>
      <c r="I12" s="266" t="s">
        <v>3111</v>
      </c>
      <c r="L12" s="293"/>
      <c r="M12" s="246">
        <f>MIN(E8:E4217)</f>
        <v>-0.13638052768487552</v>
      </c>
    </row>
    <row r="13" spans="2:20" x14ac:dyDescent="0.25">
      <c r="B13" s="348" t="s">
        <v>566</v>
      </c>
      <c r="C13" s="293">
        <v>264.3</v>
      </c>
      <c r="D13" s="230">
        <f t="shared" si="0"/>
        <v>-1.3805970149253666E-2</v>
      </c>
      <c r="E13" s="293">
        <v>9.5884599066609955E-2</v>
      </c>
      <c r="F13" s="266">
        <f t="shared" si="2"/>
        <v>6</v>
      </c>
      <c r="G13" s="230">
        <f t="shared" ca="1" si="1"/>
        <v>8.438908114979056E-3</v>
      </c>
      <c r="I13" s="266" t="s">
        <v>3112</v>
      </c>
      <c r="L13" s="293"/>
      <c r="M13" s="246">
        <f>MAX(E8:E4217)</f>
        <v>0.16782222222222209</v>
      </c>
    </row>
    <row r="14" spans="2:20" ht="15.6" x14ac:dyDescent="0.3">
      <c r="B14" s="348" t="s">
        <v>567</v>
      </c>
      <c r="C14" s="293">
        <v>268</v>
      </c>
      <c r="D14" s="230">
        <f t="shared" si="0"/>
        <v>8.6563793752352236E-3</v>
      </c>
      <c r="E14" s="293">
        <v>9.4658287509819417E-2</v>
      </c>
      <c r="F14" s="266">
        <f t="shared" si="2"/>
        <v>7</v>
      </c>
      <c r="G14" s="230">
        <f t="shared" ca="1" si="1"/>
        <v>-4.4188175758677782E-3</v>
      </c>
      <c r="I14" s="355" t="s">
        <v>3114</v>
      </c>
      <c r="J14" s="356"/>
      <c r="K14" s="356"/>
      <c r="L14" s="357"/>
      <c r="M14" s="358">
        <f>'RELATIVE VALUATION'!$E$11</f>
        <v>246.3</v>
      </c>
    </row>
    <row r="15" spans="2:20" ht="15.6" x14ac:dyDescent="0.3">
      <c r="B15" s="348" t="s">
        <v>568</v>
      </c>
      <c r="C15" s="293">
        <v>265.7</v>
      </c>
      <c r="D15" s="230">
        <f t="shared" si="0"/>
        <v>1.7033492822966512E-2</v>
      </c>
      <c r="E15" s="293">
        <v>8.9389366148130867E-2</v>
      </c>
      <c r="F15" s="266">
        <f t="shared" si="2"/>
        <v>8</v>
      </c>
      <c r="G15" s="230">
        <f t="shared" ca="1" si="1"/>
        <v>3.7259335623435392E-3</v>
      </c>
      <c r="I15" s="207"/>
      <c r="J15" s="207"/>
      <c r="K15" s="207"/>
      <c r="L15" s="207"/>
      <c r="M15" s="360"/>
    </row>
    <row r="16" spans="2:20" ht="15.6" x14ac:dyDescent="0.3">
      <c r="B16" s="348" t="s">
        <v>569</v>
      </c>
      <c r="C16" s="293">
        <v>261.25</v>
      </c>
      <c r="D16" s="230">
        <f t="shared" si="0"/>
        <v>5.3877236867423406E-3</v>
      </c>
      <c r="E16" s="293">
        <v>8.8438507600184124E-2</v>
      </c>
      <c r="F16" s="266">
        <f t="shared" si="2"/>
        <v>9</v>
      </c>
      <c r="G16" s="230">
        <f t="shared" ca="1" si="1"/>
        <v>4.680747378926646E-3</v>
      </c>
      <c r="I16" s="1018" t="s">
        <v>3122</v>
      </c>
      <c r="J16" s="1018"/>
      <c r="K16" s="207"/>
      <c r="L16" s="207"/>
      <c r="M16" s="360"/>
    </row>
    <row r="17" spans="2:13" ht="15.6" x14ac:dyDescent="0.3">
      <c r="B17" s="348" t="s">
        <v>570</v>
      </c>
      <c r="C17" s="293">
        <v>259.85000000000002</v>
      </c>
      <c r="D17" s="230">
        <f t="shared" si="0"/>
        <v>-1.5719696969696884E-2</v>
      </c>
      <c r="E17" s="293">
        <v>7.9938508839354494E-2</v>
      </c>
      <c r="F17" s="266">
        <f t="shared" si="2"/>
        <v>10</v>
      </c>
      <c r="G17" s="230">
        <f t="shared" ca="1" si="1"/>
        <v>7.7086027866986534E-3</v>
      </c>
      <c r="I17" s="207"/>
      <c r="J17" s="207"/>
      <c r="K17" s="207"/>
      <c r="L17" s="207"/>
      <c r="M17" s="360"/>
    </row>
    <row r="18" spans="2:13" x14ac:dyDescent="0.25">
      <c r="B18" s="348" t="s">
        <v>571</v>
      </c>
      <c r="C18" s="293">
        <v>264</v>
      </c>
      <c r="D18" s="230">
        <f t="shared" si="0"/>
        <v>-1.6942841184137025E-2</v>
      </c>
      <c r="E18" s="293">
        <v>7.5327972915784969E-2</v>
      </c>
      <c r="F18" s="266">
        <f t="shared" si="2"/>
        <v>11</v>
      </c>
      <c r="G18" s="230">
        <f t="shared" ca="1" si="1"/>
        <v>1.2941408437809407E-2</v>
      </c>
      <c r="I18" s="233" t="s">
        <v>3109</v>
      </c>
      <c r="J18" s="296"/>
      <c r="K18" s="296"/>
      <c r="L18" s="234"/>
      <c r="M18" s="245">
        <f ca="1">AVERAGE(G8:G4217)</f>
        <v>1.0294937997045617E-3</v>
      </c>
    </row>
    <row r="19" spans="2:13" x14ac:dyDescent="0.25">
      <c r="B19" s="348">
        <v>45994</v>
      </c>
      <c r="C19" s="293">
        <v>268.55</v>
      </c>
      <c r="D19" s="230">
        <f t="shared" si="0"/>
        <v>-3.3123312331233112E-2</v>
      </c>
      <c r="E19" s="293">
        <v>7.1995228153892032E-2</v>
      </c>
      <c r="F19" s="266">
        <f t="shared" si="2"/>
        <v>12</v>
      </c>
      <c r="G19" s="230">
        <f t="shared" ca="1" si="1"/>
        <v>-1.722759995111358E-2</v>
      </c>
      <c r="I19" s="266" t="s">
        <v>3110</v>
      </c>
      <c r="L19" s="293"/>
      <c r="M19" s="246">
        <f ca="1">_xlfn.STDEV.S(G8:G4217)</f>
        <v>1.90041126728956E-2</v>
      </c>
    </row>
    <row r="20" spans="2:13" x14ac:dyDescent="0.25">
      <c r="B20" s="348">
        <v>45964</v>
      </c>
      <c r="C20" s="293">
        <v>277.75</v>
      </c>
      <c r="D20" s="230">
        <f t="shared" si="0"/>
        <v>-1.1213955144179333E-2</v>
      </c>
      <c r="E20" s="293">
        <v>7.118055555555558E-2</v>
      </c>
      <c r="F20" s="266">
        <f t="shared" si="2"/>
        <v>13</v>
      </c>
      <c r="G20" s="230">
        <f t="shared" ca="1" si="1"/>
        <v>-2.5255133691105222E-3</v>
      </c>
      <c r="I20" s="266" t="s">
        <v>3111</v>
      </c>
      <c r="L20" s="293"/>
      <c r="M20" s="246">
        <f ca="1">MIN(G8:G4217)</f>
        <v>-7.0267886925007364E-2</v>
      </c>
    </row>
    <row r="21" spans="2:13" x14ac:dyDescent="0.25">
      <c r="B21" s="348">
        <v>45933</v>
      </c>
      <c r="C21" s="293">
        <v>280.89999999999998</v>
      </c>
      <c r="D21" s="230">
        <f t="shared" si="0"/>
        <v>-1.3693820224719211E-2</v>
      </c>
      <c r="E21" s="293">
        <v>7.08902496467263E-2</v>
      </c>
      <c r="F21" s="266">
        <f t="shared" si="2"/>
        <v>14</v>
      </c>
      <c r="G21" s="230">
        <f t="shared" ca="1" si="1"/>
        <v>2.2874634311582012E-3</v>
      </c>
      <c r="I21" s="266" t="s">
        <v>3112</v>
      </c>
      <c r="L21" s="293"/>
      <c r="M21" s="246">
        <f ca="1">MAX(G8:G4217)</f>
        <v>6.3942346485662729E-2</v>
      </c>
    </row>
    <row r="22" spans="2:13" ht="15.6" x14ac:dyDescent="0.3">
      <c r="B22" s="348">
        <v>45841</v>
      </c>
      <c r="C22" s="293">
        <v>284.8</v>
      </c>
      <c r="D22" s="230">
        <f t="shared" si="0"/>
        <v>-3.8474991255682545E-3</v>
      </c>
      <c r="E22" s="293">
        <v>7.0190145943680227E-2</v>
      </c>
      <c r="F22" s="266">
        <f t="shared" si="2"/>
        <v>15</v>
      </c>
      <c r="G22" s="230">
        <f t="shared" ca="1" si="1"/>
        <v>1.1085273448599215E-2</v>
      </c>
      <c r="I22" s="355" t="s">
        <v>3114</v>
      </c>
      <c r="J22" s="356"/>
      <c r="K22" s="356"/>
      <c r="L22" s="357"/>
      <c r="M22" s="358">
        <f>'RELATIVE VALUATION'!$E$11</f>
        <v>246.3</v>
      </c>
    </row>
    <row r="23" spans="2:13" x14ac:dyDescent="0.25">
      <c r="B23" s="348">
        <v>45811</v>
      </c>
      <c r="C23" s="293">
        <v>285.89999999999998</v>
      </c>
      <c r="D23" s="230">
        <f t="shared" si="0"/>
        <v>2.8060329708872178E-3</v>
      </c>
      <c r="E23" s="293">
        <v>7.0140280561122204E-2</v>
      </c>
      <c r="F23" s="266">
        <f t="shared" si="2"/>
        <v>16</v>
      </c>
      <c r="G23" s="230">
        <f t="shared" ca="1" si="1"/>
        <v>9.958090908564754E-3</v>
      </c>
    </row>
    <row r="24" spans="2:13" ht="15.6" x14ac:dyDescent="0.3">
      <c r="B24" s="348">
        <v>45780</v>
      </c>
      <c r="C24" s="293">
        <v>285.10000000000002</v>
      </c>
      <c r="D24" s="230">
        <f t="shared" si="0"/>
        <v>1.8214285714285738E-2</v>
      </c>
      <c r="E24" s="293">
        <v>6.8277017592851097E-2</v>
      </c>
      <c r="F24" s="266">
        <f t="shared" si="2"/>
        <v>17</v>
      </c>
      <c r="G24" s="230">
        <f t="shared" ca="1" si="1"/>
        <v>-7.7648406219374966E-3</v>
      </c>
      <c r="I24" s="350" t="s">
        <v>3113</v>
      </c>
      <c r="J24" s="351" t="s">
        <v>3116</v>
      </c>
      <c r="K24" s="351" t="s">
        <v>3117</v>
      </c>
      <c r="L24" s="351" t="s">
        <v>376</v>
      </c>
      <c r="M24" s="351" t="s">
        <v>3115</v>
      </c>
    </row>
    <row r="25" spans="2:13" x14ac:dyDescent="0.25">
      <c r="B25" s="348">
        <v>45750</v>
      </c>
      <c r="C25" s="293">
        <v>280</v>
      </c>
      <c r="D25" s="230">
        <f t="shared" si="0"/>
        <v>-1.2519837771116205E-2</v>
      </c>
      <c r="E25" s="293">
        <v>6.8092962641181476E-2</v>
      </c>
      <c r="F25" s="266">
        <f t="shared" si="2"/>
        <v>18</v>
      </c>
      <c r="G25" s="230">
        <f t="shared" ca="1" si="1"/>
        <v>-1.2999935558209842E-3</v>
      </c>
    </row>
    <row r="26" spans="2:13" x14ac:dyDescent="0.25">
      <c r="B26" s="348">
        <v>45719</v>
      </c>
      <c r="C26" s="293">
        <v>283.55</v>
      </c>
      <c r="D26" s="230">
        <f t="shared" si="0"/>
        <v>2.1249774896452411E-2</v>
      </c>
      <c r="E26" s="293">
        <v>6.7522825323567792E-2</v>
      </c>
      <c r="F26" s="266">
        <f t="shared" si="2"/>
        <v>19</v>
      </c>
      <c r="G26" s="230">
        <f t="shared" ca="1" si="1"/>
        <v>1.3760376107456607E-3</v>
      </c>
      <c r="I26" s="352">
        <v>0.05</v>
      </c>
      <c r="J26" s="361">
        <f>100%-I26</f>
        <v>0.95</v>
      </c>
      <c r="K26" s="268">
        <f ca="1">_xlfn.PERCENTILE.INC($G$8:$G$4217,I26)</f>
        <v>-2.991807880020432E-2</v>
      </c>
      <c r="L26" s="232">
        <f ca="1">$M$14*(1-K26)</f>
        <v>253.66882280849032</v>
      </c>
      <c r="M26" s="232">
        <f ca="1">$M$14-L26</f>
        <v>-7.3688228084903074</v>
      </c>
    </row>
    <row r="27" spans="2:13" x14ac:dyDescent="0.25">
      <c r="B27" s="348" t="s">
        <v>572</v>
      </c>
      <c r="C27" s="293">
        <v>277.64999999999998</v>
      </c>
      <c r="D27" s="230">
        <f t="shared" si="0"/>
        <v>-5.7215619694397368E-2</v>
      </c>
      <c r="E27" s="293">
        <v>6.6696479908004758E-2</v>
      </c>
      <c r="F27" s="266">
        <f t="shared" si="2"/>
        <v>20</v>
      </c>
      <c r="G27" s="230">
        <f t="shared" ca="1" si="1"/>
        <v>3.4993491990584637E-2</v>
      </c>
      <c r="I27" s="353">
        <v>0.01</v>
      </c>
      <c r="J27" s="362">
        <f t="shared" ref="J27:J28" si="3">100%-I27</f>
        <v>0.99</v>
      </c>
      <c r="K27" s="261">
        <f t="shared" ref="K27:K28" ca="1" si="4">_xlfn.PERCENTILE.INC($G$8:$G$4217,I27)</f>
        <v>-4.3433365481322053E-2</v>
      </c>
      <c r="L27" s="263">
        <f t="shared" ref="L27:L28" ca="1" si="5">$M$14*(1-K27)</f>
        <v>256.99763791804963</v>
      </c>
      <c r="M27" s="263">
        <f t="shared" ref="M27:M28" ca="1" si="6">$M$14-L27</f>
        <v>-10.697637918049622</v>
      </c>
    </row>
    <row r="28" spans="2:13" x14ac:dyDescent="0.25">
      <c r="B28" s="348" t="s">
        <v>573</v>
      </c>
      <c r="C28" s="293">
        <v>294.5</v>
      </c>
      <c r="D28" s="230">
        <f t="shared" si="0"/>
        <v>1.0985238585650592E-2</v>
      </c>
      <c r="E28" s="293">
        <v>6.6111111111111232E-2</v>
      </c>
      <c r="F28" s="266">
        <f t="shared" si="2"/>
        <v>21</v>
      </c>
      <c r="G28" s="230">
        <f t="shared" ca="1" si="1"/>
        <v>1.5345475563746645E-3</v>
      </c>
      <c r="I28" s="354">
        <v>5.0000000000000001E-3</v>
      </c>
      <c r="J28" s="363">
        <f t="shared" si="3"/>
        <v>0.995</v>
      </c>
      <c r="K28" s="262">
        <f t="shared" ca="1" si="4"/>
        <v>-4.8654825364254715E-2</v>
      </c>
      <c r="L28" s="63">
        <f t="shared" ca="1" si="5"/>
        <v>258.28368348721597</v>
      </c>
      <c r="M28" s="63">
        <f t="shared" ca="1" si="6"/>
        <v>-11.983683487215956</v>
      </c>
    </row>
    <row r="29" spans="2:13" x14ac:dyDescent="0.25">
      <c r="B29" s="348" t="s">
        <v>574</v>
      </c>
      <c r="C29" s="293">
        <v>291.3</v>
      </c>
      <c r="D29" s="230">
        <f t="shared" si="0"/>
        <v>-1.2709710218607007E-2</v>
      </c>
      <c r="E29" s="293">
        <v>6.599078341013831E-2</v>
      </c>
      <c r="F29" s="266">
        <f t="shared" si="2"/>
        <v>22</v>
      </c>
      <c r="G29" s="230">
        <f t="shared" ca="1" si="1"/>
        <v>1.9347112482229631E-2</v>
      </c>
    </row>
    <row r="30" spans="2:13" x14ac:dyDescent="0.25">
      <c r="B30" s="348" t="s">
        <v>575</v>
      </c>
      <c r="C30" s="293">
        <v>295.05</v>
      </c>
      <c r="D30" s="230">
        <f t="shared" si="0"/>
        <v>-3.6885914803329589E-2</v>
      </c>
      <c r="E30" s="293">
        <v>6.5889830508474523E-2</v>
      </c>
      <c r="F30" s="266">
        <f t="shared" si="2"/>
        <v>23</v>
      </c>
      <c r="G30" s="230">
        <f t="shared" ca="1" si="1"/>
        <v>1.676085738261094E-2</v>
      </c>
      <c r="I30" s="947" t="s">
        <v>3123</v>
      </c>
      <c r="J30" s="947"/>
      <c r="K30" s="947"/>
      <c r="L30" s="947"/>
      <c r="M30" s="947"/>
    </row>
    <row r="31" spans="2:13" x14ac:dyDescent="0.25">
      <c r="B31" s="348" t="s">
        <v>576</v>
      </c>
      <c r="C31" s="293">
        <v>306.35000000000002</v>
      </c>
      <c r="D31" s="230">
        <f t="shared" si="0"/>
        <v>-2.2183210979891399E-2</v>
      </c>
      <c r="E31" s="293">
        <v>6.4905125022167054E-2</v>
      </c>
      <c r="F31" s="266">
        <f t="shared" si="2"/>
        <v>24</v>
      </c>
      <c r="G31" s="230">
        <f t="shared" ca="1" si="1"/>
        <v>-1.3661050395739742E-2</v>
      </c>
      <c r="I31" s="947"/>
      <c r="J31" s="947"/>
      <c r="K31" s="947"/>
      <c r="L31" s="947"/>
      <c r="M31" s="947"/>
    </row>
    <row r="32" spans="2:13" x14ac:dyDescent="0.25">
      <c r="B32" s="348" t="s">
        <v>577</v>
      </c>
      <c r="C32" s="293">
        <v>313.3</v>
      </c>
      <c r="D32" s="230">
        <f t="shared" si="0"/>
        <v>-2.5469595670168932E-3</v>
      </c>
      <c r="E32" s="293">
        <v>6.4292980671414091E-2</v>
      </c>
      <c r="F32" s="266">
        <f t="shared" si="2"/>
        <v>25</v>
      </c>
      <c r="G32" s="230">
        <f t="shared" ca="1" si="1"/>
        <v>-1.3706328662345155E-2</v>
      </c>
    </row>
    <row r="33" spans="2:7" x14ac:dyDescent="0.25">
      <c r="B33" s="348" t="s">
        <v>578</v>
      </c>
      <c r="C33" s="293">
        <v>314.10000000000002</v>
      </c>
      <c r="D33" s="230">
        <f t="shared" si="0"/>
        <v>6.0858424087124607E-3</v>
      </c>
      <c r="E33" s="293">
        <v>6.3285652362375489E-2</v>
      </c>
      <c r="F33" s="266">
        <f t="shared" si="2"/>
        <v>26</v>
      </c>
      <c r="G33" s="230">
        <f t="shared" ca="1" si="1"/>
        <v>-1.1633952803877062E-2</v>
      </c>
    </row>
    <row r="34" spans="2:7" x14ac:dyDescent="0.25">
      <c r="B34" s="348" t="s">
        <v>579</v>
      </c>
      <c r="C34" s="293">
        <v>312.2</v>
      </c>
      <c r="D34" s="230">
        <f t="shared" si="0"/>
        <v>2.2433273292942424E-2</v>
      </c>
      <c r="E34" s="293">
        <v>6.3279857397504413E-2</v>
      </c>
      <c r="F34" s="266">
        <f t="shared" si="2"/>
        <v>27</v>
      </c>
      <c r="G34" s="230">
        <f t="shared" ca="1" si="1"/>
        <v>-4.290137321230408E-5</v>
      </c>
    </row>
    <row r="35" spans="2:7" x14ac:dyDescent="0.25">
      <c r="B35" s="348" t="s">
        <v>580</v>
      </c>
      <c r="C35" s="293">
        <v>305.35000000000002</v>
      </c>
      <c r="D35" s="230">
        <f t="shared" si="0"/>
        <v>-8.92567348263551E-3</v>
      </c>
      <c r="E35" s="293">
        <v>6.2815812939660987E-2</v>
      </c>
      <c r="F35" s="266">
        <f t="shared" si="2"/>
        <v>28</v>
      </c>
      <c r="G35" s="230">
        <f t="shared" ca="1" si="1"/>
        <v>2.4708362095042596E-2</v>
      </c>
    </row>
    <row r="36" spans="2:7" x14ac:dyDescent="0.25">
      <c r="B36" s="348" t="s">
        <v>581</v>
      </c>
      <c r="C36" s="293">
        <v>308.10000000000002</v>
      </c>
      <c r="D36" s="230">
        <f t="shared" si="0"/>
        <v>-1.458434613514803E-3</v>
      </c>
      <c r="E36" s="293">
        <v>6.2604735100760589E-2</v>
      </c>
      <c r="F36" s="266">
        <f t="shared" si="2"/>
        <v>29</v>
      </c>
      <c r="G36" s="230">
        <f t="shared" ca="1" si="1"/>
        <v>-2.4900596736919015E-3</v>
      </c>
    </row>
    <row r="37" spans="2:7" x14ac:dyDescent="0.25">
      <c r="B37" s="348" t="s">
        <v>582</v>
      </c>
      <c r="C37" s="293">
        <v>308.55</v>
      </c>
      <c r="D37" s="230">
        <f t="shared" si="0"/>
        <v>-5.3191489361701372E-3</v>
      </c>
      <c r="E37" s="293">
        <v>6.1675360540042856E-2</v>
      </c>
      <c r="F37" s="266">
        <f t="shared" si="2"/>
        <v>30</v>
      </c>
      <c r="G37" s="230">
        <f t="shared" ca="1" si="1"/>
        <v>3.7536090242580376E-3</v>
      </c>
    </row>
    <row r="38" spans="2:7" x14ac:dyDescent="0.25">
      <c r="B38" s="348">
        <v>45993</v>
      </c>
      <c r="C38" s="293">
        <v>310.2</v>
      </c>
      <c r="D38" s="230">
        <f t="shared" si="0"/>
        <v>-8.9456869009585382E-3</v>
      </c>
      <c r="E38" s="293">
        <v>6.0999606454152033E-2</v>
      </c>
      <c r="F38" s="266">
        <f t="shared" si="2"/>
        <v>31</v>
      </c>
      <c r="G38" s="230">
        <f t="shared" ca="1" si="1"/>
        <v>3.9444638550415211E-2</v>
      </c>
    </row>
    <row r="39" spans="2:7" x14ac:dyDescent="0.25">
      <c r="B39" s="348">
        <v>45963</v>
      </c>
      <c r="C39" s="293">
        <v>313</v>
      </c>
      <c r="D39" s="230">
        <f t="shared" si="0"/>
        <v>-1.8962545055633995E-2</v>
      </c>
      <c r="E39" s="293">
        <v>6.0591603053435028E-2</v>
      </c>
      <c r="F39" s="266">
        <f t="shared" si="2"/>
        <v>32</v>
      </c>
      <c r="G39" s="230">
        <f t="shared" ca="1" si="1"/>
        <v>-1.270316753582895E-2</v>
      </c>
    </row>
    <row r="40" spans="2:7" x14ac:dyDescent="0.25">
      <c r="B40" s="348">
        <v>45932</v>
      </c>
      <c r="C40" s="293">
        <v>319.05</v>
      </c>
      <c r="D40" s="230">
        <f t="shared" si="0"/>
        <v>3.3018867924528017E-3</v>
      </c>
      <c r="E40" s="293">
        <v>6.0512243174781766E-2</v>
      </c>
      <c r="F40" s="266">
        <f t="shared" si="2"/>
        <v>33</v>
      </c>
      <c r="G40" s="230">
        <f t="shared" ca="1" si="1"/>
        <v>-3.3375443788482111E-2</v>
      </c>
    </row>
    <row r="41" spans="2:7" x14ac:dyDescent="0.25">
      <c r="B41" s="348">
        <v>45840</v>
      </c>
      <c r="C41" s="293">
        <v>318</v>
      </c>
      <c r="D41" s="230">
        <f t="shared" si="0"/>
        <v>1.572574304136154E-4</v>
      </c>
      <c r="E41" s="293">
        <v>5.8739933680720169E-2</v>
      </c>
      <c r="F41" s="266">
        <f t="shared" si="2"/>
        <v>34</v>
      </c>
      <c r="G41" s="230">
        <f t="shared" ca="1" si="1"/>
        <v>-2.1820434376359646E-3</v>
      </c>
    </row>
    <row r="42" spans="2:7" x14ac:dyDescent="0.25">
      <c r="B42" s="348">
        <v>45810</v>
      </c>
      <c r="C42" s="293">
        <v>317.95</v>
      </c>
      <c r="D42" s="230">
        <f t="shared" si="0"/>
        <v>2.6805424156417512E-3</v>
      </c>
      <c r="E42" s="293">
        <v>5.8649093904448169E-2</v>
      </c>
      <c r="F42" s="266">
        <f t="shared" si="2"/>
        <v>35</v>
      </c>
      <c r="G42" s="230">
        <f t="shared" ca="1" si="1"/>
        <v>3.9149300360685209E-2</v>
      </c>
    </row>
    <row r="43" spans="2:7" x14ac:dyDescent="0.25">
      <c r="B43" s="348">
        <v>45779</v>
      </c>
      <c r="C43" s="293">
        <v>317.10000000000002</v>
      </c>
      <c r="D43" s="230">
        <f t="shared" si="0"/>
        <v>2.6877470355732846E-3</v>
      </c>
      <c r="E43" s="293">
        <v>5.8297180043383801E-2</v>
      </c>
      <c r="F43" s="266">
        <f t="shared" si="2"/>
        <v>36</v>
      </c>
      <c r="G43" s="230">
        <f t="shared" ca="1" si="1"/>
        <v>-3.9402341593588333E-3</v>
      </c>
    </row>
    <row r="44" spans="2:7" x14ac:dyDescent="0.25">
      <c r="B44" s="348">
        <v>45749</v>
      </c>
      <c r="C44" s="293">
        <v>316.25</v>
      </c>
      <c r="D44" s="230">
        <f t="shared" si="0"/>
        <v>8.4502551020406713E-3</v>
      </c>
      <c r="E44" s="293">
        <v>5.7626118595732079E-2</v>
      </c>
      <c r="F44" s="266">
        <f t="shared" si="2"/>
        <v>37</v>
      </c>
      <c r="G44" s="230">
        <f t="shared" ca="1" si="1"/>
        <v>3.2557122205993058E-3</v>
      </c>
    </row>
    <row r="45" spans="2:7" x14ac:dyDescent="0.25">
      <c r="B45" s="348">
        <v>45718</v>
      </c>
      <c r="C45" s="293">
        <v>313.60000000000002</v>
      </c>
      <c r="D45" s="230">
        <f t="shared" si="0"/>
        <v>2.8871391076115582E-2</v>
      </c>
      <c r="E45" s="293">
        <v>5.6939501779359469E-2</v>
      </c>
      <c r="F45" s="266">
        <f t="shared" si="2"/>
        <v>38</v>
      </c>
      <c r="G45" s="230">
        <f t="shared" ca="1" si="1"/>
        <v>1.1132094713518205E-2</v>
      </c>
    </row>
    <row r="46" spans="2:7" x14ac:dyDescent="0.25">
      <c r="B46" s="348">
        <v>45659</v>
      </c>
      <c r="C46" s="293">
        <v>304.8</v>
      </c>
      <c r="D46" s="230">
        <f t="shared" si="0"/>
        <v>-2.2763706316126897E-2</v>
      </c>
      <c r="E46" s="293">
        <v>5.6902468725783306E-2</v>
      </c>
      <c r="F46" s="266">
        <f t="shared" si="2"/>
        <v>39</v>
      </c>
      <c r="G46" s="230">
        <f t="shared" ca="1" si="1"/>
        <v>3.6114163682727324E-2</v>
      </c>
    </row>
    <row r="47" spans="2:7" x14ac:dyDescent="0.25">
      <c r="B47" s="348" t="s">
        <v>583</v>
      </c>
      <c r="C47" s="293">
        <v>311.89999999999998</v>
      </c>
      <c r="D47" s="230">
        <f t="shared" si="0"/>
        <v>9.3851132686082472E-3</v>
      </c>
      <c r="E47" s="293">
        <v>5.6585365853658587E-2</v>
      </c>
      <c r="F47" s="266">
        <f t="shared" si="2"/>
        <v>40</v>
      </c>
      <c r="G47" s="230">
        <f t="shared" ca="1" si="1"/>
        <v>-1.4633049728556974E-2</v>
      </c>
    </row>
    <row r="48" spans="2:7" x14ac:dyDescent="0.25">
      <c r="B48" s="348" t="s">
        <v>584</v>
      </c>
      <c r="C48" s="293">
        <v>309</v>
      </c>
      <c r="D48" s="230">
        <f t="shared" si="0"/>
        <v>-1.1041766682669207E-2</v>
      </c>
      <c r="E48" s="293">
        <v>5.5118110236220597E-2</v>
      </c>
      <c r="F48" s="266">
        <f t="shared" si="2"/>
        <v>41</v>
      </c>
      <c r="G48" s="230">
        <f t="shared" ca="1" si="1"/>
        <v>-5.2736512162388869E-3</v>
      </c>
    </row>
    <row r="49" spans="2:7" x14ac:dyDescent="0.25">
      <c r="B49" s="348" t="s">
        <v>585</v>
      </c>
      <c r="C49" s="293">
        <v>312.45</v>
      </c>
      <c r="D49" s="230">
        <f t="shared" si="0"/>
        <v>2.9150197628458274E-2</v>
      </c>
      <c r="E49" s="293">
        <v>5.5114751301083675E-2</v>
      </c>
      <c r="F49" s="266">
        <f t="shared" si="2"/>
        <v>42</v>
      </c>
      <c r="G49" s="230">
        <f t="shared" ca="1" si="1"/>
        <v>3.0902549686310662E-2</v>
      </c>
    </row>
    <row r="50" spans="2:7" x14ac:dyDescent="0.25">
      <c r="B50" s="348" t="s">
        <v>586</v>
      </c>
      <c r="C50" s="293">
        <v>303.60000000000002</v>
      </c>
      <c r="D50" s="230">
        <f t="shared" si="0"/>
        <v>-1.4125669751582914E-2</v>
      </c>
      <c r="E50" s="293">
        <v>5.4242664551942932E-2</v>
      </c>
      <c r="F50" s="266">
        <f t="shared" si="2"/>
        <v>43</v>
      </c>
      <c r="G50" s="230">
        <f t="shared" ca="1" si="1"/>
        <v>1.5198748965059478E-2</v>
      </c>
    </row>
    <row r="51" spans="2:7" x14ac:dyDescent="0.25">
      <c r="B51" s="348" t="s">
        <v>587</v>
      </c>
      <c r="C51" s="293">
        <v>307.95</v>
      </c>
      <c r="D51" s="230">
        <f t="shared" si="0"/>
        <v>-3.7956888472352457E-2</v>
      </c>
      <c r="E51" s="293">
        <v>5.3843548933288243E-2</v>
      </c>
      <c r="F51" s="266">
        <f t="shared" si="2"/>
        <v>44</v>
      </c>
      <c r="G51" s="230">
        <f t="shared" ca="1" si="1"/>
        <v>3.230543918290469E-2</v>
      </c>
    </row>
    <row r="52" spans="2:7" x14ac:dyDescent="0.25">
      <c r="B52" s="348" t="s">
        <v>588</v>
      </c>
      <c r="C52" s="293">
        <v>320.10000000000002</v>
      </c>
      <c r="D52" s="230">
        <f t="shared" si="0"/>
        <v>7.5542965061379252E-3</v>
      </c>
      <c r="E52" s="293">
        <v>5.3539823008849519E-2</v>
      </c>
      <c r="F52" s="266">
        <f t="shared" si="2"/>
        <v>45</v>
      </c>
      <c r="G52" s="230">
        <f t="shared" ca="1" si="1"/>
        <v>-1.4401441683610941E-2</v>
      </c>
    </row>
    <row r="53" spans="2:7" x14ac:dyDescent="0.25">
      <c r="B53" s="348" t="s">
        <v>589</v>
      </c>
      <c r="C53" s="293">
        <v>317.7</v>
      </c>
      <c r="D53" s="230">
        <f t="shared" si="0"/>
        <v>2.78227110967324E-2</v>
      </c>
      <c r="E53" s="293">
        <v>5.3377814845704696E-2</v>
      </c>
      <c r="F53" s="266">
        <f t="shared" si="2"/>
        <v>46</v>
      </c>
      <c r="G53" s="230">
        <f t="shared" ca="1" si="1"/>
        <v>-1.6963380842930649E-2</v>
      </c>
    </row>
    <row r="54" spans="2:7" x14ac:dyDescent="0.25">
      <c r="B54" s="348" t="s">
        <v>590</v>
      </c>
      <c r="C54" s="293">
        <v>309.10000000000002</v>
      </c>
      <c r="D54" s="230">
        <f t="shared" si="0"/>
        <v>3.603150661974186E-2</v>
      </c>
      <c r="E54" s="293">
        <v>5.319148936170226E-2</v>
      </c>
      <c r="F54" s="266">
        <f t="shared" si="2"/>
        <v>47</v>
      </c>
      <c r="G54" s="230">
        <f t="shared" ca="1" si="1"/>
        <v>-2.1072641245079793E-2</v>
      </c>
    </row>
    <row r="55" spans="2:7" x14ac:dyDescent="0.25">
      <c r="B55" s="348" t="s">
        <v>591</v>
      </c>
      <c r="C55" s="293">
        <v>298.35000000000002</v>
      </c>
      <c r="D55" s="230">
        <f t="shared" si="0"/>
        <v>-6.3280599500415979E-3</v>
      </c>
      <c r="E55" s="293">
        <v>5.3103695730175815E-2</v>
      </c>
      <c r="F55" s="266">
        <f t="shared" si="2"/>
        <v>48</v>
      </c>
      <c r="G55" s="230">
        <f t="shared" ca="1" si="1"/>
        <v>-1.2131901075944765E-2</v>
      </c>
    </row>
    <row r="56" spans="2:7" x14ac:dyDescent="0.25">
      <c r="B56" s="348" t="s">
        <v>592</v>
      </c>
      <c r="C56" s="293">
        <v>300.25</v>
      </c>
      <c r="D56" s="230">
        <f t="shared" si="0"/>
        <v>6.4905125022167054E-2</v>
      </c>
      <c r="E56" s="293">
        <v>5.2988403211418289E-2</v>
      </c>
      <c r="F56" s="266">
        <f t="shared" si="2"/>
        <v>49</v>
      </c>
      <c r="G56" s="230">
        <f t="shared" ca="1" si="1"/>
        <v>-2.6386898895628657E-3</v>
      </c>
    </row>
    <row r="57" spans="2:7" x14ac:dyDescent="0.25">
      <c r="B57" s="348" t="s">
        <v>593</v>
      </c>
      <c r="C57" s="293">
        <v>281.95</v>
      </c>
      <c r="D57" s="230">
        <f t="shared" si="0"/>
        <v>-2.1176879014060179E-2</v>
      </c>
      <c r="E57" s="293">
        <v>5.2560776400499831E-2</v>
      </c>
      <c r="F57" s="266">
        <f t="shared" si="2"/>
        <v>50</v>
      </c>
      <c r="G57" s="230">
        <f t="shared" ca="1" si="1"/>
        <v>-2.8352180175223583E-2</v>
      </c>
    </row>
    <row r="58" spans="2:7" x14ac:dyDescent="0.25">
      <c r="B58" s="348" t="s">
        <v>594</v>
      </c>
      <c r="C58" s="293">
        <v>288.05</v>
      </c>
      <c r="D58" s="230">
        <f t="shared" si="0"/>
        <v>-1.5718434990602992E-2</v>
      </c>
      <c r="E58" s="293">
        <v>5.1481875073798644E-2</v>
      </c>
      <c r="F58" s="266">
        <f t="shared" si="2"/>
        <v>51</v>
      </c>
      <c r="G58" s="230">
        <f t="shared" ca="1" si="1"/>
        <v>1.6532677419490695E-2</v>
      </c>
    </row>
    <row r="59" spans="2:7" x14ac:dyDescent="0.25">
      <c r="B59" s="348" t="s">
        <v>595</v>
      </c>
      <c r="C59" s="293">
        <v>292.64999999999998</v>
      </c>
      <c r="D59" s="230">
        <f t="shared" si="0"/>
        <v>-6.8294348642661262E-4</v>
      </c>
      <c r="E59" s="293">
        <v>5.106290672451208E-2</v>
      </c>
      <c r="F59" s="266">
        <f t="shared" si="2"/>
        <v>52</v>
      </c>
      <c r="G59" s="230">
        <f t="shared" ca="1" si="1"/>
        <v>-5.8964453727845334E-3</v>
      </c>
    </row>
    <row r="60" spans="2:7" x14ac:dyDescent="0.25">
      <c r="B60" s="348" t="s">
        <v>596</v>
      </c>
      <c r="C60" s="293">
        <v>292.85000000000002</v>
      </c>
      <c r="D60" s="230">
        <f t="shared" si="0"/>
        <v>3.4264176803151525E-3</v>
      </c>
      <c r="E60" s="293">
        <v>5.0913520097442211E-2</v>
      </c>
      <c r="F60" s="266">
        <f t="shared" si="2"/>
        <v>53</v>
      </c>
      <c r="G60" s="230">
        <f t="shared" ca="1" si="1"/>
        <v>-8.2358140488629061E-3</v>
      </c>
    </row>
    <row r="61" spans="2:7" x14ac:dyDescent="0.25">
      <c r="B61" s="348" t="s">
        <v>597</v>
      </c>
      <c r="C61" s="293">
        <v>291.85000000000002</v>
      </c>
      <c r="D61" s="230">
        <f t="shared" si="0"/>
        <v>-2.8946930627183454E-2</v>
      </c>
      <c r="E61" s="293">
        <v>5.0416281221091541E-2</v>
      </c>
      <c r="F61" s="266">
        <f t="shared" si="2"/>
        <v>54</v>
      </c>
      <c r="G61" s="230">
        <f t="shared" ca="1" si="1"/>
        <v>1.8082748100169611E-2</v>
      </c>
    </row>
    <row r="62" spans="2:7" x14ac:dyDescent="0.25">
      <c r="B62" s="348">
        <v>45931</v>
      </c>
      <c r="C62" s="293">
        <v>300.55</v>
      </c>
      <c r="D62" s="230">
        <f t="shared" si="0"/>
        <v>2.8224426958604276E-2</v>
      </c>
      <c r="E62" s="293">
        <v>4.9485054006531026E-2</v>
      </c>
      <c r="F62" s="266">
        <f t="shared" si="2"/>
        <v>55</v>
      </c>
      <c r="G62" s="230">
        <f t="shared" ca="1" si="1"/>
        <v>4.2045687130347707E-3</v>
      </c>
    </row>
    <row r="63" spans="2:7" x14ac:dyDescent="0.25">
      <c r="B63" s="348">
        <v>45901</v>
      </c>
      <c r="C63" s="293">
        <v>292.3</v>
      </c>
      <c r="D63" s="230">
        <f t="shared" si="0"/>
        <v>-1.7644093429675656E-2</v>
      </c>
      <c r="E63" s="293">
        <v>4.9389002036659857E-2</v>
      </c>
      <c r="F63" s="266">
        <f t="shared" si="2"/>
        <v>56</v>
      </c>
      <c r="G63" s="230">
        <f t="shared" ca="1" si="1"/>
        <v>2.0502573440667423E-3</v>
      </c>
    </row>
    <row r="64" spans="2:7" x14ac:dyDescent="0.25">
      <c r="B64" s="348">
        <v>45870</v>
      </c>
      <c r="C64" s="293">
        <v>297.55</v>
      </c>
      <c r="D64" s="230">
        <f t="shared" si="0"/>
        <v>1.1902737629654769E-2</v>
      </c>
      <c r="E64" s="293">
        <v>4.9069916613213582E-2</v>
      </c>
      <c r="F64" s="266">
        <f t="shared" si="2"/>
        <v>57</v>
      </c>
      <c r="G64" s="230">
        <f t="shared" ca="1" si="1"/>
        <v>8.8040956987866896E-4</v>
      </c>
    </row>
    <row r="65" spans="2:7" x14ac:dyDescent="0.25">
      <c r="B65" s="348">
        <v>45839</v>
      </c>
      <c r="C65" s="293">
        <v>294.05</v>
      </c>
      <c r="D65" s="230">
        <f t="shared" si="0"/>
        <v>-8.4947332653750873E-4</v>
      </c>
      <c r="E65" s="293">
        <v>4.8954161103693883E-2</v>
      </c>
      <c r="F65" s="266">
        <f t="shared" si="2"/>
        <v>58</v>
      </c>
      <c r="G65" s="230">
        <f t="shared" ca="1" si="1"/>
        <v>-1.6439377837501379E-2</v>
      </c>
    </row>
    <row r="66" spans="2:7" x14ac:dyDescent="0.25">
      <c r="B66" s="348">
        <v>45809</v>
      </c>
      <c r="C66" s="293">
        <v>294.3</v>
      </c>
      <c r="D66" s="230">
        <f t="shared" si="0"/>
        <v>-5.0942435048384471E-4</v>
      </c>
      <c r="E66" s="293">
        <v>4.8937146352653338E-2</v>
      </c>
      <c r="F66" s="266">
        <f t="shared" si="2"/>
        <v>59</v>
      </c>
      <c r="G66" s="230">
        <f t="shared" ca="1" si="1"/>
        <v>-1.5830675811335897E-2</v>
      </c>
    </row>
    <row r="67" spans="2:7" x14ac:dyDescent="0.25">
      <c r="B67" s="348">
        <v>45717</v>
      </c>
      <c r="C67" s="293">
        <v>294.45</v>
      </c>
      <c r="D67" s="230">
        <f t="shared" si="0"/>
        <v>-3.077682685977623E-2</v>
      </c>
      <c r="E67" s="293">
        <v>4.8792360981089633E-2</v>
      </c>
      <c r="F67" s="266">
        <f t="shared" si="2"/>
        <v>60</v>
      </c>
      <c r="G67" s="230">
        <f t="shared" ca="1" si="1"/>
        <v>3.5579447494230074E-2</v>
      </c>
    </row>
    <row r="68" spans="2:7" x14ac:dyDescent="0.25">
      <c r="B68" s="348">
        <v>45689</v>
      </c>
      <c r="C68" s="293">
        <v>303.8</v>
      </c>
      <c r="D68" s="230">
        <f t="shared" si="0"/>
        <v>1.1655011655011593E-2</v>
      </c>
      <c r="E68" s="293">
        <v>4.7870554113875752E-2</v>
      </c>
      <c r="F68" s="266">
        <f t="shared" si="2"/>
        <v>61</v>
      </c>
      <c r="G68" s="230">
        <f t="shared" ca="1" si="1"/>
        <v>5.4845190179262154E-3</v>
      </c>
    </row>
    <row r="69" spans="2:7" x14ac:dyDescent="0.25">
      <c r="B69" s="348">
        <v>45658</v>
      </c>
      <c r="C69" s="293">
        <v>300.3</v>
      </c>
      <c r="D69" s="230">
        <f t="shared" si="0"/>
        <v>-5.135000828225933E-3</v>
      </c>
      <c r="E69" s="293">
        <v>4.7672672672672611E-2</v>
      </c>
      <c r="F69" s="266">
        <f t="shared" si="2"/>
        <v>62</v>
      </c>
      <c r="G69" s="230">
        <f t="shared" ca="1" si="1"/>
        <v>-4.7257924071086527E-3</v>
      </c>
    </row>
    <row r="70" spans="2:7" x14ac:dyDescent="0.25">
      <c r="B70" s="348" t="s">
        <v>598</v>
      </c>
      <c r="C70" s="293">
        <v>301.85000000000002</v>
      </c>
      <c r="D70" s="230">
        <f t="shared" si="0"/>
        <v>-6.0915377016791394E-3</v>
      </c>
      <c r="E70" s="293">
        <v>4.753778644563611E-2</v>
      </c>
      <c r="F70" s="266">
        <f t="shared" si="2"/>
        <v>63</v>
      </c>
      <c r="G70" s="230">
        <f t="shared" ca="1" si="1"/>
        <v>2.3020620190866932E-2</v>
      </c>
    </row>
    <row r="71" spans="2:7" x14ac:dyDescent="0.25">
      <c r="B71" s="348" t="s">
        <v>599</v>
      </c>
      <c r="C71" s="293">
        <v>303.7</v>
      </c>
      <c r="D71" s="230">
        <f t="shared" si="0"/>
        <v>-1.7470074409576264E-2</v>
      </c>
      <c r="E71" s="293">
        <v>4.7391749062393407E-2</v>
      </c>
      <c r="F71" s="266">
        <f t="shared" si="2"/>
        <v>64</v>
      </c>
      <c r="G71" s="230">
        <f t="shared" ca="1" si="1"/>
        <v>4.937933778729863E-3</v>
      </c>
    </row>
    <row r="72" spans="2:7" x14ac:dyDescent="0.25">
      <c r="B72" s="348" t="s">
        <v>600</v>
      </c>
      <c r="C72" s="293">
        <v>309.10000000000002</v>
      </c>
      <c r="D72" s="230">
        <f t="shared" si="0"/>
        <v>1.3276512047205369E-2</v>
      </c>
      <c r="E72" s="293">
        <v>4.7251687560269984E-2</v>
      </c>
      <c r="F72" s="266">
        <f t="shared" si="2"/>
        <v>65</v>
      </c>
      <c r="G72" s="230">
        <f t="shared" ca="1" si="1"/>
        <v>-1.0092401538030229E-2</v>
      </c>
    </row>
    <row r="73" spans="2:7" x14ac:dyDescent="0.25">
      <c r="B73" s="348" t="s">
        <v>601</v>
      </c>
      <c r="C73" s="293">
        <v>305.05</v>
      </c>
      <c r="D73" s="230">
        <f t="shared" ref="D73:D136" si="7">C73/C74-1</f>
        <v>-8.1886668850306155E-4</v>
      </c>
      <c r="E73" s="293">
        <v>4.5715013370686508E-2</v>
      </c>
      <c r="F73" s="266">
        <f t="shared" si="2"/>
        <v>66</v>
      </c>
      <c r="G73" s="230">
        <f t="shared" ref="G73:G136" ca="1" si="8">_xlfn.NORM.INV(RAND(),$M$10,$M$11)</f>
        <v>1.3687568285215366E-2</v>
      </c>
    </row>
    <row r="74" spans="2:7" x14ac:dyDescent="0.25">
      <c r="B74" s="348" t="s">
        <v>602</v>
      </c>
      <c r="C74" s="293">
        <v>305.3</v>
      </c>
      <c r="D74" s="230">
        <f t="shared" si="7"/>
        <v>-8.444300097434132E-3</v>
      </c>
      <c r="E74" s="293">
        <v>4.5484654449105877E-2</v>
      </c>
      <c r="F74" s="266">
        <f t="shared" ref="F74:F137" si="9">F73+1</f>
        <v>67</v>
      </c>
      <c r="G74" s="230">
        <f t="shared" ca="1" si="8"/>
        <v>-1.274380230379725E-2</v>
      </c>
    </row>
    <row r="75" spans="2:7" x14ac:dyDescent="0.25">
      <c r="B75" s="348" t="s">
        <v>603</v>
      </c>
      <c r="C75" s="293">
        <v>307.89999999999998</v>
      </c>
      <c r="D75" s="230">
        <f t="shared" si="7"/>
        <v>8.8466579292267866E-3</v>
      </c>
      <c r="E75" s="293">
        <v>4.5459750372151664E-2</v>
      </c>
      <c r="F75" s="266">
        <f t="shared" si="9"/>
        <v>68</v>
      </c>
      <c r="G75" s="230">
        <f t="shared" ca="1" si="8"/>
        <v>1.2458616025035122E-2</v>
      </c>
    </row>
    <row r="76" spans="2:7" x14ac:dyDescent="0.25">
      <c r="B76" s="348" t="s">
        <v>604</v>
      </c>
      <c r="C76" s="293">
        <v>305.2</v>
      </c>
      <c r="D76" s="230">
        <f t="shared" si="7"/>
        <v>-2.4140687450040055E-2</v>
      </c>
      <c r="E76" s="293">
        <v>4.5454545454545414E-2</v>
      </c>
      <c r="F76" s="266">
        <f t="shared" si="9"/>
        <v>69</v>
      </c>
      <c r="G76" s="230">
        <f t="shared" ca="1" si="8"/>
        <v>5.6276880721448349E-3</v>
      </c>
    </row>
    <row r="77" spans="2:7" x14ac:dyDescent="0.25">
      <c r="B77" s="348" t="s">
        <v>605</v>
      </c>
      <c r="C77" s="293">
        <v>312.75</v>
      </c>
      <c r="D77" s="230">
        <f t="shared" si="7"/>
        <v>4.798464491362342E-4</v>
      </c>
      <c r="E77" s="293">
        <v>4.5397854826639827E-2</v>
      </c>
      <c r="F77" s="266">
        <f t="shared" si="9"/>
        <v>70</v>
      </c>
      <c r="G77" s="230">
        <f t="shared" ca="1" si="8"/>
        <v>-1.9644313704288464E-2</v>
      </c>
    </row>
    <row r="78" spans="2:7" x14ac:dyDescent="0.25">
      <c r="B78" s="348" t="s">
        <v>606</v>
      </c>
      <c r="C78" s="293">
        <v>312.60000000000002</v>
      </c>
      <c r="D78" s="230">
        <f t="shared" si="7"/>
        <v>1.2141816415735862E-2</v>
      </c>
      <c r="E78" s="293">
        <v>4.5272727272727353E-2</v>
      </c>
      <c r="F78" s="266">
        <f t="shared" si="9"/>
        <v>71</v>
      </c>
      <c r="G78" s="230">
        <f t="shared" ca="1" si="8"/>
        <v>3.8885729848170701E-2</v>
      </c>
    </row>
    <row r="79" spans="2:7" x14ac:dyDescent="0.25">
      <c r="B79" s="348" t="s">
        <v>607</v>
      </c>
      <c r="C79" s="293">
        <v>308.85000000000002</v>
      </c>
      <c r="D79" s="230">
        <f t="shared" si="7"/>
        <v>-1.1319534282017152E-3</v>
      </c>
      <c r="E79" s="293">
        <v>4.484492875104773E-2</v>
      </c>
      <c r="F79" s="266">
        <f t="shared" si="9"/>
        <v>72</v>
      </c>
      <c r="G79" s="230">
        <f t="shared" ca="1" si="8"/>
        <v>9.1229228914812954E-3</v>
      </c>
    </row>
    <row r="80" spans="2:7" x14ac:dyDescent="0.25">
      <c r="B80" s="348" t="s">
        <v>608</v>
      </c>
      <c r="C80" s="293">
        <v>309.2</v>
      </c>
      <c r="D80" s="230">
        <f t="shared" si="7"/>
        <v>-2.4197451201807274E-3</v>
      </c>
      <c r="E80" s="293">
        <v>4.4314584855125405E-2</v>
      </c>
      <c r="F80" s="266">
        <f t="shared" si="9"/>
        <v>73</v>
      </c>
      <c r="G80" s="230">
        <f t="shared" ca="1" si="8"/>
        <v>7.4262092112840229E-3</v>
      </c>
    </row>
    <row r="81" spans="2:7" x14ac:dyDescent="0.25">
      <c r="B81" s="348" t="s">
        <v>609</v>
      </c>
      <c r="C81" s="293">
        <v>309.95</v>
      </c>
      <c r="D81" s="230">
        <f t="shared" si="7"/>
        <v>2.7499191200257567E-3</v>
      </c>
      <c r="E81" s="293">
        <v>4.4231553200162921E-2</v>
      </c>
      <c r="F81" s="266">
        <f t="shared" si="9"/>
        <v>74</v>
      </c>
      <c r="G81" s="230">
        <f t="shared" ca="1" si="8"/>
        <v>1.2473596499167929E-2</v>
      </c>
    </row>
    <row r="82" spans="2:7" x14ac:dyDescent="0.25">
      <c r="B82" s="348">
        <v>45638</v>
      </c>
      <c r="C82" s="293">
        <v>309.10000000000002</v>
      </c>
      <c r="D82" s="230">
        <f t="shared" si="7"/>
        <v>3.2362459546941835E-4</v>
      </c>
      <c r="E82" s="293">
        <v>4.4211040547142311E-2</v>
      </c>
      <c r="F82" s="266">
        <f t="shared" si="9"/>
        <v>75</v>
      </c>
      <c r="G82" s="230">
        <f t="shared" ca="1" si="8"/>
        <v>-7.2337972830429104E-3</v>
      </c>
    </row>
    <row r="83" spans="2:7" x14ac:dyDescent="0.25">
      <c r="B83" s="348">
        <v>45608</v>
      </c>
      <c r="C83" s="293">
        <v>309</v>
      </c>
      <c r="D83" s="230">
        <f t="shared" si="7"/>
        <v>2.9211295034079487E-3</v>
      </c>
      <c r="E83" s="293">
        <v>4.4128646222887147E-2</v>
      </c>
      <c r="F83" s="266">
        <f t="shared" si="9"/>
        <v>76</v>
      </c>
      <c r="G83" s="230">
        <f t="shared" ca="1" si="8"/>
        <v>-8.7177258518295626E-3</v>
      </c>
    </row>
    <row r="84" spans="2:7" x14ac:dyDescent="0.25">
      <c r="B84" s="348">
        <v>45577</v>
      </c>
      <c r="C84" s="293">
        <v>308.10000000000002</v>
      </c>
      <c r="D84" s="230">
        <f t="shared" si="7"/>
        <v>1.4320987654321105E-2</v>
      </c>
      <c r="E84" s="293">
        <v>4.3961058716154522E-2</v>
      </c>
      <c r="F84" s="266">
        <f t="shared" si="9"/>
        <v>77</v>
      </c>
      <c r="G84" s="230">
        <f t="shared" ca="1" si="8"/>
        <v>1.4904564241892919E-2</v>
      </c>
    </row>
    <row r="85" spans="2:7" x14ac:dyDescent="0.25">
      <c r="B85" s="348">
        <v>45547</v>
      </c>
      <c r="C85" s="293">
        <v>303.75</v>
      </c>
      <c r="D85" s="230">
        <f t="shared" si="7"/>
        <v>2.1523457205313568E-2</v>
      </c>
      <c r="E85" s="293">
        <v>4.3731778425655898E-2</v>
      </c>
      <c r="F85" s="266">
        <f t="shared" si="9"/>
        <v>78</v>
      </c>
      <c r="G85" s="230">
        <f t="shared" ca="1" si="8"/>
        <v>-5.7333612357815685E-4</v>
      </c>
    </row>
    <row r="86" spans="2:7" x14ac:dyDescent="0.25">
      <c r="B86" s="348">
        <v>45455</v>
      </c>
      <c r="C86" s="293">
        <v>297.35000000000002</v>
      </c>
      <c r="D86" s="230">
        <f t="shared" si="7"/>
        <v>-6.5152021383226844E-3</v>
      </c>
      <c r="E86" s="293">
        <v>4.366234453559148E-2</v>
      </c>
      <c r="F86" s="266">
        <f t="shared" si="9"/>
        <v>79</v>
      </c>
      <c r="G86" s="230">
        <f t="shared" ca="1" si="8"/>
        <v>3.7134567002118982E-4</v>
      </c>
    </row>
    <row r="87" spans="2:7" x14ac:dyDescent="0.25">
      <c r="B87" s="348">
        <v>45424</v>
      </c>
      <c r="C87" s="293">
        <v>299.3</v>
      </c>
      <c r="D87" s="230">
        <f t="shared" si="7"/>
        <v>1.8027210884353773E-2</v>
      </c>
      <c r="E87" s="293">
        <v>4.3451930355791202E-2</v>
      </c>
      <c r="F87" s="266">
        <f t="shared" si="9"/>
        <v>80</v>
      </c>
      <c r="G87" s="230">
        <f t="shared" ca="1" si="8"/>
        <v>5.1712879512755905E-3</v>
      </c>
    </row>
    <row r="88" spans="2:7" x14ac:dyDescent="0.25">
      <c r="B88" s="348">
        <v>45394</v>
      </c>
      <c r="C88" s="293">
        <v>294</v>
      </c>
      <c r="D88" s="230">
        <f t="shared" si="7"/>
        <v>8.057603291616644E-3</v>
      </c>
      <c r="E88" s="293">
        <v>4.3227259926781336E-2</v>
      </c>
      <c r="F88" s="266">
        <f t="shared" si="9"/>
        <v>81</v>
      </c>
      <c r="G88" s="230">
        <f t="shared" ca="1" si="8"/>
        <v>-2.0190279464336804E-2</v>
      </c>
    </row>
    <row r="89" spans="2:7" x14ac:dyDescent="0.25">
      <c r="B89" s="348">
        <v>45363</v>
      </c>
      <c r="C89" s="293">
        <v>291.64999999999998</v>
      </c>
      <c r="D89" s="230">
        <f t="shared" si="7"/>
        <v>-2.1213261710062437E-3</v>
      </c>
      <c r="E89" s="293">
        <v>4.3092247726288502E-2</v>
      </c>
      <c r="F89" s="266">
        <f t="shared" si="9"/>
        <v>82</v>
      </c>
      <c r="G89" s="230">
        <f t="shared" ca="1" si="8"/>
        <v>1.1450009199396607E-2</v>
      </c>
    </row>
    <row r="90" spans="2:7" x14ac:dyDescent="0.25">
      <c r="B90" s="348">
        <v>45334</v>
      </c>
      <c r="C90" s="293">
        <v>292.27</v>
      </c>
      <c r="D90" s="230">
        <f t="shared" si="7"/>
        <v>1.1594905164059144E-2</v>
      </c>
      <c r="E90" s="293">
        <v>4.3085385018334366E-2</v>
      </c>
      <c r="F90" s="266">
        <f t="shared" si="9"/>
        <v>83</v>
      </c>
      <c r="G90" s="230">
        <f t="shared" ca="1" si="8"/>
        <v>4.2114531373639973E-3</v>
      </c>
    </row>
    <row r="91" spans="2:7" x14ac:dyDescent="0.25">
      <c r="B91" s="348" t="s">
        <v>610</v>
      </c>
      <c r="C91" s="293">
        <v>288.92</v>
      </c>
      <c r="D91" s="230">
        <f t="shared" si="7"/>
        <v>9.8566934638237846E-3</v>
      </c>
      <c r="E91" s="293">
        <v>4.2654602738619429E-2</v>
      </c>
      <c r="F91" s="266">
        <f t="shared" si="9"/>
        <v>84</v>
      </c>
      <c r="G91" s="230">
        <f t="shared" ca="1" si="8"/>
        <v>-7.4263287785385369E-3</v>
      </c>
    </row>
    <row r="92" spans="2:7" x14ac:dyDescent="0.25">
      <c r="B92" s="348" t="s">
        <v>611</v>
      </c>
      <c r="C92" s="293">
        <v>286.10000000000002</v>
      </c>
      <c r="D92" s="230">
        <f t="shared" si="7"/>
        <v>-1.8356493395093376E-2</v>
      </c>
      <c r="E92" s="293">
        <v>4.2607359016235913E-2</v>
      </c>
      <c r="F92" s="266">
        <f t="shared" si="9"/>
        <v>85</v>
      </c>
      <c r="G92" s="230">
        <f t="shared" ca="1" si="8"/>
        <v>5.3604451027316983E-3</v>
      </c>
    </row>
    <row r="93" spans="2:7" x14ac:dyDescent="0.25">
      <c r="B93" s="348" t="s">
        <v>612</v>
      </c>
      <c r="C93" s="293">
        <v>291.45</v>
      </c>
      <c r="D93" s="230">
        <f t="shared" si="7"/>
        <v>-1.0356536502546754E-2</v>
      </c>
      <c r="E93" s="293">
        <v>4.2406972846128044E-2</v>
      </c>
      <c r="F93" s="266">
        <f t="shared" si="9"/>
        <v>86</v>
      </c>
      <c r="G93" s="230">
        <f t="shared" ca="1" si="8"/>
        <v>-3.8792007895017107E-3</v>
      </c>
    </row>
    <row r="94" spans="2:7" x14ac:dyDescent="0.25">
      <c r="B94" s="348" t="s">
        <v>613</v>
      </c>
      <c r="C94" s="293">
        <v>294.5</v>
      </c>
      <c r="D94" s="230">
        <f t="shared" si="7"/>
        <v>1.1228238849019689E-2</v>
      </c>
      <c r="E94" s="293">
        <v>4.2356241234221548E-2</v>
      </c>
      <c r="F94" s="266">
        <f t="shared" si="9"/>
        <v>87</v>
      </c>
      <c r="G94" s="230">
        <f t="shared" ca="1" si="8"/>
        <v>2.926573079135468E-2</v>
      </c>
    </row>
    <row r="95" spans="2:7" x14ac:dyDescent="0.25">
      <c r="B95" s="348" t="s">
        <v>614</v>
      </c>
      <c r="C95" s="293">
        <v>291.23</v>
      </c>
      <c r="D95" s="230">
        <f t="shared" si="7"/>
        <v>1.8892348598817499E-2</v>
      </c>
      <c r="E95" s="293">
        <v>4.2066103877521854E-2</v>
      </c>
      <c r="F95" s="266">
        <f t="shared" si="9"/>
        <v>88</v>
      </c>
      <c r="G95" s="230">
        <f t="shared" ca="1" si="8"/>
        <v>-1.7413916311875438E-3</v>
      </c>
    </row>
    <row r="96" spans="2:7" x14ac:dyDescent="0.25">
      <c r="B96" s="348" t="s">
        <v>615</v>
      </c>
      <c r="C96" s="293">
        <v>285.83</v>
      </c>
      <c r="D96" s="230">
        <f t="shared" si="7"/>
        <v>2.6024840261325233E-2</v>
      </c>
      <c r="E96" s="293">
        <v>4.1406250000000089E-2</v>
      </c>
      <c r="F96" s="266">
        <f t="shared" si="9"/>
        <v>89</v>
      </c>
      <c r="G96" s="230">
        <f t="shared" ca="1" si="8"/>
        <v>1.7594947905020052E-2</v>
      </c>
    </row>
    <row r="97" spans="2:7" x14ac:dyDescent="0.25">
      <c r="B97" s="348" t="s">
        <v>616</v>
      </c>
      <c r="C97" s="293">
        <v>278.58</v>
      </c>
      <c r="D97" s="230">
        <f t="shared" si="7"/>
        <v>-8.6120996441281239E-3</v>
      </c>
      <c r="E97" s="293">
        <v>4.1129908427750994E-2</v>
      </c>
      <c r="F97" s="266">
        <f t="shared" si="9"/>
        <v>90</v>
      </c>
      <c r="G97" s="230">
        <f t="shared" ca="1" si="8"/>
        <v>-1.4399706210254789E-3</v>
      </c>
    </row>
    <row r="98" spans="2:7" x14ac:dyDescent="0.25">
      <c r="B98" s="348" t="s">
        <v>617</v>
      </c>
      <c r="C98" s="293">
        <v>281</v>
      </c>
      <c r="D98" s="230">
        <f t="shared" si="7"/>
        <v>1.6568989219303942E-2</v>
      </c>
      <c r="E98" s="293">
        <v>4.0873344370860876E-2</v>
      </c>
      <c r="F98" s="266">
        <f t="shared" si="9"/>
        <v>91</v>
      </c>
      <c r="G98" s="230">
        <f t="shared" ca="1" si="8"/>
        <v>-2.2159457413349348E-2</v>
      </c>
    </row>
    <row r="99" spans="2:7" x14ac:dyDescent="0.25">
      <c r="B99" s="348" t="s">
        <v>618</v>
      </c>
      <c r="C99" s="293">
        <v>276.42</v>
      </c>
      <c r="D99" s="230">
        <f t="shared" si="7"/>
        <v>-2.445738485971416E-2</v>
      </c>
      <c r="E99" s="293">
        <v>4.0807307012374894E-2</v>
      </c>
      <c r="F99" s="266">
        <f t="shared" si="9"/>
        <v>92</v>
      </c>
      <c r="G99" s="230">
        <f t="shared" ca="1" si="8"/>
        <v>-1.5568117838780897E-2</v>
      </c>
    </row>
    <row r="100" spans="2:7" x14ac:dyDescent="0.25">
      <c r="B100" s="348" t="s">
        <v>619</v>
      </c>
      <c r="C100" s="293">
        <v>283.35000000000002</v>
      </c>
      <c r="D100" s="230">
        <f t="shared" si="7"/>
        <v>-4.0421792618627883E-3</v>
      </c>
      <c r="E100" s="293">
        <v>4.0507456042733203E-2</v>
      </c>
      <c r="F100" s="266">
        <f t="shared" si="9"/>
        <v>93</v>
      </c>
      <c r="G100" s="230">
        <f t="shared" ca="1" si="8"/>
        <v>-1.8271703242125306E-2</v>
      </c>
    </row>
    <row r="101" spans="2:7" x14ac:dyDescent="0.25">
      <c r="B101" s="348" t="s">
        <v>620</v>
      </c>
      <c r="C101" s="293">
        <v>284.5</v>
      </c>
      <c r="D101" s="230">
        <f t="shared" si="7"/>
        <v>-2.908912487295412E-3</v>
      </c>
      <c r="E101" s="293">
        <v>4.0383551539738161E-2</v>
      </c>
      <c r="F101" s="266">
        <f t="shared" si="9"/>
        <v>94</v>
      </c>
      <c r="G101" s="230">
        <f t="shared" ca="1" si="8"/>
        <v>-1.3523874363126194E-2</v>
      </c>
    </row>
    <row r="102" spans="2:7" x14ac:dyDescent="0.25">
      <c r="B102" s="348">
        <v>45637</v>
      </c>
      <c r="C102" s="293">
        <v>285.33</v>
      </c>
      <c r="D102" s="230">
        <f t="shared" si="7"/>
        <v>-4.952048823016586E-3</v>
      </c>
      <c r="E102" s="293">
        <v>4.020442930153334E-2</v>
      </c>
      <c r="F102" s="266">
        <f t="shared" si="9"/>
        <v>95</v>
      </c>
      <c r="G102" s="230">
        <f t="shared" ca="1" si="8"/>
        <v>2.2552824274459864E-2</v>
      </c>
    </row>
    <row r="103" spans="2:7" x14ac:dyDescent="0.25">
      <c r="B103" s="348">
        <v>45607</v>
      </c>
      <c r="C103" s="293">
        <v>286.75</v>
      </c>
      <c r="D103" s="230">
        <f t="shared" si="7"/>
        <v>7.9086115992970107E-3</v>
      </c>
      <c r="E103" s="293">
        <v>3.9985231678050459E-2</v>
      </c>
      <c r="F103" s="266">
        <f t="shared" si="9"/>
        <v>96</v>
      </c>
      <c r="G103" s="230">
        <f t="shared" ca="1" si="8"/>
        <v>-1.1229408002928163E-2</v>
      </c>
    </row>
    <row r="104" spans="2:7" x14ac:dyDescent="0.25">
      <c r="B104" s="348">
        <v>45515</v>
      </c>
      <c r="C104" s="293">
        <v>284.5</v>
      </c>
      <c r="D104" s="230">
        <f t="shared" si="7"/>
        <v>9.9396521121761783E-3</v>
      </c>
      <c r="E104" s="293">
        <v>3.9829059829059821E-2</v>
      </c>
      <c r="F104" s="266">
        <f t="shared" si="9"/>
        <v>97</v>
      </c>
      <c r="G104" s="230">
        <f t="shared" ca="1" si="8"/>
        <v>2.931195301415989E-2</v>
      </c>
    </row>
    <row r="105" spans="2:7" x14ac:dyDescent="0.25">
      <c r="B105" s="348">
        <v>45484</v>
      </c>
      <c r="C105" s="293">
        <v>281.7</v>
      </c>
      <c r="D105" s="230">
        <f t="shared" si="7"/>
        <v>-8.8668203582198402E-4</v>
      </c>
      <c r="E105" s="293">
        <v>3.9794608472400572E-2</v>
      </c>
      <c r="F105" s="266">
        <f t="shared" si="9"/>
        <v>98</v>
      </c>
      <c r="G105" s="230">
        <f t="shared" ca="1" si="8"/>
        <v>1.1218964397611671E-2</v>
      </c>
    </row>
    <row r="106" spans="2:7" x14ac:dyDescent="0.25">
      <c r="B106" s="348">
        <v>45454</v>
      </c>
      <c r="C106" s="293">
        <v>281.95</v>
      </c>
      <c r="D106" s="230">
        <f t="shared" si="7"/>
        <v>3.7152841640610612E-2</v>
      </c>
      <c r="E106" s="293">
        <v>3.9679001337494357E-2</v>
      </c>
      <c r="F106" s="266">
        <f t="shared" si="9"/>
        <v>99</v>
      </c>
      <c r="G106" s="230">
        <f t="shared" ca="1" si="8"/>
        <v>2.5796746425822303E-2</v>
      </c>
    </row>
    <row r="107" spans="2:7" x14ac:dyDescent="0.25">
      <c r="B107" s="348">
        <v>45423</v>
      </c>
      <c r="C107" s="293">
        <v>271.85000000000002</v>
      </c>
      <c r="D107" s="230">
        <f t="shared" si="7"/>
        <v>5.3624260355031872E-3</v>
      </c>
      <c r="E107" s="293">
        <v>3.9416565375933299E-2</v>
      </c>
      <c r="F107" s="266">
        <f t="shared" si="9"/>
        <v>100</v>
      </c>
      <c r="G107" s="230">
        <f t="shared" ca="1" si="8"/>
        <v>2.8156657184733841E-2</v>
      </c>
    </row>
    <row r="108" spans="2:7" x14ac:dyDescent="0.25">
      <c r="B108" s="348">
        <v>45393</v>
      </c>
      <c r="C108" s="293">
        <v>270.39999999999998</v>
      </c>
      <c r="D108" s="230">
        <f t="shared" si="7"/>
        <v>-1.9117060253201479E-2</v>
      </c>
      <c r="E108" s="293">
        <v>3.9145907473309594E-2</v>
      </c>
      <c r="F108" s="266">
        <f t="shared" si="9"/>
        <v>101</v>
      </c>
      <c r="G108" s="230">
        <f t="shared" ca="1" si="8"/>
        <v>5.1676658956400284E-3</v>
      </c>
    </row>
    <row r="109" spans="2:7" x14ac:dyDescent="0.25">
      <c r="B109" s="348">
        <v>45302</v>
      </c>
      <c r="C109" s="293">
        <v>275.67</v>
      </c>
      <c r="D109" s="230">
        <f t="shared" si="7"/>
        <v>-8.3363537513581054E-4</v>
      </c>
      <c r="E109" s="293">
        <v>3.8964653492902901E-2</v>
      </c>
      <c r="F109" s="266">
        <f t="shared" si="9"/>
        <v>102</v>
      </c>
      <c r="G109" s="230">
        <f t="shared" ca="1" si="8"/>
        <v>-3.3772639738085782E-3</v>
      </c>
    </row>
    <row r="110" spans="2:7" x14ac:dyDescent="0.25">
      <c r="B110" s="348" t="s">
        <v>621</v>
      </c>
      <c r="C110" s="293">
        <v>275.89999999999998</v>
      </c>
      <c r="D110" s="230">
        <f t="shared" si="7"/>
        <v>-2.3812051091533171E-2</v>
      </c>
      <c r="E110" s="293">
        <v>3.8918666977394656E-2</v>
      </c>
      <c r="F110" s="266">
        <f t="shared" si="9"/>
        <v>103</v>
      </c>
      <c r="G110" s="230">
        <f t="shared" ca="1" si="8"/>
        <v>9.2764490802060978E-3</v>
      </c>
    </row>
    <row r="111" spans="2:7" x14ac:dyDescent="0.25">
      <c r="B111" s="348" t="s">
        <v>622</v>
      </c>
      <c r="C111" s="293">
        <v>282.63</v>
      </c>
      <c r="D111" s="230">
        <f t="shared" si="7"/>
        <v>5.4429028815368152E-3</v>
      </c>
      <c r="E111" s="293">
        <v>3.8789525318843943E-2</v>
      </c>
      <c r="F111" s="266">
        <f t="shared" si="9"/>
        <v>104</v>
      </c>
      <c r="G111" s="230">
        <f t="shared" ca="1" si="8"/>
        <v>-1.4067172521276273E-2</v>
      </c>
    </row>
    <row r="112" spans="2:7" x14ac:dyDescent="0.25">
      <c r="B112" s="348" t="s">
        <v>623</v>
      </c>
      <c r="C112" s="293">
        <v>281.10000000000002</v>
      </c>
      <c r="D112" s="230">
        <f t="shared" si="7"/>
        <v>6.4446831364124435E-3</v>
      </c>
      <c r="E112" s="293">
        <v>3.8610038610038533E-2</v>
      </c>
      <c r="F112" s="266">
        <f t="shared" si="9"/>
        <v>105</v>
      </c>
      <c r="G112" s="230">
        <f t="shared" ca="1" si="8"/>
        <v>7.4351807526444567E-3</v>
      </c>
    </row>
    <row r="113" spans="2:7" x14ac:dyDescent="0.25">
      <c r="B113" s="348" t="s">
        <v>624</v>
      </c>
      <c r="C113" s="293">
        <v>279.3</v>
      </c>
      <c r="D113" s="230">
        <f t="shared" si="7"/>
        <v>2.78585360468111E-2</v>
      </c>
      <c r="E113" s="293">
        <v>3.8586703858670468E-2</v>
      </c>
      <c r="F113" s="266">
        <f t="shared" si="9"/>
        <v>106</v>
      </c>
      <c r="G113" s="230">
        <f t="shared" ca="1" si="8"/>
        <v>5.0489991947707778E-3</v>
      </c>
    </row>
    <row r="114" spans="2:7" x14ac:dyDescent="0.25">
      <c r="B114" s="348" t="s">
        <v>625</v>
      </c>
      <c r="C114" s="293">
        <v>271.73</v>
      </c>
      <c r="D114" s="230">
        <f t="shared" si="7"/>
        <v>-6.2899981715121012E-3</v>
      </c>
      <c r="E114" s="293">
        <v>3.8509593931280728E-2</v>
      </c>
      <c r="F114" s="266">
        <f t="shared" si="9"/>
        <v>107</v>
      </c>
      <c r="G114" s="230">
        <f t="shared" ca="1" si="8"/>
        <v>-5.5490979411189118E-4</v>
      </c>
    </row>
    <row r="115" spans="2:7" x14ac:dyDescent="0.25">
      <c r="B115" s="348" t="s">
        <v>626</v>
      </c>
      <c r="C115" s="293">
        <v>273.45</v>
      </c>
      <c r="D115" s="230">
        <f t="shared" si="7"/>
        <v>-5.4824561403521432E-4</v>
      </c>
      <c r="E115" s="293">
        <v>3.8500851788756396E-2</v>
      </c>
      <c r="F115" s="266">
        <f t="shared" si="9"/>
        <v>108</v>
      </c>
      <c r="G115" s="230">
        <f t="shared" ca="1" si="8"/>
        <v>-7.5582098868568499E-3</v>
      </c>
    </row>
    <row r="116" spans="2:7" x14ac:dyDescent="0.25">
      <c r="B116" s="348" t="s">
        <v>627</v>
      </c>
      <c r="C116" s="293">
        <v>273.60000000000002</v>
      </c>
      <c r="D116" s="230">
        <f t="shared" si="7"/>
        <v>3.1899681003189073E-3</v>
      </c>
      <c r="E116" s="293">
        <v>3.8301099734546984E-2</v>
      </c>
      <c r="F116" s="266">
        <f t="shared" si="9"/>
        <v>109</v>
      </c>
      <c r="G116" s="230">
        <f t="shared" ca="1" si="8"/>
        <v>2.3284412644473583E-2</v>
      </c>
    </row>
    <row r="117" spans="2:7" x14ac:dyDescent="0.25">
      <c r="B117" s="348" t="s">
        <v>628</v>
      </c>
      <c r="C117" s="293">
        <v>272.73</v>
      </c>
      <c r="D117" s="230">
        <f t="shared" si="7"/>
        <v>-4.8166392993979068E-3</v>
      </c>
      <c r="E117" s="293">
        <v>3.7635222028897797E-2</v>
      </c>
      <c r="F117" s="266">
        <f t="shared" si="9"/>
        <v>110</v>
      </c>
      <c r="G117" s="230">
        <f t="shared" ca="1" si="8"/>
        <v>-9.7272410649335925E-3</v>
      </c>
    </row>
    <row r="118" spans="2:7" x14ac:dyDescent="0.25">
      <c r="B118" s="348" t="s">
        <v>629</v>
      </c>
      <c r="C118" s="293">
        <v>274.05</v>
      </c>
      <c r="D118" s="230">
        <f t="shared" si="7"/>
        <v>-1.0206685378921776E-3</v>
      </c>
      <c r="E118" s="293">
        <v>3.7514654161781902E-2</v>
      </c>
      <c r="F118" s="266">
        <f t="shared" si="9"/>
        <v>111</v>
      </c>
      <c r="G118" s="230">
        <f t="shared" ca="1" si="8"/>
        <v>-1.7897627721971211E-2</v>
      </c>
    </row>
    <row r="119" spans="2:7" x14ac:dyDescent="0.25">
      <c r="B119" s="348" t="s">
        <v>630</v>
      </c>
      <c r="C119" s="293">
        <v>274.33</v>
      </c>
      <c r="D119" s="230">
        <f t="shared" si="7"/>
        <v>3.7635222028897797E-2</v>
      </c>
      <c r="E119" s="293">
        <v>3.7514209928003028E-2</v>
      </c>
      <c r="F119" s="266">
        <f t="shared" si="9"/>
        <v>112</v>
      </c>
      <c r="G119" s="230">
        <f t="shared" ca="1" si="8"/>
        <v>-2.284183783581574E-2</v>
      </c>
    </row>
    <row r="120" spans="2:7" x14ac:dyDescent="0.25">
      <c r="B120" s="348" t="s">
        <v>631</v>
      </c>
      <c r="C120" s="293">
        <v>264.38</v>
      </c>
      <c r="D120" s="230">
        <f t="shared" si="7"/>
        <v>-6.3890559230306287E-3</v>
      </c>
      <c r="E120" s="293">
        <v>3.7299537509760228E-2</v>
      </c>
      <c r="F120" s="266">
        <f t="shared" si="9"/>
        <v>113</v>
      </c>
      <c r="G120" s="230">
        <f t="shared" ca="1" si="8"/>
        <v>-2.8971484196690604E-3</v>
      </c>
    </row>
    <row r="121" spans="2:7" x14ac:dyDescent="0.25">
      <c r="B121" s="348" t="s">
        <v>632</v>
      </c>
      <c r="C121" s="293">
        <v>266.08</v>
      </c>
      <c r="D121" s="230">
        <f t="shared" si="7"/>
        <v>-1.501050735514986E-3</v>
      </c>
      <c r="E121" s="293">
        <v>3.7290868776456376E-2</v>
      </c>
      <c r="F121" s="266">
        <f t="shared" si="9"/>
        <v>114</v>
      </c>
      <c r="G121" s="230">
        <f t="shared" ca="1" si="8"/>
        <v>1.0722180385675299E-2</v>
      </c>
    </row>
    <row r="122" spans="2:7" x14ac:dyDescent="0.25">
      <c r="B122" s="348" t="s">
        <v>633</v>
      </c>
      <c r="C122" s="293">
        <v>266.48</v>
      </c>
      <c r="D122" s="230">
        <f t="shared" si="7"/>
        <v>-3.0170688211959007E-2</v>
      </c>
      <c r="E122" s="293">
        <v>3.7152841640610612E-2</v>
      </c>
      <c r="F122" s="266">
        <f t="shared" si="9"/>
        <v>115</v>
      </c>
      <c r="G122" s="230">
        <f t="shared" ca="1" si="8"/>
        <v>6.2437895192733652E-3</v>
      </c>
    </row>
    <row r="123" spans="2:7" x14ac:dyDescent="0.25">
      <c r="B123" s="348" t="s">
        <v>634</v>
      </c>
      <c r="C123" s="293">
        <v>274.77</v>
      </c>
      <c r="D123" s="230">
        <f t="shared" si="7"/>
        <v>4.020442930153334E-2</v>
      </c>
      <c r="E123" s="293">
        <v>3.7112010796221284E-2</v>
      </c>
      <c r="F123" s="266">
        <f t="shared" si="9"/>
        <v>116</v>
      </c>
      <c r="G123" s="230">
        <f t="shared" ca="1" si="8"/>
        <v>1.1873923749580197E-3</v>
      </c>
    </row>
    <row r="124" spans="2:7" x14ac:dyDescent="0.25">
      <c r="B124" s="348">
        <v>45606</v>
      </c>
      <c r="C124" s="293">
        <v>264.14999999999998</v>
      </c>
      <c r="D124" s="230">
        <f t="shared" si="7"/>
        <v>6.2857142857142279E-3</v>
      </c>
      <c r="E124" s="293">
        <v>3.7055819176295968E-2</v>
      </c>
      <c r="F124" s="266">
        <f t="shared" si="9"/>
        <v>117</v>
      </c>
      <c r="G124" s="230">
        <f t="shared" ca="1" si="8"/>
        <v>2.0117603942366932E-2</v>
      </c>
    </row>
    <row r="125" spans="2:7" x14ac:dyDescent="0.25">
      <c r="B125" s="348">
        <v>45575</v>
      </c>
      <c r="C125" s="293">
        <v>262.5</v>
      </c>
      <c r="D125" s="230">
        <f t="shared" si="7"/>
        <v>-1.1597258829731061E-2</v>
      </c>
      <c r="E125" s="293">
        <v>3.7037037037036979E-2</v>
      </c>
      <c r="F125" s="266">
        <f t="shared" si="9"/>
        <v>118</v>
      </c>
      <c r="G125" s="230">
        <f t="shared" ca="1" si="8"/>
        <v>-3.8002244694709661E-3</v>
      </c>
    </row>
    <row r="126" spans="2:7" x14ac:dyDescent="0.25">
      <c r="B126" s="348">
        <v>45545</v>
      </c>
      <c r="C126" s="293">
        <v>265.58</v>
      </c>
      <c r="D126" s="230">
        <f t="shared" si="7"/>
        <v>7.9702444208287204E-3</v>
      </c>
      <c r="E126" s="293">
        <v>3.6996134732192321E-2</v>
      </c>
      <c r="F126" s="266">
        <f t="shared" si="9"/>
        <v>119</v>
      </c>
      <c r="G126" s="230">
        <f t="shared" ca="1" si="8"/>
        <v>1.7410763711451401E-2</v>
      </c>
    </row>
    <row r="127" spans="2:7" x14ac:dyDescent="0.25">
      <c r="B127" s="348">
        <v>45514</v>
      </c>
      <c r="C127" s="293">
        <v>263.48</v>
      </c>
      <c r="D127" s="230">
        <f t="shared" si="7"/>
        <v>-8.467241184661134E-3</v>
      </c>
      <c r="E127" s="293">
        <v>3.6992011114970413E-2</v>
      </c>
      <c r="F127" s="266">
        <f t="shared" si="9"/>
        <v>120</v>
      </c>
      <c r="G127" s="230">
        <f t="shared" ca="1" si="8"/>
        <v>6.5793950663645693E-3</v>
      </c>
    </row>
    <row r="128" spans="2:7" x14ac:dyDescent="0.25">
      <c r="B128" s="348">
        <v>45483</v>
      </c>
      <c r="C128" s="293">
        <v>265.73</v>
      </c>
      <c r="D128" s="230">
        <f t="shared" si="7"/>
        <v>-3.8984893353823935E-3</v>
      </c>
      <c r="E128" s="293">
        <v>3.6861912573579181E-2</v>
      </c>
      <c r="F128" s="266">
        <f t="shared" si="9"/>
        <v>121</v>
      </c>
      <c r="G128" s="230">
        <f t="shared" ca="1" si="8"/>
        <v>-2.1097491301745527E-2</v>
      </c>
    </row>
    <row r="129" spans="2:7" x14ac:dyDescent="0.25">
      <c r="B129" s="348">
        <v>45392</v>
      </c>
      <c r="C129" s="293">
        <v>266.77</v>
      </c>
      <c r="D129" s="230">
        <f t="shared" si="7"/>
        <v>6.37543383129624E-3</v>
      </c>
      <c r="E129" s="293">
        <v>3.6594761171032442E-2</v>
      </c>
      <c r="F129" s="266">
        <f t="shared" si="9"/>
        <v>122</v>
      </c>
      <c r="G129" s="230">
        <f t="shared" ca="1" si="8"/>
        <v>3.5422122758214433E-3</v>
      </c>
    </row>
    <row r="130" spans="2:7" x14ac:dyDescent="0.25">
      <c r="B130" s="348">
        <v>45361</v>
      </c>
      <c r="C130" s="293">
        <v>265.08</v>
      </c>
      <c r="D130" s="230">
        <f t="shared" si="7"/>
        <v>-3.0360670129490175E-2</v>
      </c>
      <c r="E130" s="293">
        <v>3.6590112884390624E-2</v>
      </c>
      <c r="F130" s="266">
        <f t="shared" si="9"/>
        <v>123</v>
      </c>
      <c r="G130" s="230">
        <f t="shared" ca="1" si="8"/>
        <v>2.5625584217922361E-2</v>
      </c>
    </row>
    <row r="131" spans="2:7" x14ac:dyDescent="0.25">
      <c r="B131" s="348">
        <v>45301</v>
      </c>
      <c r="C131" s="293">
        <v>273.38</v>
      </c>
      <c r="D131" s="230">
        <f t="shared" si="7"/>
        <v>9.7883500166215942E-3</v>
      </c>
      <c r="E131" s="293">
        <v>3.6423841059602724E-2</v>
      </c>
      <c r="F131" s="266">
        <f t="shared" si="9"/>
        <v>124</v>
      </c>
      <c r="G131" s="230">
        <f t="shared" ca="1" si="8"/>
        <v>-2.997059153198324E-2</v>
      </c>
    </row>
    <row r="132" spans="2:7" x14ac:dyDescent="0.25">
      <c r="B132" s="348" t="s">
        <v>635</v>
      </c>
      <c r="C132" s="293">
        <v>270.73</v>
      </c>
      <c r="D132" s="230">
        <f t="shared" si="7"/>
        <v>-6.2753783683999753E-4</v>
      </c>
      <c r="E132" s="293">
        <v>3.6342321219226426E-2</v>
      </c>
      <c r="F132" s="266">
        <f t="shared" si="9"/>
        <v>125</v>
      </c>
      <c r="G132" s="230">
        <f t="shared" ca="1" si="8"/>
        <v>4.4057809120020927E-2</v>
      </c>
    </row>
    <row r="133" spans="2:7" x14ac:dyDescent="0.25">
      <c r="B133" s="348" t="s">
        <v>636</v>
      </c>
      <c r="C133" s="293">
        <v>270.89999999999998</v>
      </c>
      <c r="D133" s="230">
        <f t="shared" si="7"/>
        <v>-1.84535892231108E-4</v>
      </c>
      <c r="E133" s="293">
        <v>3.6318758815232721E-2</v>
      </c>
      <c r="F133" s="266">
        <f t="shared" si="9"/>
        <v>126</v>
      </c>
      <c r="G133" s="230">
        <f t="shared" ca="1" si="8"/>
        <v>-1.738780711473651E-2</v>
      </c>
    </row>
    <row r="134" spans="2:7" x14ac:dyDescent="0.25">
      <c r="B134" s="348" t="s">
        <v>637</v>
      </c>
      <c r="C134" s="293">
        <v>270.95</v>
      </c>
      <c r="D134" s="230">
        <f t="shared" si="7"/>
        <v>1.0630361805296307E-2</v>
      </c>
      <c r="E134" s="293">
        <v>3.611876339149056E-2</v>
      </c>
      <c r="F134" s="266">
        <f t="shared" si="9"/>
        <v>127</v>
      </c>
      <c r="G134" s="230">
        <f t="shared" ca="1" si="8"/>
        <v>-5.8880079068489586E-3</v>
      </c>
    </row>
    <row r="135" spans="2:7" x14ac:dyDescent="0.25">
      <c r="B135" s="348" t="s">
        <v>638</v>
      </c>
      <c r="C135" s="293">
        <v>268.10000000000002</v>
      </c>
      <c r="D135" s="230">
        <f t="shared" si="7"/>
        <v>-6.1904585387551059E-3</v>
      </c>
      <c r="E135" s="293">
        <v>3.603150661974186E-2</v>
      </c>
      <c r="F135" s="266">
        <f t="shared" si="9"/>
        <v>128</v>
      </c>
      <c r="G135" s="230">
        <f t="shared" ca="1" si="8"/>
        <v>-2.0539282744150678E-2</v>
      </c>
    </row>
    <row r="136" spans="2:7" x14ac:dyDescent="0.25">
      <c r="B136" s="348" t="s">
        <v>639</v>
      </c>
      <c r="C136" s="293">
        <v>269.77</v>
      </c>
      <c r="D136" s="230">
        <f t="shared" si="7"/>
        <v>8.674518601607728E-3</v>
      </c>
      <c r="E136" s="293">
        <v>3.5955689072474595E-2</v>
      </c>
      <c r="F136" s="266">
        <f t="shared" si="9"/>
        <v>129</v>
      </c>
      <c r="G136" s="230">
        <f t="shared" ca="1" si="8"/>
        <v>2.7261939519785783E-2</v>
      </c>
    </row>
    <row r="137" spans="2:7" x14ac:dyDescent="0.25">
      <c r="B137" s="348" t="s">
        <v>640</v>
      </c>
      <c r="C137" s="293">
        <v>267.45</v>
      </c>
      <c r="D137" s="230">
        <f t="shared" ref="D137:D200" si="10">C137/C138-1</f>
        <v>-7.7907623817474736E-3</v>
      </c>
      <c r="E137" s="293">
        <v>3.5901926444833698E-2</v>
      </c>
      <c r="F137" s="266">
        <f t="shared" si="9"/>
        <v>130</v>
      </c>
      <c r="G137" s="230">
        <f t="shared" ref="G137:G200" ca="1" si="11">_xlfn.NORM.INV(RAND(),$M$10,$M$11)</f>
        <v>3.5069033033322742E-3</v>
      </c>
    </row>
    <row r="138" spans="2:7" x14ac:dyDescent="0.25">
      <c r="B138" s="348" t="s">
        <v>641</v>
      </c>
      <c r="C138" s="293">
        <v>269.55</v>
      </c>
      <c r="D138" s="230">
        <f t="shared" si="10"/>
        <v>1.0799865001687392E-2</v>
      </c>
      <c r="E138" s="293">
        <v>3.5823865992204995E-2</v>
      </c>
      <c r="F138" s="266">
        <f t="shared" ref="F138:F201" si="12">F137+1</f>
        <v>131</v>
      </c>
      <c r="G138" s="230">
        <f t="shared" ca="1" si="11"/>
        <v>-2.1886415405884185E-3</v>
      </c>
    </row>
    <row r="139" spans="2:7" x14ac:dyDescent="0.25">
      <c r="B139" s="348" t="s">
        <v>642</v>
      </c>
      <c r="C139" s="293">
        <v>266.67</v>
      </c>
      <c r="D139" s="230">
        <f t="shared" si="10"/>
        <v>-8.9564441801693873E-3</v>
      </c>
      <c r="E139" s="293">
        <v>3.569697948635131E-2</v>
      </c>
      <c r="F139" s="266">
        <f t="shared" si="12"/>
        <v>132</v>
      </c>
      <c r="G139" s="230">
        <f t="shared" ca="1" si="11"/>
        <v>-2.239768302529305E-3</v>
      </c>
    </row>
    <row r="140" spans="2:7" x14ac:dyDescent="0.25">
      <c r="B140" s="348" t="s">
        <v>643</v>
      </c>
      <c r="C140" s="293">
        <v>269.08</v>
      </c>
      <c r="D140" s="230">
        <f t="shared" si="10"/>
        <v>-2.489581445914113E-2</v>
      </c>
      <c r="E140" s="293">
        <v>3.5662720184810759E-2</v>
      </c>
      <c r="F140" s="266">
        <f t="shared" si="12"/>
        <v>133</v>
      </c>
      <c r="G140" s="230">
        <f t="shared" ca="1" si="11"/>
        <v>-2.6136165352171864E-2</v>
      </c>
    </row>
    <row r="141" spans="2:7" x14ac:dyDescent="0.25">
      <c r="B141" s="348" t="s">
        <v>644</v>
      </c>
      <c r="C141" s="293">
        <v>275.95</v>
      </c>
      <c r="D141" s="230">
        <f t="shared" si="10"/>
        <v>0</v>
      </c>
      <c r="E141" s="293">
        <v>3.5619847565717677E-2</v>
      </c>
      <c r="F141" s="266">
        <f t="shared" si="12"/>
        <v>134</v>
      </c>
      <c r="G141" s="230">
        <f t="shared" ca="1" si="11"/>
        <v>-6.4290635176233075E-3</v>
      </c>
    </row>
    <row r="142" spans="2:7" x14ac:dyDescent="0.25">
      <c r="B142" s="348" t="s">
        <v>645</v>
      </c>
      <c r="C142" s="293">
        <v>275.95</v>
      </c>
      <c r="D142" s="230">
        <f t="shared" si="10"/>
        <v>2.3610606610968699E-3</v>
      </c>
      <c r="E142" s="293">
        <v>3.5618374558303856E-2</v>
      </c>
      <c r="F142" s="266">
        <f t="shared" si="12"/>
        <v>135</v>
      </c>
      <c r="G142" s="230">
        <f t="shared" ca="1" si="11"/>
        <v>-3.4969148133728555E-2</v>
      </c>
    </row>
    <row r="143" spans="2:7" x14ac:dyDescent="0.25">
      <c r="B143" s="348" t="s">
        <v>646</v>
      </c>
      <c r="C143" s="293">
        <v>275.3</v>
      </c>
      <c r="D143" s="230">
        <f t="shared" si="10"/>
        <v>3.8789525318843943E-2</v>
      </c>
      <c r="E143" s="293">
        <v>3.5611831041646003E-2</v>
      </c>
      <c r="F143" s="266">
        <f t="shared" si="12"/>
        <v>136</v>
      </c>
      <c r="G143" s="230">
        <f t="shared" ca="1" si="11"/>
        <v>-3.0422692030390691E-2</v>
      </c>
    </row>
    <row r="144" spans="2:7" x14ac:dyDescent="0.25">
      <c r="B144" s="348">
        <v>45635</v>
      </c>
      <c r="C144" s="293">
        <v>265.02</v>
      </c>
      <c r="D144" s="230">
        <f t="shared" si="10"/>
        <v>3.0524555741338277E-2</v>
      </c>
      <c r="E144" s="293">
        <v>3.5477767265846838E-2</v>
      </c>
      <c r="F144" s="266">
        <f t="shared" si="12"/>
        <v>137</v>
      </c>
      <c r="G144" s="230">
        <f t="shared" ca="1" si="11"/>
        <v>-2.0786016278499062E-2</v>
      </c>
    </row>
    <row r="145" spans="2:7" x14ac:dyDescent="0.25">
      <c r="B145" s="348">
        <v>45605</v>
      </c>
      <c r="C145" s="293">
        <v>257.17</v>
      </c>
      <c r="D145" s="230">
        <f t="shared" si="10"/>
        <v>-2.1720937309799071E-2</v>
      </c>
      <c r="E145" s="293">
        <v>3.5394388983150948E-2</v>
      </c>
      <c r="F145" s="266">
        <f t="shared" si="12"/>
        <v>138</v>
      </c>
      <c r="G145" s="230">
        <f t="shared" ca="1" si="11"/>
        <v>3.1298064109187688E-3</v>
      </c>
    </row>
    <row r="146" spans="2:7" x14ac:dyDescent="0.25">
      <c r="B146" s="348">
        <v>45574</v>
      </c>
      <c r="C146" s="293">
        <v>262.88</v>
      </c>
      <c r="D146" s="230">
        <f t="shared" si="10"/>
        <v>2.1210473156708876E-2</v>
      </c>
      <c r="E146" s="293">
        <v>3.5346756152125236E-2</v>
      </c>
      <c r="F146" s="266">
        <f t="shared" si="12"/>
        <v>139</v>
      </c>
      <c r="G146" s="230">
        <f t="shared" ca="1" si="11"/>
        <v>1.5351707670099725E-2</v>
      </c>
    </row>
    <row r="147" spans="2:7" x14ac:dyDescent="0.25">
      <c r="B147" s="348">
        <v>45544</v>
      </c>
      <c r="C147" s="293">
        <v>257.42</v>
      </c>
      <c r="D147" s="230">
        <f t="shared" si="10"/>
        <v>-1.1064156742220499E-2</v>
      </c>
      <c r="E147" s="293">
        <v>3.5342465753424701E-2</v>
      </c>
      <c r="F147" s="266">
        <f t="shared" si="12"/>
        <v>140</v>
      </c>
      <c r="G147" s="230">
        <f t="shared" ca="1" si="11"/>
        <v>1.1552315508710498E-2</v>
      </c>
    </row>
    <row r="148" spans="2:7" x14ac:dyDescent="0.25">
      <c r="B148" s="348">
        <v>45452</v>
      </c>
      <c r="C148" s="293">
        <v>260.3</v>
      </c>
      <c r="D148" s="230">
        <f t="shared" si="10"/>
        <v>-8.0786525417270161E-3</v>
      </c>
      <c r="E148" s="293">
        <v>3.5321821036106593E-2</v>
      </c>
      <c r="F148" s="266">
        <f t="shared" si="12"/>
        <v>141</v>
      </c>
      <c r="G148" s="230">
        <f t="shared" ca="1" si="11"/>
        <v>-3.4668792438343338E-3</v>
      </c>
    </row>
    <row r="149" spans="2:7" x14ac:dyDescent="0.25">
      <c r="B149" s="348">
        <v>45421</v>
      </c>
      <c r="C149" s="293">
        <v>262.42</v>
      </c>
      <c r="D149" s="230">
        <f t="shared" si="10"/>
        <v>1.094075044302345E-2</v>
      </c>
      <c r="E149" s="293">
        <v>3.5184003403531117E-2</v>
      </c>
      <c r="F149" s="266">
        <f t="shared" si="12"/>
        <v>142</v>
      </c>
      <c r="G149" s="230">
        <f t="shared" ca="1" si="11"/>
        <v>1.8978341093884035E-2</v>
      </c>
    </row>
    <row r="150" spans="2:7" x14ac:dyDescent="0.25">
      <c r="B150" s="348">
        <v>45391</v>
      </c>
      <c r="C150" s="293">
        <v>259.58</v>
      </c>
      <c r="D150" s="230">
        <f t="shared" si="10"/>
        <v>-3.1490187299455297E-2</v>
      </c>
      <c r="E150" s="293">
        <v>3.5173005433228433E-2</v>
      </c>
      <c r="F150" s="266">
        <f t="shared" si="12"/>
        <v>143</v>
      </c>
      <c r="G150" s="230">
        <f t="shared" ca="1" si="11"/>
        <v>9.0302805524566827E-3</v>
      </c>
    </row>
    <row r="151" spans="2:7" x14ac:dyDescent="0.25">
      <c r="B151" s="348">
        <v>45360</v>
      </c>
      <c r="C151" s="293">
        <v>268.02</v>
      </c>
      <c r="D151" s="230">
        <f t="shared" si="10"/>
        <v>6.7235097472109207E-3</v>
      </c>
      <c r="E151" s="293">
        <v>3.5157217132953722E-2</v>
      </c>
      <c r="F151" s="266">
        <f t="shared" si="12"/>
        <v>144</v>
      </c>
      <c r="G151" s="230">
        <f t="shared" ca="1" si="11"/>
        <v>-2.6189229649926281E-2</v>
      </c>
    </row>
    <row r="152" spans="2:7" x14ac:dyDescent="0.25">
      <c r="B152" s="348">
        <v>45331</v>
      </c>
      <c r="C152" s="293">
        <v>266.23</v>
      </c>
      <c r="D152" s="230">
        <f t="shared" si="10"/>
        <v>-1.1032689450222732E-2</v>
      </c>
      <c r="E152" s="293">
        <v>3.5106966538672513E-2</v>
      </c>
      <c r="F152" s="266">
        <f t="shared" si="12"/>
        <v>145</v>
      </c>
      <c r="G152" s="230">
        <f t="shared" ca="1" si="11"/>
        <v>-4.1485559138853692E-3</v>
      </c>
    </row>
    <row r="153" spans="2:7" x14ac:dyDescent="0.25">
      <c r="B153" s="348" t="s">
        <v>647</v>
      </c>
      <c r="C153" s="293">
        <v>269.2</v>
      </c>
      <c r="D153" s="230">
        <f t="shared" si="10"/>
        <v>-5.5689623166899072E-4</v>
      </c>
      <c r="E153" s="293">
        <v>3.5085100029859539E-2</v>
      </c>
      <c r="F153" s="266">
        <f t="shared" si="12"/>
        <v>146</v>
      </c>
      <c r="G153" s="230">
        <f t="shared" ca="1" si="11"/>
        <v>-2.7041450058998169E-3</v>
      </c>
    </row>
    <row r="154" spans="2:7" x14ac:dyDescent="0.25">
      <c r="B154" s="348" t="s">
        <v>648</v>
      </c>
      <c r="C154" s="293">
        <v>269.35000000000002</v>
      </c>
      <c r="D154" s="230">
        <f t="shared" si="10"/>
        <v>7.6692854470632454E-3</v>
      </c>
      <c r="E154" s="293">
        <v>3.4942256440627872E-2</v>
      </c>
      <c r="F154" s="266">
        <f t="shared" si="12"/>
        <v>147</v>
      </c>
      <c r="G154" s="230">
        <f t="shared" ca="1" si="11"/>
        <v>4.3181980661926682E-3</v>
      </c>
    </row>
    <row r="155" spans="2:7" x14ac:dyDescent="0.25">
      <c r="B155" s="348" t="s">
        <v>649</v>
      </c>
      <c r="C155" s="293">
        <v>267.3</v>
      </c>
      <c r="D155" s="230">
        <f t="shared" si="10"/>
        <v>3.3722639028540558E-2</v>
      </c>
      <c r="E155" s="293">
        <v>3.458463677441781E-2</v>
      </c>
      <c r="F155" s="266">
        <f t="shared" si="12"/>
        <v>148</v>
      </c>
      <c r="G155" s="230">
        <f t="shared" ca="1" si="11"/>
        <v>7.5702185466773814E-3</v>
      </c>
    </row>
    <row r="156" spans="2:7" x14ac:dyDescent="0.25">
      <c r="B156" s="348" t="s">
        <v>650</v>
      </c>
      <c r="C156" s="293">
        <v>258.58</v>
      </c>
      <c r="D156" s="230">
        <f t="shared" si="10"/>
        <v>-5.4615384615385176E-3</v>
      </c>
      <c r="E156" s="293">
        <v>3.4482758620689724E-2</v>
      </c>
      <c r="F156" s="266">
        <f t="shared" si="12"/>
        <v>149</v>
      </c>
      <c r="G156" s="230">
        <f t="shared" ca="1" si="11"/>
        <v>-3.0457138750598932E-2</v>
      </c>
    </row>
    <row r="157" spans="2:7" x14ac:dyDescent="0.25">
      <c r="B157" s="348" t="s">
        <v>651</v>
      </c>
      <c r="C157" s="293">
        <v>260</v>
      </c>
      <c r="D157" s="230">
        <f t="shared" si="10"/>
        <v>1.4832162373145996E-2</v>
      </c>
      <c r="E157" s="293">
        <v>3.4166976571216034E-2</v>
      </c>
      <c r="F157" s="266">
        <f t="shared" si="12"/>
        <v>150</v>
      </c>
      <c r="G157" s="230">
        <f t="shared" ca="1" si="11"/>
        <v>2.0357747914684296E-2</v>
      </c>
    </row>
    <row r="158" spans="2:7" x14ac:dyDescent="0.25">
      <c r="B158" s="348" t="s">
        <v>652</v>
      </c>
      <c r="C158" s="293">
        <v>256.2</v>
      </c>
      <c r="D158" s="230">
        <f t="shared" si="10"/>
        <v>-1.2716763005780396E-2</v>
      </c>
      <c r="E158" s="293">
        <v>3.39995878837831E-2</v>
      </c>
      <c r="F158" s="266">
        <f t="shared" si="12"/>
        <v>151</v>
      </c>
      <c r="G158" s="230">
        <f t="shared" ca="1" si="11"/>
        <v>1.6314786533232768E-2</v>
      </c>
    </row>
    <row r="159" spans="2:7" x14ac:dyDescent="0.25">
      <c r="B159" s="348" t="s">
        <v>653</v>
      </c>
      <c r="C159" s="293">
        <v>259.5</v>
      </c>
      <c r="D159" s="230">
        <f t="shared" si="10"/>
        <v>-1.3945358513508421E-2</v>
      </c>
      <c r="E159" s="293">
        <v>3.3971728226174225E-2</v>
      </c>
      <c r="F159" s="266">
        <f t="shared" si="12"/>
        <v>152</v>
      </c>
      <c r="G159" s="230">
        <f t="shared" ca="1" si="11"/>
        <v>3.312026332332025E-2</v>
      </c>
    </row>
    <row r="160" spans="2:7" x14ac:dyDescent="0.25">
      <c r="B160" s="348" t="s">
        <v>654</v>
      </c>
      <c r="C160" s="293">
        <v>263.17</v>
      </c>
      <c r="D160" s="230">
        <f t="shared" si="10"/>
        <v>3.2020737239355501E-3</v>
      </c>
      <c r="E160" s="293">
        <v>3.3722639028540558E-2</v>
      </c>
      <c r="F160" s="266">
        <f t="shared" si="12"/>
        <v>153</v>
      </c>
      <c r="G160" s="230">
        <f t="shared" ca="1" si="11"/>
        <v>-1.6318225321343451E-2</v>
      </c>
    </row>
    <row r="161" spans="2:7" x14ac:dyDescent="0.25">
      <c r="B161" s="348" t="s">
        <v>655</v>
      </c>
      <c r="C161" s="293">
        <v>262.33</v>
      </c>
      <c r="D161" s="230">
        <f t="shared" si="10"/>
        <v>9.4274280437125491E-3</v>
      </c>
      <c r="E161" s="293">
        <v>3.3696987749934904E-2</v>
      </c>
      <c r="F161" s="266">
        <f t="shared" si="12"/>
        <v>154</v>
      </c>
      <c r="G161" s="230">
        <f t="shared" ca="1" si="11"/>
        <v>-1.2721274996708862E-2</v>
      </c>
    </row>
    <row r="162" spans="2:7" x14ac:dyDescent="0.25">
      <c r="B162" s="348" t="s">
        <v>656</v>
      </c>
      <c r="C162" s="293">
        <v>259.88</v>
      </c>
      <c r="D162" s="230">
        <f t="shared" si="10"/>
        <v>6.7795296943400363E-3</v>
      </c>
      <c r="E162" s="293">
        <v>3.3649338472757639E-2</v>
      </c>
      <c r="F162" s="266">
        <f t="shared" si="12"/>
        <v>155</v>
      </c>
      <c r="G162" s="230">
        <f t="shared" ca="1" si="11"/>
        <v>-3.3181068040198998E-2</v>
      </c>
    </row>
    <row r="163" spans="2:7" x14ac:dyDescent="0.25">
      <c r="B163" s="348" t="s">
        <v>657</v>
      </c>
      <c r="C163" s="293">
        <v>258.13</v>
      </c>
      <c r="D163" s="230">
        <f t="shared" si="10"/>
        <v>4.2654602738619429E-2</v>
      </c>
      <c r="E163" s="293">
        <v>3.3467299963463759E-2</v>
      </c>
      <c r="F163" s="266">
        <f t="shared" si="12"/>
        <v>156</v>
      </c>
      <c r="G163" s="230">
        <f t="shared" ca="1" si="11"/>
        <v>1.0352467801648994E-2</v>
      </c>
    </row>
    <row r="164" spans="2:7" x14ac:dyDescent="0.25">
      <c r="B164" s="348" t="s">
        <v>658</v>
      </c>
      <c r="C164" s="293">
        <v>247.57</v>
      </c>
      <c r="D164" s="230">
        <f t="shared" si="10"/>
        <v>9.4597349643221751E-3</v>
      </c>
      <c r="E164" s="293">
        <v>3.3321641529287849E-2</v>
      </c>
      <c r="F164" s="266">
        <f t="shared" si="12"/>
        <v>157</v>
      </c>
      <c r="G164" s="230">
        <f t="shared" ca="1" si="11"/>
        <v>-7.3073950099390231E-3</v>
      </c>
    </row>
    <row r="165" spans="2:7" x14ac:dyDescent="0.25">
      <c r="B165" s="348" t="s">
        <v>659</v>
      </c>
      <c r="C165" s="293">
        <v>245.25</v>
      </c>
      <c r="D165" s="230">
        <f t="shared" si="10"/>
        <v>2.9854408637330909E-3</v>
      </c>
      <c r="E165" s="293">
        <v>3.3180568285976264E-2</v>
      </c>
      <c r="F165" s="266">
        <f t="shared" si="12"/>
        <v>158</v>
      </c>
      <c r="G165" s="230">
        <f t="shared" ca="1" si="11"/>
        <v>2.490036340730839E-2</v>
      </c>
    </row>
    <row r="166" spans="2:7" x14ac:dyDescent="0.25">
      <c r="B166" s="348">
        <v>45634</v>
      </c>
      <c r="C166" s="293">
        <v>244.52</v>
      </c>
      <c r="D166" s="230">
        <f t="shared" si="10"/>
        <v>-4.6000407083248707E-3</v>
      </c>
      <c r="E166" s="293">
        <v>3.3066132264528925E-2</v>
      </c>
      <c r="F166" s="266">
        <f t="shared" si="12"/>
        <v>159</v>
      </c>
      <c r="G166" s="230">
        <f t="shared" ca="1" si="11"/>
        <v>-5.0242318339637271E-2</v>
      </c>
    </row>
    <row r="167" spans="2:7" x14ac:dyDescent="0.25">
      <c r="B167" s="348">
        <v>45543</v>
      </c>
      <c r="C167" s="293">
        <v>245.65</v>
      </c>
      <c r="D167" s="230">
        <f t="shared" si="10"/>
        <v>8.2084957931458646E-3</v>
      </c>
      <c r="E167" s="293">
        <v>3.3051498847040728E-2</v>
      </c>
      <c r="F167" s="266">
        <f t="shared" si="12"/>
        <v>160</v>
      </c>
      <c r="G167" s="230">
        <f t="shared" ca="1" si="11"/>
        <v>-2.0735264846018227E-3</v>
      </c>
    </row>
    <row r="168" spans="2:7" x14ac:dyDescent="0.25">
      <c r="B168" s="348">
        <v>45512</v>
      </c>
      <c r="C168" s="293">
        <v>243.65</v>
      </c>
      <c r="D168" s="230">
        <f t="shared" si="10"/>
        <v>-2.0305589063128182E-2</v>
      </c>
      <c r="E168" s="293">
        <v>3.2891507118311347E-2</v>
      </c>
      <c r="F168" s="266">
        <f t="shared" si="12"/>
        <v>161</v>
      </c>
      <c r="G168" s="230">
        <f t="shared" ca="1" si="11"/>
        <v>-2.1716550017300801E-2</v>
      </c>
    </row>
    <row r="169" spans="2:7" x14ac:dyDescent="0.25">
      <c r="B169" s="348">
        <v>45481</v>
      </c>
      <c r="C169" s="293">
        <v>248.7</v>
      </c>
      <c r="D169" s="230">
        <f t="shared" si="10"/>
        <v>1.613891726251282E-2</v>
      </c>
      <c r="E169" s="293">
        <v>3.2813419658622722E-2</v>
      </c>
      <c r="F169" s="266">
        <f t="shared" si="12"/>
        <v>162</v>
      </c>
      <c r="G169" s="230">
        <f t="shared" ca="1" si="11"/>
        <v>-3.5331085183472498E-3</v>
      </c>
    </row>
    <row r="170" spans="2:7" x14ac:dyDescent="0.25">
      <c r="B170" s="348">
        <v>45451</v>
      </c>
      <c r="C170" s="293">
        <v>244.75</v>
      </c>
      <c r="D170" s="230">
        <f t="shared" si="10"/>
        <v>9.2783505154638846E-3</v>
      </c>
      <c r="E170" s="293">
        <v>3.2711260222268779E-2</v>
      </c>
      <c r="F170" s="266">
        <f t="shared" si="12"/>
        <v>163</v>
      </c>
      <c r="G170" s="230">
        <f t="shared" ca="1" si="11"/>
        <v>-6.9445620393475899E-3</v>
      </c>
    </row>
    <row r="171" spans="2:7" x14ac:dyDescent="0.25">
      <c r="B171" s="348">
        <v>45420</v>
      </c>
      <c r="C171" s="293">
        <v>242.5</v>
      </c>
      <c r="D171" s="230">
        <f t="shared" si="10"/>
        <v>-3.4133906878559772E-2</v>
      </c>
      <c r="E171" s="293">
        <v>3.2704886494805852E-2</v>
      </c>
      <c r="F171" s="266">
        <f t="shared" si="12"/>
        <v>164</v>
      </c>
      <c r="G171" s="230">
        <f t="shared" ca="1" si="11"/>
        <v>4.4019968317682949E-3</v>
      </c>
    </row>
    <row r="172" spans="2:7" x14ac:dyDescent="0.25">
      <c r="B172" s="348">
        <v>45330</v>
      </c>
      <c r="C172" s="293">
        <v>251.07</v>
      </c>
      <c r="D172" s="230">
        <f t="shared" si="10"/>
        <v>-3.7197530390765787E-2</v>
      </c>
      <c r="E172" s="293">
        <v>3.2651284283848447E-2</v>
      </c>
      <c r="F172" s="266">
        <f t="shared" si="12"/>
        <v>165</v>
      </c>
      <c r="G172" s="230">
        <f t="shared" ca="1" si="11"/>
        <v>-1.9961468480760233E-2</v>
      </c>
    </row>
    <row r="173" spans="2:7" x14ac:dyDescent="0.25">
      <c r="B173" s="348">
        <v>45299</v>
      </c>
      <c r="C173" s="293">
        <v>260.77</v>
      </c>
      <c r="D173" s="230">
        <f t="shared" si="10"/>
        <v>-8.8122605363993856E-4</v>
      </c>
      <c r="E173" s="293">
        <v>3.2451923076923128E-2</v>
      </c>
      <c r="F173" s="266">
        <f t="shared" si="12"/>
        <v>166</v>
      </c>
      <c r="G173" s="230">
        <f t="shared" ca="1" si="11"/>
        <v>1.9877915587307705E-2</v>
      </c>
    </row>
    <row r="174" spans="2:7" x14ac:dyDescent="0.25">
      <c r="B174" s="348" t="s">
        <v>660</v>
      </c>
      <c r="C174" s="293">
        <v>261</v>
      </c>
      <c r="D174" s="230">
        <f t="shared" si="10"/>
        <v>9.5877277085332224E-4</v>
      </c>
      <c r="E174" s="293">
        <v>3.2262731481481399E-2</v>
      </c>
      <c r="F174" s="266">
        <f t="shared" si="12"/>
        <v>167</v>
      </c>
      <c r="G174" s="230">
        <f t="shared" ca="1" si="11"/>
        <v>-1.0634885981310703E-4</v>
      </c>
    </row>
    <row r="175" spans="2:7" x14ac:dyDescent="0.25">
      <c r="B175" s="348" t="s">
        <v>661</v>
      </c>
      <c r="C175" s="293">
        <v>260.75</v>
      </c>
      <c r="D175" s="230">
        <f t="shared" si="10"/>
        <v>-5.5301296720060567E-3</v>
      </c>
      <c r="E175" s="293">
        <v>3.2222324808420133E-2</v>
      </c>
      <c r="F175" s="266">
        <f t="shared" si="12"/>
        <v>168</v>
      </c>
      <c r="G175" s="230">
        <f t="shared" ca="1" si="11"/>
        <v>1.0821184549333225E-3</v>
      </c>
    </row>
    <row r="176" spans="2:7" x14ac:dyDescent="0.25">
      <c r="B176" s="348" t="s">
        <v>662</v>
      </c>
      <c r="C176" s="293">
        <v>262.2</v>
      </c>
      <c r="D176" s="230">
        <f t="shared" si="10"/>
        <v>-7.6219512195119243E-4</v>
      </c>
      <c r="E176" s="293">
        <v>3.2086912582112159E-2</v>
      </c>
      <c r="F176" s="266">
        <f t="shared" si="12"/>
        <v>169</v>
      </c>
      <c r="G176" s="230">
        <f t="shared" ca="1" si="11"/>
        <v>1.5089817968421638E-2</v>
      </c>
    </row>
    <row r="177" spans="2:7" x14ac:dyDescent="0.25">
      <c r="B177" s="348" t="s">
        <v>663</v>
      </c>
      <c r="C177" s="293">
        <v>262.39999999999998</v>
      </c>
      <c r="D177" s="230">
        <f t="shared" si="10"/>
        <v>3.5394388983150948E-2</v>
      </c>
      <c r="E177" s="293">
        <v>3.204006996342823E-2</v>
      </c>
      <c r="F177" s="266">
        <f t="shared" si="12"/>
        <v>170</v>
      </c>
      <c r="G177" s="230">
        <f t="shared" ca="1" si="11"/>
        <v>2.6646833424846528E-2</v>
      </c>
    </row>
    <row r="178" spans="2:7" x14ac:dyDescent="0.25">
      <c r="B178" s="348" t="s">
        <v>664</v>
      </c>
      <c r="C178" s="293">
        <v>253.43</v>
      </c>
      <c r="D178" s="230">
        <f t="shared" si="10"/>
        <v>1.3517296540691781E-2</v>
      </c>
      <c r="E178" s="293">
        <v>3.196690485144793E-2</v>
      </c>
      <c r="F178" s="266">
        <f t="shared" si="12"/>
        <v>171</v>
      </c>
      <c r="G178" s="230">
        <f t="shared" ca="1" si="11"/>
        <v>-4.4319101981171779E-3</v>
      </c>
    </row>
    <row r="179" spans="2:7" x14ac:dyDescent="0.25">
      <c r="B179" s="348" t="s">
        <v>665</v>
      </c>
      <c r="C179" s="293">
        <v>250.05</v>
      </c>
      <c r="D179" s="230">
        <f t="shared" si="10"/>
        <v>-8.7905062532467326E-4</v>
      </c>
      <c r="E179" s="293">
        <v>3.180039138943247E-2</v>
      </c>
      <c r="F179" s="266">
        <f t="shared" si="12"/>
        <v>172</v>
      </c>
      <c r="G179" s="230">
        <f t="shared" ca="1" si="11"/>
        <v>-1.7045663051594946E-2</v>
      </c>
    </row>
    <row r="180" spans="2:7" x14ac:dyDescent="0.25">
      <c r="B180" s="348" t="s">
        <v>666</v>
      </c>
      <c r="C180" s="293">
        <v>250.27</v>
      </c>
      <c r="D180" s="230">
        <f t="shared" si="10"/>
        <v>-1.0399367338869148E-2</v>
      </c>
      <c r="E180" s="293">
        <v>3.1794871794871726E-2</v>
      </c>
      <c r="F180" s="266">
        <f t="shared" si="12"/>
        <v>173</v>
      </c>
      <c r="G180" s="230">
        <f t="shared" ca="1" si="11"/>
        <v>-4.7478567417225032E-2</v>
      </c>
    </row>
    <row r="181" spans="2:7" x14ac:dyDescent="0.25">
      <c r="B181" s="348" t="s">
        <v>667</v>
      </c>
      <c r="C181" s="293">
        <v>252.9</v>
      </c>
      <c r="D181" s="230">
        <f t="shared" si="10"/>
        <v>-9.2246949030868719E-2</v>
      </c>
      <c r="E181" s="293">
        <v>3.1724754244861542E-2</v>
      </c>
      <c r="F181" s="266">
        <f t="shared" si="12"/>
        <v>174</v>
      </c>
      <c r="G181" s="230">
        <f t="shared" ca="1" si="11"/>
        <v>-6.4068121956241267E-4</v>
      </c>
    </row>
    <row r="182" spans="2:7" x14ac:dyDescent="0.25">
      <c r="B182" s="348" t="s">
        <v>668</v>
      </c>
      <c r="C182" s="293">
        <v>278.60000000000002</v>
      </c>
      <c r="D182" s="230">
        <f t="shared" si="10"/>
        <v>-2.7913468248429885E-2</v>
      </c>
      <c r="E182" s="293">
        <v>3.1657872813107391E-2</v>
      </c>
      <c r="F182" s="266">
        <f t="shared" si="12"/>
        <v>175</v>
      </c>
      <c r="G182" s="230">
        <f t="shared" ca="1" si="11"/>
        <v>-6.5368995056130546E-3</v>
      </c>
    </row>
    <row r="183" spans="2:7" x14ac:dyDescent="0.25">
      <c r="B183" s="348" t="s">
        <v>669</v>
      </c>
      <c r="C183" s="293">
        <v>286.60000000000002</v>
      </c>
      <c r="D183" s="230">
        <f t="shared" si="10"/>
        <v>2.4120064320171553E-2</v>
      </c>
      <c r="E183" s="293">
        <v>3.1606217616580334E-2</v>
      </c>
      <c r="F183" s="266">
        <f t="shared" si="12"/>
        <v>176</v>
      </c>
      <c r="G183" s="230">
        <f t="shared" ca="1" si="11"/>
        <v>1.9101245386802017E-2</v>
      </c>
    </row>
    <row r="184" spans="2:7" x14ac:dyDescent="0.25">
      <c r="B184" s="348" t="s">
        <v>670</v>
      </c>
      <c r="C184" s="293">
        <v>279.85000000000002</v>
      </c>
      <c r="D184" s="230">
        <f t="shared" si="10"/>
        <v>0</v>
      </c>
      <c r="E184" s="293">
        <v>3.1502423263328083E-2</v>
      </c>
      <c r="F184" s="266">
        <f t="shared" si="12"/>
        <v>177</v>
      </c>
      <c r="G184" s="230">
        <f t="shared" ca="1" si="11"/>
        <v>-4.3825345771384468E-3</v>
      </c>
    </row>
    <row r="185" spans="2:7" x14ac:dyDescent="0.25">
      <c r="B185" s="348" t="s">
        <v>671</v>
      </c>
      <c r="C185" s="293">
        <v>279.85000000000002</v>
      </c>
      <c r="D185" s="230">
        <f t="shared" si="10"/>
        <v>-8.2119394458712858E-4</v>
      </c>
      <c r="E185" s="293">
        <v>3.1491471059921228E-2</v>
      </c>
      <c r="F185" s="266">
        <f t="shared" si="12"/>
        <v>178</v>
      </c>
      <c r="G185" s="230">
        <f t="shared" ca="1" si="11"/>
        <v>5.6649934033180674E-3</v>
      </c>
    </row>
    <row r="186" spans="2:7" x14ac:dyDescent="0.25">
      <c r="B186" s="348">
        <v>45633</v>
      </c>
      <c r="C186" s="293">
        <v>280.08</v>
      </c>
      <c r="D186" s="230">
        <f t="shared" si="10"/>
        <v>4.8792360981089633E-2</v>
      </c>
      <c r="E186" s="293">
        <v>3.1456730120156706E-2</v>
      </c>
      <c r="F186" s="266">
        <f t="shared" si="12"/>
        <v>179</v>
      </c>
      <c r="G186" s="230">
        <f t="shared" ca="1" si="11"/>
        <v>-2.7373300988252108E-2</v>
      </c>
    </row>
    <row r="187" spans="2:7" x14ac:dyDescent="0.25">
      <c r="B187" s="348">
        <v>45603</v>
      </c>
      <c r="C187" s="293">
        <v>267.05</v>
      </c>
      <c r="D187" s="230">
        <f t="shared" si="10"/>
        <v>-2.6888747805952073E-3</v>
      </c>
      <c r="E187" s="293">
        <v>3.1376834217920591E-2</v>
      </c>
      <c r="F187" s="266">
        <f t="shared" si="12"/>
        <v>180</v>
      </c>
      <c r="G187" s="230">
        <f t="shared" ca="1" si="11"/>
        <v>1.4917742919273133E-2</v>
      </c>
    </row>
    <row r="188" spans="2:7" x14ac:dyDescent="0.25">
      <c r="B188" s="348">
        <v>45572</v>
      </c>
      <c r="C188" s="293">
        <v>267.77</v>
      </c>
      <c r="D188" s="230">
        <f t="shared" si="10"/>
        <v>-1.0092421441774579E-2</v>
      </c>
      <c r="E188" s="293">
        <v>3.1112373916749592E-2</v>
      </c>
      <c r="F188" s="266">
        <f t="shared" si="12"/>
        <v>181</v>
      </c>
      <c r="G188" s="230">
        <f t="shared" ca="1" si="11"/>
        <v>1.1989186572719317E-2</v>
      </c>
    </row>
    <row r="189" spans="2:7" x14ac:dyDescent="0.25">
      <c r="B189" s="348">
        <v>45542</v>
      </c>
      <c r="C189" s="293">
        <v>270.5</v>
      </c>
      <c r="D189" s="230">
        <f t="shared" si="10"/>
        <v>-3.695491500370629E-4</v>
      </c>
      <c r="E189" s="293">
        <v>3.1105398457583533E-2</v>
      </c>
      <c r="F189" s="266">
        <f t="shared" si="12"/>
        <v>182</v>
      </c>
      <c r="G189" s="230">
        <f t="shared" ca="1" si="11"/>
        <v>1.5023306913108771E-2</v>
      </c>
    </row>
    <row r="190" spans="2:7" x14ac:dyDescent="0.25">
      <c r="B190" s="348">
        <v>45511</v>
      </c>
      <c r="C190" s="293">
        <v>270.60000000000002</v>
      </c>
      <c r="D190" s="230">
        <f t="shared" si="10"/>
        <v>1.1399738366660417E-2</v>
      </c>
      <c r="E190" s="293">
        <v>3.0998580217699967E-2</v>
      </c>
      <c r="F190" s="266">
        <f t="shared" si="12"/>
        <v>183</v>
      </c>
      <c r="G190" s="230">
        <f t="shared" ca="1" si="11"/>
        <v>-1.8390541568604708E-2</v>
      </c>
    </row>
    <row r="191" spans="2:7" x14ac:dyDescent="0.25">
      <c r="B191" s="348">
        <v>45419</v>
      </c>
      <c r="C191" s="293">
        <v>267.55</v>
      </c>
      <c r="D191" s="230">
        <f t="shared" si="10"/>
        <v>8.2909364989636192E-3</v>
      </c>
      <c r="E191" s="293">
        <v>3.0908629011770605E-2</v>
      </c>
      <c r="F191" s="266">
        <f t="shared" si="12"/>
        <v>184</v>
      </c>
      <c r="G191" s="230">
        <f t="shared" ca="1" si="11"/>
        <v>-1.3171442318947933E-2</v>
      </c>
    </row>
    <row r="192" spans="2:7" x14ac:dyDescent="0.25">
      <c r="B192" s="348">
        <v>45389</v>
      </c>
      <c r="C192" s="293">
        <v>265.35000000000002</v>
      </c>
      <c r="D192" s="230">
        <f t="shared" si="10"/>
        <v>-1.5398886827458158E-2</v>
      </c>
      <c r="E192" s="293">
        <v>3.0832726389900644E-2</v>
      </c>
      <c r="F192" s="266">
        <f t="shared" si="12"/>
        <v>185</v>
      </c>
      <c r="G192" s="230">
        <f t="shared" ca="1" si="11"/>
        <v>1.8896694866945862E-3</v>
      </c>
    </row>
    <row r="193" spans="2:7" x14ac:dyDescent="0.25">
      <c r="B193" s="348">
        <v>45358</v>
      </c>
      <c r="C193" s="293">
        <v>269.5</v>
      </c>
      <c r="D193" s="230">
        <f t="shared" si="10"/>
        <v>1.4864362690449884E-3</v>
      </c>
      <c r="E193" s="293">
        <v>3.0749354005167984E-2</v>
      </c>
      <c r="F193" s="266">
        <f t="shared" si="12"/>
        <v>186</v>
      </c>
      <c r="G193" s="230">
        <f t="shared" ca="1" si="11"/>
        <v>-3.0621449982871037E-2</v>
      </c>
    </row>
    <row r="194" spans="2:7" x14ac:dyDescent="0.25">
      <c r="B194" s="348">
        <v>45329</v>
      </c>
      <c r="C194" s="293">
        <v>269.10000000000002</v>
      </c>
      <c r="D194" s="230">
        <f t="shared" si="10"/>
        <v>2.059392422346118E-2</v>
      </c>
      <c r="E194" s="293">
        <v>3.0714084903008088E-2</v>
      </c>
      <c r="F194" s="266">
        <f t="shared" si="12"/>
        <v>187</v>
      </c>
      <c r="G194" s="230">
        <f t="shared" ca="1" si="11"/>
        <v>-2.1596515488473869E-2</v>
      </c>
    </row>
    <row r="195" spans="2:7" x14ac:dyDescent="0.25">
      <c r="B195" s="348">
        <v>45298</v>
      </c>
      <c r="C195" s="293">
        <v>263.67</v>
      </c>
      <c r="D195" s="230">
        <f t="shared" si="10"/>
        <v>2.427938777095795E-2</v>
      </c>
      <c r="E195" s="293">
        <v>3.0615009482525046E-2</v>
      </c>
      <c r="F195" s="266">
        <f t="shared" si="12"/>
        <v>188</v>
      </c>
      <c r="G195" s="230">
        <f t="shared" ca="1" si="11"/>
        <v>2.7841191802431706E-2</v>
      </c>
    </row>
    <row r="196" spans="2:7" x14ac:dyDescent="0.25">
      <c r="B196" s="348" t="s">
        <v>672</v>
      </c>
      <c r="C196" s="293">
        <v>257.42</v>
      </c>
      <c r="D196" s="230">
        <f t="shared" si="10"/>
        <v>7.909162098668876E-3</v>
      </c>
      <c r="E196" s="293">
        <v>3.059878659984161E-2</v>
      </c>
      <c r="F196" s="266">
        <f t="shared" si="12"/>
        <v>189</v>
      </c>
      <c r="G196" s="230">
        <f t="shared" ca="1" si="11"/>
        <v>-2.9048030390411328E-3</v>
      </c>
    </row>
    <row r="197" spans="2:7" x14ac:dyDescent="0.25">
      <c r="B197" s="348" t="s">
        <v>673</v>
      </c>
      <c r="C197" s="293">
        <v>255.4</v>
      </c>
      <c r="D197" s="230">
        <f t="shared" si="10"/>
        <v>3.1502423263328083E-2</v>
      </c>
      <c r="E197" s="293">
        <v>3.0524555741338277E-2</v>
      </c>
      <c r="F197" s="266">
        <f t="shared" si="12"/>
        <v>190</v>
      </c>
      <c r="G197" s="230">
        <f t="shared" ca="1" si="11"/>
        <v>-1.5311106960433961E-2</v>
      </c>
    </row>
    <row r="198" spans="2:7" x14ac:dyDescent="0.25">
      <c r="B198" s="348" t="s">
        <v>674</v>
      </c>
      <c r="C198" s="293">
        <v>247.6</v>
      </c>
      <c r="D198" s="230">
        <f t="shared" si="10"/>
        <v>-3.3409813629594609E-3</v>
      </c>
      <c r="E198" s="293">
        <v>3.0492536632126699E-2</v>
      </c>
      <c r="F198" s="266">
        <f t="shared" si="12"/>
        <v>191</v>
      </c>
      <c r="G198" s="230">
        <f t="shared" ca="1" si="11"/>
        <v>-3.2749466992487747E-3</v>
      </c>
    </row>
    <row r="199" spans="2:7" x14ac:dyDescent="0.25">
      <c r="B199" s="348" t="s">
        <v>675</v>
      </c>
      <c r="C199" s="293">
        <v>248.43</v>
      </c>
      <c r="D199" s="230">
        <f t="shared" si="10"/>
        <v>1.288376075345532E-2</v>
      </c>
      <c r="E199" s="293">
        <v>3.0288507620051641E-2</v>
      </c>
      <c r="F199" s="266">
        <f t="shared" si="12"/>
        <v>192</v>
      </c>
      <c r="G199" s="230">
        <f t="shared" ca="1" si="11"/>
        <v>1.2215814213019396E-2</v>
      </c>
    </row>
    <row r="200" spans="2:7" x14ac:dyDescent="0.25">
      <c r="B200" s="348" t="s">
        <v>676</v>
      </c>
      <c r="C200" s="293">
        <v>245.27</v>
      </c>
      <c r="D200" s="230">
        <f t="shared" si="10"/>
        <v>0</v>
      </c>
      <c r="E200" s="293">
        <v>3.0257042587498839E-2</v>
      </c>
      <c r="F200" s="266">
        <f t="shared" si="12"/>
        <v>193</v>
      </c>
      <c r="G200" s="230">
        <f t="shared" ca="1" si="11"/>
        <v>1.3403378521368796E-2</v>
      </c>
    </row>
    <row r="201" spans="2:7" x14ac:dyDescent="0.25">
      <c r="B201" s="348" t="s">
        <v>677</v>
      </c>
      <c r="C201" s="293">
        <v>245.27</v>
      </c>
      <c r="D201" s="230">
        <f t="shared" ref="D201:D264" si="13">C201/C202-1</f>
        <v>2.8548123980431939E-4</v>
      </c>
      <c r="E201" s="293">
        <v>3.0193633081719629E-2</v>
      </c>
      <c r="F201" s="266">
        <f t="shared" si="12"/>
        <v>194</v>
      </c>
      <c r="G201" s="230">
        <f t="shared" ref="G201:G264" ca="1" si="14">_xlfn.NORM.INV(RAND(),$M$10,$M$11)</f>
        <v>2.1430928091727197E-2</v>
      </c>
    </row>
    <row r="202" spans="2:7" x14ac:dyDescent="0.25">
      <c r="B202" s="348" t="s">
        <v>678</v>
      </c>
      <c r="C202" s="293">
        <v>245.2</v>
      </c>
      <c r="D202" s="230">
        <f t="shared" si="13"/>
        <v>-1.0811683072454392E-2</v>
      </c>
      <c r="E202" s="293">
        <v>3.0146163215590605E-2</v>
      </c>
      <c r="F202" s="266">
        <f t="shared" ref="F202:F265" si="15">F201+1</f>
        <v>195</v>
      </c>
      <c r="G202" s="230">
        <f t="shared" ca="1" si="14"/>
        <v>-2.1434553518486665E-2</v>
      </c>
    </row>
    <row r="203" spans="2:7" x14ac:dyDescent="0.25">
      <c r="B203" s="348" t="s">
        <v>679</v>
      </c>
      <c r="C203" s="293">
        <v>247.88</v>
      </c>
      <c r="D203" s="230">
        <f t="shared" si="13"/>
        <v>7.9290855121374459E-3</v>
      </c>
      <c r="E203" s="293">
        <v>3.0114226375908659E-2</v>
      </c>
      <c r="F203" s="266">
        <f t="shared" si="15"/>
        <v>196</v>
      </c>
      <c r="G203" s="230">
        <f t="shared" ca="1" si="14"/>
        <v>-1.6064121989349492E-2</v>
      </c>
    </row>
    <row r="204" spans="2:7" x14ac:dyDescent="0.25">
      <c r="B204" s="348" t="s">
        <v>680</v>
      </c>
      <c r="C204" s="293">
        <v>245.93</v>
      </c>
      <c r="D204" s="230">
        <f t="shared" si="13"/>
        <v>3.0073298429319495E-2</v>
      </c>
      <c r="E204" s="293">
        <v>3.0073298429319495E-2</v>
      </c>
      <c r="F204" s="266">
        <f t="shared" si="15"/>
        <v>197</v>
      </c>
      <c r="G204" s="230">
        <f t="shared" ca="1" si="14"/>
        <v>5.367754815593636E-2</v>
      </c>
    </row>
    <row r="205" spans="2:7" x14ac:dyDescent="0.25">
      <c r="B205" s="348" t="s">
        <v>681</v>
      </c>
      <c r="C205" s="293">
        <v>238.75</v>
      </c>
      <c r="D205" s="230">
        <f t="shared" si="13"/>
        <v>-1.0567757977621217E-2</v>
      </c>
      <c r="E205" s="293">
        <v>2.9954120345861979E-2</v>
      </c>
      <c r="F205" s="266">
        <f t="shared" si="15"/>
        <v>198</v>
      </c>
      <c r="G205" s="230">
        <f t="shared" ca="1" si="14"/>
        <v>-1.2192072447456976E-2</v>
      </c>
    </row>
    <row r="206" spans="2:7" x14ac:dyDescent="0.25">
      <c r="B206" s="348" t="s">
        <v>682</v>
      </c>
      <c r="C206" s="293">
        <v>241.3</v>
      </c>
      <c r="D206" s="230">
        <f t="shared" si="13"/>
        <v>1.195219123505975E-2</v>
      </c>
      <c r="E206" s="293">
        <v>2.9928541403951181E-2</v>
      </c>
      <c r="F206" s="266">
        <f t="shared" si="15"/>
        <v>199</v>
      </c>
      <c r="G206" s="230">
        <f t="shared" ca="1" si="14"/>
        <v>-1.7264578285505809E-2</v>
      </c>
    </row>
    <row r="207" spans="2:7" x14ac:dyDescent="0.25">
      <c r="B207" s="348">
        <v>45632</v>
      </c>
      <c r="C207" s="293">
        <v>238.45</v>
      </c>
      <c r="D207" s="230">
        <f t="shared" si="13"/>
        <v>1.8065708763967958E-3</v>
      </c>
      <c r="E207" s="293">
        <v>2.9503105590062084E-2</v>
      </c>
      <c r="F207" s="266">
        <f t="shared" si="15"/>
        <v>200</v>
      </c>
      <c r="G207" s="230">
        <f t="shared" ca="1" si="14"/>
        <v>1.1053813681103681E-2</v>
      </c>
    </row>
    <row r="208" spans="2:7" x14ac:dyDescent="0.25">
      <c r="B208" s="348">
        <v>45602</v>
      </c>
      <c r="C208" s="293">
        <v>238.02</v>
      </c>
      <c r="D208" s="230">
        <f t="shared" si="13"/>
        <v>1.641206918318483E-3</v>
      </c>
      <c r="E208" s="293">
        <v>2.9388816644993376E-2</v>
      </c>
      <c r="F208" s="266">
        <f t="shared" si="15"/>
        <v>201</v>
      </c>
      <c r="G208" s="230">
        <f t="shared" ca="1" si="14"/>
        <v>-1.3040247100468843E-2</v>
      </c>
    </row>
    <row r="209" spans="2:7" x14ac:dyDescent="0.25">
      <c r="B209" s="348">
        <v>45571</v>
      </c>
      <c r="C209" s="293">
        <v>237.63</v>
      </c>
      <c r="D209" s="230">
        <f t="shared" si="13"/>
        <v>-1.9152185578074077E-2</v>
      </c>
      <c r="E209" s="293">
        <v>2.934734997809918E-2</v>
      </c>
      <c r="F209" s="266">
        <f t="shared" si="15"/>
        <v>202</v>
      </c>
      <c r="G209" s="230">
        <f t="shared" ca="1" si="14"/>
        <v>1.2094674135229482E-2</v>
      </c>
    </row>
    <row r="210" spans="2:7" x14ac:dyDescent="0.25">
      <c r="B210" s="348">
        <v>45479</v>
      </c>
      <c r="C210" s="293">
        <v>242.27</v>
      </c>
      <c r="D210" s="230">
        <f t="shared" si="13"/>
        <v>5.106290672451208E-2</v>
      </c>
      <c r="E210" s="293">
        <v>2.9215786776012331E-2</v>
      </c>
      <c r="F210" s="266">
        <f t="shared" si="15"/>
        <v>203</v>
      </c>
      <c r="G210" s="230">
        <f t="shared" ca="1" si="14"/>
        <v>1.4240717439660266E-2</v>
      </c>
    </row>
    <row r="211" spans="2:7" x14ac:dyDescent="0.25">
      <c r="B211" s="348">
        <v>45449</v>
      </c>
      <c r="C211" s="293">
        <v>230.5</v>
      </c>
      <c r="D211" s="230">
        <f t="shared" si="13"/>
        <v>2.1040974529346723E-2</v>
      </c>
      <c r="E211" s="293">
        <v>2.9186688022779794E-2</v>
      </c>
      <c r="F211" s="266">
        <f t="shared" si="15"/>
        <v>204</v>
      </c>
      <c r="G211" s="230">
        <f t="shared" ca="1" si="14"/>
        <v>3.9882064873762793E-3</v>
      </c>
    </row>
    <row r="212" spans="2:7" x14ac:dyDescent="0.25">
      <c r="B212" s="348">
        <v>45418</v>
      </c>
      <c r="C212" s="293">
        <v>225.75</v>
      </c>
      <c r="D212" s="230">
        <f t="shared" si="13"/>
        <v>3.0492536632126699E-2</v>
      </c>
      <c r="E212" s="293">
        <v>2.9150197628458274E-2</v>
      </c>
      <c r="F212" s="266">
        <f t="shared" si="15"/>
        <v>205</v>
      </c>
      <c r="G212" s="230">
        <f t="shared" ca="1" si="14"/>
        <v>1.4166874220153131E-2</v>
      </c>
    </row>
    <row r="213" spans="2:7" x14ac:dyDescent="0.25">
      <c r="B213" s="348">
        <v>45388</v>
      </c>
      <c r="C213" s="293">
        <v>219.07</v>
      </c>
      <c r="D213" s="230">
        <f t="shared" si="13"/>
        <v>-1.3420400810628341E-2</v>
      </c>
      <c r="E213" s="293">
        <v>2.9040008356836955E-2</v>
      </c>
      <c r="F213" s="266">
        <f t="shared" si="15"/>
        <v>206</v>
      </c>
      <c r="G213" s="230">
        <f t="shared" ca="1" si="14"/>
        <v>-1.455704193094221E-2</v>
      </c>
    </row>
    <row r="214" spans="2:7" x14ac:dyDescent="0.25">
      <c r="B214" s="348">
        <v>45357</v>
      </c>
      <c r="C214" s="293">
        <v>222.05</v>
      </c>
      <c r="D214" s="230">
        <f t="shared" si="13"/>
        <v>1.3464171611136555E-2</v>
      </c>
      <c r="E214" s="293">
        <v>2.8987964061705451E-2</v>
      </c>
      <c r="F214" s="266">
        <f t="shared" si="15"/>
        <v>207</v>
      </c>
      <c r="G214" s="230">
        <f t="shared" ca="1" si="14"/>
        <v>-6.4854905021259884E-3</v>
      </c>
    </row>
    <row r="215" spans="2:7" x14ac:dyDescent="0.25">
      <c r="B215" s="348" t="s">
        <v>683</v>
      </c>
      <c r="C215" s="293">
        <v>219.1</v>
      </c>
      <c r="D215" s="230">
        <f t="shared" si="13"/>
        <v>2.8377883559136396E-3</v>
      </c>
      <c r="E215" s="293">
        <v>2.8871391076115582E-2</v>
      </c>
      <c r="F215" s="266">
        <f t="shared" si="15"/>
        <v>208</v>
      </c>
      <c r="G215" s="230">
        <f t="shared" ca="1" si="14"/>
        <v>-7.8382425935718467E-3</v>
      </c>
    </row>
    <row r="216" spans="2:7" x14ac:dyDescent="0.25">
      <c r="B216" s="348" t="s">
        <v>684</v>
      </c>
      <c r="C216" s="293">
        <v>218.48</v>
      </c>
      <c r="D216" s="230">
        <f t="shared" si="13"/>
        <v>-3.0700976042591033E-2</v>
      </c>
      <c r="E216" s="293">
        <v>2.8805019488544525E-2</v>
      </c>
      <c r="F216" s="266">
        <f t="shared" si="15"/>
        <v>209</v>
      </c>
      <c r="G216" s="230">
        <f t="shared" ca="1" si="14"/>
        <v>1.304179547978369E-2</v>
      </c>
    </row>
    <row r="217" spans="2:7" x14ac:dyDescent="0.25">
      <c r="B217" s="348" t="s">
        <v>685</v>
      </c>
      <c r="C217" s="293">
        <v>225.4</v>
      </c>
      <c r="D217" s="230">
        <f t="shared" si="13"/>
        <v>-1.1490220156126663E-2</v>
      </c>
      <c r="E217" s="293">
        <v>2.8736462093862825E-2</v>
      </c>
      <c r="F217" s="266">
        <f t="shared" si="15"/>
        <v>210</v>
      </c>
      <c r="G217" s="230">
        <f t="shared" ca="1" si="14"/>
        <v>1.8846653076385063E-2</v>
      </c>
    </row>
    <row r="218" spans="2:7" x14ac:dyDescent="0.25">
      <c r="B218" s="348" t="s">
        <v>686</v>
      </c>
      <c r="C218" s="293">
        <v>228.02</v>
      </c>
      <c r="D218" s="230">
        <f t="shared" si="13"/>
        <v>7.9123016399240687E-3</v>
      </c>
      <c r="E218" s="293">
        <v>2.8676257603553301E-2</v>
      </c>
      <c r="F218" s="266">
        <f t="shared" si="15"/>
        <v>211</v>
      </c>
      <c r="G218" s="230">
        <f t="shared" ca="1" si="14"/>
        <v>2.3691812030505632E-2</v>
      </c>
    </row>
    <row r="219" spans="2:7" x14ac:dyDescent="0.25">
      <c r="B219" s="348" t="s">
        <v>687</v>
      </c>
      <c r="C219" s="293">
        <v>226.23</v>
      </c>
      <c r="D219" s="230">
        <f t="shared" si="13"/>
        <v>-2.4113536364420707E-2</v>
      </c>
      <c r="E219" s="293">
        <v>2.8468400075915667E-2</v>
      </c>
      <c r="F219" s="266">
        <f t="shared" si="15"/>
        <v>212</v>
      </c>
      <c r="G219" s="230">
        <f t="shared" ca="1" si="14"/>
        <v>-3.8841567134980159E-2</v>
      </c>
    </row>
    <row r="220" spans="2:7" x14ac:dyDescent="0.25">
      <c r="B220" s="348" t="s">
        <v>688</v>
      </c>
      <c r="C220" s="293">
        <v>231.82</v>
      </c>
      <c r="D220" s="230">
        <f t="shared" si="13"/>
        <v>-4.6371833404895701E-3</v>
      </c>
      <c r="E220" s="293">
        <v>2.8457869634340272E-2</v>
      </c>
      <c r="F220" s="266">
        <f t="shared" si="15"/>
        <v>213</v>
      </c>
      <c r="G220" s="230">
        <f t="shared" ca="1" si="14"/>
        <v>9.8213160482778852E-3</v>
      </c>
    </row>
    <row r="221" spans="2:7" x14ac:dyDescent="0.25">
      <c r="B221" s="348" t="s">
        <v>689</v>
      </c>
      <c r="C221" s="293">
        <v>232.9</v>
      </c>
      <c r="D221" s="230">
        <f t="shared" si="13"/>
        <v>9.7550401040538137E-3</v>
      </c>
      <c r="E221" s="293">
        <v>2.8457265373745155E-2</v>
      </c>
      <c r="F221" s="266">
        <f t="shared" si="15"/>
        <v>214</v>
      </c>
      <c r="G221" s="230">
        <f t="shared" ca="1" si="14"/>
        <v>3.6146202449109287E-2</v>
      </c>
    </row>
    <row r="222" spans="2:7" x14ac:dyDescent="0.25">
      <c r="B222" s="348" t="s">
        <v>690</v>
      </c>
      <c r="C222" s="293">
        <v>230.65</v>
      </c>
      <c r="D222" s="230">
        <f t="shared" si="13"/>
        <v>8.678672163160428E-4</v>
      </c>
      <c r="E222" s="293">
        <v>2.8420068557182931E-2</v>
      </c>
      <c r="F222" s="266">
        <f t="shared" si="15"/>
        <v>215</v>
      </c>
      <c r="G222" s="230">
        <f t="shared" ca="1" si="14"/>
        <v>-2.6613056788253417E-2</v>
      </c>
    </row>
    <row r="223" spans="2:7" x14ac:dyDescent="0.25">
      <c r="B223" s="348" t="s">
        <v>691</v>
      </c>
      <c r="C223" s="293">
        <v>230.45</v>
      </c>
      <c r="D223" s="230">
        <f t="shared" si="13"/>
        <v>-3.5887236250432553E-3</v>
      </c>
      <c r="E223" s="293">
        <v>2.8379028379028393E-2</v>
      </c>
      <c r="F223" s="266">
        <f t="shared" si="15"/>
        <v>216</v>
      </c>
      <c r="G223" s="230">
        <f t="shared" ca="1" si="14"/>
        <v>-2.1548396664263893E-3</v>
      </c>
    </row>
    <row r="224" spans="2:7" x14ac:dyDescent="0.25">
      <c r="B224" s="348" t="s">
        <v>692</v>
      </c>
      <c r="C224" s="293">
        <v>231.28</v>
      </c>
      <c r="D224" s="230">
        <f t="shared" si="13"/>
        <v>3.3839479392625549E-3</v>
      </c>
      <c r="E224" s="293">
        <v>2.8340080971659853E-2</v>
      </c>
      <c r="F224" s="266">
        <f t="shared" si="15"/>
        <v>217</v>
      </c>
      <c r="G224" s="230">
        <f t="shared" ca="1" si="14"/>
        <v>1.2318198564239789E-2</v>
      </c>
    </row>
    <row r="225" spans="2:7" x14ac:dyDescent="0.25">
      <c r="B225" s="348" t="s">
        <v>693</v>
      </c>
      <c r="C225" s="293">
        <v>230.5</v>
      </c>
      <c r="D225" s="230">
        <f t="shared" si="13"/>
        <v>-7.4495112603883973E-3</v>
      </c>
      <c r="E225" s="293">
        <v>2.8311965811965933E-2</v>
      </c>
      <c r="F225" s="266">
        <f t="shared" si="15"/>
        <v>218</v>
      </c>
      <c r="G225" s="230">
        <f t="shared" ca="1" si="14"/>
        <v>3.5732534990284281E-2</v>
      </c>
    </row>
    <row r="226" spans="2:7" x14ac:dyDescent="0.25">
      <c r="B226" s="348" t="s">
        <v>694</v>
      </c>
      <c r="C226" s="293">
        <v>232.23</v>
      </c>
      <c r="D226" s="230">
        <f t="shared" si="13"/>
        <v>1.3440977525638109E-2</v>
      </c>
      <c r="E226" s="293">
        <v>2.8275475923852156E-2</v>
      </c>
      <c r="F226" s="266">
        <f t="shared" si="15"/>
        <v>219</v>
      </c>
      <c r="G226" s="230">
        <f t="shared" ca="1" si="14"/>
        <v>-2.9115921373535341E-3</v>
      </c>
    </row>
    <row r="227" spans="2:7" x14ac:dyDescent="0.25">
      <c r="B227" s="348" t="s">
        <v>695</v>
      </c>
      <c r="C227" s="293">
        <v>229.15</v>
      </c>
      <c r="D227" s="230">
        <f t="shared" si="13"/>
        <v>4.2510298886844211E-3</v>
      </c>
      <c r="E227" s="293">
        <v>2.8266479005395251E-2</v>
      </c>
      <c r="F227" s="266">
        <f t="shared" si="15"/>
        <v>220</v>
      </c>
      <c r="G227" s="230">
        <f t="shared" ca="1" si="14"/>
        <v>-3.19610454875228E-2</v>
      </c>
    </row>
    <row r="228" spans="2:7" x14ac:dyDescent="0.25">
      <c r="B228" s="348" t="s">
        <v>696</v>
      </c>
      <c r="C228" s="293">
        <v>228.18</v>
      </c>
      <c r="D228" s="230">
        <f t="shared" si="13"/>
        <v>9.7353748119304306E-3</v>
      </c>
      <c r="E228" s="293">
        <v>2.8224426958604276E-2</v>
      </c>
      <c r="F228" s="266">
        <f t="shared" si="15"/>
        <v>221</v>
      </c>
      <c r="G228" s="230">
        <f t="shared" ca="1" si="14"/>
        <v>-2.9921370671273317E-2</v>
      </c>
    </row>
    <row r="229" spans="2:7" x14ac:dyDescent="0.25">
      <c r="B229" s="348" t="s">
        <v>697</v>
      </c>
      <c r="C229" s="293">
        <v>225.98</v>
      </c>
      <c r="D229" s="230">
        <f t="shared" si="13"/>
        <v>2.2130748461912653E-4</v>
      </c>
      <c r="E229" s="293">
        <v>2.8182099721276055E-2</v>
      </c>
      <c r="F229" s="266">
        <f t="shared" si="15"/>
        <v>222</v>
      </c>
      <c r="G229" s="230">
        <f t="shared" ca="1" si="14"/>
        <v>-1.1688330992632119E-2</v>
      </c>
    </row>
    <row r="230" spans="2:7" x14ac:dyDescent="0.25">
      <c r="B230" s="348">
        <v>45570</v>
      </c>
      <c r="C230" s="293">
        <v>225.93</v>
      </c>
      <c r="D230" s="230">
        <f t="shared" si="13"/>
        <v>-8.8615924544855895E-3</v>
      </c>
      <c r="E230" s="293">
        <v>2.8145133943709766E-2</v>
      </c>
      <c r="F230" s="266">
        <f t="shared" si="15"/>
        <v>223</v>
      </c>
      <c r="G230" s="230">
        <f t="shared" ca="1" si="14"/>
        <v>-3.7182574386169821E-3</v>
      </c>
    </row>
    <row r="231" spans="2:7" x14ac:dyDescent="0.25">
      <c r="B231" s="348">
        <v>45540</v>
      </c>
      <c r="C231" s="293">
        <v>227.95</v>
      </c>
      <c r="D231" s="230">
        <f t="shared" si="13"/>
        <v>-1.5759930915371312E-2</v>
      </c>
      <c r="E231" s="293">
        <v>2.8083989501312301E-2</v>
      </c>
      <c r="F231" s="266">
        <f t="shared" si="15"/>
        <v>224</v>
      </c>
      <c r="G231" s="230">
        <f t="shared" ca="1" si="14"/>
        <v>-7.1159507412306552E-3</v>
      </c>
    </row>
    <row r="232" spans="2:7" x14ac:dyDescent="0.25">
      <c r="B232" s="348">
        <v>45509</v>
      </c>
      <c r="C232" s="293">
        <v>231.6</v>
      </c>
      <c r="D232" s="230">
        <f t="shared" si="13"/>
        <v>-1.5089458935114708E-3</v>
      </c>
      <c r="E232" s="293">
        <v>2.8070845467131234E-2</v>
      </c>
      <c r="F232" s="266">
        <f t="shared" si="15"/>
        <v>225</v>
      </c>
      <c r="G232" s="230">
        <f t="shared" ca="1" si="14"/>
        <v>1.5490678092111044E-2</v>
      </c>
    </row>
    <row r="233" spans="2:7" x14ac:dyDescent="0.25">
      <c r="B233" s="348">
        <v>45478</v>
      </c>
      <c r="C233" s="293">
        <v>231.95</v>
      </c>
      <c r="D233" s="230">
        <f t="shared" si="13"/>
        <v>1.1468690040118634E-2</v>
      </c>
      <c r="E233" s="293">
        <v>2.8009742519137237E-2</v>
      </c>
      <c r="F233" s="266">
        <f t="shared" si="15"/>
        <v>226</v>
      </c>
      <c r="G233" s="230">
        <f t="shared" ca="1" si="14"/>
        <v>-9.0828026323603664E-3</v>
      </c>
    </row>
    <row r="234" spans="2:7" x14ac:dyDescent="0.25">
      <c r="B234" s="348">
        <v>45448</v>
      </c>
      <c r="C234" s="293">
        <v>229.32</v>
      </c>
      <c r="D234" s="230">
        <f t="shared" si="13"/>
        <v>2.7986706314500065E-3</v>
      </c>
      <c r="E234" s="293">
        <v>2.7988998543924781E-2</v>
      </c>
      <c r="F234" s="266">
        <f t="shared" si="15"/>
        <v>227</v>
      </c>
      <c r="G234" s="230">
        <f t="shared" ca="1" si="14"/>
        <v>2.9043897186731865E-2</v>
      </c>
    </row>
    <row r="235" spans="2:7" x14ac:dyDescent="0.25">
      <c r="B235" s="348">
        <v>45356</v>
      </c>
      <c r="C235" s="293">
        <v>228.68</v>
      </c>
      <c r="D235" s="230">
        <f t="shared" si="13"/>
        <v>-8.7450808919919965E-5</v>
      </c>
      <c r="E235" s="293">
        <v>2.7946593001841658E-2</v>
      </c>
      <c r="F235" s="266">
        <f t="shared" si="15"/>
        <v>228</v>
      </c>
      <c r="G235" s="230">
        <f t="shared" ca="1" si="14"/>
        <v>2.0644485903913337E-2</v>
      </c>
    </row>
    <row r="236" spans="2:7" x14ac:dyDescent="0.25">
      <c r="B236" s="348">
        <v>45327</v>
      </c>
      <c r="C236" s="293">
        <v>228.7</v>
      </c>
      <c r="D236" s="230">
        <f t="shared" si="13"/>
        <v>-1.0813148788927363E-2</v>
      </c>
      <c r="E236" s="293">
        <v>2.7884173433430526E-2</v>
      </c>
      <c r="F236" s="266">
        <f t="shared" si="15"/>
        <v>229</v>
      </c>
      <c r="G236" s="230">
        <f t="shared" ca="1" si="14"/>
        <v>7.4360758282808609E-3</v>
      </c>
    </row>
    <row r="237" spans="2:7" x14ac:dyDescent="0.25">
      <c r="B237" s="348" t="s">
        <v>698</v>
      </c>
      <c r="C237" s="293">
        <v>231.2</v>
      </c>
      <c r="D237" s="230">
        <f t="shared" si="13"/>
        <v>-1.2096077414895934E-3</v>
      </c>
      <c r="E237" s="293">
        <v>2.7883396704689423E-2</v>
      </c>
      <c r="F237" s="266">
        <f t="shared" si="15"/>
        <v>230</v>
      </c>
      <c r="G237" s="230">
        <f t="shared" ca="1" si="14"/>
        <v>4.1456332174527141E-2</v>
      </c>
    </row>
    <row r="238" spans="2:7" x14ac:dyDescent="0.25">
      <c r="B238" s="348" t="s">
        <v>699</v>
      </c>
      <c r="C238" s="293">
        <v>231.48</v>
      </c>
      <c r="D238" s="230">
        <f t="shared" si="13"/>
        <v>-3.5299182092123349E-3</v>
      </c>
      <c r="E238" s="293">
        <v>2.78585360468111E-2</v>
      </c>
      <c r="F238" s="266">
        <f t="shared" si="15"/>
        <v>231</v>
      </c>
      <c r="G238" s="230">
        <f t="shared" ca="1" si="14"/>
        <v>1.2952616775924616E-2</v>
      </c>
    </row>
    <row r="239" spans="2:7" x14ac:dyDescent="0.25">
      <c r="B239" s="348" t="s">
        <v>700</v>
      </c>
      <c r="C239" s="293">
        <v>232.3</v>
      </c>
      <c r="D239" s="230">
        <f t="shared" si="13"/>
        <v>7.8091106290671952E-3</v>
      </c>
      <c r="E239" s="293">
        <v>2.78227110967324E-2</v>
      </c>
      <c r="F239" s="266">
        <f t="shared" si="15"/>
        <v>232</v>
      </c>
      <c r="G239" s="230">
        <f t="shared" ca="1" si="14"/>
        <v>-8.2760546227309134E-3</v>
      </c>
    </row>
    <row r="240" spans="2:7" x14ac:dyDescent="0.25">
      <c r="B240" s="348" t="s">
        <v>701</v>
      </c>
      <c r="C240" s="293">
        <v>230.5</v>
      </c>
      <c r="D240" s="230">
        <f t="shared" si="13"/>
        <v>2.3918243096325842E-3</v>
      </c>
      <c r="E240" s="293">
        <v>2.7782398935285446E-2</v>
      </c>
      <c r="F240" s="266">
        <f t="shared" si="15"/>
        <v>233</v>
      </c>
      <c r="G240" s="230">
        <f t="shared" ca="1" si="14"/>
        <v>-2.7625510487428853E-2</v>
      </c>
    </row>
    <row r="241" spans="2:7" x14ac:dyDescent="0.25">
      <c r="B241" s="348" t="s">
        <v>702</v>
      </c>
      <c r="C241" s="293">
        <v>229.95</v>
      </c>
      <c r="D241" s="230">
        <f t="shared" si="13"/>
        <v>-4.7608742696386708E-3</v>
      </c>
      <c r="E241" s="293">
        <v>2.7770635124710674E-2</v>
      </c>
      <c r="F241" s="266">
        <f t="shared" si="15"/>
        <v>234</v>
      </c>
      <c r="G241" s="230">
        <f t="shared" ca="1" si="14"/>
        <v>9.7905780830155522E-3</v>
      </c>
    </row>
    <row r="242" spans="2:7" x14ac:dyDescent="0.25">
      <c r="B242" s="348" t="s">
        <v>703</v>
      </c>
      <c r="C242" s="293">
        <v>231.05</v>
      </c>
      <c r="D242" s="230">
        <f t="shared" si="13"/>
        <v>2.164502164503368E-4</v>
      </c>
      <c r="E242" s="293">
        <v>2.772220634466982E-2</v>
      </c>
      <c r="F242" s="266">
        <f t="shared" si="15"/>
        <v>235</v>
      </c>
      <c r="G242" s="230">
        <f t="shared" ca="1" si="14"/>
        <v>4.2923044615841965E-3</v>
      </c>
    </row>
    <row r="243" spans="2:7" x14ac:dyDescent="0.25">
      <c r="B243" s="348" t="s">
        <v>704</v>
      </c>
      <c r="C243" s="293">
        <v>231</v>
      </c>
      <c r="D243" s="230">
        <f t="shared" si="13"/>
        <v>2.0408163265306145E-2</v>
      </c>
      <c r="E243" s="293">
        <v>2.7720546918898581E-2</v>
      </c>
      <c r="F243" s="266">
        <f t="shared" si="15"/>
        <v>236</v>
      </c>
      <c r="G243" s="230">
        <f t="shared" ca="1" si="14"/>
        <v>2.3749109125267134E-2</v>
      </c>
    </row>
    <row r="244" spans="2:7" x14ac:dyDescent="0.25">
      <c r="B244" s="348" t="s">
        <v>705</v>
      </c>
      <c r="C244" s="293">
        <v>226.38</v>
      </c>
      <c r="D244" s="230">
        <f t="shared" si="13"/>
        <v>1.8903591682419618E-2</v>
      </c>
      <c r="E244" s="293">
        <v>2.7714789619551539E-2</v>
      </c>
      <c r="F244" s="266">
        <f t="shared" si="15"/>
        <v>237</v>
      </c>
      <c r="G244" s="230">
        <f t="shared" ca="1" si="14"/>
        <v>-9.3164756838380186E-3</v>
      </c>
    </row>
    <row r="245" spans="2:7" x14ac:dyDescent="0.25">
      <c r="B245" s="348" t="s">
        <v>706</v>
      </c>
      <c r="C245" s="293">
        <v>222.18</v>
      </c>
      <c r="D245" s="230">
        <f t="shared" si="13"/>
        <v>-8.9214024444642659E-3</v>
      </c>
      <c r="E245" s="293">
        <v>2.7683514913377394E-2</v>
      </c>
      <c r="F245" s="266">
        <f t="shared" si="15"/>
        <v>238</v>
      </c>
      <c r="G245" s="230">
        <f t="shared" ca="1" si="14"/>
        <v>3.3314633052286225E-3</v>
      </c>
    </row>
    <row r="246" spans="2:7" x14ac:dyDescent="0.25">
      <c r="B246" s="348" t="s">
        <v>707</v>
      </c>
      <c r="C246" s="293">
        <v>224.18</v>
      </c>
      <c r="D246" s="230">
        <f t="shared" si="13"/>
        <v>-2.3946360153256685E-2</v>
      </c>
      <c r="E246" s="293">
        <v>2.7680037532254342E-2</v>
      </c>
      <c r="F246" s="266">
        <f t="shared" si="15"/>
        <v>239</v>
      </c>
      <c r="G246" s="230">
        <f t="shared" ca="1" si="14"/>
        <v>-7.307402692874684E-3</v>
      </c>
    </row>
    <row r="247" spans="2:7" x14ac:dyDescent="0.25">
      <c r="B247" s="348" t="s">
        <v>708</v>
      </c>
      <c r="C247" s="293">
        <v>229.68</v>
      </c>
      <c r="D247" s="230">
        <f t="shared" si="13"/>
        <v>-2.4216161101198064E-2</v>
      </c>
      <c r="E247" s="293">
        <v>2.7674808307520449E-2</v>
      </c>
      <c r="F247" s="266">
        <f t="shared" si="15"/>
        <v>240</v>
      </c>
      <c r="G247" s="230">
        <f t="shared" ca="1" si="14"/>
        <v>2.9293778700467413E-2</v>
      </c>
    </row>
    <row r="248" spans="2:7" x14ac:dyDescent="0.25">
      <c r="B248" s="348">
        <v>45630</v>
      </c>
      <c r="C248" s="293">
        <v>235.38</v>
      </c>
      <c r="D248" s="230">
        <f t="shared" si="13"/>
        <v>-1.3702074167190492E-2</v>
      </c>
      <c r="E248" s="293">
        <v>2.7606121859659272E-2</v>
      </c>
      <c r="F248" s="266">
        <f t="shared" si="15"/>
        <v>241</v>
      </c>
      <c r="G248" s="230">
        <f t="shared" ca="1" si="14"/>
        <v>1.874752395620112E-2</v>
      </c>
    </row>
    <row r="249" spans="2:7" x14ac:dyDescent="0.25">
      <c r="B249" s="348">
        <v>45569</v>
      </c>
      <c r="C249" s="293">
        <v>238.65</v>
      </c>
      <c r="D249" s="230">
        <f t="shared" si="13"/>
        <v>3.1525851197982124E-3</v>
      </c>
      <c r="E249" s="293">
        <v>2.753209700427961E-2</v>
      </c>
      <c r="F249" s="266">
        <f t="shared" si="15"/>
        <v>242</v>
      </c>
      <c r="G249" s="230">
        <f t="shared" ca="1" si="14"/>
        <v>1.6922041663139022E-2</v>
      </c>
    </row>
    <row r="250" spans="2:7" x14ac:dyDescent="0.25">
      <c r="B250" s="348">
        <v>45539</v>
      </c>
      <c r="C250" s="293">
        <v>237.9</v>
      </c>
      <c r="D250" s="230">
        <f t="shared" si="13"/>
        <v>-8.5434465513647417E-3</v>
      </c>
      <c r="E250" s="293">
        <v>2.7524834437085977E-2</v>
      </c>
      <c r="F250" s="266">
        <f t="shared" si="15"/>
        <v>243</v>
      </c>
      <c r="G250" s="230">
        <f t="shared" ca="1" si="14"/>
        <v>-1.6611632003441401E-2</v>
      </c>
    </row>
    <row r="251" spans="2:7" x14ac:dyDescent="0.25">
      <c r="B251" s="348">
        <v>45508</v>
      </c>
      <c r="C251" s="293">
        <v>239.95</v>
      </c>
      <c r="D251" s="230">
        <f t="shared" si="13"/>
        <v>-1.0597064159656999E-2</v>
      </c>
      <c r="E251" s="293">
        <v>2.7469135802469236E-2</v>
      </c>
      <c r="F251" s="266">
        <f t="shared" si="15"/>
        <v>244</v>
      </c>
      <c r="G251" s="230">
        <f t="shared" ca="1" si="14"/>
        <v>2.312324233997641E-2</v>
      </c>
    </row>
    <row r="252" spans="2:7" x14ac:dyDescent="0.25">
      <c r="B252" s="348">
        <v>45416</v>
      </c>
      <c r="C252" s="293">
        <v>242.52</v>
      </c>
      <c r="D252" s="230">
        <f t="shared" si="13"/>
        <v>-4.8420188756667093E-3</v>
      </c>
      <c r="E252" s="293">
        <v>2.7450980392156987E-2</v>
      </c>
      <c r="F252" s="266">
        <f t="shared" si="15"/>
        <v>245</v>
      </c>
      <c r="G252" s="230">
        <f t="shared" ca="1" si="14"/>
        <v>-1.2224096653076567E-2</v>
      </c>
    </row>
    <row r="253" spans="2:7" x14ac:dyDescent="0.25">
      <c r="B253" s="348">
        <v>45386</v>
      </c>
      <c r="C253" s="293">
        <v>243.7</v>
      </c>
      <c r="D253" s="230">
        <f t="shared" si="13"/>
        <v>8.6920529801324253E-3</v>
      </c>
      <c r="E253" s="293">
        <v>2.7450347166155353E-2</v>
      </c>
      <c r="F253" s="266">
        <f t="shared" si="15"/>
        <v>246</v>
      </c>
      <c r="G253" s="230">
        <f t="shared" ca="1" si="14"/>
        <v>1.9298464065109169E-2</v>
      </c>
    </row>
    <row r="254" spans="2:7" x14ac:dyDescent="0.25">
      <c r="B254" s="348">
        <v>45355</v>
      </c>
      <c r="C254" s="293">
        <v>241.6</v>
      </c>
      <c r="D254" s="230">
        <f t="shared" si="13"/>
        <v>4.1562759767248547E-3</v>
      </c>
      <c r="E254" s="293">
        <v>2.7380952380952506E-2</v>
      </c>
      <c r="F254" s="266">
        <f t="shared" si="15"/>
        <v>247</v>
      </c>
      <c r="G254" s="230">
        <f t="shared" ca="1" si="14"/>
        <v>4.6220042218963288E-2</v>
      </c>
    </row>
    <row r="255" spans="2:7" x14ac:dyDescent="0.25">
      <c r="B255" s="348">
        <v>45326</v>
      </c>
      <c r="C255" s="293">
        <v>240.6</v>
      </c>
      <c r="D255" s="230">
        <f t="shared" si="13"/>
        <v>-7.7532167601451762E-3</v>
      </c>
      <c r="E255" s="293">
        <v>2.7367188643348417E-2</v>
      </c>
      <c r="F255" s="266">
        <f t="shared" si="15"/>
        <v>248</v>
      </c>
      <c r="G255" s="230">
        <f t="shared" ca="1" si="14"/>
        <v>-1.6742856803964069E-2</v>
      </c>
    </row>
    <row r="256" spans="2:7" x14ac:dyDescent="0.25">
      <c r="B256" s="348">
        <v>45295</v>
      </c>
      <c r="C256" s="293">
        <v>242.48</v>
      </c>
      <c r="D256" s="230">
        <f t="shared" si="13"/>
        <v>1.0122891064361594E-2</v>
      </c>
      <c r="E256" s="293">
        <v>2.7279404049942224E-2</v>
      </c>
      <c r="F256" s="266">
        <f t="shared" si="15"/>
        <v>249</v>
      </c>
      <c r="G256" s="230">
        <f t="shared" ca="1" si="14"/>
        <v>1.6778127374839996E-2</v>
      </c>
    </row>
    <row r="257" spans="2:7" x14ac:dyDescent="0.25">
      <c r="B257" s="348" t="s">
        <v>709</v>
      </c>
      <c r="C257" s="293">
        <v>240.05</v>
      </c>
      <c r="D257" s="230">
        <f t="shared" si="13"/>
        <v>1.6514926953207665E-2</v>
      </c>
      <c r="E257" s="293">
        <v>2.7275182284633992E-2</v>
      </c>
      <c r="F257" s="266">
        <f t="shared" si="15"/>
        <v>250</v>
      </c>
      <c r="G257" s="230">
        <f t="shared" ca="1" si="14"/>
        <v>6.0000849259316718E-3</v>
      </c>
    </row>
    <row r="258" spans="2:7" x14ac:dyDescent="0.25">
      <c r="B258" s="348" t="s">
        <v>710</v>
      </c>
      <c r="C258" s="293">
        <v>236.15</v>
      </c>
      <c r="D258" s="230">
        <f t="shared" si="13"/>
        <v>-1.5754595090234691E-2</v>
      </c>
      <c r="E258" s="293">
        <v>2.7238143545523785E-2</v>
      </c>
      <c r="F258" s="266">
        <f t="shared" si="15"/>
        <v>251</v>
      </c>
      <c r="G258" s="230">
        <f t="shared" ca="1" si="14"/>
        <v>2.1238446727399253E-2</v>
      </c>
    </row>
    <row r="259" spans="2:7" x14ac:dyDescent="0.25">
      <c r="B259" s="348" t="s">
        <v>711</v>
      </c>
      <c r="C259" s="293">
        <v>239.93</v>
      </c>
      <c r="D259" s="230">
        <f t="shared" si="13"/>
        <v>-1.4863477725313046E-2</v>
      </c>
      <c r="E259" s="293">
        <v>2.7226720647773206E-2</v>
      </c>
      <c r="F259" s="266">
        <f t="shared" si="15"/>
        <v>252</v>
      </c>
      <c r="G259" s="230">
        <f t="shared" ca="1" si="14"/>
        <v>2.3483870137987152E-3</v>
      </c>
    </row>
    <row r="260" spans="2:7" x14ac:dyDescent="0.25">
      <c r="B260" s="348" t="s">
        <v>712</v>
      </c>
      <c r="C260" s="293">
        <v>243.55</v>
      </c>
      <c r="D260" s="230">
        <f t="shared" si="13"/>
        <v>-2.6695440195020459E-2</v>
      </c>
      <c r="E260" s="293">
        <v>2.7117641258258551E-2</v>
      </c>
      <c r="F260" s="266">
        <f t="shared" si="15"/>
        <v>253</v>
      </c>
      <c r="G260" s="230">
        <f t="shared" ca="1" si="14"/>
        <v>-1.5001485362105987E-3</v>
      </c>
    </row>
    <row r="261" spans="2:7" x14ac:dyDescent="0.25">
      <c r="B261" s="348" t="s">
        <v>713</v>
      </c>
      <c r="C261" s="293">
        <v>250.23</v>
      </c>
      <c r="D261" s="230">
        <f t="shared" si="13"/>
        <v>1.4103343465045493E-2</v>
      </c>
      <c r="E261" s="293">
        <v>2.7108759045253228E-2</v>
      </c>
      <c r="F261" s="266">
        <f t="shared" si="15"/>
        <v>254</v>
      </c>
      <c r="G261" s="230">
        <f t="shared" ca="1" si="14"/>
        <v>1.6087855620303432E-2</v>
      </c>
    </row>
    <row r="262" spans="2:7" x14ac:dyDescent="0.25">
      <c r="B262" s="348" t="s">
        <v>714</v>
      </c>
      <c r="C262" s="293">
        <v>246.75</v>
      </c>
      <c r="D262" s="230">
        <f t="shared" si="13"/>
        <v>-2.7482520308774738E-3</v>
      </c>
      <c r="E262" s="293">
        <v>2.710622710622701E-2</v>
      </c>
      <c r="F262" s="266">
        <f t="shared" si="15"/>
        <v>255</v>
      </c>
      <c r="G262" s="230">
        <f t="shared" ca="1" si="14"/>
        <v>-2.7922850983626395E-3</v>
      </c>
    </row>
    <row r="263" spans="2:7" x14ac:dyDescent="0.25">
      <c r="B263" s="348" t="s">
        <v>715</v>
      </c>
      <c r="C263" s="293">
        <v>247.43</v>
      </c>
      <c r="D263" s="230">
        <f t="shared" si="13"/>
        <v>-3.0066640533124245E-2</v>
      </c>
      <c r="E263" s="293">
        <v>2.6990968801313686E-2</v>
      </c>
      <c r="F263" s="266">
        <f t="shared" si="15"/>
        <v>256</v>
      </c>
      <c r="G263" s="230">
        <f t="shared" ca="1" si="14"/>
        <v>2.559827159587081E-2</v>
      </c>
    </row>
    <row r="264" spans="2:7" x14ac:dyDescent="0.25">
      <c r="B264" s="348" t="s">
        <v>716</v>
      </c>
      <c r="C264" s="293">
        <v>255.1</v>
      </c>
      <c r="D264" s="230">
        <f t="shared" si="13"/>
        <v>-1.3152804642166394E-2</v>
      </c>
      <c r="E264" s="293">
        <v>2.6968817304991122E-2</v>
      </c>
      <c r="F264" s="266">
        <f t="shared" si="15"/>
        <v>257</v>
      </c>
      <c r="G264" s="230">
        <f t="shared" ca="1" si="14"/>
        <v>-4.0558197976582732E-3</v>
      </c>
    </row>
    <row r="265" spans="2:7" x14ac:dyDescent="0.25">
      <c r="B265" s="348" t="s">
        <v>717</v>
      </c>
      <c r="C265" s="293">
        <v>258.5</v>
      </c>
      <c r="D265" s="230">
        <f t="shared" ref="D265:D328" si="16">C265/C266-1</f>
        <v>-1.8534249749015963E-3</v>
      </c>
      <c r="E265" s="293">
        <v>2.6953592000869442E-2</v>
      </c>
      <c r="F265" s="266">
        <f t="shared" si="15"/>
        <v>258</v>
      </c>
      <c r="G265" s="230">
        <f t="shared" ref="G265:G328" ca="1" si="17">_xlfn.NORM.INV(RAND(),$M$10,$M$11)</f>
        <v>-1.8583405002128781E-2</v>
      </c>
    </row>
    <row r="266" spans="2:7" x14ac:dyDescent="0.25">
      <c r="B266" s="348" t="s">
        <v>718</v>
      </c>
      <c r="C266" s="293">
        <v>258.98</v>
      </c>
      <c r="D266" s="230">
        <f t="shared" si="16"/>
        <v>2.6883425852498144E-2</v>
      </c>
      <c r="E266" s="293">
        <v>2.6950215601724725E-2</v>
      </c>
      <c r="F266" s="266">
        <f t="shared" ref="F266:F329" si="18">F265+1</f>
        <v>259</v>
      </c>
      <c r="G266" s="230">
        <f t="shared" ca="1" si="17"/>
        <v>1.9970780789364026E-2</v>
      </c>
    </row>
    <row r="267" spans="2:7" x14ac:dyDescent="0.25">
      <c r="B267" s="348" t="s">
        <v>719</v>
      </c>
      <c r="C267" s="293">
        <v>252.2</v>
      </c>
      <c r="D267" s="230">
        <f t="shared" si="16"/>
        <v>-1.2645343146850507E-2</v>
      </c>
      <c r="E267" s="293">
        <v>2.691762801052433E-2</v>
      </c>
      <c r="F267" s="266">
        <f t="shared" si="18"/>
        <v>260</v>
      </c>
      <c r="G267" s="230">
        <f t="shared" ca="1" si="17"/>
        <v>-2.983243673265381E-3</v>
      </c>
    </row>
    <row r="268" spans="2:7" x14ac:dyDescent="0.25">
      <c r="B268" s="348">
        <v>45629</v>
      </c>
      <c r="C268" s="293">
        <v>255.43</v>
      </c>
      <c r="D268" s="230">
        <f t="shared" si="16"/>
        <v>-7.1520192793562698E-3</v>
      </c>
      <c r="E268" s="293">
        <v>2.6912928759894594E-2</v>
      </c>
      <c r="F268" s="266">
        <f t="shared" si="18"/>
        <v>261</v>
      </c>
      <c r="G268" s="230">
        <f t="shared" ca="1" si="17"/>
        <v>1.4911407671148498E-2</v>
      </c>
    </row>
    <row r="269" spans="2:7" x14ac:dyDescent="0.25">
      <c r="B269" s="348">
        <v>45599</v>
      </c>
      <c r="C269" s="293">
        <v>257.27</v>
      </c>
      <c r="D269" s="230">
        <f t="shared" si="16"/>
        <v>-1.862269641125236E-3</v>
      </c>
      <c r="E269" s="293">
        <v>2.6883425852498144E-2</v>
      </c>
      <c r="F269" s="266">
        <f t="shared" si="18"/>
        <v>262</v>
      </c>
      <c r="G269" s="230">
        <f t="shared" ca="1" si="17"/>
        <v>-2.0537201200400403E-2</v>
      </c>
    </row>
    <row r="270" spans="2:7" x14ac:dyDescent="0.25">
      <c r="B270" s="348">
        <v>45476</v>
      </c>
      <c r="C270" s="293">
        <v>257.75</v>
      </c>
      <c r="D270" s="230">
        <f t="shared" si="16"/>
        <v>4.5599812923844407E-3</v>
      </c>
      <c r="E270" s="293">
        <v>2.684458398744094E-2</v>
      </c>
      <c r="F270" s="266">
        <f t="shared" si="18"/>
        <v>263</v>
      </c>
      <c r="G270" s="230">
        <f t="shared" ca="1" si="17"/>
        <v>-1.3676955610775083E-2</v>
      </c>
    </row>
    <row r="271" spans="2:7" x14ac:dyDescent="0.25">
      <c r="B271" s="348">
        <v>45446</v>
      </c>
      <c r="C271" s="293">
        <v>256.58</v>
      </c>
      <c r="D271" s="230">
        <f t="shared" si="16"/>
        <v>-2.7274498344043163E-4</v>
      </c>
      <c r="E271" s="293">
        <v>2.677857713828935E-2</v>
      </c>
      <c r="F271" s="266">
        <f t="shared" si="18"/>
        <v>264</v>
      </c>
      <c r="G271" s="230">
        <f t="shared" ca="1" si="17"/>
        <v>-3.5554371853250347E-2</v>
      </c>
    </row>
    <row r="272" spans="2:7" x14ac:dyDescent="0.25">
      <c r="B272" s="348">
        <v>45415</v>
      </c>
      <c r="C272" s="293">
        <v>256.64999999999998</v>
      </c>
      <c r="D272" s="230">
        <f t="shared" si="16"/>
        <v>-1.3832853025936731E-2</v>
      </c>
      <c r="E272" s="293">
        <v>2.6768642447418944E-2</v>
      </c>
      <c r="F272" s="266">
        <f t="shared" si="18"/>
        <v>265</v>
      </c>
      <c r="G272" s="230">
        <f t="shared" ca="1" si="17"/>
        <v>1.2188116254219408E-2</v>
      </c>
    </row>
    <row r="273" spans="2:7" x14ac:dyDescent="0.25">
      <c r="B273" s="348">
        <v>45385</v>
      </c>
      <c r="C273" s="293">
        <v>260.25</v>
      </c>
      <c r="D273" s="230">
        <f t="shared" si="16"/>
        <v>-4.5136365375052501E-3</v>
      </c>
      <c r="E273" s="293">
        <v>2.66847580280416E-2</v>
      </c>
      <c r="F273" s="266">
        <f t="shared" si="18"/>
        <v>266</v>
      </c>
      <c r="G273" s="230">
        <f t="shared" ca="1" si="17"/>
        <v>-3.1473316286679494E-2</v>
      </c>
    </row>
    <row r="274" spans="2:7" x14ac:dyDescent="0.25">
      <c r="B274" s="348">
        <v>45325</v>
      </c>
      <c r="C274" s="293">
        <v>261.43</v>
      </c>
      <c r="D274" s="230">
        <f t="shared" si="16"/>
        <v>7.2433057214409402E-3</v>
      </c>
      <c r="E274" s="293">
        <v>2.656140480318725E-2</v>
      </c>
      <c r="F274" s="266">
        <f t="shared" si="18"/>
        <v>267</v>
      </c>
      <c r="G274" s="230">
        <f t="shared" ca="1" si="17"/>
        <v>9.4491949965604322E-4</v>
      </c>
    </row>
    <row r="275" spans="2:7" x14ac:dyDescent="0.25">
      <c r="B275" s="348">
        <v>45294</v>
      </c>
      <c r="C275" s="293">
        <v>259.55</v>
      </c>
      <c r="D275" s="230">
        <f t="shared" si="16"/>
        <v>9.6413420748175938E-4</v>
      </c>
      <c r="E275" s="293">
        <v>2.6401777545418836E-2</v>
      </c>
      <c r="F275" s="266">
        <f t="shared" si="18"/>
        <v>268</v>
      </c>
      <c r="G275" s="230">
        <f t="shared" ca="1" si="17"/>
        <v>2.4332008326993916E-3</v>
      </c>
    </row>
    <row r="276" spans="2:7" x14ac:dyDescent="0.25">
      <c r="B276" s="348" t="s">
        <v>720</v>
      </c>
      <c r="C276" s="293">
        <v>259.3</v>
      </c>
      <c r="D276" s="230">
        <f t="shared" si="16"/>
        <v>1.7384585667374886E-3</v>
      </c>
      <c r="E276" s="293">
        <v>2.633451957295363E-2</v>
      </c>
      <c r="F276" s="266">
        <f t="shared" si="18"/>
        <v>269</v>
      </c>
      <c r="G276" s="230">
        <f t="shared" ca="1" si="17"/>
        <v>-5.8609342464841455E-3</v>
      </c>
    </row>
    <row r="277" spans="2:7" x14ac:dyDescent="0.25">
      <c r="B277" s="348" t="s">
        <v>721</v>
      </c>
      <c r="C277" s="293">
        <v>258.85000000000002</v>
      </c>
      <c r="D277" s="230">
        <f t="shared" si="16"/>
        <v>-2.5890941933541578E-2</v>
      </c>
      <c r="E277" s="293">
        <v>2.6326614561908768E-2</v>
      </c>
      <c r="F277" s="266">
        <f t="shared" si="18"/>
        <v>270</v>
      </c>
      <c r="G277" s="230">
        <f t="shared" ca="1" si="17"/>
        <v>4.8477644993611096E-4</v>
      </c>
    </row>
    <row r="278" spans="2:7" x14ac:dyDescent="0.25">
      <c r="B278" s="348" t="s">
        <v>722</v>
      </c>
      <c r="C278" s="293">
        <v>265.73</v>
      </c>
      <c r="D278" s="230">
        <f t="shared" si="16"/>
        <v>-2.7021955338711878E-3</v>
      </c>
      <c r="E278" s="293">
        <v>2.6324412889131565E-2</v>
      </c>
      <c r="F278" s="266">
        <f t="shared" si="18"/>
        <v>271</v>
      </c>
      <c r="G278" s="230">
        <f t="shared" ca="1" si="17"/>
        <v>2.5140455519458409E-4</v>
      </c>
    </row>
    <row r="279" spans="2:7" x14ac:dyDescent="0.25">
      <c r="B279" s="348" t="s">
        <v>723</v>
      </c>
      <c r="C279" s="293">
        <v>266.45</v>
      </c>
      <c r="D279" s="230">
        <f t="shared" si="16"/>
        <v>-6.080274544912001E-3</v>
      </c>
      <c r="E279" s="293">
        <v>2.6296566837107349E-2</v>
      </c>
      <c r="F279" s="266">
        <f t="shared" si="18"/>
        <v>272</v>
      </c>
      <c r="G279" s="230">
        <f t="shared" ca="1" si="17"/>
        <v>-1.1515591842108399E-2</v>
      </c>
    </row>
    <row r="280" spans="2:7" x14ac:dyDescent="0.25">
      <c r="B280" s="348" t="s">
        <v>724</v>
      </c>
      <c r="C280" s="293">
        <v>268.08</v>
      </c>
      <c r="D280" s="230">
        <f t="shared" si="16"/>
        <v>9.6414582705635077E-3</v>
      </c>
      <c r="E280" s="293">
        <v>2.6222615622925494E-2</v>
      </c>
      <c r="F280" s="266">
        <f t="shared" si="18"/>
        <v>273</v>
      </c>
      <c r="G280" s="230">
        <f t="shared" ca="1" si="17"/>
        <v>2.1342673681989589E-2</v>
      </c>
    </row>
    <row r="281" spans="2:7" x14ac:dyDescent="0.25">
      <c r="B281" s="348" t="s">
        <v>725</v>
      </c>
      <c r="C281" s="293">
        <v>265.52</v>
      </c>
      <c r="D281" s="230">
        <f t="shared" si="16"/>
        <v>1.8488684311469106E-2</v>
      </c>
      <c r="E281" s="293">
        <v>2.6210826210826266E-2</v>
      </c>
      <c r="F281" s="266">
        <f t="shared" si="18"/>
        <v>274</v>
      </c>
      <c r="G281" s="230">
        <f t="shared" ca="1" si="17"/>
        <v>-8.9013164371716785E-3</v>
      </c>
    </row>
    <row r="282" spans="2:7" x14ac:dyDescent="0.25">
      <c r="B282" s="348" t="s">
        <v>726</v>
      </c>
      <c r="C282" s="293">
        <v>260.7</v>
      </c>
      <c r="D282" s="230">
        <f t="shared" si="16"/>
        <v>-1.985111662531025E-2</v>
      </c>
      <c r="E282" s="293">
        <v>2.6202704119065112E-2</v>
      </c>
      <c r="F282" s="266">
        <f t="shared" si="18"/>
        <v>275</v>
      </c>
      <c r="G282" s="230">
        <f t="shared" ca="1" si="17"/>
        <v>-3.0272161339338015E-2</v>
      </c>
    </row>
    <row r="283" spans="2:7" x14ac:dyDescent="0.25">
      <c r="B283" s="348" t="s">
        <v>727</v>
      </c>
      <c r="C283" s="293">
        <v>265.98</v>
      </c>
      <c r="D283" s="230">
        <f t="shared" si="16"/>
        <v>-7.4632435256362095E-3</v>
      </c>
      <c r="E283" s="293">
        <v>2.6187466136897264E-2</v>
      </c>
      <c r="F283" s="266">
        <f t="shared" si="18"/>
        <v>276</v>
      </c>
      <c r="G283" s="230">
        <f t="shared" ca="1" si="17"/>
        <v>7.899950944659586E-3</v>
      </c>
    </row>
    <row r="284" spans="2:7" x14ac:dyDescent="0.25">
      <c r="B284" s="348" t="s">
        <v>728</v>
      </c>
      <c r="C284" s="293">
        <v>267.98</v>
      </c>
      <c r="D284" s="230">
        <f t="shared" si="16"/>
        <v>-1.2965009208103062E-2</v>
      </c>
      <c r="E284" s="293">
        <v>2.6181353767560589E-2</v>
      </c>
      <c r="F284" s="266">
        <f t="shared" si="18"/>
        <v>277</v>
      </c>
      <c r="G284" s="230">
        <f t="shared" ca="1" si="17"/>
        <v>-3.3622477694957423E-2</v>
      </c>
    </row>
    <row r="285" spans="2:7" x14ac:dyDescent="0.25">
      <c r="B285" s="348" t="s">
        <v>729</v>
      </c>
      <c r="C285" s="293">
        <v>271.5</v>
      </c>
      <c r="D285" s="230">
        <f t="shared" si="16"/>
        <v>4.7251687560269984E-2</v>
      </c>
      <c r="E285" s="293">
        <v>2.6151012891344472E-2</v>
      </c>
      <c r="F285" s="266">
        <f t="shared" si="18"/>
        <v>278</v>
      </c>
      <c r="G285" s="230">
        <f t="shared" ca="1" si="17"/>
        <v>8.4246243216972109E-3</v>
      </c>
    </row>
    <row r="286" spans="2:7" x14ac:dyDescent="0.25">
      <c r="B286" s="348" t="s">
        <v>730</v>
      </c>
      <c r="C286" s="293">
        <v>259.25</v>
      </c>
      <c r="D286" s="230">
        <f t="shared" si="16"/>
        <v>7.7745383867833251E-3</v>
      </c>
      <c r="E286" s="293">
        <v>2.6024840261325233E-2</v>
      </c>
      <c r="F286" s="266">
        <f t="shared" si="18"/>
        <v>279</v>
      </c>
      <c r="G286" s="230">
        <f t="shared" ca="1" si="17"/>
        <v>-7.5170736604565462E-3</v>
      </c>
    </row>
    <row r="287" spans="2:7" x14ac:dyDescent="0.25">
      <c r="B287" s="348" t="s">
        <v>731</v>
      </c>
      <c r="C287" s="293">
        <v>257.25</v>
      </c>
      <c r="D287" s="230">
        <f t="shared" si="16"/>
        <v>5.6684910086004514E-3</v>
      </c>
      <c r="E287" s="293">
        <v>2.6015997414559289E-2</v>
      </c>
      <c r="F287" s="266">
        <f t="shared" si="18"/>
        <v>280</v>
      </c>
      <c r="G287" s="230">
        <f t="shared" ca="1" si="17"/>
        <v>-1.8826540830225266E-2</v>
      </c>
    </row>
    <row r="288" spans="2:7" x14ac:dyDescent="0.25">
      <c r="B288" s="348" t="s">
        <v>732</v>
      </c>
      <c r="C288" s="293">
        <v>255.8</v>
      </c>
      <c r="D288" s="230">
        <f t="shared" si="16"/>
        <v>2.0220954811949188E-2</v>
      </c>
      <c r="E288" s="293">
        <v>2.5951016154246886E-2</v>
      </c>
      <c r="F288" s="266">
        <f t="shared" si="18"/>
        <v>281</v>
      </c>
      <c r="G288" s="230">
        <f t="shared" ca="1" si="17"/>
        <v>2.873214484125193E-2</v>
      </c>
    </row>
    <row r="289" spans="2:7" x14ac:dyDescent="0.25">
      <c r="B289" s="348">
        <v>45628</v>
      </c>
      <c r="C289" s="293">
        <v>250.73</v>
      </c>
      <c r="D289" s="230">
        <f t="shared" si="16"/>
        <v>2.2427924805284771E-2</v>
      </c>
      <c r="E289" s="293">
        <v>2.5932504440497439E-2</v>
      </c>
      <c r="F289" s="266">
        <f t="shared" si="18"/>
        <v>282</v>
      </c>
      <c r="G289" s="230">
        <f t="shared" ca="1" si="17"/>
        <v>-2.9388845372123058E-4</v>
      </c>
    </row>
    <row r="290" spans="2:7" x14ac:dyDescent="0.25">
      <c r="B290" s="348">
        <v>45537</v>
      </c>
      <c r="C290" s="293">
        <v>245.23</v>
      </c>
      <c r="D290" s="230">
        <f t="shared" si="16"/>
        <v>3.2729206725852222E-3</v>
      </c>
      <c r="E290" s="293">
        <v>2.5924925735889781E-2</v>
      </c>
      <c r="F290" s="266">
        <f t="shared" si="18"/>
        <v>283</v>
      </c>
      <c r="G290" s="230">
        <f t="shared" ca="1" si="17"/>
        <v>-1.3183402406756325E-2</v>
      </c>
    </row>
    <row r="291" spans="2:7" x14ac:dyDescent="0.25">
      <c r="B291" s="348">
        <v>45506</v>
      </c>
      <c r="C291" s="293">
        <v>244.43</v>
      </c>
      <c r="D291" s="230">
        <f t="shared" si="16"/>
        <v>-1.2802907915993478E-2</v>
      </c>
      <c r="E291" s="293">
        <v>2.5908504665806742E-2</v>
      </c>
      <c r="F291" s="266">
        <f t="shared" si="18"/>
        <v>284</v>
      </c>
      <c r="G291" s="230">
        <f t="shared" ca="1" si="17"/>
        <v>-2.2637615819841396E-2</v>
      </c>
    </row>
    <row r="292" spans="2:7" x14ac:dyDescent="0.25">
      <c r="B292" s="348">
        <v>45475</v>
      </c>
      <c r="C292" s="293">
        <v>247.6</v>
      </c>
      <c r="D292" s="230">
        <f t="shared" si="16"/>
        <v>-8.8863982067087788E-3</v>
      </c>
      <c r="E292" s="293">
        <v>2.5906735751295429E-2</v>
      </c>
      <c r="F292" s="266">
        <f t="shared" si="18"/>
        <v>285</v>
      </c>
      <c r="G292" s="230">
        <f t="shared" ca="1" si="17"/>
        <v>-3.5345909860088299E-3</v>
      </c>
    </row>
    <row r="293" spans="2:7" x14ac:dyDescent="0.25">
      <c r="B293" s="348">
        <v>45445</v>
      </c>
      <c r="C293" s="293">
        <v>249.82</v>
      </c>
      <c r="D293" s="230">
        <f t="shared" si="16"/>
        <v>3.5823865992204995E-2</v>
      </c>
      <c r="E293" s="293">
        <v>2.5883039797606422E-2</v>
      </c>
      <c r="F293" s="266">
        <f t="shared" si="18"/>
        <v>286</v>
      </c>
      <c r="G293" s="230">
        <f t="shared" ca="1" si="17"/>
        <v>1.0134291951553076E-2</v>
      </c>
    </row>
    <row r="294" spans="2:7" x14ac:dyDescent="0.25">
      <c r="B294" s="348">
        <v>45414</v>
      </c>
      <c r="C294" s="293">
        <v>241.18</v>
      </c>
      <c r="D294" s="230">
        <f t="shared" si="16"/>
        <v>-1.6144388789998132E-3</v>
      </c>
      <c r="E294" s="293">
        <v>2.5828530259365934E-2</v>
      </c>
      <c r="F294" s="266">
        <f t="shared" si="18"/>
        <v>287</v>
      </c>
      <c r="G294" s="230">
        <f t="shared" ca="1" si="17"/>
        <v>-5.50292726477961E-3</v>
      </c>
    </row>
    <row r="295" spans="2:7" x14ac:dyDescent="0.25">
      <c r="B295" s="348">
        <v>45324</v>
      </c>
      <c r="C295" s="293">
        <v>241.57</v>
      </c>
      <c r="D295" s="230">
        <f t="shared" si="16"/>
        <v>2.4991513917175689E-2</v>
      </c>
      <c r="E295" s="293">
        <v>2.5815110128680763E-2</v>
      </c>
      <c r="F295" s="266">
        <f t="shared" si="18"/>
        <v>288</v>
      </c>
      <c r="G295" s="230">
        <f t="shared" ca="1" si="17"/>
        <v>-2.4660515273114199E-2</v>
      </c>
    </row>
    <row r="296" spans="2:7" x14ac:dyDescent="0.25">
      <c r="B296" s="348">
        <v>45293</v>
      </c>
      <c r="C296" s="293">
        <v>235.68</v>
      </c>
      <c r="D296" s="230">
        <f t="shared" si="16"/>
        <v>-1.41799472957711E-2</v>
      </c>
      <c r="E296" s="293">
        <v>2.5655808590371976E-2</v>
      </c>
      <c r="F296" s="266">
        <f t="shared" si="18"/>
        <v>289</v>
      </c>
      <c r="G296" s="230">
        <f t="shared" ca="1" si="17"/>
        <v>-2.0318378610624292E-2</v>
      </c>
    </row>
    <row r="297" spans="2:7" x14ac:dyDescent="0.25">
      <c r="B297" s="348" t="s">
        <v>733</v>
      </c>
      <c r="C297" s="293">
        <v>239.07</v>
      </c>
      <c r="D297" s="230">
        <f t="shared" si="16"/>
        <v>1.1936507936507912E-2</v>
      </c>
      <c r="E297" s="293">
        <v>2.5654450261780148E-2</v>
      </c>
      <c r="F297" s="266">
        <f t="shared" si="18"/>
        <v>290</v>
      </c>
      <c r="G297" s="230">
        <f t="shared" ca="1" si="17"/>
        <v>-2.4881240168341194E-2</v>
      </c>
    </row>
    <row r="298" spans="2:7" x14ac:dyDescent="0.25">
      <c r="B298" s="348" t="s">
        <v>734</v>
      </c>
      <c r="C298" s="293">
        <v>236.25</v>
      </c>
      <c r="D298" s="230">
        <f t="shared" si="16"/>
        <v>-1.0570824524313016E-3</v>
      </c>
      <c r="E298" s="293">
        <v>2.5631768953068734E-2</v>
      </c>
      <c r="F298" s="266">
        <f t="shared" si="18"/>
        <v>291</v>
      </c>
      <c r="G298" s="230">
        <f t="shared" ca="1" si="17"/>
        <v>6.1318448922501488E-3</v>
      </c>
    </row>
    <row r="299" spans="2:7" x14ac:dyDescent="0.25">
      <c r="B299" s="348" t="s">
        <v>735</v>
      </c>
      <c r="C299" s="293">
        <v>236.5</v>
      </c>
      <c r="D299" s="230">
        <f t="shared" si="16"/>
        <v>6.382978723404209E-3</v>
      </c>
      <c r="E299" s="293">
        <v>2.563042579578334E-2</v>
      </c>
      <c r="F299" s="266">
        <f t="shared" si="18"/>
        <v>292</v>
      </c>
      <c r="G299" s="230">
        <f t="shared" ca="1" si="17"/>
        <v>-2.5933928666716857E-2</v>
      </c>
    </row>
    <row r="300" spans="2:7" x14ac:dyDescent="0.25">
      <c r="B300" s="348" t="s">
        <v>736</v>
      </c>
      <c r="C300" s="293">
        <v>235</v>
      </c>
      <c r="D300" s="230">
        <f t="shared" si="16"/>
        <v>-1.6818676261400767E-2</v>
      </c>
      <c r="E300" s="293">
        <v>2.5617067663318505E-2</v>
      </c>
      <c r="F300" s="266">
        <f t="shared" si="18"/>
        <v>293</v>
      </c>
      <c r="G300" s="230">
        <f t="shared" ca="1" si="17"/>
        <v>2.3986543393274704E-2</v>
      </c>
    </row>
    <row r="301" spans="2:7" x14ac:dyDescent="0.25">
      <c r="B301" s="348" t="s">
        <v>737</v>
      </c>
      <c r="C301" s="293">
        <v>239.02</v>
      </c>
      <c r="D301" s="230">
        <f t="shared" si="16"/>
        <v>1.7322834645669305E-2</v>
      </c>
      <c r="E301" s="293">
        <v>2.5578034682080864E-2</v>
      </c>
      <c r="F301" s="266">
        <f t="shared" si="18"/>
        <v>294</v>
      </c>
      <c r="G301" s="230">
        <f t="shared" ca="1" si="17"/>
        <v>2.7958335216825912E-2</v>
      </c>
    </row>
    <row r="302" spans="2:7" x14ac:dyDescent="0.25">
      <c r="B302" s="348" t="s">
        <v>738</v>
      </c>
      <c r="C302" s="293">
        <v>234.95</v>
      </c>
      <c r="D302" s="230">
        <f t="shared" si="16"/>
        <v>-1.6822195254634464E-2</v>
      </c>
      <c r="E302" s="293">
        <v>2.5573433755563091E-2</v>
      </c>
      <c r="F302" s="266">
        <f t="shared" si="18"/>
        <v>295</v>
      </c>
      <c r="G302" s="230">
        <f t="shared" ca="1" si="17"/>
        <v>-6.819692355009354E-3</v>
      </c>
    </row>
    <row r="303" spans="2:7" x14ac:dyDescent="0.25">
      <c r="B303" s="348" t="s">
        <v>739</v>
      </c>
      <c r="C303" s="293">
        <v>238.97</v>
      </c>
      <c r="D303" s="230">
        <f t="shared" si="16"/>
        <v>-1.4637968002639057E-2</v>
      </c>
      <c r="E303" s="293">
        <v>2.5474713291972151E-2</v>
      </c>
      <c r="F303" s="266">
        <f t="shared" si="18"/>
        <v>296</v>
      </c>
      <c r="G303" s="230">
        <f t="shared" ca="1" si="17"/>
        <v>3.471053925809034E-3</v>
      </c>
    </row>
    <row r="304" spans="2:7" x14ac:dyDescent="0.25">
      <c r="B304" s="348" t="s">
        <v>740</v>
      </c>
      <c r="C304" s="293">
        <v>242.52</v>
      </c>
      <c r="D304" s="230">
        <f t="shared" si="16"/>
        <v>4.972650422675251E-3</v>
      </c>
      <c r="E304" s="293">
        <v>2.5471785813888648E-2</v>
      </c>
      <c r="F304" s="266">
        <f t="shared" si="18"/>
        <v>297</v>
      </c>
      <c r="G304" s="230">
        <f t="shared" ca="1" si="17"/>
        <v>2.5132841291699791E-3</v>
      </c>
    </row>
    <row r="305" spans="2:7" x14ac:dyDescent="0.25">
      <c r="B305" s="348" t="s">
        <v>741</v>
      </c>
      <c r="C305" s="293">
        <v>241.32</v>
      </c>
      <c r="D305" s="230">
        <f t="shared" si="16"/>
        <v>4.9751243781104293E-4</v>
      </c>
      <c r="E305" s="293">
        <v>2.5424919230228937E-2</v>
      </c>
      <c r="F305" s="266">
        <f t="shared" si="18"/>
        <v>298</v>
      </c>
      <c r="G305" s="230">
        <f t="shared" ca="1" si="17"/>
        <v>1.5370922063553453E-2</v>
      </c>
    </row>
    <row r="306" spans="2:7" x14ac:dyDescent="0.25">
      <c r="B306" s="348" t="s">
        <v>742</v>
      </c>
      <c r="C306" s="293">
        <v>241.2</v>
      </c>
      <c r="D306" s="230">
        <f t="shared" si="16"/>
        <v>-5.3608247422680666E-3</v>
      </c>
      <c r="E306" s="293">
        <v>2.5423728813559254E-2</v>
      </c>
      <c r="F306" s="266">
        <f t="shared" si="18"/>
        <v>299</v>
      </c>
      <c r="G306" s="230">
        <f t="shared" ca="1" si="17"/>
        <v>-2.325592531079574E-2</v>
      </c>
    </row>
    <row r="307" spans="2:7" x14ac:dyDescent="0.25">
      <c r="B307" s="348" t="s">
        <v>743</v>
      </c>
      <c r="C307" s="293">
        <v>242.5</v>
      </c>
      <c r="D307" s="230">
        <f t="shared" si="16"/>
        <v>-1.9409623938536291E-2</v>
      </c>
      <c r="E307" s="293">
        <v>2.5420362769760452E-2</v>
      </c>
      <c r="F307" s="266">
        <f t="shared" si="18"/>
        <v>300</v>
      </c>
      <c r="G307" s="230">
        <f t="shared" ca="1" si="17"/>
        <v>-3.1444793779927789E-3</v>
      </c>
    </row>
    <row r="308" spans="2:7" x14ac:dyDescent="0.25">
      <c r="B308" s="348" t="s">
        <v>744</v>
      </c>
      <c r="C308" s="293">
        <v>247.3</v>
      </c>
      <c r="D308" s="230">
        <f t="shared" si="16"/>
        <v>6.2604735100760589E-2</v>
      </c>
      <c r="E308" s="293">
        <v>2.5347426110784887E-2</v>
      </c>
      <c r="F308" s="266">
        <f t="shared" si="18"/>
        <v>301</v>
      </c>
      <c r="G308" s="230">
        <f t="shared" ca="1" si="17"/>
        <v>-1.1783461275104252E-3</v>
      </c>
    </row>
    <row r="309" spans="2:7" x14ac:dyDescent="0.25">
      <c r="B309" s="348">
        <v>45627</v>
      </c>
      <c r="C309" s="293">
        <v>232.73</v>
      </c>
      <c r="D309" s="230">
        <f t="shared" si="16"/>
        <v>3.8509593931280728E-2</v>
      </c>
      <c r="E309" s="293">
        <v>2.5323171908161246E-2</v>
      </c>
      <c r="F309" s="266">
        <f t="shared" si="18"/>
        <v>302</v>
      </c>
      <c r="G309" s="230">
        <f t="shared" ca="1" si="17"/>
        <v>9.6138132652883283E-3</v>
      </c>
    </row>
    <row r="310" spans="2:7" x14ac:dyDescent="0.25">
      <c r="B310" s="348">
        <v>45597</v>
      </c>
      <c r="C310" s="293">
        <v>224.1</v>
      </c>
      <c r="D310" s="230">
        <f t="shared" si="16"/>
        <v>-1.1904761904761973E-2</v>
      </c>
      <c r="E310" s="293">
        <v>2.5298276623950677E-2</v>
      </c>
      <c r="F310" s="266">
        <f t="shared" si="18"/>
        <v>303</v>
      </c>
      <c r="G310" s="230">
        <f t="shared" ca="1" si="17"/>
        <v>2.6242255891506479E-2</v>
      </c>
    </row>
    <row r="311" spans="2:7" x14ac:dyDescent="0.25">
      <c r="B311" s="348">
        <v>45566</v>
      </c>
      <c r="C311" s="293">
        <v>226.8</v>
      </c>
      <c r="D311" s="230">
        <f t="shared" si="16"/>
        <v>6.3004703167983678E-3</v>
      </c>
      <c r="E311" s="293">
        <v>2.5280398789389258E-2</v>
      </c>
      <c r="F311" s="266">
        <f t="shared" si="18"/>
        <v>304</v>
      </c>
      <c r="G311" s="230">
        <f t="shared" ca="1" si="17"/>
        <v>-2.3746773401806705E-2</v>
      </c>
    </row>
    <row r="312" spans="2:7" x14ac:dyDescent="0.25">
      <c r="B312" s="348">
        <v>45536</v>
      </c>
      <c r="C312" s="293">
        <v>225.38</v>
      </c>
      <c r="D312" s="230">
        <f t="shared" si="16"/>
        <v>8.881783462117987E-4</v>
      </c>
      <c r="E312" s="293">
        <v>2.5275799469347993E-2</v>
      </c>
      <c r="F312" s="266">
        <f t="shared" si="18"/>
        <v>305</v>
      </c>
      <c r="G312" s="230">
        <f t="shared" ca="1" si="17"/>
        <v>9.9195356570112841E-3</v>
      </c>
    </row>
    <row r="313" spans="2:7" x14ac:dyDescent="0.25">
      <c r="B313" s="348">
        <v>45505</v>
      </c>
      <c r="C313" s="293">
        <v>225.18</v>
      </c>
      <c r="D313" s="230">
        <f t="shared" si="16"/>
        <v>-1.3666228646517786E-2</v>
      </c>
      <c r="E313" s="293">
        <v>2.5232075844360935E-2</v>
      </c>
      <c r="F313" s="266">
        <f t="shared" si="18"/>
        <v>306</v>
      </c>
      <c r="G313" s="230">
        <f t="shared" ca="1" si="17"/>
        <v>-4.1155874070724886E-2</v>
      </c>
    </row>
    <row r="314" spans="2:7" x14ac:dyDescent="0.25">
      <c r="B314" s="348">
        <v>45413</v>
      </c>
      <c r="C314" s="293">
        <v>228.3</v>
      </c>
      <c r="D314" s="230">
        <f t="shared" si="16"/>
        <v>9.2838196286473273E-3</v>
      </c>
      <c r="E314" s="293">
        <v>2.522428812898192E-2</v>
      </c>
      <c r="F314" s="266">
        <f t="shared" si="18"/>
        <v>307</v>
      </c>
      <c r="G314" s="230">
        <f t="shared" ca="1" si="17"/>
        <v>-2.1501361473884838E-2</v>
      </c>
    </row>
    <row r="315" spans="2:7" x14ac:dyDescent="0.25">
      <c r="B315" s="348">
        <v>45383</v>
      </c>
      <c r="C315" s="293">
        <v>226.2</v>
      </c>
      <c r="D315" s="230">
        <f t="shared" si="16"/>
        <v>-7.6771221759157626E-3</v>
      </c>
      <c r="E315" s="293">
        <v>2.5176233635448186E-2</v>
      </c>
      <c r="F315" s="266">
        <f t="shared" si="18"/>
        <v>308</v>
      </c>
      <c r="G315" s="230">
        <f t="shared" ca="1" si="17"/>
        <v>-1.1189206154161378E-2</v>
      </c>
    </row>
    <row r="316" spans="2:7" x14ac:dyDescent="0.25">
      <c r="B316" s="348">
        <v>45352</v>
      </c>
      <c r="C316" s="293">
        <v>227.95</v>
      </c>
      <c r="D316" s="230">
        <f t="shared" si="16"/>
        <v>-2.8346121057118534E-2</v>
      </c>
      <c r="E316" s="293">
        <v>2.517128388442047E-2</v>
      </c>
      <c r="F316" s="266">
        <f t="shared" si="18"/>
        <v>309</v>
      </c>
      <c r="G316" s="230">
        <f t="shared" ca="1" si="17"/>
        <v>-5.7012382325442586E-4</v>
      </c>
    </row>
    <row r="317" spans="2:7" x14ac:dyDescent="0.25">
      <c r="B317" s="348">
        <v>45323</v>
      </c>
      <c r="C317" s="293">
        <v>234.6</v>
      </c>
      <c r="D317" s="230">
        <f t="shared" si="16"/>
        <v>-1.6640818208492281E-2</v>
      </c>
      <c r="E317" s="293">
        <v>2.51373046049852E-2</v>
      </c>
      <c r="F317" s="266">
        <f t="shared" si="18"/>
        <v>310</v>
      </c>
      <c r="G317" s="230">
        <f t="shared" ca="1" si="17"/>
        <v>-1.0846011500800017E-2</v>
      </c>
    </row>
    <row r="318" spans="2:7" x14ac:dyDescent="0.25">
      <c r="B318" s="348">
        <v>45292</v>
      </c>
      <c r="C318" s="293">
        <v>238.57</v>
      </c>
      <c r="D318" s="230">
        <f t="shared" si="16"/>
        <v>1.2391258221939205E-2</v>
      </c>
      <c r="E318" s="293">
        <v>2.5127131319174545E-2</v>
      </c>
      <c r="F318" s="266">
        <f t="shared" si="18"/>
        <v>311</v>
      </c>
      <c r="G318" s="230">
        <f t="shared" ca="1" si="17"/>
        <v>1.6484656768799441E-2</v>
      </c>
    </row>
    <row r="319" spans="2:7" x14ac:dyDescent="0.25">
      <c r="B319" s="348" t="s">
        <v>745</v>
      </c>
      <c r="C319" s="293">
        <v>235.65</v>
      </c>
      <c r="D319" s="230">
        <f t="shared" si="16"/>
        <v>3.9193967537169971E-3</v>
      </c>
      <c r="E319" s="293">
        <v>2.5003981525720587E-2</v>
      </c>
      <c r="F319" s="266">
        <f t="shared" si="18"/>
        <v>312</v>
      </c>
      <c r="G319" s="230">
        <f t="shared" ca="1" si="17"/>
        <v>2.7159256436489632E-3</v>
      </c>
    </row>
    <row r="320" spans="2:7" x14ac:dyDescent="0.25">
      <c r="B320" s="348" t="s">
        <v>746</v>
      </c>
      <c r="C320" s="293">
        <v>234.73</v>
      </c>
      <c r="D320" s="230">
        <f t="shared" si="16"/>
        <v>-3.1849838627484583E-3</v>
      </c>
      <c r="E320" s="293">
        <v>2.4991513917175689E-2</v>
      </c>
      <c r="F320" s="266">
        <f t="shared" si="18"/>
        <v>313</v>
      </c>
      <c r="G320" s="230">
        <f t="shared" ca="1" si="17"/>
        <v>4.6415849123434038E-3</v>
      </c>
    </row>
    <row r="321" spans="2:7" x14ac:dyDescent="0.25">
      <c r="B321" s="348" t="s">
        <v>747</v>
      </c>
      <c r="C321" s="293">
        <v>235.48</v>
      </c>
      <c r="D321" s="230">
        <f t="shared" si="16"/>
        <v>1.829398000425364E-3</v>
      </c>
      <c r="E321" s="293">
        <v>2.4974772956609659E-2</v>
      </c>
      <c r="F321" s="266">
        <f t="shared" si="18"/>
        <v>314</v>
      </c>
      <c r="G321" s="230">
        <f t="shared" ca="1" si="17"/>
        <v>1.5000755653721404E-2</v>
      </c>
    </row>
    <row r="322" spans="2:7" x14ac:dyDescent="0.25">
      <c r="B322" s="348" t="s">
        <v>748</v>
      </c>
      <c r="C322" s="293">
        <v>235.05</v>
      </c>
      <c r="D322" s="230">
        <f t="shared" si="16"/>
        <v>1.6124848694449412E-2</v>
      </c>
      <c r="E322" s="293">
        <v>2.4893746205221667E-2</v>
      </c>
      <c r="F322" s="266">
        <f t="shared" si="18"/>
        <v>315</v>
      </c>
      <c r="G322" s="230">
        <f t="shared" ca="1" si="17"/>
        <v>-7.7100302208782511E-3</v>
      </c>
    </row>
    <row r="323" spans="2:7" x14ac:dyDescent="0.25">
      <c r="B323" s="348" t="s">
        <v>749</v>
      </c>
      <c r="C323" s="293">
        <v>231.32</v>
      </c>
      <c r="D323" s="230">
        <f t="shared" si="16"/>
        <v>6.599078341013831E-2</v>
      </c>
      <c r="E323" s="293">
        <v>2.4885939444214022E-2</v>
      </c>
      <c r="F323" s="266">
        <f t="shared" si="18"/>
        <v>316</v>
      </c>
      <c r="G323" s="230">
        <f t="shared" ca="1" si="17"/>
        <v>-2.0520376090425362E-2</v>
      </c>
    </row>
    <row r="324" spans="2:7" x14ac:dyDescent="0.25">
      <c r="B324" s="348" t="s">
        <v>750</v>
      </c>
      <c r="C324" s="293">
        <v>217</v>
      </c>
      <c r="D324" s="230">
        <f t="shared" si="16"/>
        <v>4.7226595055098741E-3</v>
      </c>
      <c r="E324" s="293">
        <v>2.4763619990995078E-2</v>
      </c>
      <c r="F324" s="266">
        <f t="shared" si="18"/>
        <v>317</v>
      </c>
      <c r="G324" s="230">
        <f t="shared" ca="1" si="17"/>
        <v>5.4286624334517308E-2</v>
      </c>
    </row>
    <row r="325" spans="2:7" x14ac:dyDescent="0.25">
      <c r="B325" s="348" t="s">
        <v>751</v>
      </c>
      <c r="C325" s="293">
        <v>215.98</v>
      </c>
      <c r="D325" s="230">
        <f t="shared" si="16"/>
        <v>-1.5363574196489704E-2</v>
      </c>
      <c r="E325" s="293">
        <v>2.4754013464526103E-2</v>
      </c>
      <c r="F325" s="266">
        <f t="shared" si="18"/>
        <v>318</v>
      </c>
      <c r="G325" s="230">
        <f t="shared" ca="1" si="17"/>
        <v>4.3925382633945048E-2</v>
      </c>
    </row>
    <row r="326" spans="2:7" x14ac:dyDescent="0.25">
      <c r="B326" s="348" t="s">
        <v>752</v>
      </c>
      <c r="C326" s="293">
        <v>219.35</v>
      </c>
      <c r="D326" s="230">
        <f t="shared" si="16"/>
        <v>-1.4732965009208066E-2</v>
      </c>
      <c r="E326" s="293">
        <v>2.4625267665952855E-2</v>
      </c>
      <c r="F326" s="266">
        <f t="shared" si="18"/>
        <v>319</v>
      </c>
      <c r="G326" s="230">
        <f t="shared" ca="1" si="17"/>
        <v>8.9304365617845199E-3</v>
      </c>
    </row>
    <row r="327" spans="2:7" x14ac:dyDescent="0.25">
      <c r="B327" s="348" t="s">
        <v>753</v>
      </c>
      <c r="C327" s="293">
        <v>222.63</v>
      </c>
      <c r="D327" s="230">
        <f t="shared" si="16"/>
        <v>-2.8664845254625648E-3</v>
      </c>
      <c r="E327" s="293">
        <v>2.4617860016090232E-2</v>
      </c>
      <c r="F327" s="266">
        <f t="shared" si="18"/>
        <v>320</v>
      </c>
      <c r="G327" s="230">
        <f t="shared" ca="1" si="17"/>
        <v>3.4774571620363459E-2</v>
      </c>
    </row>
    <row r="328" spans="2:7" x14ac:dyDescent="0.25">
      <c r="B328" s="348" t="s">
        <v>754</v>
      </c>
      <c r="C328" s="293">
        <v>223.27</v>
      </c>
      <c r="D328" s="230">
        <f t="shared" si="16"/>
        <v>2.7946593001841658E-2</v>
      </c>
      <c r="E328" s="293">
        <v>2.4473703786357159E-2</v>
      </c>
      <c r="F328" s="266">
        <f t="shared" si="18"/>
        <v>321</v>
      </c>
      <c r="G328" s="230">
        <f t="shared" ca="1" si="17"/>
        <v>-5.6094336026210169E-3</v>
      </c>
    </row>
    <row r="329" spans="2:7" x14ac:dyDescent="0.25">
      <c r="B329" s="348" t="s">
        <v>755</v>
      </c>
      <c r="C329" s="293">
        <v>217.2</v>
      </c>
      <c r="D329" s="230">
        <f t="shared" ref="D329:D392" si="19">C329/C330-1</f>
        <v>3.5173005433228433E-2</v>
      </c>
      <c r="E329" s="293">
        <v>2.443667043934572E-2</v>
      </c>
      <c r="F329" s="266">
        <f t="shared" si="18"/>
        <v>322</v>
      </c>
      <c r="G329" s="230">
        <f t="shared" ref="G329:G392" ca="1" si="20">_xlfn.NORM.INV(RAND(),$M$10,$M$11)</f>
        <v>-2.1787053779585008E-2</v>
      </c>
    </row>
    <row r="330" spans="2:7" x14ac:dyDescent="0.25">
      <c r="B330" s="348" t="s">
        <v>756</v>
      </c>
      <c r="C330" s="293">
        <v>209.82</v>
      </c>
      <c r="D330" s="230">
        <f t="shared" si="19"/>
        <v>-6.0634770251065673E-3</v>
      </c>
      <c r="E330" s="293">
        <v>2.4395702775291017E-2</v>
      </c>
      <c r="F330" s="266">
        <f t="shared" ref="F330:F393" si="21">F329+1</f>
        <v>323</v>
      </c>
      <c r="G330" s="230">
        <f t="shared" ca="1" si="20"/>
        <v>1.8233174830856694E-2</v>
      </c>
    </row>
    <row r="331" spans="2:7" x14ac:dyDescent="0.25">
      <c r="B331" s="348">
        <v>45272</v>
      </c>
      <c r="C331" s="293">
        <v>211.1</v>
      </c>
      <c r="D331" s="230">
        <f t="shared" si="19"/>
        <v>3.8040893961006628E-3</v>
      </c>
      <c r="E331" s="293">
        <v>2.4390243902439046E-2</v>
      </c>
      <c r="F331" s="266">
        <f t="shared" si="21"/>
        <v>324</v>
      </c>
      <c r="G331" s="230">
        <f t="shared" ca="1" si="20"/>
        <v>3.0676201696822253E-2</v>
      </c>
    </row>
    <row r="332" spans="2:7" x14ac:dyDescent="0.25">
      <c r="B332" s="348">
        <v>45242</v>
      </c>
      <c r="C332" s="293">
        <v>210.3</v>
      </c>
      <c r="D332" s="230">
        <f t="shared" si="19"/>
        <v>-4.7326076668243733E-3</v>
      </c>
      <c r="E332" s="293">
        <v>2.4367559523809534E-2</v>
      </c>
      <c r="F332" s="266">
        <f t="shared" si="21"/>
        <v>325</v>
      </c>
      <c r="G332" s="230">
        <f t="shared" ca="1" si="20"/>
        <v>-4.281536247479556E-2</v>
      </c>
    </row>
    <row r="333" spans="2:7" x14ac:dyDescent="0.25">
      <c r="B333" s="348">
        <v>45150</v>
      </c>
      <c r="C333" s="293">
        <v>211.3</v>
      </c>
      <c r="D333" s="230">
        <f t="shared" si="19"/>
        <v>1.037632094869223E-2</v>
      </c>
      <c r="E333" s="293">
        <v>2.4341085271317731E-2</v>
      </c>
      <c r="F333" s="266">
        <f t="shared" si="21"/>
        <v>326</v>
      </c>
      <c r="G333" s="230">
        <f t="shared" ca="1" si="20"/>
        <v>2.9292342026576261E-2</v>
      </c>
    </row>
    <row r="334" spans="2:7" x14ac:dyDescent="0.25">
      <c r="B334" s="348">
        <v>45119</v>
      </c>
      <c r="C334" s="293">
        <v>209.13</v>
      </c>
      <c r="D334" s="230">
        <f t="shared" si="19"/>
        <v>-1.1940013372815361E-3</v>
      </c>
      <c r="E334" s="293">
        <v>2.4310905666837801E-2</v>
      </c>
      <c r="F334" s="266">
        <f t="shared" si="21"/>
        <v>327</v>
      </c>
      <c r="G334" s="230">
        <f t="shared" ca="1" si="20"/>
        <v>-1.9242542039602538E-2</v>
      </c>
    </row>
    <row r="335" spans="2:7" x14ac:dyDescent="0.25">
      <c r="B335" s="348">
        <v>45089</v>
      </c>
      <c r="C335" s="293">
        <v>209.38</v>
      </c>
      <c r="D335" s="230">
        <f t="shared" si="19"/>
        <v>3.5611831041646003E-2</v>
      </c>
      <c r="E335" s="293">
        <v>2.4280575539568305E-2</v>
      </c>
      <c r="F335" s="266">
        <f t="shared" si="21"/>
        <v>328</v>
      </c>
      <c r="G335" s="230">
        <f t="shared" ca="1" si="20"/>
        <v>1.1032037756675628E-2</v>
      </c>
    </row>
    <row r="336" spans="2:7" x14ac:dyDescent="0.25">
      <c r="B336" s="348">
        <v>45058</v>
      </c>
      <c r="C336" s="293">
        <v>202.18</v>
      </c>
      <c r="D336" s="230">
        <f t="shared" si="19"/>
        <v>-7.6081087714130469E-3</v>
      </c>
      <c r="E336" s="293">
        <v>2.427938777095795E-2</v>
      </c>
      <c r="F336" s="266">
        <f t="shared" si="21"/>
        <v>329</v>
      </c>
      <c r="G336" s="230">
        <f t="shared" ca="1" si="20"/>
        <v>5.8520207127426603E-3</v>
      </c>
    </row>
    <row r="337" spans="2:7" x14ac:dyDescent="0.25">
      <c r="B337" s="348">
        <v>45028</v>
      </c>
      <c r="C337" s="293">
        <v>203.73</v>
      </c>
      <c r="D337" s="230">
        <f t="shared" si="19"/>
        <v>-4.4156608772449868E-4</v>
      </c>
      <c r="E337" s="293">
        <v>2.4274155164207389E-2</v>
      </c>
      <c r="F337" s="266">
        <f t="shared" si="21"/>
        <v>330</v>
      </c>
      <c r="G337" s="230">
        <f t="shared" ca="1" si="20"/>
        <v>5.3913323131423944E-3</v>
      </c>
    </row>
    <row r="338" spans="2:7" x14ac:dyDescent="0.25">
      <c r="B338" s="348">
        <v>44938</v>
      </c>
      <c r="C338" s="293">
        <v>203.82</v>
      </c>
      <c r="D338" s="230">
        <f t="shared" si="19"/>
        <v>-1.3073794305636377E-2</v>
      </c>
      <c r="E338" s="293">
        <v>2.4252105721754402E-2</v>
      </c>
      <c r="F338" s="266">
        <f t="shared" si="21"/>
        <v>331</v>
      </c>
      <c r="G338" s="230">
        <f t="shared" ca="1" si="20"/>
        <v>2.2408081704654681E-3</v>
      </c>
    </row>
    <row r="339" spans="2:7" x14ac:dyDescent="0.25">
      <c r="B339" s="348" t="s">
        <v>757</v>
      </c>
      <c r="C339" s="293">
        <v>206.52</v>
      </c>
      <c r="D339" s="230">
        <f t="shared" si="19"/>
        <v>1.6688819967508595E-2</v>
      </c>
      <c r="E339" s="293">
        <v>2.4189918991899262E-2</v>
      </c>
      <c r="F339" s="266">
        <f t="shared" si="21"/>
        <v>332</v>
      </c>
      <c r="G339" s="230">
        <f t="shared" ca="1" si="20"/>
        <v>6.38759311962654E-3</v>
      </c>
    </row>
    <row r="340" spans="2:7" x14ac:dyDescent="0.25">
      <c r="B340" s="348" t="s">
        <v>758</v>
      </c>
      <c r="C340" s="293">
        <v>203.13</v>
      </c>
      <c r="D340" s="230">
        <f t="shared" si="19"/>
        <v>2.3685934586503921E-2</v>
      </c>
      <c r="E340" s="293">
        <v>2.4120064320171553E-2</v>
      </c>
      <c r="F340" s="266">
        <f t="shared" si="21"/>
        <v>333</v>
      </c>
      <c r="G340" s="230">
        <f t="shared" ca="1" si="20"/>
        <v>7.0769178447060484E-3</v>
      </c>
    </row>
    <row r="341" spans="2:7" x14ac:dyDescent="0.25">
      <c r="B341" s="348" t="s">
        <v>759</v>
      </c>
      <c r="C341" s="293">
        <v>198.43</v>
      </c>
      <c r="D341" s="230">
        <f t="shared" si="19"/>
        <v>2.171717171717269E-3</v>
      </c>
      <c r="E341" s="293">
        <v>2.4114930733709627E-2</v>
      </c>
      <c r="F341" s="266">
        <f t="shared" si="21"/>
        <v>334</v>
      </c>
      <c r="G341" s="230">
        <f t="shared" ca="1" si="20"/>
        <v>6.0935258357775867E-3</v>
      </c>
    </row>
    <row r="342" spans="2:7" x14ac:dyDescent="0.25">
      <c r="B342" s="348" t="s">
        <v>760</v>
      </c>
      <c r="C342" s="293">
        <v>198</v>
      </c>
      <c r="D342" s="230">
        <f t="shared" si="19"/>
        <v>-1.6149068322981353E-2</v>
      </c>
      <c r="E342" s="293">
        <v>2.4066329151074983E-2</v>
      </c>
      <c r="F342" s="266">
        <f t="shared" si="21"/>
        <v>335</v>
      </c>
      <c r="G342" s="230">
        <f t="shared" ca="1" si="20"/>
        <v>1.3748222028625428E-2</v>
      </c>
    </row>
    <row r="343" spans="2:7" x14ac:dyDescent="0.25">
      <c r="B343" s="348" t="s">
        <v>761</v>
      </c>
      <c r="C343" s="293">
        <v>201.25</v>
      </c>
      <c r="D343" s="230">
        <f t="shared" si="19"/>
        <v>5.5963623644630367E-3</v>
      </c>
      <c r="E343" s="293">
        <v>2.4065320154705416E-2</v>
      </c>
      <c r="F343" s="266">
        <f t="shared" si="21"/>
        <v>336</v>
      </c>
      <c r="G343" s="230">
        <f t="shared" ca="1" si="20"/>
        <v>2.7174110189273515E-2</v>
      </c>
    </row>
    <row r="344" spans="2:7" x14ac:dyDescent="0.25">
      <c r="B344" s="348" t="s">
        <v>762</v>
      </c>
      <c r="C344" s="293">
        <v>200.13</v>
      </c>
      <c r="D344" s="230">
        <f t="shared" si="19"/>
        <v>-9.4848242811496064E-4</v>
      </c>
      <c r="E344" s="293">
        <v>2.4051458935396619E-2</v>
      </c>
      <c r="F344" s="266">
        <f t="shared" si="21"/>
        <v>337</v>
      </c>
      <c r="G344" s="230">
        <f t="shared" ca="1" si="20"/>
        <v>-4.9742246001936693E-3</v>
      </c>
    </row>
    <row r="345" spans="2:7" x14ac:dyDescent="0.25">
      <c r="B345" s="348" t="s">
        <v>763</v>
      </c>
      <c r="C345" s="293">
        <v>200.32</v>
      </c>
      <c r="D345" s="230">
        <f t="shared" si="19"/>
        <v>1.0994502748624679E-3</v>
      </c>
      <c r="E345" s="293">
        <v>2.3949889462048679E-2</v>
      </c>
      <c r="F345" s="266">
        <f t="shared" si="21"/>
        <v>338</v>
      </c>
      <c r="G345" s="230">
        <f t="shared" ca="1" si="20"/>
        <v>-1.9282001718352447E-2</v>
      </c>
    </row>
    <row r="346" spans="2:7" x14ac:dyDescent="0.25">
      <c r="B346" s="348" t="s">
        <v>764</v>
      </c>
      <c r="C346" s="293">
        <v>200.1</v>
      </c>
      <c r="D346" s="230">
        <f t="shared" si="19"/>
        <v>1.2139605462822445E-2</v>
      </c>
      <c r="E346" s="293">
        <v>2.3948456114758043E-2</v>
      </c>
      <c r="F346" s="266">
        <f t="shared" si="21"/>
        <v>339</v>
      </c>
      <c r="G346" s="230">
        <f t="shared" ca="1" si="20"/>
        <v>-1.4384961073294626E-3</v>
      </c>
    </row>
    <row r="347" spans="2:7" x14ac:dyDescent="0.25">
      <c r="B347" s="348" t="s">
        <v>765</v>
      </c>
      <c r="C347" s="293">
        <v>197.7</v>
      </c>
      <c r="D347" s="230">
        <f t="shared" si="19"/>
        <v>-4.2810375220349028E-3</v>
      </c>
      <c r="E347" s="293">
        <v>2.3915759414599336E-2</v>
      </c>
      <c r="F347" s="266">
        <f t="shared" si="21"/>
        <v>340</v>
      </c>
      <c r="G347" s="230">
        <f t="shared" ca="1" si="20"/>
        <v>-4.4380550735303769E-3</v>
      </c>
    </row>
    <row r="348" spans="2:7" x14ac:dyDescent="0.25">
      <c r="B348" s="348" t="s">
        <v>766</v>
      </c>
      <c r="C348" s="293">
        <v>198.55</v>
      </c>
      <c r="D348" s="230">
        <f t="shared" si="19"/>
        <v>1.3941374731896827E-2</v>
      </c>
      <c r="E348" s="293">
        <v>2.3811747128583471E-2</v>
      </c>
      <c r="F348" s="266">
        <f t="shared" si="21"/>
        <v>341</v>
      </c>
      <c r="G348" s="230">
        <f t="shared" ca="1" si="20"/>
        <v>1.495369707415507E-4</v>
      </c>
    </row>
    <row r="349" spans="2:7" x14ac:dyDescent="0.25">
      <c r="B349" s="348" t="s">
        <v>767</v>
      </c>
      <c r="C349" s="293">
        <v>195.82</v>
      </c>
      <c r="D349" s="230">
        <f t="shared" si="19"/>
        <v>2.6202704119065112E-2</v>
      </c>
      <c r="E349" s="293">
        <v>2.3778642455685395E-2</v>
      </c>
      <c r="F349" s="266">
        <f t="shared" si="21"/>
        <v>342</v>
      </c>
      <c r="G349" s="230">
        <f t="shared" ca="1" si="20"/>
        <v>-2.3670834850762948E-2</v>
      </c>
    </row>
    <row r="350" spans="2:7" x14ac:dyDescent="0.25">
      <c r="B350" s="348" t="s">
        <v>768</v>
      </c>
      <c r="C350" s="293">
        <v>190.82</v>
      </c>
      <c r="D350" s="230">
        <f t="shared" si="19"/>
        <v>-2.09183139838931E-3</v>
      </c>
      <c r="E350" s="293">
        <v>2.3727286379336299E-2</v>
      </c>
      <c r="F350" s="266">
        <f t="shared" si="21"/>
        <v>343</v>
      </c>
      <c r="G350" s="230">
        <f t="shared" ca="1" si="20"/>
        <v>-2.6585906643232092E-2</v>
      </c>
    </row>
    <row r="351" spans="2:7" x14ac:dyDescent="0.25">
      <c r="B351" s="348">
        <v>45271</v>
      </c>
      <c r="C351" s="293">
        <v>191.22</v>
      </c>
      <c r="D351" s="230">
        <f t="shared" si="19"/>
        <v>8.2784075929343004E-3</v>
      </c>
      <c r="E351" s="293">
        <v>2.3685934586503921E-2</v>
      </c>
      <c r="F351" s="266">
        <f t="shared" si="21"/>
        <v>344</v>
      </c>
      <c r="G351" s="230">
        <f t="shared" ca="1" si="20"/>
        <v>2.0850489768545123E-2</v>
      </c>
    </row>
    <row r="352" spans="2:7" x14ac:dyDescent="0.25">
      <c r="B352" s="348">
        <v>45210</v>
      </c>
      <c r="C352" s="293">
        <v>189.65</v>
      </c>
      <c r="D352" s="230">
        <f t="shared" si="19"/>
        <v>-4.0959932783699582E-3</v>
      </c>
      <c r="E352" s="293">
        <v>2.363031682128458E-2</v>
      </c>
      <c r="F352" s="266">
        <f t="shared" si="21"/>
        <v>345</v>
      </c>
      <c r="G352" s="230">
        <f t="shared" ca="1" si="20"/>
        <v>-5.4237675996217137E-3</v>
      </c>
    </row>
    <row r="353" spans="2:7" x14ac:dyDescent="0.25">
      <c r="B353" s="348">
        <v>45180</v>
      </c>
      <c r="C353" s="293">
        <v>190.43</v>
      </c>
      <c r="D353" s="230">
        <f t="shared" si="19"/>
        <v>-3.5060177917319857E-3</v>
      </c>
      <c r="E353" s="293">
        <v>2.358208955223895E-2</v>
      </c>
      <c r="F353" s="266">
        <f t="shared" si="21"/>
        <v>346</v>
      </c>
      <c r="G353" s="230">
        <f t="shared" ca="1" si="20"/>
        <v>-2.2823718958173665E-2</v>
      </c>
    </row>
    <row r="354" spans="2:7" x14ac:dyDescent="0.25">
      <c r="B354" s="348">
        <v>45149</v>
      </c>
      <c r="C354" s="293">
        <v>191.1</v>
      </c>
      <c r="D354" s="230">
        <f t="shared" si="19"/>
        <v>-2.8698147665014995E-3</v>
      </c>
      <c r="E354" s="293">
        <v>2.3546074178985466E-2</v>
      </c>
      <c r="F354" s="266">
        <f t="shared" si="21"/>
        <v>347</v>
      </c>
      <c r="G354" s="230">
        <f t="shared" ca="1" si="20"/>
        <v>4.6500460396152125E-2</v>
      </c>
    </row>
    <row r="355" spans="2:7" x14ac:dyDescent="0.25">
      <c r="B355" s="348">
        <v>45118</v>
      </c>
      <c r="C355" s="293">
        <v>191.65</v>
      </c>
      <c r="D355" s="230">
        <f t="shared" si="19"/>
        <v>-3.4837770382695199E-3</v>
      </c>
      <c r="E355" s="293">
        <v>2.3463891171368489E-2</v>
      </c>
      <c r="F355" s="266">
        <f t="shared" si="21"/>
        <v>348</v>
      </c>
      <c r="G355" s="230">
        <f t="shared" ca="1" si="20"/>
        <v>3.1488495453672553E-3</v>
      </c>
    </row>
    <row r="356" spans="2:7" x14ac:dyDescent="0.25">
      <c r="B356" s="348">
        <v>45088</v>
      </c>
      <c r="C356" s="293">
        <v>192.32</v>
      </c>
      <c r="D356" s="230">
        <f t="shared" si="19"/>
        <v>2.8680189810710299E-3</v>
      </c>
      <c r="E356" s="293">
        <v>2.339645087736697E-2</v>
      </c>
      <c r="F356" s="266">
        <f t="shared" si="21"/>
        <v>349</v>
      </c>
      <c r="G356" s="230">
        <f t="shared" ca="1" si="20"/>
        <v>-1.2662728599373809E-2</v>
      </c>
    </row>
    <row r="357" spans="2:7" x14ac:dyDescent="0.25">
      <c r="B357" s="348">
        <v>44996</v>
      </c>
      <c r="C357" s="293">
        <v>191.77</v>
      </c>
      <c r="D357" s="230">
        <f t="shared" si="19"/>
        <v>-2.6066103638822113E-4</v>
      </c>
      <c r="E357" s="293">
        <v>2.3325062034739386E-2</v>
      </c>
      <c r="F357" s="266">
        <f t="shared" si="21"/>
        <v>350</v>
      </c>
      <c r="G357" s="230">
        <f t="shared" ca="1" si="20"/>
        <v>2.1263470003214539E-2</v>
      </c>
    </row>
    <row r="358" spans="2:7" x14ac:dyDescent="0.25">
      <c r="B358" s="348">
        <v>44968</v>
      </c>
      <c r="C358" s="293">
        <v>191.82</v>
      </c>
      <c r="D358" s="230">
        <f t="shared" si="19"/>
        <v>7.0348593028140005E-3</v>
      </c>
      <c r="E358" s="293">
        <v>2.3297137216189423E-2</v>
      </c>
      <c r="F358" s="266">
        <f t="shared" si="21"/>
        <v>351</v>
      </c>
      <c r="G358" s="230">
        <f t="shared" ca="1" si="20"/>
        <v>-1.7726440223799877E-2</v>
      </c>
    </row>
    <row r="359" spans="2:7" x14ac:dyDescent="0.25">
      <c r="B359" s="348">
        <v>44937</v>
      </c>
      <c r="C359" s="293">
        <v>190.48</v>
      </c>
      <c r="D359" s="230">
        <f t="shared" si="19"/>
        <v>-2.2001047668936957E-3</v>
      </c>
      <c r="E359" s="293">
        <v>2.3287143956890022E-2</v>
      </c>
      <c r="F359" s="266">
        <f t="shared" si="21"/>
        <v>352</v>
      </c>
      <c r="G359" s="230">
        <f t="shared" ca="1" si="20"/>
        <v>1.0680643243155737E-2</v>
      </c>
    </row>
    <row r="360" spans="2:7" x14ac:dyDescent="0.25">
      <c r="B360" s="348" t="s">
        <v>769</v>
      </c>
      <c r="C360" s="293">
        <v>190.9</v>
      </c>
      <c r="D360" s="230">
        <f t="shared" si="19"/>
        <v>-5.2356020942401216E-4</v>
      </c>
      <c r="E360" s="293">
        <v>2.3278091771242293E-2</v>
      </c>
      <c r="F360" s="266">
        <f t="shared" si="21"/>
        <v>353</v>
      </c>
      <c r="G360" s="230">
        <f t="shared" ca="1" si="20"/>
        <v>-3.983771179413835E-2</v>
      </c>
    </row>
    <row r="361" spans="2:7" x14ac:dyDescent="0.25">
      <c r="B361" s="348" t="s">
        <v>770</v>
      </c>
      <c r="C361" s="293">
        <v>191</v>
      </c>
      <c r="D361" s="230">
        <f t="shared" si="19"/>
        <v>-9.4152107961087417E-4</v>
      </c>
      <c r="E361" s="293">
        <v>2.3189823874755211E-2</v>
      </c>
      <c r="F361" s="266">
        <f t="shared" si="21"/>
        <v>354</v>
      </c>
      <c r="G361" s="230">
        <f t="shared" ca="1" si="20"/>
        <v>6.8718632760517125E-3</v>
      </c>
    </row>
    <row r="362" spans="2:7" x14ac:dyDescent="0.25">
      <c r="B362" s="348" t="s">
        <v>771</v>
      </c>
      <c r="C362" s="293">
        <v>191.18</v>
      </c>
      <c r="D362" s="230">
        <f t="shared" si="19"/>
        <v>1.0839105377253855E-2</v>
      </c>
      <c r="E362" s="293">
        <v>2.3185388473549784E-2</v>
      </c>
      <c r="F362" s="266">
        <f t="shared" si="21"/>
        <v>355</v>
      </c>
      <c r="G362" s="230">
        <f t="shared" ca="1" si="20"/>
        <v>2.7136594202543655E-2</v>
      </c>
    </row>
    <row r="363" spans="2:7" x14ac:dyDescent="0.25">
      <c r="B363" s="348" t="s">
        <v>772</v>
      </c>
      <c r="C363" s="293">
        <v>189.13</v>
      </c>
      <c r="D363" s="230">
        <f t="shared" si="19"/>
        <v>-9.4275388885979305E-3</v>
      </c>
      <c r="E363" s="293">
        <v>2.3070763687318641E-2</v>
      </c>
      <c r="F363" s="266">
        <f t="shared" si="21"/>
        <v>356</v>
      </c>
      <c r="G363" s="230">
        <f t="shared" ca="1" si="20"/>
        <v>5.4363924284988555E-2</v>
      </c>
    </row>
    <row r="364" spans="2:7" x14ac:dyDescent="0.25">
      <c r="B364" s="348" t="s">
        <v>773</v>
      </c>
      <c r="C364" s="293">
        <v>190.93</v>
      </c>
      <c r="D364" s="230">
        <f t="shared" si="19"/>
        <v>-3.3408153677506602E-3</v>
      </c>
      <c r="E364" s="293">
        <v>2.3057860144380937E-2</v>
      </c>
      <c r="F364" s="266">
        <f t="shared" si="21"/>
        <v>357</v>
      </c>
      <c r="G364" s="230">
        <f t="shared" ca="1" si="20"/>
        <v>-1.4601931028065104E-2</v>
      </c>
    </row>
    <row r="365" spans="2:7" x14ac:dyDescent="0.25">
      <c r="B365" s="348" t="s">
        <v>774</v>
      </c>
      <c r="C365" s="293">
        <v>191.57</v>
      </c>
      <c r="D365" s="230">
        <f t="shared" si="19"/>
        <v>-2.2252845403970878E-2</v>
      </c>
      <c r="E365" s="293">
        <v>2.3017902813299296E-2</v>
      </c>
      <c r="F365" s="266">
        <f t="shared" si="21"/>
        <v>358</v>
      </c>
      <c r="G365" s="230">
        <f t="shared" ca="1" si="20"/>
        <v>1.5506127465390554E-2</v>
      </c>
    </row>
    <row r="366" spans="2:7" x14ac:dyDescent="0.25">
      <c r="B366" s="348" t="s">
        <v>775</v>
      </c>
      <c r="C366" s="293">
        <v>195.93</v>
      </c>
      <c r="D366" s="230">
        <f t="shared" si="19"/>
        <v>-8.7022514545914698E-3</v>
      </c>
      <c r="E366" s="293">
        <v>2.30143137805221E-2</v>
      </c>
      <c r="F366" s="266">
        <f t="shared" si="21"/>
        <v>359</v>
      </c>
      <c r="G366" s="230">
        <f t="shared" ca="1" si="20"/>
        <v>-2.1424086052824171E-2</v>
      </c>
    </row>
    <row r="367" spans="2:7" x14ac:dyDescent="0.25">
      <c r="B367" s="348" t="s">
        <v>776</v>
      </c>
      <c r="C367" s="293">
        <v>197.65</v>
      </c>
      <c r="D367" s="230">
        <f t="shared" si="19"/>
        <v>-2.9843420213026994E-2</v>
      </c>
      <c r="E367" s="293">
        <v>2.2999340182863648E-2</v>
      </c>
      <c r="F367" s="266">
        <f t="shared" si="21"/>
        <v>360</v>
      </c>
      <c r="G367" s="230">
        <f t="shared" ca="1" si="20"/>
        <v>-1.0855551079673724E-2</v>
      </c>
    </row>
    <row r="368" spans="2:7" x14ac:dyDescent="0.25">
      <c r="B368" s="348" t="s">
        <v>777</v>
      </c>
      <c r="C368" s="293">
        <v>203.73</v>
      </c>
      <c r="D368" s="230">
        <f t="shared" si="19"/>
        <v>-9.5770539620807504E-3</v>
      </c>
      <c r="E368" s="293">
        <v>2.297720160929817E-2</v>
      </c>
      <c r="F368" s="266">
        <f t="shared" si="21"/>
        <v>361</v>
      </c>
      <c r="G368" s="230">
        <f t="shared" ca="1" si="20"/>
        <v>5.920097397226474E-3</v>
      </c>
    </row>
    <row r="369" spans="2:7" x14ac:dyDescent="0.25">
      <c r="B369" s="348" t="s">
        <v>778</v>
      </c>
      <c r="C369" s="293">
        <v>205.7</v>
      </c>
      <c r="D369" s="230">
        <f t="shared" si="19"/>
        <v>2.9254022428084614E-3</v>
      </c>
      <c r="E369" s="293">
        <v>2.2973772431473138E-2</v>
      </c>
      <c r="F369" s="266">
        <f t="shared" si="21"/>
        <v>362</v>
      </c>
      <c r="G369" s="230">
        <f t="shared" ca="1" si="20"/>
        <v>-1.7476754206521734E-2</v>
      </c>
    </row>
    <row r="370" spans="2:7" x14ac:dyDescent="0.25">
      <c r="B370" s="348" t="s">
        <v>779</v>
      </c>
      <c r="C370" s="293">
        <v>205.1</v>
      </c>
      <c r="D370" s="230">
        <f t="shared" si="19"/>
        <v>-2.0435967302453451E-3</v>
      </c>
      <c r="E370" s="293">
        <v>2.2887489425697849E-2</v>
      </c>
      <c r="F370" s="266">
        <f t="shared" si="21"/>
        <v>363</v>
      </c>
      <c r="G370" s="230">
        <f t="shared" ca="1" si="20"/>
        <v>2.049487942560342E-4</v>
      </c>
    </row>
    <row r="371" spans="2:7" x14ac:dyDescent="0.25">
      <c r="B371" s="348" t="s">
        <v>780</v>
      </c>
      <c r="C371" s="293">
        <v>205.52</v>
      </c>
      <c r="D371" s="230">
        <f t="shared" si="19"/>
        <v>-1.4528889954447344E-2</v>
      </c>
      <c r="E371" s="293">
        <v>2.2804054054053946E-2</v>
      </c>
      <c r="F371" s="266">
        <f t="shared" si="21"/>
        <v>364</v>
      </c>
      <c r="G371" s="230">
        <f t="shared" ca="1" si="20"/>
        <v>-1.2212144628807181E-2</v>
      </c>
    </row>
    <row r="372" spans="2:7" x14ac:dyDescent="0.25">
      <c r="B372" s="348">
        <v>45270</v>
      </c>
      <c r="C372" s="293">
        <v>208.55</v>
      </c>
      <c r="D372" s="230">
        <f t="shared" si="19"/>
        <v>-9.5930094505389807E-3</v>
      </c>
      <c r="E372" s="293">
        <v>2.2752003165495971E-2</v>
      </c>
      <c r="F372" s="266">
        <f t="shared" si="21"/>
        <v>365</v>
      </c>
      <c r="G372" s="230">
        <f t="shared" ca="1" si="20"/>
        <v>-7.3130859300030993E-3</v>
      </c>
    </row>
    <row r="373" spans="2:7" x14ac:dyDescent="0.25">
      <c r="B373" s="348">
        <v>45240</v>
      </c>
      <c r="C373" s="293">
        <v>210.57</v>
      </c>
      <c r="D373" s="230">
        <f t="shared" si="19"/>
        <v>3.2813419658622722E-2</v>
      </c>
      <c r="E373" s="293">
        <v>2.2508038585209E-2</v>
      </c>
      <c r="F373" s="266">
        <f t="shared" si="21"/>
        <v>366</v>
      </c>
      <c r="G373" s="230">
        <f t="shared" ca="1" si="20"/>
        <v>1.2062280166401781E-3</v>
      </c>
    </row>
    <row r="374" spans="2:7" x14ac:dyDescent="0.25">
      <c r="B374" s="348">
        <v>45209</v>
      </c>
      <c r="C374" s="293">
        <v>203.88</v>
      </c>
      <c r="D374" s="230">
        <f t="shared" si="19"/>
        <v>5.3254437869820759E-3</v>
      </c>
      <c r="E374" s="293">
        <v>2.2493781767059629E-2</v>
      </c>
      <c r="F374" s="266">
        <f t="shared" si="21"/>
        <v>367</v>
      </c>
      <c r="G374" s="230">
        <f t="shared" ca="1" si="20"/>
        <v>-3.8401337112878159E-3</v>
      </c>
    </row>
    <row r="375" spans="2:7" x14ac:dyDescent="0.25">
      <c r="B375" s="348">
        <v>45179</v>
      </c>
      <c r="C375" s="293">
        <v>202.8</v>
      </c>
      <c r="D375" s="230">
        <f t="shared" si="19"/>
        <v>-5.5411170499680695E-3</v>
      </c>
      <c r="E375" s="293">
        <v>2.2478255958432003E-2</v>
      </c>
      <c r="F375" s="266">
        <f t="shared" si="21"/>
        <v>368</v>
      </c>
      <c r="G375" s="230">
        <f t="shared" ca="1" si="20"/>
        <v>-5.8420031776152152E-4</v>
      </c>
    </row>
    <row r="376" spans="2:7" x14ac:dyDescent="0.25">
      <c r="B376" s="348">
        <v>45087</v>
      </c>
      <c r="C376" s="293">
        <v>203.93</v>
      </c>
      <c r="D376" s="230">
        <f t="shared" si="19"/>
        <v>2.605703048180974E-3</v>
      </c>
      <c r="E376" s="293">
        <v>2.2460018814675298E-2</v>
      </c>
      <c r="F376" s="266">
        <f t="shared" si="21"/>
        <v>369</v>
      </c>
      <c r="G376" s="230">
        <f t="shared" ca="1" si="20"/>
        <v>-1.8580808955546056E-2</v>
      </c>
    </row>
    <row r="377" spans="2:7" x14ac:dyDescent="0.25">
      <c r="B377" s="348">
        <v>45056</v>
      </c>
      <c r="C377" s="293">
        <v>203.4</v>
      </c>
      <c r="D377" s="230">
        <f t="shared" si="19"/>
        <v>4.6925166707829646E-3</v>
      </c>
      <c r="E377" s="293">
        <v>2.2433273292942424E-2</v>
      </c>
      <c r="F377" s="266">
        <f t="shared" si="21"/>
        <v>370</v>
      </c>
      <c r="G377" s="230">
        <f t="shared" ca="1" si="20"/>
        <v>4.1888089303606518E-2</v>
      </c>
    </row>
    <row r="378" spans="2:7" x14ac:dyDescent="0.25">
      <c r="B378" s="348">
        <v>45026</v>
      </c>
      <c r="C378" s="293">
        <v>202.45</v>
      </c>
      <c r="D378" s="230">
        <f t="shared" si="19"/>
        <v>-1.3811473388249951E-3</v>
      </c>
      <c r="E378" s="293">
        <v>2.2427924805284771E-2</v>
      </c>
      <c r="F378" s="266">
        <f t="shared" si="21"/>
        <v>371</v>
      </c>
      <c r="G378" s="230">
        <f t="shared" ca="1" si="20"/>
        <v>-1.3418979997250292E-3</v>
      </c>
    </row>
    <row r="379" spans="2:7" x14ac:dyDescent="0.25">
      <c r="B379" s="348">
        <v>44995</v>
      </c>
      <c r="C379" s="293">
        <v>202.73</v>
      </c>
      <c r="D379" s="230">
        <f t="shared" si="19"/>
        <v>-1.4284306964832405E-3</v>
      </c>
      <c r="E379" s="293">
        <v>2.2418879056047114E-2</v>
      </c>
      <c r="F379" s="266">
        <f t="shared" si="21"/>
        <v>372</v>
      </c>
      <c r="G379" s="230">
        <f t="shared" ca="1" si="20"/>
        <v>1.0233137341918823E-3</v>
      </c>
    </row>
    <row r="380" spans="2:7" x14ac:dyDescent="0.25">
      <c r="B380" s="348" t="s">
        <v>781</v>
      </c>
      <c r="C380" s="293">
        <v>203.02</v>
      </c>
      <c r="D380" s="230">
        <f t="shared" si="19"/>
        <v>1.6775212157094099E-3</v>
      </c>
      <c r="E380" s="293">
        <v>2.2417246971286886E-2</v>
      </c>
      <c r="F380" s="266">
        <f t="shared" si="21"/>
        <v>373</v>
      </c>
      <c r="G380" s="230">
        <f t="shared" ca="1" si="20"/>
        <v>1.9897020958974221E-2</v>
      </c>
    </row>
    <row r="381" spans="2:7" x14ac:dyDescent="0.25">
      <c r="B381" s="348" t="s">
        <v>782</v>
      </c>
      <c r="C381" s="293">
        <v>202.68</v>
      </c>
      <c r="D381" s="230">
        <f t="shared" si="19"/>
        <v>-2.4732941969011546E-2</v>
      </c>
      <c r="E381" s="293">
        <v>2.241028052029459E-2</v>
      </c>
      <c r="F381" s="266">
        <f t="shared" si="21"/>
        <v>374</v>
      </c>
      <c r="G381" s="230">
        <f t="shared" ca="1" si="20"/>
        <v>3.7370603926877356E-3</v>
      </c>
    </row>
    <row r="382" spans="2:7" x14ac:dyDescent="0.25">
      <c r="B382" s="348" t="s">
        <v>783</v>
      </c>
      <c r="C382" s="293">
        <v>207.82</v>
      </c>
      <c r="D382" s="230">
        <f t="shared" si="19"/>
        <v>6.635989343666715E-3</v>
      </c>
      <c r="E382" s="293">
        <v>2.2354104846686429E-2</v>
      </c>
      <c r="F382" s="266">
        <f t="shared" si="21"/>
        <v>375</v>
      </c>
      <c r="G382" s="230">
        <f t="shared" ca="1" si="20"/>
        <v>-1.7754440639182073E-3</v>
      </c>
    </row>
    <row r="383" spans="2:7" x14ac:dyDescent="0.25">
      <c r="B383" s="348" t="s">
        <v>784</v>
      </c>
      <c r="C383" s="293">
        <v>206.45</v>
      </c>
      <c r="D383" s="230">
        <f t="shared" si="19"/>
        <v>-2.8978507606859383E-3</v>
      </c>
      <c r="E383" s="293">
        <v>2.2165292938293613E-2</v>
      </c>
      <c r="F383" s="266">
        <f t="shared" si="21"/>
        <v>376</v>
      </c>
      <c r="G383" s="230">
        <f t="shared" ca="1" si="20"/>
        <v>-1.4981259566312657E-2</v>
      </c>
    </row>
    <row r="384" spans="2:7" x14ac:dyDescent="0.25">
      <c r="B384" s="348" t="s">
        <v>785</v>
      </c>
      <c r="C384" s="293">
        <v>207.05</v>
      </c>
      <c r="D384" s="230">
        <f t="shared" si="19"/>
        <v>-1.0513739545997547E-2</v>
      </c>
      <c r="E384" s="293">
        <v>2.2157996146435321E-2</v>
      </c>
      <c r="F384" s="266">
        <f t="shared" si="21"/>
        <v>377</v>
      </c>
      <c r="G384" s="230">
        <f t="shared" ca="1" si="20"/>
        <v>3.6862908015891094E-3</v>
      </c>
    </row>
    <row r="385" spans="2:7" x14ac:dyDescent="0.25">
      <c r="B385" s="348" t="s">
        <v>786</v>
      </c>
      <c r="C385" s="293">
        <v>209.25</v>
      </c>
      <c r="D385" s="230">
        <f t="shared" si="19"/>
        <v>-2.4384558000745904E-2</v>
      </c>
      <c r="E385" s="293">
        <v>2.2151286515767143E-2</v>
      </c>
      <c r="F385" s="266">
        <f t="shared" si="21"/>
        <v>378</v>
      </c>
      <c r="G385" s="230">
        <f t="shared" ca="1" si="20"/>
        <v>-5.9840999749168049E-3</v>
      </c>
    </row>
    <row r="386" spans="2:7" x14ac:dyDescent="0.25">
      <c r="B386" s="348" t="s">
        <v>787</v>
      </c>
      <c r="C386" s="293">
        <v>214.48</v>
      </c>
      <c r="D386" s="230">
        <f t="shared" si="19"/>
        <v>-2.6505463845618582E-3</v>
      </c>
      <c r="E386" s="293">
        <v>2.2088808337109134E-2</v>
      </c>
      <c r="F386" s="266">
        <f t="shared" si="21"/>
        <v>379</v>
      </c>
      <c r="G386" s="230">
        <f t="shared" ca="1" si="20"/>
        <v>-6.2893969580639338E-3</v>
      </c>
    </row>
    <row r="387" spans="2:7" x14ac:dyDescent="0.25">
      <c r="B387" s="348" t="s">
        <v>788</v>
      </c>
      <c r="C387" s="293">
        <v>215.05</v>
      </c>
      <c r="D387" s="230">
        <f t="shared" si="19"/>
        <v>-1.3758312313689514E-2</v>
      </c>
      <c r="E387" s="293">
        <v>2.208201892744488E-2</v>
      </c>
      <c r="F387" s="266">
        <f t="shared" si="21"/>
        <v>380</v>
      </c>
      <c r="G387" s="230">
        <f t="shared" ca="1" si="20"/>
        <v>1.7163619730763129E-2</v>
      </c>
    </row>
    <row r="388" spans="2:7" x14ac:dyDescent="0.25">
      <c r="B388" s="348" t="s">
        <v>789</v>
      </c>
      <c r="C388" s="293">
        <v>218.05</v>
      </c>
      <c r="D388" s="230">
        <f t="shared" si="19"/>
        <v>-1.1200798113549792E-2</v>
      </c>
      <c r="E388" s="293">
        <v>2.207223641006939E-2</v>
      </c>
      <c r="F388" s="266">
        <f t="shared" si="21"/>
        <v>381</v>
      </c>
      <c r="G388" s="230">
        <f t="shared" ca="1" si="20"/>
        <v>2.5578668970405859E-2</v>
      </c>
    </row>
    <row r="389" spans="2:7" x14ac:dyDescent="0.25">
      <c r="B389" s="348" t="s">
        <v>790</v>
      </c>
      <c r="C389" s="293">
        <v>220.52</v>
      </c>
      <c r="D389" s="230">
        <f t="shared" si="19"/>
        <v>1.0493516015213311E-2</v>
      </c>
      <c r="E389" s="293">
        <v>2.2002403623925249E-2</v>
      </c>
      <c r="F389" s="266">
        <f t="shared" si="21"/>
        <v>382</v>
      </c>
      <c r="G389" s="230">
        <f t="shared" ca="1" si="20"/>
        <v>1.8331237365836028E-2</v>
      </c>
    </row>
    <row r="390" spans="2:7" x14ac:dyDescent="0.25">
      <c r="B390" s="348" t="s">
        <v>791</v>
      </c>
      <c r="C390" s="293">
        <v>218.23</v>
      </c>
      <c r="D390" s="230">
        <f t="shared" si="19"/>
        <v>1.7443194858848265E-3</v>
      </c>
      <c r="E390" s="293">
        <v>2.1974572280646587E-2</v>
      </c>
      <c r="F390" s="266">
        <f t="shared" si="21"/>
        <v>383</v>
      </c>
      <c r="G390" s="230">
        <f t="shared" ca="1" si="20"/>
        <v>-1.0604736813153234E-2</v>
      </c>
    </row>
    <row r="391" spans="2:7" x14ac:dyDescent="0.25">
      <c r="B391" s="348" t="s">
        <v>792</v>
      </c>
      <c r="C391" s="293">
        <v>217.85</v>
      </c>
      <c r="D391" s="230">
        <f t="shared" si="19"/>
        <v>1.6091954022987576E-3</v>
      </c>
      <c r="E391" s="293">
        <v>2.1884727855862485E-2</v>
      </c>
      <c r="F391" s="266">
        <f t="shared" si="21"/>
        <v>384</v>
      </c>
      <c r="G391" s="230">
        <f t="shared" ca="1" si="20"/>
        <v>1.1103356216389066E-2</v>
      </c>
    </row>
    <row r="392" spans="2:7" x14ac:dyDescent="0.25">
      <c r="B392" s="348">
        <v>45269</v>
      </c>
      <c r="C392" s="293">
        <v>217.5</v>
      </c>
      <c r="D392" s="230">
        <f t="shared" si="19"/>
        <v>3.2194269420049437E-4</v>
      </c>
      <c r="E392" s="293">
        <v>2.1862256456728568E-2</v>
      </c>
      <c r="F392" s="266">
        <f t="shared" si="21"/>
        <v>385</v>
      </c>
      <c r="G392" s="230">
        <f t="shared" ca="1" si="20"/>
        <v>8.0030741937023343E-3</v>
      </c>
    </row>
    <row r="393" spans="2:7" x14ac:dyDescent="0.25">
      <c r="B393" s="348">
        <v>45239</v>
      </c>
      <c r="C393" s="293">
        <v>217.43</v>
      </c>
      <c r="D393" s="230">
        <f t="shared" ref="D393:D456" si="22">C393/C394-1</f>
        <v>1.1302325581395323E-2</v>
      </c>
      <c r="E393" s="293">
        <v>2.1852731591448959E-2</v>
      </c>
      <c r="F393" s="266">
        <f t="shared" si="21"/>
        <v>386</v>
      </c>
      <c r="G393" s="230">
        <f t="shared" ref="G393:G456" ca="1" si="23">_xlfn.NORM.INV(RAND(),$M$10,$M$11)</f>
        <v>-1.0687354292736458E-2</v>
      </c>
    </row>
    <row r="394" spans="2:7" x14ac:dyDescent="0.25">
      <c r="B394" s="348">
        <v>45147</v>
      </c>
      <c r="C394" s="293">
        <v>215</v>
      </c>
      <c r="D394" s="230">
        <f t="shared" si="22"/>
        <v>-6.607217114078523E-3</v>
      </c>
      <c r="E394" s="293">
        <v>2.1758569299552999E-2</v>
      </c>
      <c r="F394" s="266">
        <f t="shared" ref="F394:F457" si="24">F393+1</f>
        <v>387</v>
      </c>
      <c r="G394" s="230">
        <f t="shared" ca="1" si="23"/>
        <v>-2.2787796691620621E-2</v>
      </c>
    </row>
    <row r="395" spans="2:7" x14ac:dyDescent="0.25">
      <c r="B395" s="348">
        <v>45116</v>
      </c>
      <c r="C395" s="293">
        <v>216.43</v>
      </c>
      <c r="D395" s="230">
        <f t="shared" si="22"/>
        <v>8.2925692988586874E-3</v>
      </c>
      <c r="E395" s="293">
        <v>2.1749493504945816E-2</v>
      </c>
      <c r="F395" s="266">
        <f t="shared" si="24"/>
        <v>388</v>
      </c>
      <c r="G395" s="230">
        <f t="shared" ca="1" si="23"/>
        <v>-8.5478630894566549E-3</v>
      </c>
    </row>
    <row r="396" spans="2:7" x14ac:dyDescent="0.25">
      <c r="B396" s="348">
        <v>45086</v>
      </c>
      <c r="C396" s="293">
        <v>214.65</v>
      </c>
      <c r="D396" s="230">
        <f t="shared" si="22"/>
        <v>-5.9278469874496365E-3</v>
      </c>
      <c r="E396" s="293">
        <v>2.1739130434782705E-2</v>
      </c>
      <c r="F396" s="266">
        <f t="shared" si="24"/>
        <v>389</v>
      </c>
      <c r="G396" s="230">
        <f t="shared" ca="1" si="23"/>
        <v>1.1082662549890749E-2</v>
      </c>
    </row>
    <row r="397" spans="2:7" x14ac:dyDescent="0.25">
      <c r="B397" s="348">
        <v>45055</v>
      </c>
      <c r="C397" s="293">
        <v>215.93</v>
      </c>
      <c r="D397" s="230">
        <f t="shared" si="22"/>
        <v>-5.1601013591338063E-3</v>
      </c>
      <c r="E397" s="293">
        <v>2.1709894332372803E-2</v>
      </c>
      <c r="F397" s="266">
        <f t="shared" si="24"/>
        <v>390</v>
      </c>
      <c r="G397" s="230">
        <f t="shared" ca="1" si="23"/>
        <v>1.9412981640394851E-2</v>
      </c>
    </row>
    <row r="398" spans="2:7" x14ac:dyDescent="0.25">
      <c r="B398" s="348">
        <v>45025</v>
      </c>
      <c r="C398" s="293">
        <v>217.05</v>
      </c>
      <c r="D398" s="230">
        <f t="shared" si="22"/>
        <v>4.2607359016235913E-2</v>
      </c>
      <c r="E398" s="293">
        <v>2.1688078463876215E-2</v>
      </c>
      <c r="F398" s="266">
        <f t="shared" si="24"/>
        <v>391</v>
      </c>
      <c r="G398" s="230">
        <f t="shared" ca="1" si="23"/>
        <v>1.3472827308518022E-2</v>
      </c>
    </row>
    <row r="399" spans="2:7" x14ac:dyDescent="0.25">
      <c r="B399" s="348">
        <v>44935</v>
      </c>
      <c r="C399" s="293">
        <v>208.18</v>
      </c>
      <c r="D399" s="230">
        <f t="shared" si="22"/>
        <v>1.9490695396670032E-2</v>
      </c>
      <c r="E399" s="293">
        <v>2.167434299647808E-2</v>
      </c>
      <c r="F399" s="266">
        <f t="shared" si="24"/>
        <v>392</v>
      </c>
      <c r="G399" s="230">
        <f t="shared" ca="1" si="23"/>
        <v>-2.9074137217859293E-2</v>
      </c>
    </row>
    <row r="400" spans="2:7" x14ac:dyDescent="0.25">
      <c r="B400" s="348" t="s">
        <v>793</v>
      </c>
      <c r="C400" s="293">
        <v>204.2</v>
      </c>
      <c r="D400" s="230">
        <f t="shared" si="22"/>
        <v>2.9469548133596035E-3</v>
      </c>
      <c r="E400" s="293">
        <v>2.1666507588050221E-2</v>
      </c>
      <c r="F400" s="266">
        <f t="shared" si="24"/>
        <v>393</v>
      </c>
      <c r="G400" s="230">
        <f t="shared" ca="1" si="23"/>
        <v>-8.5399438055190954E-3</v>
      </c>
    </row>
    <row r="401" spans="2:7" x14ac:dyDescent="0.25">
      <c r="B401" s="348" t="s">
        <v>794</v>
      </c>
      <c r="C401" s="293">
        <v>203.6</v>
      </c>
      <c r="D401" s="230">
        <f t="shared" si="22"/>
        <v>-2.2053418279833759E-3</v>
      </c>
      <c r="E401" s="293">
        <v>2.1523457205313568E-2</v>
      </c>
      <c r="F401" s="266">
        <f t="shared" si="24"/>
        <v>394</v>
      </c>
      <c r="G401" s="230">
        <f t="shared" ca="1" si="23"/>
        <v>-1.5268353983422059E-2</v>
      </c>
    </row>
    <row r="402" spans="2:7" x14ac:dyDescent="0.25">
      <c r="B402" s="348" t="s">
        <v>795</v>
      </c>
      <c r="C402" s="293">
        <v>204.05</v>
      </c>
      <c r="D402" s="230">
        <f t="shared" si="22"/>
        <v>1.4704440741097891E-4</v>
      </c>
      <c r="E402" s="293">
        <v>2.1505376344086002E-2</v>
      </c>
      <c r="F402" s="266">
        <f t="shared" si="24"/>
        <v>395</v>
      </c>
      <c r="G402" s="230">
        <f t="shared" ca="1" si="23"/>
        <v>-7.580109900313714E-3</v>
      </c>
    </row>
    <row r="403" spans="2:7" x14ac:dyDescent="0.25">
      <c r="B403" s="348" t="s">
        <v>796</v>
      </c>
      <c r="C403" s="293">
        <v>204.02</v>
      </c>
      <c r="D403" s="230">
        <f t="shared" si="22"/>
        <v>-4.0517451793994352E-3</v>
      </c>
      <c r="E403" s="293">
        <v>2.1477921297686997E-2</v>
      </c>
      <c r="F403" s="266">
        <f t="shared" si="24"/>
        <v>396</v>
      </c>
      <c r="G403" s="230">
        <f t="shared" ca="1" si="23"/>
        <v>1.5516640797006367E-2</v>
      </c>
    </row>
    <row r="404" spans="2:7" x14ac:dyDescent="0.25">
      <c r="B404" s="348" t="s">
        <v>797</v>
      </c>
      <c r="C404" s="293">
        <v>204.85</v>
      </c>
      <c r="D404" s="230">
        <f t="shared" si="22"/>
        <v>-7.2692028107583795E-3</v>
      </c>
      <c r="E404" s="293">
        <v>2.1475172163827549E-2</v>
      </c>
      <c r="F404" s="266">
        <f t="shared" si="24"/>
        <v>397</v>
      </c>
      <c r="G404" s="230">
        <f t="shared" ca="1" si="23"/>
        <v>5.9118837293369612E-3</v>
      </c>
    </row>
    <row r="405" spans="2:7" x14ac:dyDescent="0.25">
      <c r="B405" s="348" t="s">
        <v>798</v>
      </c>
      <c r="C405" s="293">
        <v>206.35</v>
      </c>
      <c r="D405" s="230">
        <f t="shared" si="22"/>
        <v>-6.164812406684983E-3</v>
      </c>
      <c r="E405" s="293">
        <v>2.1437994722955045E-2</v>
      </c>
      <c r="F405" s="266">
        <f t="shared" si="24"/>
        <v>398</v>
      </c>
      <c r="G405" s="230">
        <f t="shared" ca="1" si="23"/>
        <v>-6.5329125679080436E-3</v>
      </c>
    </row>
    <row r="406" spans="2:7" x14ac:dyDescent="0.25">
      <c r="B406" s="348" t="s">
        <v>799</v>
      </c>
      <c r="C406" s="293">
        <v>207.63</v>
      </c>
      <c r="D406" s="230">
        <f t="shared" si="22"/>
        <v>-4.4114121313834076E-3</v>
      </c>
      <c r="E406" s="293">
        <v>2.1407144805017708E-2</v>
      </c>
      <c r="F406" s="266">
        <f t="shared" si="24"/>
        <v>399</v>
      </c>
      <c r="G406" s="230">
        <f t="shared" ca="1" si="23"/>
        <v>-2.0966444149435284E-2</v>
      </c>
    </row>
    <row r="407" spans="2:7" x14ac:dyDescent="0.25">
      <c r="B407" s="348" t="s">
        <v>800</v>
      </c>
      <c r="C407" s="293">
        <v>208.55</v>
      </c>
      <c r="D407" s="230">
        <f t="shared" si="22"/>
        <v>6.0299083453931868E-3</v>
      </c>
      <c r="E407" s="293">
        <v>2.1403627351582744E-2</v>
      </c>
      <c r="F407" s="266">
        <f t="shared" si="24"/>
        <v>400</v>
      </c>
      <c r="G407" s="230">
        <f t="shared" ca="1" si="23"/>
        <v>-6.2040836579870095E-3</v>
      </c>
    </row>
    <row r="408" spans="2:7" x14ac:dyDescent="0.25">
      <c r="B408" s="348" t="s">
        <v>801</v>
      </c>
      <c r="C408" s="293">
        <v>207.3</v>
      </c>
      <c r="D408" s="230">
        <f t="shared" si="22"/>
        <v>7.0439640514938784E-3</v>
      </c>
      <c r="E408" s="293">
        <v>2.1395720855828859E-2</v>
      </c>
      <c r="F408" s="266">
        <f t="shared" si="24"/>
        <v>401</v>
      </c>
      <c r="G408" s="230">
        <f t="shared" ca="1" si="23"/>
        <v>-1.4581826569567981E-3</v>
      </c>
    </row>
    <row r="409" spans="2:7" x14ac:dyDescent="0.25">
      <c r="B409" s="348" t="s">
        <v>802</v>
      </c>
      <c r="C409" s="293">
        <v>205.85</v>
      </c>
      <c r="D409" s="230">
        <f t="shared" si="22"/>
        <v>-1.3986683910523601E-2</v>
      </c>
      <c r="E409" s="293">
        <v>2.138624065962369E-2</v>
      </c>
      <c r="F409" s="266">
        <f t="shared" si="24"/>
        <v>402</v>
      </c>
      <c r="G409" s="230">
        <f t="shared" ca="1" si="23"/>
        <v>1.5196690718813669E-2</v>
      </c>
    </row>
    <row r="410" spans="2:7" x14ac:dyDescent="0.25">
      <c r="B410" s="348" t="s">
        <v>803</v>
      </c>
      <c r="C410" s="293">
        <v>208.77</v>
      </c>
      <c r="D410" s="230">
        <f t="shared" si="22"/>
        <v>-2.6275558952798539E-3</v>
      </c>
      <c r="E410" s="293">
        <v>2.1335714994542121E-2</v>
      </c>
      <c r="F410" s="266">
        <f t="shared" si="24"/>
        <v>403</v>
      </c>
      <c r="G410" s="230">
        <f t="shared" ca="1" si="23"/>
        <v>2.9924637124101859E-4</v>
      </c>
    </row>
    <row r="411" spans="2:7" x14ac:dyDescent="0.25">
      <c r="B411" s="348" t="s">
        <v>804</v>
      </c>
      <c r="C411" s="293">
        <v>209.32</v>
      </c>
      <c r="D411" s="230">
        <f t="shared" si="22"/>
        <v>8.430890783831968E-3</v>
      </c>
      <c r="E411" s="293">
        <v>2.1328089547723472E-2</v>
      </c>
      <c r="F411" s="266">
        <f t="shared" si="24"/>
        <v>404</v>
      </c>
      <c r="G411" s="230">
        <f t="shared" ca="1" si="23"/>
        <v>2.4056717886386574E-2</v>
      </c>
    </row>
    <row r="412" spans="2:7" x14ac:dyDescent="0.25">
      <c r="B412" s="348" t="s">
        <v>805</v>
      </c>
      <c r="C412" s="293">
        <v>207.57</v>
      </c>
      <c r="D412" s="230">
        <f t="shared" si="22"/>
        <v>5.0842533410806467E-3</v>
      </c>
      <c r="E412" s="293">
        <v>2.1288515406162389E-2</v>
      </c>
      <c r="F412" s="266">
        <f t="shared" si="24"/>
        <v>405</v>
      </c>
      <c r="G412" s="230">
        <f t="shared" ca="1" si="23"/>
        <v>2.1158178610902634E-2</v>
      </c>
    </row>
    <row r="413" spans="2:7" x14ac:dyDescent="0.25">
      <c r="B413" s="348">
        <v>45238</v>
      </c>
      <c r="C413" s="293">
        <v>206.52</v>
      </c>
      <c r="D413" s="230">
        <f t="shared" si="22"/>
        <v>-1.3376648194152407E-2</v>
      </c>
      <c r="E413" s="293">
        <v>2.1249774896452411E-2</v>
      </c>
      <c r="F413" s="266">
        <f t="shared" si="24"/>
        <v>406</v>
      </c>
      <c r="G413" s="230">
        <f t="shared" ca="1" si="23"/>
        <v>-3.443439996445188E-3</v>
      </c>
    </row>
    <row r="414" spans="2:7" x14ac:dyDescent="0.25">
      <c r="B414" s="348">
        <v>45207</v>
      </c>
      <c r="C414" s="293">
        <v>209.32</v>
      </c>
      <c r="D414" s="230">
        <f t="shared" si="22"/>
        <v>2.0105313547151837E-3</v>
      </c>
      <c r="E414" s="293">
        <v>2.1238200999444512E-2</v>
      </c>
      <c r="F414" s="266">
        <f t="shared" si="24"/>
        <v>407</v>
      </c>
      <c r="G414" s="230">
        <f t="shared" ca="1" si="23"/>
        <v>-3.4249944931497986E-3</v>
      </c>
    </row>
    <row r="415" spans="2:7" x14ac:dyDescent="0.25">
      <c r="B415" s="348">
        <v>45177</v>
      </c>
      <c r="C415" s="293">
        <v>208.9</v>
      </c>
      <c r="D415" s="230">
        <f t="shared" si="22"/>
        <v>3.4585454894802137E-3</v>
      </c>
      <c r="E415" s="293">
        <v>2.1235909822866272E-2</v>
      </c>
      <c r="F415" s="266">
        <f t="shared" si="24"/>
        <v>408</v>
      </c>
      <c r="G415" s="230">
        <f t="shared" ca="1" si="23"/>
        <v>-2.7099543371917945E-2</v>
      </c>
    </row>
    <row r="416" spans="2:7" x14ac:dyDescent="0.25">
      <c r="B416" s="348">
        <v>45146</v>
      </c>
      <c r="C416" s="293">
        <v>208.18</v>
      </c>
      <c r="D416" s="230">
        <f t="shared" si="22"/>
        <v>1.2696405117478271E-2</v>
      </c>
      <c r="E416" s="293">
        <v>2.1220159151193574E-2</v>
      </c>
      <c r="F416" s="266">
        <f t="shared" si="24"/>
        <v>409</v>
      </c>
      <c r="G416" s="230">
        <f t="shared" ca="1" si="23"/>
        <v>-1.3175525443702129E-2</v>
      </c>
    </row>
    <row r="417" spans="2:7" x14ac:dyDescent="0.25">
      <c r="B417" s="348">
        <v>45115</v>
      </c>
      <c r="C417" s="293">
        <v>205.57</v>
      </c>
      <c r="D417" s="230">
        <f t="shared" si="22"/>
        <v>5.5764809470233434E-3</v>
      </c>
      <c r="E417" s="293">
        <v>2.1218134635933472E-2</v>
      </c>
      <c r="F417" s="266">
        <f t="shared" si="24"/>
        <v>410</v>
      </c>
      <c r="G417" s="230">
        <f t="shared" ca="1" si="23"/>
        <v>1.770064576898564E-2</v>
      </c>
    </row>
    <row r="418" spans="2:7" x14ac:dyDescent="0.25">
      <c r="B418" s="348">
        <v>45024</v>
      </c>
      <c r="C418" s="293">
        <v>204.43</v>
      </c>
      <c r="D418" s="230">
        <f t="shared" si="22"/>
        <v>2.3070763687318641E-2</v>
      </c>
      <c r="E418" s="293">
        <v>2.1210473156708876E-2</v>
      </c>
      <c r="F418" s="266">
        <f t="shared" si="24"/>
        <v>411</v>
      </c>
      <c r="G418" s="230">
        <f t="shared" ca="1" si="23"/>
        <v>1.5170409642854463E-2</v>
      </c>
    </row>
    <row r="419" spans="2:7" x14ac:dyDescent="0.25">
      <c r="B419" s="348">
        <v>44993</v>
      </c>
      <c r="C419" s="293">
        <v>199.82</v>
      </c>
      <c r="D419" s="230">
        <f t="shared" si="22"/>
        <v>-7.845084409136116E-3</v>
      </c>
      <c r="E419" s="293">
        <v>2.1183156807026648E-2</v>
      </c>
      <c r="F419" s="266">
        <f t="shared" si="24"/>
        <v>412</v>
      </c>
      <c r="G419" s="230">
        <f t="shared" ca="1" si="23"/>
        <v>2.3187564856427942E-3</v>
      </c>
    </row>
    <row r="420" spans="2:7" x14ac:dyDescent="0.25">
      <c r="B420" s="348">
        <v>44965</v>
      </c>
      <c r="C420" s="293">
        <v>201.4</v>
      </c>
      <c r="D420" s="230">
        <f t="shared" si="22"/>
        <v>-1.022213485354817E-2</v>
      </c>
      <c r="E420" s="293">
        <v>2.1149425287356305E-2</v>
      </c>
      <c r="F420" s="266">
        <f t="shared" si="24"/>
        <v>413</v>
      </c>
      <c r="G420" s="230">
        <f t="shared" ca="1" si="23"/>
        <v>2.5749826250208731E-3</v>
      </c>
    </row>
    <row r="421" spans="2:7" x14ac:dyDescent="0.25">
      <c r="B421" s="348">
        <v>44934</v>
      </c>
      <c r="C421" s="293">
        <v>203.48</v>
      </c>
      <c r="D421" s="230">
        <f t="shared" si="22"/>
        <v>4.7402725656724432E-3</v>
      </c>
      <c r="E421" s="293">
        <v>2.1142780677104289E-2</v>
      </c>
      <c r="F421" s="266">
        <f t="shared" si="24"/>
        <v>414</v>
      </c>
      <c r="G421" s="230">
        <f t="shared" ca="1" si="23"/>
        <v>4.8016711843180369E-2</v>
      </c>
    </row>
    <row r="422" spans="2:7" x14ac:dyDescent="0.25">
      <c r="B422" s="348" t="s">
        <v>806</v>
      </c>
      <c r="C422" s="293">
        <v>202.52</v>
      </c>
      <c r="D422" s="230">
        <f t="shared" si="22"/>
        <v>1.574882134617317E-2</v>
      </c>
      <c r="E422" s="293">
        <v>2.1057707764025047E-2</v>
      </c>
      <c r="F422" s="266">
        <f t="shared" si="24"/>
        <v>415</v>
      </c>
      <c r="G422" s="230">
        <f t="shared" ca="1" si="23"/>
        <v>-5.2545261584460061E-3</v>
      </c>
    </row>
    <row r="423" spans="2:7" x14ac:dyDescent="0.25">
      <c r="B423" s="348" t="s">
        <v>807</v>
      </c>
      <c r="C423" s="293">
        <v>199.38</v>
      </c>
      <c r="D423" s="230">
        <f t="shared" si="22"/>
        <v>-3.0003000300029559E-3</v>
      </c>
      <c r="E423" s="293">
        <v>2.1041075839355994E-2</v>
      </c>
      <c r="F423" s="266">
        <f t="shared" si="24"/>
        <v>416</v>
      </c>
      <c r="G423" s="230">
        <f t="shared" ca="1" si="23"/>
        <v>-7.2106230828691154E-3</v>
      </c>
    </row>
    <row r="424" spans="2:7" x14ac:dyDescent="0.25">
      <c r="B424" s="348" t="s">
        <v>808</v>
      </c>
      <c r="C424" s="293">
        <v>199.98</v>
      </c>
      <c r="D424" s="230">
        <f t="shared" si="22"/>
        <v>-6.9520309861952345E-3</v>
      </c>
      <c r="E424" s="293">
        <v>2.1040974529346723E-2</v>
      </c>
      <c r="F424" s="266">
        <f t="shared" si="24"/>
        <v>417</v>
      </c>
      <c r="G424" s="230">
        <f t="shared" ca="1" si="23"/>
        <v>-2.0329696275362984E-2</v>
      </c>
    </row>
    <row r="425" spans="2:7" x14ac:dyDescent="0.25">
      <c r="B425" s="348" t="s">
        <v>809</v>
      </c>
      <c r="C425" s="293">
        <v>201.38</v>
      </c>
      <c r="D425" s="230">
        <f t="shared" si="22"/>
        <v>5.8941058941059943E-3</v>
      </c>
      <c r="E425" s="293">
        <v>2.0986745213549263E-2</v>
      </c>
      <c r="F425" s="266">
        <f t="shared" si="24"/>
        <v>418</v>
      </c>
      <c r="G425" s="230">
        <f t="shared" ca="1" si="23"/>
        <v>-4.2089143168425689E-3</v>
      </c>
    </row>
    <row r="426" spans="2:7" x14ac:dyDescent="0.25">
      <c r="B426" s="348" t="s">
        <v>810</v>
      </c>
      <c r="C426" s="293">
        <v>200.2</v>
      </c>
      <c r="D426" s="230">
        <f t="shared" si="22"/>
        <v>-9.009009009009139E-3</v>
      </c>
      <c r="E426" s="293">
        <v>2.0952380952381056E-2</v>
      </c>
      <c r="F426" s="266">
        <f t="shared" si="24"/>
        <v>419</v>
      </c>
      <c r="G426" s="230">
        <f t="shared" ca="1" si="23"/>
        <v>-1.4077788371014937E-3</v>
      </c>
    </row>
    <row r="427" spans="2:7" x14ac:dyDescent="0.25">
      <c r="B427" s="348" t="s">
        <v>811</v>
      </c>
      <c r="C427" s="293">
        <v>202.02</v>
      </c>
      <c r="D427" s="230">
        <f t="shared" si="22"/>
        <v>-1.6308376575240313E-3</v>
      </c>
      <c r="E427" s="293">
        <v>2.0882513165062733E-2</v>
      </c>
      <c r="F427" s="266">
        <f t="shared" si="24"/>
        <v>420</v>
      </c>
      <c r="G427" s="230">
        <f t="shared" ca="1" si="23"/>
        <v>9.360764688478837E-3</v>
      </c>
    </row>
    <row r="428" spans="2:7" x14ac:dyDescent="0.25">
      <c r="B428" s="348" t="s">
        <v>812</v>
      </c>
      <c r="C428" s="293">
        <v>202.35</v>
      </c>
      <c r="D428" s="230">
        <f t="shared" si="22"/>
        <v>-3.0983622258404342E-2</v>
      </c>
      <c r="E428" s="293">
        <v>2.088167053364276E-2</v>
      </c>
      <c r="F428" s="266">
        <f t="shared" si="24"/>
        <v>421</v>
      </c>
      <c r="G428" s="230">
        <f t="shared" ca="1" si="23"/>
        <v>-1.9354612826385634E-2</v>
      </c>
    </row>
    <row r="429" spans="2:7" x14ac:dyDescent="0.25">
      <c r="B429" s="348" t="s">
        <v>813</v>
      </c>
      <c r="C429" s="293">
        <v>208.82</v>
      </c>
      <c r="D429" s="230">
        <f t="shared" si="22"/>
        <v>-7.6562350464159934E-4</v>
      </c>
      <c r="E429" s="293">
        <v>2.082650049196455E-2</v>
      </c>
      <c r="F429" s="266">
        <f t="shared" si="24"/>
        <v>422</v>
      </c>
      <c r="G429" s="230">
        <f t="shared" ca="1" si="23"/>
        <v>-1.3385474386350387E-4</v>
      </c>
    </row>
    <row r="430" spans="2:7" x14ac:dyDescent="0.25">
      <c r="B430" s="348" t="s">
        <v>814</v>
      </c>
      <c r="C430" s="293">
        <v>208.98</v>
      </c>
      <c r="D430" s="230">
        <f t="shared" si="22"/>
        <v>1.8216682646212679E-3</v>
      </c>
      <c r="E430" s="293">
        <v>2.0805838056051629E-2</v>
      </c>
      <c r="F430" s="266">
        <f t="shared" si="24"/>
        <v>423</v>
      </c>
      <c r="G430" s="230">
        <f t="shared" ca="1" si="23"/>
        <v>-4.2389847276764407E-4</v>
      </c>
    </row>
    <row r="431" spans="2:7" x14ac:dyDescent="0.25">
      <c r="B431" s="348" t="s">
        <v>815</v>
      </c>
      <c r="C431" s="293">
        <v>208.6</v>
      </c>
      <c r="D431" s="230">
        <f t="shared" si="22"/>
        <v>4.6717719019409021E-3</v>
      </c>
      <c r="E431" s="293">
        <v>2.0768933539412782E-2</v>
      </c>
      <c r="F431" s="266">
        <f t="shared" si="24"/>
        <v>424</v>
      </c>
      <c r="G431" s="230">
        <f t="shared" ca="1" si="23"/>
        <v>-1.764567790805896E-2</v>
      </c>
    </row>
    <row r="432" spans="2:7" x14ac:dyDescent="0.25">
      <c r="B432" s="348" t="s">
        <v>816</v>
      </c>
      <c r="C432" s="293">
        <v>207.63</v>
      </c>
      <c r="D432" s="230">
        <f t="shared" si="22"/>
        <v>2.5232075844360935E-2</v>
      </c>
      <c r="E432" s="293">
        <v>2.0763744696217445E-2</v>
      </c>
      <c r="F432" s="266">
        <f t="shared" si="24"/>
        <v>425</v>
      </c>
      <c r="G432" s="230">
        <f t="shared" ca="1" si="23"/>
        <v>-2.0487015787491805E-2</v>
      </c>
    </row>
    <row r="433" spans="2:7" x14ac:dyDescent="0.25">
      <c r="B433" s="348" t="s">
        <v>817</v>
      </c>
      <c r="C433" s="293">
        <v>202.52</v>
      </c>
      <c r="D433" s="230">
        <f t="shared" si="22"/>
        <v>2.7238143545523785E-2</v>
      </c>
      <c r="E433" s="293">
        <v>2.0730706075533512E-2</v>
      </c>
      <c r="F433" s="266">
        <f t="shared" si="24"/>
        <v>426</v>
      </c>
      <c r="G433" s="230">
        <f t="shared" ca="1" si="23"/>
        <v>1.9724315642152624E-3</v>
      </c>
    </row>
    <row r="434" spans="2:7" x14ac:dyDescent="0.25">
      <c r="B434" s="348" t="s">
        <v>818</v>
      </c>
      <c r="C434" s="293">
        <v>197.15</v>
      </c>
      <c r="D434" s="230">
        <f t="shared" si="22"/>
        <v>6.2267136222120545E-3</v>
      </c>
      <c r="E434" s="293">
        <v>2.065437699063799E-2</v>
      </c>
      <c r="F434" s="266">
        <f t="shared" si="24"/>
        <v>427</v>
      </c>
      <c r="G434" s="230">
        <f t="shared" ca="1" si="23"/>
        <v>-1.8911948571234176E-2</v>
      </c>
    </row>
    <row r="435" spans="2:7" x14ac:dyDescent="0.25">
      <c r="B435" s="348">
        <v>45267</v>
      </c>
      <c r="C435" s="293">
        <v>195.93</v>
      </c>
      <c r="D435" s="230">
        <f t="shared" si="22"/>
        <v>-4.5913682277320955E-4</v>
      </c>
      <c r="E435" s="293">
        <v>2.0623659462134958E-2</v>
      </c>
      <c r="F435" s="266">
        <f t="shared" si="24"/>
        <v>428</v>
      </c>
      <c r="G435" s="230">
        <f t="shared" ca="1" si="23"/>
        <v>-7.4909159721875101E-3</v>
      </c>
    </row>
    <row r="436" spans="2:7" x14ac:dyDescent="0.25">
      <c r="B436" s="348">
        <v>45237</v>
      </c>
      <c r="C436" s="293">
        <v>196.02</v>
      </c>
      <c r="D436" s="230">
        <f t="shared" si="22"/>
        <v>5.3338803979896543E-3</v>
      </c>
      <c r="E436" s="293">
        <v>2.059392422346118E-2</v>
      </c>
      <c r="F436" s="266">
        <f t="shared" si="24"/>
        <v>429</v>
      </c>
      <c r="G436" s="230">
        <f t="shared" ca="1" si="23"/>
        <v>-2.2426297897227568E-2</v>
      </c>
    </row>
    <row r="437" spans="2:7" x14ac:dyDescent="0.25">
      <c r="B437" s="348">
        <v>45206</v>
      </c>
      <c r="C437" s="293">
        <v>194.98</v>
      </c>
      <c r="D437" s="230">
        <f t="shared" si="22"/>
        <v>-1.4904259081493509E-2</v>
      </c>
      <c r="E437" s="293">
        <v>2.0579840769115343E-2</v>
      </c>
      <c r="F437" s="266">
        <f t="shared" si="24"/>
        <v>430</v>
      </c>
      <c r="G437" s="230">
        <f t="shared" ca="1" si="23"/>
        <v>2.4476212723865458E-2</v>
      </c>
    </row>
    <row r="438" spans="2:7" x14ac:dyDescent="0.25">
      <c r="B438" s="348">
        <v>45114</v>
      </c>
      <c r="C438" s="293">
        <v>197.93</v>
      </c>
      <c r="D438" s="230">
        <f t="shared" si="22"/>
        <v>-8.5815244825837578E-4</v>
      </c>
      <c r="E438" s="293">
        <v>2.0571898786257981E-2</v>
      </c>
      <c r="F438" s="266">
        <f t="shared" si="24"/>
        <v>431</v>
      </c>
      <c r="G438" s="230">
        <f t="shared" ca="1" si="23"/>
        <v>5.7348597726760318E-3</v>
      </c>
    </row>
    <row r="439" spans="2:7" x14ac:dyDescent="0.25">
      <c r="B439" s="348">
        <v>45084</v>
      </c>
      <c r="C439" s="293">
        <v>198.1</v>
      </c>
      <c r="D439" s="230">
        <f t="shared" si="22"/>
        <v>5.8390454430059524E-3</v>
      </c>
      <c r="E439" s="293">
        <v>2.0538529958761265E-2</v>
      </c>
      <c r="F439" s="266">
        <f t="shared" si="24"/>
        <v>432</v>
      </c>
      <c r="G439" s="230">
        <f t="shared" ca="1" si="23"/>
        <v>-2.3946886717947681E-2</v>
      </c>
    </row>
    <row r="440" spans="2:7" x14ac:dyDescent="0.25">
      <c r="B440" s="348">
        <v>45053</v>
      </c>
      <c r="C440" s="293">
        <v>196.95</v>
      </c>
      <c r="D440" s="230">
        <f t="shared" si="22"/>
        <v>-5.2025457116881002E-3</v>
      </c>
      <c r="E440" s="293">
        <v>2.0536975977390348E-2</v>
      </c>
      <c r="F440" s="266">
        <f t="shared" si="24"/>
        <v>433</v>
      </c>
      <c r="G440" s="230">
        <f t="shared" ca="1" si="23"/>
        <v>8.5530213881737059E-3</v>
      </c>
    </row>
    <row r="441" spans="2:7" x14ac:dyDescent="0.25">
      <c r="B441" s="348">
        <v>45023</v>
      </c>
      <c r="C441" s="293">
        <v>197.98</v>
      </c>
      <c r="D441" s="230">
        <f t="shared" si="22"/>
        <v>1.1133810010214296E-2</v>
      </c>
      <c r="E441" s="293">
        <v>2.0534861509073465E-2</v>
      </c>
      <c r="F441" s="266">
        <f t="shared" si="24"/>
        <v>434</v>
      </c>
      <c r="G441" s="230">
        <f t="shared" ca="1" si="23"/>
        <v>1.1674633963599385E-2</v>
      </c>
    </row>
    <row r="442" spans="2:7" x14ac:dyDescent="0.25">
      <c r="B442" s="348">
        <v>44992</v>
      </c>
      <c r="C442" s="293">
        <v>195.8</v>
      </c>
      <c r="D442" s="230">
        <f t="shared" si="22"/>
        <v>6.3216323174180022E-3</v>
      </c>
      <c r="E442" s="293">
        <v>2.0485744456177457E-2</v>
      </c>
      <c r="F442" s="266">
        <f t="shared" si="24"/>
        <v>435</v>
      </c>
      <c r="G442" s="230">
        <f t="shared" ca="1" si="23"/>
        <v>-1.0330602219314138E-2</v>
      </c>
    </row>
    <row r="443" spans="2:7" x14ac:dyDescent="0.25">
      <c r="B443" s="348" t="s">
        <v>819</v>
      </c>
      <c r="C443" s="293">
        <v>194.57</v>
      </c>
      <c r="D443" s="230">
        <f t="shared" si="22"/>
        <v>1.9491747445637975E-2</v>
      </c>
      <c r="E443" s="293">
        <v>2.0482476103777847E-2</v>
      </c>
      <c r="F443" s="266">
        <f t="shared" si="24"/>
        <v>436</v>
      </c>
      <c r="G443" s="230">
        <f t="shared" ca="1" si="23"/>
        <v>-4.9176000574168093E-2</v>
      </c>
    </row>
    <row r="444" spans="2:7" x14ac:dyDescent="0.25">
      <c r="B444" s="348" t="s">
        <v>820</v>
      </c>
      <c r="C444" s="293">
        <v>190.85</v>
      </c>
      <c r="D444" s="230">
        <f t="shared" si="22"/>
        <v>-2.352326189231646E-3</v>
      </c>
      <c r="E444" s="293">
        <v>2.0472824762368891E-2</v>
      </c>
      <c r="F444" s="266">
        <f t="shared" si="24"/>
        <v>437</v>
      </c>
      <c r="G444" s="230">
        <f t="shared" ca="1" si="23"/>
        <v>-8.7656475905922154E-3</v>
      </c>
    </row>
    <row r="445" spans="2:7" x14ac:dyDescent="0.25">
      <c r="B445" s="348" t="s">
        <v>821</v>
      </c>
      <c r="C445" s="293">
        <v>191.3</v>
      </c>
      <c r="D445" s="230">
        <f t="shared" si="22"/>
        <v>4.4631136781307923E-3</v>
      </c>
      <c r="E445" s="293">
        <v>2.0462508759635734E-2</v>
      </c>
      <c r="F445" s="266">
        <f t="shared" si="24"/>
        <v>438</v>
      </c>
      <c r="G445" s="230">
        <f t="shared" ca="1" si="23"/>
        <v>1.307372865829691E-2</v>
      </c>
    </row>
    <row r="446" spans="2:7" x14ac:dyDescent="0.25">
      <c r="B446" s="348" t="s">
        <v>822</v>
      </c>
      <c r="C446" s="293">
        <v>190.45</v>
      </c>
      <c r="D446" s="230">
        <f t="shared" si="22"/>
        <v>2.4739446257500131E-3</v>
      </c>
      <c r="E446" s="293">
        <v>2.0460723994848884E-2</v>
      </c>
      <c r="F446" s="266">
        <f t="shared" si="24"/>
        <v>439</v>
      </c>
      <c r="G446" s="230">
        <f t="shared" ca="1" si="23"/>
        <v>5.8954753877045237E-3</v>
      </c>
    </row>
    <row r="447" spans="2:7" x14ac:dyDescent="0.25">
      <c r="B447" s="348" t="s">
        <v>823</v>
      </c>
      <c r="C447" s="293">
        <v>189.98</v>
      </c>
      <c r="D447" s="230">
        <f t="shared" si="22"/>
        <v>-6.1208475019618458E-3</v>
      </c>
      <c r="E447" s="293">
        <v>2.0415603353991951E-2</v>
      </c>
      <c r="F447" s="266">
        <f t="shared" si="24"/>
        <v>440</v>
      </c>
      <c r="G447" s="230">
        <f t="shared" ca="1" si="23"/>
        <v>-2.7889137511217951E-2</v>
      </c>
    </row>
    <row r="448" spans="2:7" x14ac:dyDescent="0.25">
      <c r="B448" s="348" t="s">
        <v>824</v>
      </c>
      <c r="C448" s="293">
        <v>191.15</v>
      </c>
      <c r="D448" s="230">
        <f t="shared" si="22"/>
        <v>-8.3009079118028239E-3</v>
      </c>
      <c r="E448" s="293">
        <v>2.0408163265306145E-2</v>
      </c>
      <c r="F448" s="266">
        <f t="shared" si="24"/>
        <v>441</v>
      </c>
      <c r="G448" s="230">
        <f t="shared" ca="1" si="23"/>
        <v>1.8886397556140778E-2</v>
      </c>
    </row>
    <row r="449" spans="2:7" x14ac:dyDescent="0.25">
      <c r="B449" s="348" t="s">
        <v>825</v>
      </c>
      <c r="C449" s="293">
        <v>192.75</v>
      </c>
      <c r="D449" s="230">
        <f t="shared" si="22"/>
        <v>7.8431372549019329E-3</v>
      </c>
      <c r="E449" s="293">
        <v>2.0368474923234237E-2</v>
      </c>
      <c r="F449" s="266">
        <f t="shared" si="24"/>
        <v>442</v>
      </c>
      <c r="G449" s="230">
        <f t="shared" ca="1" si="23"/>
        <v>6.7637915330018084E-3</v>
      </c>
    </row>
    <row r="450" spans="2:7" x14ac:dyDescent="0.25">
      <c r="B450" s="348" t="s">
        <v>826</v>
      </c>
      <c r="C450" s="293">
        <v>191.25</v>
      </c>
      <c r="D450" s="230">
        <f t="shared" si="22"/>
        <v>6.2082390698163792E-3</v>
      </c>
      <c r="E450" s="293">
        <v>2.03547780593476E-2</v>
      </c>
      <c r="F450" s="266">
        <f t="shared" si="24"/>
        <v>443</v>
      </c>
      <c r="G450" s="230">
        <f t="shared" ca="1" si="23"/>
        <v>7.73468505542119E-3</v>
      </c>
    </row>
    <row r="451" spans="2:7" x14ac:dyDescent="0.25">
      <c r="B451" s="348" t="s">
        <v>827</v>
      </c>
      <c r="C451" s="293">
        <v>190.07</v>
      </c>
      <c r="D451" s="230">
        <f t="shared" si="22"/>
        <v>-3.0422239706269227E-3</v>
      </c>
      <c r="E451" s="293">
        <v>2.0333041191936907E-2</v>
      </c>
      <c r="F451" s="266">
        <f t="shared" si="24"/>
        <v>444</v>
      </c>
      <c r="G451" s="230">
        <f t="shared" ca="1" si="23"/>
        <v>9.6889235731746175E-3</v>
      </c>
    </row>
    <row r="452" spans="2:7" x14ac:dyDescent="0.25">
      <c r="B452" s="348" t="s">
        <v>828</v>
      </c>
      <c r="C452" s="293">
        <v>190.65</v>
      </c>
      <c r="D452" s="230">
        <f t="shared" si="22"/>
        <v>-1.9693541752365151E-2</v>
      </c>
      <c r="E452" s="293">
        <v>2.0285423037716743E-2</v>
      </c>
      <c r="F452" s="266">
        <f t="shared" si="24"/>
        <v>445</v>
      </c>
      <c r="G452" s="230">
        <f t="shared" ca="1" si="23"/>
        <v>2.8283089520193328E-4</v>
      </c>
    </row>
    <row r="453" spans="2:7" x14ac:dyDescent="0.25">
      <c r="B453" s="348" t="s">
        <v>829</v>
      </c>
      <c r="C453" s="293">
        <v>194.48</v>
      </c>
      <c r="D453" s="230">
        <f t="shared" si="22"/>
        <v>-1.8917419159562132E-2</v>
      </c>
      <c r="E453" s="293">
        <v>2.0273369415649833E-2</v>
      </c>
      <c r="F453" s="266">
        <f t="shared" si="24"/>
        <v>446</v>
      </c>
      <c r="G453" s="230">
        <f t="shared" ca="1" si="23"/>
        <v>-2.4318941570648553E-2</v>
      </c>
    </row>
    <row r="454" spans="2:7" x14ac:dyDescent="0.25">
      <c r="B454" s="348" t="s">
        <v>830</v>
      </c>
      <c r="C454" s="293">
        <v>198.23</v>
      </c>
      <c r="D454" s="230">
        <f t="shared" si="22"/>
        <v>2.325934165950283E-3</v>
      </c>
      <c r="E454" s="293">
        <v>2.02597402597402E-2</v>
      </c>
      <c r="F454" s="266">
        <f t="shared" si="24"/>
        <v>447</v>
      </c>
      <c r="G454" s="230">
        <f t="shared" ca="1" si="23"/>
        <v>3.4268457422490365E-3</v>
      </c>
    </row>
    <row r="455" spans="2:7" x14ac:dyDescent="0.25">
      <c r="B455" s="348" t="s">
        <v>831</v>
      </c>
      <c r="C455" s="293">
        <v>197.77</v>
      </c>
      <c r="D455" s="230">
        <f t="shared" si="22"/>
        <v>-1.5166835187063743E-4</v>
      </c>
      <c r="E455" s="293">
        <v>2.0229064405771213E-2</v>
      </c>
      <c r="F455" s="266">
        <f t="shared" si="24"/>
        <v>448</v>
      </c>
      <c r="G455" s="230">
        <f t="shared" ca="1" si="23"/>
        <v>9.5139668143628849E-3</v>
      </c>
    </row>
    <row r="456" spans="2:7" x14ac:dyDescent="0.25">
      <c r="B456" s="348">
        <v>45266</v>
      </c>
      <c r="C456" s="293">
        <v>197.8</v>
      </c>
      <c r="D456" s="230">
        <f t="shared" si="22"/>
        <v>-4.2788824565819228E-3</v>
      </c>
      <c r="E456" s="293">
        <v>2.0220954811949188E-2</v>
      </c>
      <c r="F456" s="266">
        <f t="shared" si="24"/>
        <v>449</v>
      </c>
      <c r="G456" s="230">
        <f t="shared" ca="1" si="23"/>
        <v>1.3278318646616698E-2</v>
      </c>
    </row>
    <row r="457" spans="2:7" x14ac:dyDescent="0.25">
      <c r="B457" s="348">
        <v>45175</v>
      </c>
      <c r="C457" s="293">
        <v>198.65</v>
      </c>
      <c r="D457" s="230">
        <f t="shared" ref="D457:D520" si="25">C457/C458-1</f>
        <v>-5.6064474145267607E-3</v>
      </c>
      <c r="E457" s="293">
        <v>2.0164986251145711E-2</v>
      </c>
      <c r="F457" s="266">
        <f t="shared" si="24"/>
        <v>450</v>
      </c>
      <c r="G457" s="230">
        <f t="shared" ref="G457:G520" ca="1" si="26">_xlfn.NORM.INV(RAND(),$M$10,$M$11)</f>
        <v>-8.6039475962111072E-3</v>
      </c>
    </row>
    <row r="458" spans="2:7" x14ac:dyDescent="0.25">
      <c r="B458" s="348">
        <v>45144</v>
      </c>
      <c r="C458" s="293">
        <v>199.77</v>
      </c>
      <c r="D458" s="230">
        <f t="shared" si="25"/>
        <v>-8.0933465739820853E-3</v>
      </c>
      <c r="E458" s="293">
        <v>2.014267729752417E-2</v>
      </c>
      <c r="F458" s="266">
        <f t="shared" ref="F458:F521" si="27">F457+1</f>
        <v>451</v>
      </c>
      <c r="G458" s="230">
        <f t="shared" ca="1" si="26"/>
        <v>3.3021107159577213E-2</v>
      </c>
    </row>
    <row r="459" spans="2:7" x14ac:dyDescent="0.25">
      <c r="B459" s="348">
        <v>45113</v>
      </c>
      <c r="C459" s="293">
        <v>201.4</v>
      </c>
      <c r="D459" s="230">
        <f t="shared" si="25"/>
        <v>7.1007100710072102E-3</v>
      </c>
      <c r="E459" s="293">
        <v>2.0101446552695856E-2</v>
      </c>
      <c r="F459" s="266">
        <f t="shared" si="27"/>
        <v>452</v>
      </c>
      <c r="G459" s="230">
        <f t="shared" ca="1" si="26"/>
        <v>3.7154400370673778E-3</v>
      </c>
    </row>
    <row r="460" spans="2:7" x14ac:dyDescent="0.25">
      <c r="B460" s="348">
        <v>45083</v>
      </c>
      <c r="C460" s="293">
        <v>199.98</v>
      </c>
      <c r="D460" s="230">
        <f t="shared" si="25"/>
        <v>-1.0489856506679884E-2</v>
      </c>
      <c r="E460" s="293">
        <v>2.0025274618450384E-2</v>
      </c>
      <c r="F460" s="266">
        <f t="shared" si="27"/>
        <v>453</v>
      </c>
      <c r="G460" s="230">
        <f t="shared" ca="1" si="26"/>
        <v>-1.3633390021152715E-2</v>
      </c>
    </row>
    <row r="461" spans="2:7" x14ac:dyDescent="0.25">
      <c r="B461" s="348">
        <v>45052</v>
      </c>
      <c r="C461" s="293">
        <v>202.1</v>
      </c>
      <c r="D461" s="230">
        <f t="shared" si="25"/>
        <v>-1.876728565784247E-3</v>
      </c>
      <c r="E461" s="293">
        <v>1.9926047658175738E-2</v>
      </c>
      <c r="F461" s="266">
        <f t="shared" si="27"/>
        <v>454</v>
      </c>
      <c r="G461" s="230">
        <f t="shared" ca="1" si="26"/>
        <v>1.3554590367636786E-2</v>
      </c>
    </row>
    <row r="462" spans="2:7" x14ac:dyDescent="0.25">
      <c r="B462" s="348">
        <v>44963</v>
      </c>
      <c r="C462" s="293">
        <v>202.48</v>
      </c>
      <c r="D462" s="230">
        <f t="shared" si="25"/>
        <v>-5.3544235398143014E-3</v>
      </c>
      <c r="E462" s="293">
        <v>1.9916905812309871E-2</v>
      </c>
      <c r="F462" s="266">
        <f t="shared" si="27"/>
        <v>455</v>
      </c>
      <c r="G462" s="230">
        <f t="shared" ca="1" si="26"/>
        <v>-1.4282574352358518E-2</v>
      </c>
    </row>
    <row r="463" spans="2:7" x14ac:dyDescent="0.25">
      <c r="B463" s="348">
        <v>44932</v>
      </c>
      <c r="C463" s="293">
        <v>203.57</v>
      </c>
      <c r="D463" s="230">
        <f t="shared" si="25"/>
        <v>8.6710930532156727E-3</v>
      </c>
      <c r="E463" s="293">
        <v>1.9889970376639976E-2</v>
      </c>
      <c r="F463" s="266">
        <f t="shared" si="27"/>
        <v>456</v>
      </c>
      <c r="G463" s="230">
        <f t="shared" ca="1" si="26"/>
        <v>-1.7772576431365823E-2</v>
      </c>
    </row>
    <row r="464" spans="2:7" x14ac:dyDescent="0.25">
      <c r="B464" s="348" t="s">
        <v>832</v>
      </c>
      <c r="C464" s="293">
        <v>201.82</v>
      </c>
      <c r="D464" s="230">
        <f t="shared" si="25"/>
        <v>2.8322981366459832E-3</v>
      </c>
      <c r="E464" s="293">
        <v>1.9878391019644504E-2</v>
      </c>
      <c r="F464" s="266">
        <f t="shared" si="27"/>
        <v>457</v>
      </c>
      <c r="G464" s="230">
        <f t="shared" ca="1" si="26"/>
        <v>2.1836399763341771E-2</v>
      </c>
    </row>
    <row r="465" spans="2:7" x14ac:dyDescent="0.25">
      <c r="B465" s="348" t="s">
        <v>833</v>
      </c>
      <c r="C465" s="293">
        <v>201.25</v>
      </c>
      <c r="D465" s="230">
        <f t="shared" si="25"/>
        <v>6.7533766883440816E-3</v>
      </c>
      <c r="E465" s="293">
        <v>1.9833473664514933E-2</v>
      </c>
      <c r="F465" s="266">
        <f t="shared" si="27"/>
        <v>458</v>
      </c>
      <c r="G465" s="230">
        <f t="shared" ca="1" si="26"/>
        <v>1.1989888465825192E-2</v>
      </c>
    </row>
    <row r="466" spans="2:7" x14ac:dyDescent="0.25">
      <c r="B466" s="348" t="s">
        <v>834</v>
      </c>
      <c r="C466" s="293">
        <v>199.9</v>
      </c>
      <c r="D466" s="230">
        <f t="shared" si="25"/>
        <v>-4.729897933781424E-3</v>
      </c>
      <c r="E466" s="293">
        <v>1.9828291087489847E-2</v>
      </c>
      <c r="F466" s="266">
        <f t="shared" si="27"/>
        <v>459</v>
      </c>
      <c r="G466" s="230">
        <f t="shared" ca="1" si="26"/>
        <v>1.9712009947113591E-3</v>
      </c>
    </row>
    <row r="467" spans="2:7" x14ac:dyDescent="0.25">
      <c r="B467" s="348" t="s">
        <v>835</v>
      </c>
      <c r="C467" s="293">
        <v>200.85</v>
      </c>
      <c r="D467" s="230">
        <f t="shared" si="25"/>
        <v>1.9284445572189668E-2</v>
      </c>
      <c r="E467" s="293">
        <v>1.980101443620752E-2</v>
      </c>
      <c r="F467" s="266">
        <f t="shared" si="27"/>
        <v>460</v>
      </c>
      <c r="G467" s="230">
        <f t="shared" ca="1" si="26"/>
        <v>2.3439573063293424E-2</v>
      </c>
    </row>
    <row r="468" spans="2:7" x14ac:dyDescent="0.25">
      <c r="B468" s="348" t="s">
        <v>836</v>
      </c>
      <c r="C468" s="293">
        <v>197.05</v>
      </c>
      <c r="D468" s="230">
        <f t="shared" si="25"/>
        <v>-1.4010507880910628E-2</v>
      </c>
      <c r="E468" s="293">
        <v>1.9787985865724389E-2</v>
      </c>
      <c r="F468" s="266">
        <f t="shared" si="27"/>
        <v>461</v>
      </c>
      <c r="G468" s="230">
        <f t="shared" ca="1" si="26"/>
        <v>-1.618977863891205E-2</v>
      </c>
    </row>
    <row r="469" spans="2:7" x14ac:dyDescent="0.25">
      <c r="B469" s="348" t="s">
        <v>837</v>
      </c>
      <c r="C469" s="293">
        <v>199.85</v>
      </c>
      <c r="D469" s="230">
        <f t="shared" si="25"/>
        <v>5.1805653354792813E-3</v>
      </c>
      <c r="E469" s="293">
        <v>1.9779208831646855E-2</v>
      </c>
      <c r="F469" s="266">
        <f t="shared" si="27"/>
        <v>462</v>
      </c>
      <c r="G469" s="230">
        <f t="shared" ca="1" si="26"/>
        <v>1.1943554063150175E-2</v>
      </c>
    </row>
    <row r="470" spans="2:7" x14ac:dyDescent="0.25">
      <c r="B470" s="348" t="s">
        <v>838</v>
      </c>
      <c r="C470" s="293">
        <v>198.82</v>
      </c>
      <c r="D470" s="230">
        <f t="shared" si="25"/>
        <v>4.7503537497473047E-3</v>
      </c>
      <c r="E470" s="293">
        <v>1.9751952227836433E-2</v>
      </c>
      <c r="F470" s="266">
        <f t="shared" si="27"/>
        <v>463</v>
      </c>
      <c r="G470" s="230">
        <f t="shared" ca="1" si="26"/>
        <v>-9.7737329571677967E-3</v>
      </c>
    </row>
    <row r="471" spans="2:7" x14ac:dyDescent="0.25">
      <c r="B471" s="348" t="s">
        <v>839</v>
      </c>
      <c r="C471" s="293">
        <v>197.88</v>
      </c>
      <c r="D471" s="230">
        <f t="shared" si="25"/>
        <v>2.4754013464526103E-2</v>
      </c>
      <c r="E471" s="293">
        <v>1.9700332963374034E-2</v>
      </c>
      <c r="F471" s="266">
        <f t="shared" si="27"/>
        <v>464</v>
      </c>
      <c r="G471" s="230">
        <f t="shared" ca="1" si="26"/>
        <v>3.0519216744369646E-3</v>
      </c>
    </row>
    <row r="472" spans="2:7" x14ac:dyDescent="0.25">
      <c r="B472" s="348" t="s">
        <v>840</v>
      </c>
      <c r="C472" s="293">
        <v>193.1</v>
      </c>
      <c r="D472" s="230">
        <f t="shared" si="25"/>
        <v>9.4093047569261401E-3</v>
      </c>
      <c r="E472" s="293">
        <v>1.9699326075686807E-2</v>
      </c>
      <c r="F472" s="266">
        <f t="shared" si="27"/>
        <v>465</v>
      </c>
      <c r="G472" s="230">
        <f t="shared" ca="1" si="26"/>
        <v>-9.991243358011756E-3</v>
      </c>
    </row>
    <row r="473" spans="2:7" x14ac:dyDescent="0.25">
      <c r="B473" s="348" t="s">
        <v>841</v>
      </c>
      <c r="C473" s="293">
        <v>191.3</v>
      </c>
      <c r="D473" s="230">
        <f t="shared" si="25"/>
        <v>7.847240387131027E-4</v>
      </c>
      <c r="E473" s="293">
        <v>1.9697600221944889E-2</v>
      </c>
      <c r="F473" s="266">
        <f t="shared" si="27"/>
        <v>466</v>
      </c>
      <c r="G473" s="230">
        <f t="shared" ca="1" si="26"/>
        <v>2.393583444828669E-3</v>
      </c>
    </row>
    <row r="474" spans="2:7" x14ac:dyDescent="0.25">
      <c r="B474" s="348" t="s">
        <v>842</v>
      </c>
      <c r="C474" s="293">
        <v>191.15</v>
      </c>
      <c r="D474" s="230">
        <f t="shared" si="25"/>
        <v>-1.2042588381227959E-2</v>
      </c>
      <c r="E474" s="293">
        <v>1.9674502712477393E-2</v>
      </c>
      <c r="F474" s="266">
        <f t="shared" si="27"/>
        <v>467</v>
      </c>
      <c r="G474" s="230">
        <f t="shared" ca="1" si="26"/>
        <v>1.6598973911056469E-2</v>
      </c>
    </row>
    <row r="475" spans="2:7" x14ac:dyDescent="0.25">
      <c r="B475" s="348" t="s">
        <v>843</v>
      </c>
      <c r="C475" s="293">
        <v>193.48</v>
      </c>
      <c r="D475" s="230">
        <f t="shared" si="25"/>
        <v>3.1107424305267806E-3</v>
      </c>
      <c r="E475" s="293">
        <v>1.9621513944223068E-2</v>
      </c>
      <c r="F475" s="266">
        <f t="shared" si="27"/>
        <v>468</v>
      </c>
      <c r="G475" s="230">
        <f t="shared" ca="1" si="26"/>
        <v>-7.7873608057932604E-3</v>
      </c>
    </row>
    <row r="476" spans="2:7" x14ac:dyDescent="0.25">
      <c r="B476" s="348" t="s">
        <v>844</v>
      </c>
      <c r="C476" s="293">
        <v>192.88</v>
      </c>
      <c r="D476" s="230">
        <f t="shared" si="25"/>
        <v>6.5229870062097906E-3</v>
      </c>
      <c r="E476" s="293">
        <v>1.9556285949055008E-2</v>
      </c>
      <c r="F476" s="266">
        <f t="shared" si="27"/>
        <v>469</v>
      </c>
      <c r="G476" s="230">
        <f t="shared" ca="1" si="26"/>
        <v>3.9278108220081173E-3</v>
      </c>
    </row>
    <row r="477" spans="2:7" x14ac:dyDescent="0.25">
      <c r="B477" s="348">
        <v>45265</v>
      </c>
      <c r="C477" s="293">
        <v>191.63</v>
      </c>
      <c r="D477" s="230">
        <f t="shared" si="25"/>
        <v>-3.5877703826955321E-3</v>
      </c>
      <c r="E477" s="293">
        <v>1.9538757206918556E-2</v>
      </c>
      <c r="F477" s="266">
        <f t="shared" si="27"/>
        <v>470</v>
      </c>
      <c r="G477" s="230">
        <f t="shared" ca="1" si="26"/>
        <v>-1.351504592906407E-2</v>
      </c>
    </row>
    <row r="478" spans="2:7" x14ac:dyDescent="0.25">
      <c r="B478" s="348">
        <v>45235</v>
      </c>
      <c r="C478" s="293">
        <v>192.32</v>
      </c>
      <c r="D478" s="230">
        <f t="shared" si="25"/>
        <v>2.2930998540755532E-3</v>
      </c>
      <c r="E478" s="293">
        <v>1.9534064526459005E-2</v>
      </c>
      <c r="F478" s="266">
        <f t="shared" si="27"/>
        <v>471</v>
      </c>
      <c r="G478" s="230">
        <f t="shared" ca="1" si="26"/>
        <v>6.6015395391618836E-3</v>
      </c>
    </row>
    <row r="479" spans="2:7" x14ac:dyDescent="0.25">
      <c r="B479" s="348">
        <v>45204</v>
      </c>
      <c r="C479" s="293">
        <v>191.88</v>
      </c>
      <c r="D479" s="230">
        <f t="shared" si="25"/>
        <v>3.8189903217367149E-3</v>
      </c>
      <c r="E479" s="293">
        <v>1.9491747445637975E-2</v>
      </c>
      <c r="F479" s="266">
        <f t="shared" si="27"/>
        <v>472</v>
      </c>
      <c r="G479" s="230">
        <f t="shared" ca="1" si="26"/>
        <v>7.8044216539632054E-3</v>
      </c>
    </row>
    <row r="480" spans="2:7" x14ac:dyDescent="0.25">
      <c r="B480" s="348">
        <v>45174</v>
      </c>
      <c r="C480" s="293">
        <v>191.15</v>
      </c>
      <c r="D480" s="230">
        <f t="shared" si="25"/>
        <v>5.1004311704700989E-3</v>
      </c>
      <c r="E480" s="293">
        <v>1.9490695396670032E-2</v>
      </c>
      <c r="F480" s="266">
        <f t="shared" si="27"/>
        <v>473</v>
      </c>
      <c r="G480" s="230">
        <f t="shared" ca="1" si="26"/>
        <v>-1.0883140609382093E-2</v>
      </c>
    </row>
    <row r="481" spans="2:7" x14ac:dyDescent="0.25">
      <c r="B481" s="348">
        <v>45143</v>
      </c>
      <c r="C481" s="293">
        <v>190.18</v>
      </c>
      <c r="D481" s="230">
        <f t="shared" si="25"/>
        <v>2.5303110173959809E-3</v>
      </c>
      <c r="E481" s="293">
        <v>1.945491943777844E-2</v>
      </c>
      <c r="F481" s="266">
        <f t="shared" si="27"/>
        <v>474</v>
      </c>
      <c r="G481" s="230">
        <f t="shared" ca="1" si="26"/>
        <v>9.5150127850062698E-3</v>
      </c>
    </row>
    <row r="482" spans="2:7" x14ac:dyDescent="0.25">
      <c r="B482" s="348">
        <v>45051</v>
      </c>
      <c r="C482" s="293">
        <v>189.7</v>
      </c>
      <c r="D482" s="230">
        <f t="shared" si="25"/>
        <v>-1.1206671879072205E-2</v>
      </c>
      <c r="E482" s="293">
        <v>1.943505552873015E-2</v>
      </c>
      <c r="F482" s="266">
        <f t="shared" si="27"/>
        <v>475</v>
      </c>
      <c r="G482" s="230">
        <f t="shared" ca="1" si="26"/>
        <v>-1.063780798048263E-2</v>
      </c>
    </row>
    <row r="483" spans="2:7" x14ac:dyDescent="0.25">
      <c r="B483" s="348">
        <v>45021</v>
      </c>
      <c r="C483" s="293">
        <v>191.85</v>
      </c>
      <c r="D483" s="230">
        <f t="shared" si="25"/>
        <v>-3.6354193715918415E-3</v>
      </c>
      <c r="E483" s="293">
        <v>1.9430637144148388E-2</v>
      </c>
      <c r="F483" s="266">
        <f t="shared" si="27"/>
        <v>476</v>
      </c>
      <c r="G483" s="230">
        <f t="shared" ca="1" si="26"/>
        <v>3.761928317614105E-2</v>
      </c>
    </row>
    <row r="484" spans="2:7" x14ac:dyDescent="0.25">
      <c r="B484" s="348">
        <v>44990</v>
      </c>
      <c r="C484" s="293">
        <v>192.55</v>
      </c>
      <c r="D484" s="230">
        <f t="shared" si="25"/>
        <v>-8.3942733546193971E-3</v>
      </c>
      <c r="E484" s="293">
        <v>1.9404546751640828E-2</v>
      </c>
      <c r="F484" s="266">
        <f t="shared" si="27"/>
        <v>477</v>
      </c>
      <c r="G484" s="230">
        <f t="shared" ca="1" si="26"/>
        <v>-8.3036412068635494E-3</v>
      </c>
    </row>
    <row r="485" spans="2:7" x14ac:dyDescent="0.25">
      <c r="B485" s="348">
        <v>44962</v>
      </c>
      <c r="C485" s="293">
        <v>194.18</v>
      </c>
      <c r="D485" s="230">
        <f t="shared" si="25"/>
        <v>8.7272727272726947E-3</v>
      </c>
      <c r="E485" s="293">
        <v>1.9376268684259124E-2</v>
      </c>
      <c r="F485" s="266">
        <f t="shared" si="27"/>
        <v>478</v>
      </c>
      <c r="G485" s="230">
        <f t="shared" ca="1" si="26"/>
        <v>3.653434337633201E-3</v>
      </c>
    </row>
    <row r="486" spans="2:7" x14ac:dyDescent="0.25">
      <c r="B486" s="348" t="s">
        <v>845</v>
      </c>
      <c r="C486" s="293">
        <v>192.5</v>
      </c>
      <c r="D486" s="230">
        <f t="shared" si="25"/>
        <v>2.8311965811965933E-2</v>
      </c>
      <c r="E486" s="293">
        <v>1.9374724790840903E-2</v>
      </c>
      <c r="F486" s="266">
        <f t="shared" si="27"/>
        <v>479</v>
      </c>
      <c r="G486" s="230">
        <f t="shared" ca="1" si="26"/>
        <v>-8.4097538734780671E-4</v>
      </c>
    </row>
    <row r="487" spans="2:7" x14ac:dyDescent="0.25">
      <c r="B487" s="348" t="s">
        <v>846</v>
      </c>
      <c r="C487" s="293">
        <v>187.2</v>
      </c>
      <c r="D487" s="230">
        <f t="shared" si="25"/>
        <v>-3.7379185133779025E-4</v>
      </c>
      <c r="E487" s="293">
        <v>1.9316054006110361E-2</v>
      </c>
      <c r="F487" s="266">
        <f t="shared" si="27"/>
        <v>480</v>
      </c>
      <c r="G487" s="230">
        <f t="shared" ca="1" si="26"/>
        <v>-3.6329244601713984E-3</v>
      </c>
    </row>
    <row r="488" spans="2:7" x14ac:dyDescent="0.25">
      <c r="B488" s="348" t="s">
        <v>847</v>
      </c>
      <c r="C488" s="293">
        <v>187.27</v>
      </c>
      <c r="D488" s="230">
        <f t="shared" si="25"/>
        <v>-2.9283356405067629E-3</v>
      </c>
      <c r="E488" s="293">
        <v>1.9296254256526479E-2</v>
      </c>
      <c r="F488" s="266">
        <f t="shared" si="27"/>
        <v>481</v>
      </c>
      <c r="G488" s="230">
        <f t="shared" ca="1" si="26"/>
        <v>2.0414662405692143E-3</v>
      </c>
    </row>
    <row r="489" spans="2:7" x14ac:dyDescent="0.25">
      <c r="B489" s="348" t="s">
        <v>848</v>
      </c>
      <c r="C489" s="293">
        <v>187.82</v>
      </c>
      <c r="D489" s="230">
        <f t="shared" si="25"/>
        <v>-6.1382156841993663E-3</v>
      </c>
      <c r="E489" s="293">
        <v>1.9296043148742337E-2</v>
      </c>
      <c r="F489" s="266">
        <f t="shared" si="27"/>
        <v>482</v>
      </c>
      <c r="G489" s="230">
        <f t="shared" ca="1" si="26"/>
        <v>4.5459527466511765E-3</v>
      </c>
    </row>
    <row r="490" spans="2:7" x14ac:dyDescent="0.25">
      <c r="B490" s="348" t="s">
        <v>849</v>
      </c>
      <c r="C490" s="293">
        <v>188.98</v>
      </c>
      <c r="D490" s="230">
        <f t="shared" si="25"/>
        <v>2.6953592000869442E-2</v>
      </c>
      <c r="E490" s="293">
        <v>1.9284445572189668E-2</v>
      </c>
      <c r="F490" s="266">
        <f t="shared" si="27"/>
        <v>483</v>
      </c>
      <c r="G490" s="230">
        <f t="shared" ca="1" si="26"/>
        <v>5.9935944316858378E-2</v>
      </c>
    </row>
    <row r="491" spans="2:7" x14ac:dyDescent="0.25">
      <c r="B491" s="348" t="s">
        <v>850</v>
      </c>
      <c r="C491" s="293">
        <v>184.02</v>
      </c>
      <c r="D491" s="230">
        <f t="shared" si="25"/>
        <v>1.4275478145841403E-2</v>
      </c>
      <c r="E491" s="293">
        <v>1.9276697372910379E-2</v>
      </c>
      <c r="F491" s="266">
        <f t="shared" si="27"/>
        <v>484</v>
      </c>
      <c r="G491" s="230">
        <f t="shared" ca="1" si="26"/>
        <v>1.0112309030350186E-2</v>
      </c>
    </row>
    <row r="492" spans="2:7" x14ac:dyDescent="0.25">
      <c r="B492" s="348" t="s">
        <v>851</v>
      </c>
      <c r="C492" s="293">
        <v>181.43</v>
      </c>
      <c r="D492" s="230">
        <f t="shared" si="25"/>
        <v>5.7095343680708677E-3</v>
      </c>
      <c r="E492" s="293">
        <v>1.9227857683572935E-2</v>
      </c>
      <c r="F492" s="266">
        <f t="shared" si="27"/>
        <v>485</v>
      </c>
      <c r="G492" s="230">
        <f t="shared" ca="1" si="26"/>
        <v>-2.004239383026566E-2</v>
      </c>
    </row>
    <row r="493" spans="2:7" x14ac:dyDescent="0.25">
      <c r="B493" s="348" t="s">
        <v>852</v>
      </c>
      <c r="C493" s="293">
        <v>180.4</v>
      </c>
      <c r="D493" s="230">
        <f t="shared" si="25"/>
        <v>-1.9298722478934383E-2</v>
      </c>
      <c r="E493" s="293">
        <v>1.9223520542781536E-2</v>
      </c>
      <c r="F493" s="266">
        <f t="shared" si="27"/>
        <v>486</v>
      </c>
      <c r="G493" s="230">
        <f t="shared" ca="1" si="26"/>
        <v>1.3020465962484816E-2</v>
      </c>
    </row>
    <row r="494" spans="2:7" x14ac:dyDescent="0.25">
      <c r="B494" s="348" t="s">
        <v>853</v>
      </c>
      <c r="C494" s="293">
        <v>183.95</v>
      </c>
      <c r="D494" s="230">
        <f t="shared" si="25"/>
        <v>1.8098295328757841E-2</v>
      </c>
      <c r="E494" s="293">
        <v>1.9203878064696589E-2</v>
      </c>
      <c r="F494" s="266">
        <f t="shared" si="27"/>
        <v>487</v>
      </c>
      <c r="G494" s="230">
        <f t="shared" ca="1" si="26"/>
        <v>1.6751004894477235E-2</v>
      </c>
    </row>
    <row r="495" spans="2:7" x14ac:dyDescent="0.25">
      <c r="B495" s="348" t="s">
        <v>854</v>
      </c>
      <c r="C495" s="293">
        <v>180.68</v>
      </c>
      <c r="D495" s="230">
        <f t="shared" si="25"/>
        <v>-1.8843334238392573E-2</v>
      </c>
      <c r="E495" s="293">
        <v>1.914835415336924E-2</v>
      </c>
      <c r="F495" s="266">
        <f t="shared" si="27"/>
        <v>488</v>
      </c>
      <c r="G495" s="230">
        <f t="shared" ca="1" si="26"/>
        <v>2.9843250164231581E-2</v>
      </c>
    </row>
    <row r="496" spans="2:7" x14ac:dyDescent="0.25">
      <c r="B496" s="348" t="s">
        <v>855</v>
      </c>
      <c r="C496" s="293">
        <v>184.15</v>
      </c>
      <c r="D496" s="230">
        <f t="shared" si="25"/>
        <v>-1.0318697264470322E-2</v>
      </c>
      <c r="E496" s="293">
        <v>1.9107134828934891E-2</v>
      </c>
      <c r="F496" s="266">
        <f t="shared" si="27"/>
        <v>489</v>
      </c>
      <c r="G496" s="230">
        <f t="shared" ca="1" si="26"/>
        <v>8.8320604097637118E-3</v>
      </c>
    </row>
    <row r="497" spans="2:7" x14ac:dyDescent="0.25">
      <c r="B497" s="348">
        <v>45264</v>
      </c>
      <c r="C497" s="293">
        <v>186.07</v>
      </c>
      <c r="D497" s="230">
        <f t="shared" si="25"/>
        <v>5.0775130989033634E-3</v>
      </c>
      <c r="E497" s="293">
        <v>1.907614693362758E-2</v>
      </c>
      <c r="F497" s="266">
        <f t="shared" si="27"/>
        <v>490</v>
      </c>
      <c r="G497" s="230">
        <f t="shared" ca="1" si="26"/>
        <v>1.4013852879604933E-2</v>
      </c>
    </row>
    <row r="498" spans="2:7" x14ac:dyDescent="0.25">
      <c r="B498" s="348">
        <v>45234</v>
      </c>
      <c r="C498" s="293">
        <v>185.13</v>
      </c>
      <c r="D498" s="230">
        <f t="shared" si="25"/>
        <v>-8.1435842485936272E-3</v>
      </c>
      <c r="E498" s="293">
        <v>1.9074345209045163E-2</v>
      </c>
      <c r="F498" s="266">
        <f t="shared" si="27"/>
        <v>491</v>
      </c>
      <c r="G498" s="230">
        <f t="shared" ca="1" si="26"/>
        <v>-2.6654339108885476E-2</v>
      </c>
    </row>
    <row r="499" spans="2:7" x14ac:dyDescent="0.25">
      <c r="B499" s="348">
        <v>45203</v>
      </c>
      <c r="C499" s="293">
        <v>186.65</v>
      </c>
      <c r="D499" s="230">
        <f t="shared" si="25"/>
        <v>1.816495745145108E-2</v>
      </c>
      <c r="E499" s="293">
        <v>1.9018743109151082E-2</v>
      </c>
      <c r="F499" s="266">
        <f t="shared" si="27"/>
        <v>492</v>
      </c>
      <c r="G499" s="230">
        <f t="shared" ca="1" si="26"/>
        <v>3.0048378974633194E-2</v>
      </c>
    </row>
    <row r="500" spans="2:7" x14ac:dyDescent="0.25">
      <c r="B500" s="348">
        <v>45081</v>
      </c>
      <c r="C500" s="293">
        <v>183.32</v>
      </c>
      <c r="D500" s="230">
        <f t="shared" si="25"/>
        <v>-8.4379056685417453E-3</v>
      </c>
      <c r="E500" s="293">
        <v>1.9015659955257336E-2</v>
      </c>
      <c r="F500" s="266">
        <f t="shared" si="27"/>
        <v>493</v>
      </c>
      <c r="G500" s="230">
        <f t="shared" ca="1" si="26"/>
        <v>-1.9413741706364152E-3</v>
      </c>
    </row>
    <row r="501" spans="2:7" x14ac:dyDescent="0.25">
      <c r="B501" s="348">
        <v>45050</v>
      </c>
      <c r="C501" s="293">
        <v>184.88</v>
      </c>
      <c r="D501" s="230">
        <f t="shared" si="25"/>
        <v>4.8918360691379004E-3</v>
      </c>
      <c r="E501" s="293">
        <v>1.9012345679012332E-2</v>
      </c>
      <c r="F501" s="266">
        <f t="shared" si="27"/>
        <v>494</v>
      </c>
      <c r="G501" s="230">
        <f t="shared" ca="1" si="26"/>
        <v>1.0831544102778302E-2</v>
      </c>
    </row>
    <row r="502" spans="2:7" x14ac:dyDescent="0.25">
      <c r="B502" s="348">
        <v>44989</v>
      </c>
      <c r="C502" s="293">
        <v>183.98</v>
      </c>
      <c r="D502" s="230">
        <f t="shared" si="25"/>
        <v>7.3919947434704092E-3</v>
      </c>
      <c r="E502" s="293">
        <v>1.894423158790981E-2</v>
      </c>
      <c r="F502" s="266">
        <f t="shared" si="27"/>
        <v>495</v>
      </c>
      <c r="G502" s="230">
        <f t="shared" ca="1" si="26"/>
        <v>-9.4216747473509967E-3</v>
      </c>
    </row>
    <row r="503" spans="2:7" x14ac:dyDescent="0.25">
      <c r="B503" s="348" t="s">
        <v>856</v>
      </c>
      <c r="C503" s="293">
        <v>182.63</v>
      </c>
      <c r="D503" s="230">
        <f t="shared" si="25"/>
        <v>1.7323975044563289E-2</v>
      </c>
      <c r="E503" s="293">
        <v>1.8915698540363346E-2</v>
      </c>
      <c r="F503" s="266">
        <f t="shared" si="27"/>
        <v>496</v>
      </c>
      <c r="G503" s="230">
        <f t="shared" ca="1" si="26"/>
        <v>-3.448466516049193E-2</v>
      </c>
    </row>
    <row r="504" spans="2:7" x14ac:dyDescent="0.25">
      <c r="B504" s="348" t="s">
        <v>857</v>
      </c>
      <c r="C504" s="293">
        <v>179.52</v>
      </c>
      <c r="D504" s="230">
        <f t="shared" si="25"/>
        <v>7.9730488489613283E-3</v>
      </c>
      <c r="E504" s="293">
        <v>1.8903591682419618E-2</v>
      </c>
      <c r="F504" s="266">
        <f t="shared" si="27"/>
        <v>497</v>
      </c>
      <c r="G504" s="230">
        <f t="shared" ca="1" si="26"/>
        <v>-2.1462007242275177E-2</v>
      </c>
    </row>
    <row r="505" spans="2:7" x14ac:dyDescent="0.25">
      <c r="B505" s="348" t="s">
        <v>858</v>
      </c>
      <c r="C505" s="293">
        <v>178.1</v>
      </c>
      <c r="D505" s="230">
        <f t="shared" si="25"/>
        <v>-1.4006532691136608E-2</v>
      </c>
      <c r="E505" s="293">
        <v>1.8903591682419618E-2</v>
      </c>
      <c r="F505" s="266">
        <f t="shared" si="27"/>
        <v>498</v>
      </c>
      <c r="G505" s="230">
        <f t="shared" ca="1" si="26"/>
        <v>-3.0917732477485013E-2</v>
      </c>
    </row>
    <row r="506" spans="2:7" x14ac:dyDescent="0.25">
      <c r="B506" s="348" t="s">
        <v>859</v>
      </c>
      <c r="C506" s="293">
        <v>180.63</v>
      </c>
      <c r="D506" s="230">
        <f t="shared" si="25"/>
        <v>-1.3821318000885041E-3</v>
      </c>
      <c r="E506" s="293">
        <v>1.8892348598817499E-2</v>
      </c>
      <c r="F506" s="266">
        <f t="shared" si="27"/>
        <v>499</v>
      </c>
      <c r="G506" s="230">
        <f t="shared" ca="1" si="26"/>
        <v>-6.2906284935694105E-3</v>
      </c>
    </row>
    <row r="507" spans="2:7" x14ac:dyDescent="0.25">
      <c r="B507" s="348" t="s">
        <v>860</v>
      </c>
      <c r="C507" s="293">
        <v>180.88</v>
      </c>
      <c r="D507" s="230">
        <f t="shared" si="25"/>
        <v>7.1922544951585898E-4</v>
      </c>
      <c r="E507" s="293">
        <v>1.8859882791689042E-2</v>
      </c>
      <c r="F507" s="266">
        <f t="shared" si="27"/>
        <v>500</v>
      </c>
      <c r="G507" s="230">
        <f t="shared" ca="1" si="26"/>
        <v>-1.9307362502381277E-3</v>
      </c>
    </row>
    <row r="508" spans="2:7" x14ac:dyDescent="0.25">
      <c r="B508" s="348" t="s">
        <v>861</v>
      </c>
      <c r="C508" s="293">
        <v>180.75</v>
      </c>
      <c r="D508" s="230">
        <f t="shared" si="25"/>
        <v>-1.337336244541476E-2</v>
      </c>
      <c r="E508" s="293">
        <v>1.8840993434199094E-2</v>
      </c>
      <c r="F508" s="266">
        <f t="shared" si="27"/>
        <v>501</v>
      </c>
      <c r="G508" s="230">
        <f t="shared" ca="1" si="26"/>
        <v>-3.1723237159128038E-2</v>
      </c>
    </row>
    <row r="509" spans="2:7" x14ac:dyDescent="0.25">
      <c r="B509" s="348" t="s">
        <v>862</v>
      </c>
      <c r="C509" s="293">
        <v>183.2</v>
      </c>
      <c r="D509" s="230">
        <f t="shared" si="25"/>
        <v>0</v>
      </c>
      <c r="E509" s="293">
        <v>1.8752493682670623E-2</v>
      </c>
      <c r="F509" s="266">
        <f t="shared" si="27"/>
        <v>502</v>
      </c>
      <c r="G509" s="230">
        <f t="shared" ca="1" si="26"/>
        <v>-1.9553851620557339E-2</v>
      </c>
    </row>
    <row r="510" spans="2:7" x14ac:dyDescent="0.25">
      <c r="B510" s="348" t="s">
        <v>863</v>
      </c>
      <c r="C510" s="293">
        <v>183.2</v>
      </c>
      <c r="D510" s="230">
        <f t="shared" si="25"/>
        <v>-2.015579887781227E-3</v>
      </c>
      <c r="E510" s="293">
        <v>1.8742512656026777E-2</v>
      </c>
      <c r="F510" s="266">
        <f t="shared" si="27"/>
        <v>503</v>
      </c>
      <c r="G510" s="230">
        <f t="shared" ca="1" si="26"/>
        <v>4.2460314657413199E-2</v>
      </c>
    </row>
    <row r="511" spans="2:7" x14ac:dyDescent="0.25">
      <c r="B511" s="348" t="s">
        <v>864</v>
      </c>
      <c r="C511" s="293">
        <v>183.57</v>
      </c>
      <c r="D511" s="230">
        <f t="shared" si="25"/>
        <v>-2.4860557768924374E-2</v>
      </c>
      <c r="E511" s="293">
        <v>1.8739105171411863E-2</v>
      </c>
      <c r="F511" s="266">
        <f t="shared" si="27"/>
        <v>504</v>
      </c>
      <c r="G511" s="230">
        <f t="shared" ca="1" si="26"/>
        <v>-1.0128820908235846E-2</v>
      </c>
    </row>
    <row r="512" spans="2:7" x14ac:dyDescent="0.25">
      <c r="B512" s="348" t="s">
        <v>865</v>
      </c>
      <c r="C512" s="293">
        <v>188.25</v>
      </c>
      <c r="D512" s="230">
        <f t="shared" si="25"/>
        <v>9.7623772997907921E-3</v>
      </c>
      <c r="E512" s="293">
        <v>1.8722378465247047E-2</v>
      </c>
      <c r="F512" s="266">
        <f t="shared" si="27"/>
        <v>505</v>
      </c>
      <c r="G512" s="230">
        <f t="shared" ca="1" si="26"/>
        <v>5.079183162012349E-3</v>
      </c>
    </row>
    <row r="513" spans="2:7" x14ac:dyDescent="0.25">
      <c r="B513" s="348" t="s">
        <v>866</v>
      </c>
      <c r="C513" s="293">
        <v>186.43</v>
      </c>
      <c r="D513" s="230">
        <f t="shared" si="25"/>
        <v>-7.7176921439215951E-3</v>
      </c>
      <c r="E513" s="293">
        <v>1.8717139852786557E-2</v>
      </c>
      <c r="F513" s="266">
        <f t="shared" si="27"/>
        <v>506</v>
      </c>
      <c r="G513" s="230">
        <f t="shared" ca="1" si="26"/>
        <v>-1.1633963275837829E-2</v>
      </c>
    </row>
    <row r="514" spans="2:7" x14ac:dyDescent="0.25">
      <c r="B514" s="348" t="s">
        <v>867</v>
      </c>
      <c r="C514" s="293">
        <v>187.88</v>
      </c>
      <c r="D514" s="230">
        <f t="shared" si="25"/>
        <v>-9.7506983608285358E-3</v>
      </c>
      <c r="E514" s="293">
        <v>1.8714909544603753E-2</v>
      </c>
      <c r="F514" s="266">
        <f t="shared" si="27"/>
        <v>507</v>
      </c>
      <c r="G514" s="230">
        <f t="shared" ca="1" si="26"/>
        <v>6.5599056350813647E-3</v>
      </c>
    </row>
    <row r="515" spans="2:7" x14ac:dyDescent="0.25">
      <c r="B515" s="348" t="s">
        <v>868</v>
      </c>
      <c r="C515" s="293">
        <v>189.73</v>
      </c>
      <c r="D515" s="230">
        <f t="shared" si="25"/>
        <v>-1.5565817464847198E-2</v>
      </c>
      <c r="E515" s="293">
        <v>1.8691588785046731E-2</v>
      </c>
      <c r="F515" s="266">
        <f t="shared" si="27"/>
        <v>508</v>
      </c>
      <c r="G515" s="230">
        <f t="shared" ca="1" si="26"/>
        <v>1.2605548345513718E-2</v>
      </c>
    </row>
    <row r="516" spans="2:7" x14ac:dyDescent="0.25">
      <c r="B516" s="348" t="s">
        <v>869</v>
      </c>
      <c r="C516" s="293">
        <v>192.73</v>
      </c>
      <c r="D516" s="230">
        <f t="shared" si="25"/>
        <v>-9.3549216139811042E-3</v>
      </c>
      <c r="E516" s="293">
        <v>1.8671230745293421E-2</v>
      </c>
      <c r="F516" s="266">
        <f t="shared" si="27"/>
        <v>509</v>
      </c>
      <c r="G516" s="230">
        <f t="shared" ca="1" si="26"/>
        <v>2.1510979127783242E-2</v>
      </c>
    </row>
    <row r="517" spans="2:7" x14ac:dyDescent="0.25">
      <c r="B517" s="348">
        <v>45202</v>
      </c>
      <c r="C517" s="293">
        <v>194.55</v>
      </c>
      <c r="D517" s="230">
        <f t="shared" si="25"/>
        <v>-2.5634452704434985E-3</v>
      </c>
      <c r="E517" s="293">
        <v>1.8660689268702679E-2</v>
      </c>
      <c r="F517" s="266">
        <f t="shared" si="27"/>
        <v>510</v>
      </c>
      <c r="G517" s="230">
        <f t="shared" ca="1" si="26"/>
        <v>-2.5017263017277531E-2</v>
      </c>
    </row>
    <row r="518" spans="2:7" x14ac:dyDescent="0.25">
      <c r="B518" s="348">
        <v>45172</v>
      </c>
      <c r="C518" s="293">
        <v>195.05</v>
      </c>
      <c r="D518" s="230">
        <f t="shared" si="25"/>
        <v>-6.3678043810494467E-3</v>
      </c>
      <c r="E518" s="293">
        <v>1.862249672468641E-2</v>
      </c>
      <c r="F518" s="266">
        <f t="shared" si="27"/>
        <v>511</v>
      </c>
      <c r="G518" s="230">
        <f t="shared" ca="1" si="26"/>
        <v>-5.2151191113898876E-3</v>
      </c>
    </row>
    <row r="519" spans="2:7" x14ac:dyDescent="0.25">
      <c r="B519" s="348">
        <v>45141</v>
      </c>
      <c r="C519" s="293">
        <v>196.3</v>
      </c>
      <c r="D519" s="230">
        <f t="shared" si="25"/>
        <v>-2.9459569280779752E-3</v>
      </c>
      <c r="E519" s="293">
        <v>1.8533944189920826E-2</v>
      </c>
      <c r="F519" s="266">
        <f t="shared" si="27"/>
        <v>512</v>
      </c>
      <c r="G519" s="230">
        <f t="shared" ca="1" si="26"/>
        <v>1.8873868615837966E-2</v>
      </c>
    </row>
    <row r="520" spans="2:7" x14ac:dyDescent="0.25">
      <c r="B520" s="348">
        <v>45080</v>
      </c>
      <c r="C520" s="293">
        <v>196.88</v>
      </c>
      <c r="D520" s="230">
        <f t="shared" si="25"/>
        <v>8.4515699431439995E-3</v>
      </c>
      <c r="E520" s="293">
        <v>1.8513426816973766E-2</v>
      </c>
      <c r="F520" s="266">
        <f t="shared" si="27"/>
        <v>513</v>
      </c>
      <c r="G520" s="230">
        <f t="shared" ca="1" si="26"/>
        <v>7.4267197751030629E-4</v>
      </c>
    </row>
    <row r="521" spans="2:7" x14ac:dyDescent="0.25">
      <c r="B521" s="348">
        <v>44988</v>
      </c>
      <c r="C521" s="293">
        <v>195.23</v>
      </c>
      <c r="D521" s="230">
        <f t="shared" ref="D521:D584" si="28">C521/C522-1</f>
        <v>6.2364704669619631E-3</v>
      </c>
      <c r="E521" s="293">
        <v>1.8509615384615374E-2</v>
      </c>
      <c r="F521" s="266">
        <f t="shared" si="27"/>
        <v>514</v>
      </c>
      <c r="G521" s="230">
        <f t="shared" ref="G521:G584" ca="1" si="29">_xlfn.NORM.INV(RAND(),$M$10,$M$11)</f>
        <v>2.2556611333334642E-2</v>
      </c>
    </row>
    <row r="522" spans="2:7" x14ac:dyDescent="0.25">
      <c r="B522" s="348">
        <v>44960</v>
      </c>
      <c r="C522" s="293">
        <v>194.02</v>
      </c>
      <c r="D522" s="230">
        <f t="shared" si="28"/>
        <v>-7.4687947616123296E-3</v>
      </c>
      <c r="E522" s="293">
        <v>1.8503175918254566E-2</v>
      </c>
      <c r="F522" s="266">
        <f t="shared" ref="F522:F585" si="30">F521+1</f>
        <v>515</v>
      </c>
      <c r="G522" s="230">
        <f t="shared" ca="1" si="29"/>
        <v>3.8648547757390739E-2</v>
      </c>
    </row>
    <row r="523" spans="2:7" x14ac:dyDescent="0.25">
      <c r="B523" s="348">
        <v>44929</v>
      </c>
      <c r="C523" s="293">
        <v>195.48</v>
      </c>
      <c r="D523" s="230">
        <f t="shared" si="28"/>
        <v>1.0128152128978885E-2</v>
      </c>
      <c r="E523" s="293">
        <v>1.8488684311469106E-2</v>
      </c>
      <c r="F523" s="266">
        <f t="shared" si="30"/>
        <v>516</v>
      </c>
      <c r="G523" s="230">
        <f t="shared" ca="1" si="29"/>
        <v>-6.822092940542342E-3</v>
      </c>
    </row>
    <row r="524" spans="2:7" x14ac:dyDescent="0.25">
      <c r="B524" s="348" t="s">
        <v>870</v>
      </c>
      <c r="C524" s="293">
        <v>193.52</v>
      </c>
      <c r="D524" s="230">
        <f t="shared" si="28"/>
        <v>-8.504969771492954E-3</v>
      </c>
      <c r="E524" s="293">
        <v>1.846119831969939E-2</v>
      </c>
      <c r="F524" s="266">
        <f t="shared" si="30"/>
        <v>517</v>
      </c>
      <c r="G524" s="230">
        <f t="shared" ca="1" si="29"/>
        <v>-1.4559791638081796E-2</v>
      </c>
    </row>
    <row r="525" spans="2:7" x14ac:dyDescent="0.25">
      <c r="B525" s="348" t="s">
        <v>871</v>
      </c>
      <c r="C525" s="293">
        <v>195.18</v>
      </c>
      <c r="D525" s="230">
        <f t="shared" si="28"/>
        <v>-7.4752097635393255E-3</v>
      </c>
      <c r="E525" s="293">
        <v>1.8449099595736707E-2</v>
      </c>
      <c r="F525" s="266">
        <f t="shared" si="30"/>
        <v>518</v>
      </c>
      <c r="G525" s="230">
        <f t="shared" ca="1" si="29"/>
        <v>4.3667020444078917E-4</v>
      </c>
    </row>
    <row r="526" spans="2:7" x14ac:dyDescent="0.25">
      <c r="B526" s="348" t="s">
        <v>872</v>
      </c>
      <c r="C526" s="293">
        <v>196.65</v>
      </c>
      <c r="D526" s="230">
        <f t="shared" si="28"/>
        <v>-1.6752969844653354E-3</v>
      </c>
      <c r="E526" s="293">
        <v>1.8432846609801823E-2</v>
      </c>
      <c r="F526" s="266">
        <f t="shared" si="30"/>
        <v>519</v>
      </c>
      <c r="G526" s="230">
        <f t="shared" ca="1" si="29"/>
        <v>1.0286731275431874E-2</v>
      </c>
    </row>
    <row r="527" spans="2:7" x14ac:dyDescent="0.25">
      <c r="B527" s="348" t="s">
        <v>873</v>
      </c>
      <c r="C527" s="293">
        <v>196.98</v>
      </c>
      <c r="D527" s="230">
        <f t="shared" si="28"/>
        <v>-2.98628334261275E-3</v>
      </c>
      <c r="E527" s="293">
        <v>1.8387391502969308E-2</v>
      </c>
      <c r="F527" s="266">
        <f t="shared" si="30"/>
        <v>520</v>
      </c>
      <c r="G527" s="230">
        <f t="shared" ca="1" si="29"/>
        <v>-1.026018110677249E-2</v>
      </c>
    </row>
    <row r="528" spans="2:7" x14ac:dyDescent="0.25">
      <c r="B528" s="348" t="s">
        <v>874</v>
      </c>
      <c r="C528" s="293">
        <v>197.57</v>
      </c>
      <c r="D528" s="230">
        <f t="shared" si="28"/>
        <v>-1.8919455755288528E-2</v>
      </c>
      <c r="E528" s="293">
        <v>1.8385093167701871E-2</v>
      </c>
      <c r="F528" s="266">
        <f t="shared" si="30"/>
        <v>521</v>
      </c>
      <c r="G528" s="230">
        <f t="shared" ca="1" si="29"/>
        <v>3.5274825475857641E-2</v>
      </c>
    </row>
    <row r="529" spans="2:7" x14ac:dyDescent="0.25">
      <c r="B529" s="348" t="s">
        <v>875</v>
      </c>
      <c r="C529" s="293">
        <v>201.38</v>
      </c>
      <c r="D529" s="230">
        <f t="shared" si="28"/>
        <v>-1.051493710691831E-2</v>
      </c>
      <c r="E529" s="293">
        <v>1.8382993552883864E-2</v>
      </c>
      <c r="F529" s="266">
        <f t="shared" si="30"/>
        <v>522</v>
      </c>
      <c r="G529" s="230">
        <f t="shared" ca="1" si="29"/>
        <v>-2.6075690996314321E-2</v>
      </c>
    </row>
    <row r="530" spans="2:7" x14ac:dyDescent="0.25">
      <c r="B530" s="348" t="s">
        <v>876</v>
      </c>
      <c r="C530" s="293">
        <v>203.52</v>
      </c>
      <c r="D530" s="230">
        <f t="shared" si="28"/>
        <v>1.8213142997784981E-3</v>
      </c>
      <c r="E530" s="293">
        <v>1.8376211159371936E-2</v>
      </c>
      <c r="F530" s="266">
        <f t="shared" si="30"/>
        <v>523</v>
      </c>
      <c r="G530" s="230">
        <f t="shared" ca="1" si="29"/>
        <v>-1.3807224350564081E-2</v>
      </c>
    </row>
    <row r="531" spans="2:7" x14ac:dyDescent="0.25">
      <c r="B531" s="348" t="s">
        <v>877</v>
      </c>
      <c r="C531" s="293">
        <v>203.15</v>
      </c>
      <c r="D531" s="230">
        <f t="shared" si="28"/>
        <v>-8.7826299097339966E-3</v>
      </c>
      <c r="E531" s="293">
        <v>1.8328673501087467E-2</v>
      </c>
      <c r="F531" s="266">
        <f t="shared" si="30"/>
        <v>524</v>
      </c>
      <c r="G531" s="230">
        <f t="shared" ca="1" si="29"/>
        <v>1.2364014850667467E-2</v>
      </c>
    </row>
    <row r="532" spans="2:7" x14ac:dyDescent="0.25">
      <c r="B532" s="348" t="s">
        <v>878</v>
      </c>
      <c r="C532" s="293">
        <v>204.95</v>
      </c>
      <c r="D532" s="230">
        <f t="shared" si="28"/>
        <v>6.1364752086401353E-3</v>
      </c>
      <c r="E532" s="293">
        <v>1.8291215403128724E-2</v>
      </c>
      <c r="F532" s="266">
        <f t="shared" si="30"/>
        <v>525</v>
      </c>
      <c r="G532" s="230">
        <f t="shared" ca="1" si="29"/>
        <v>4.4623296230945526E-3</v>
      </c>
    </row>
    <row r="533" spans="2:7" x14ac:dyDescent="0.25">
      <c r="B533" s="348" t="s">
        <v>879</v>
      </c>
      <c r="C533" s="293">
        <v>203.7</v>
      </c>
      <c r="D533" s="230">
        <f t="shared" si="28"/>
        <v>5.6776104665514637E-3</v>
      </c>
      <c r="E533" s="293">
        <v>1.8217626784835073E-2</v>
      </c>
      <c r="F533" s="266">
        <f t="shared" si="30"/>
        <v>526</v>
      </c>
      <c r="G533" s="230">
        <f t="shared" ca="1" si="29"/>
        <v>2.0907023894284602E-2</v>
      </c>
    </row>
    <row r="534" spans="2:7" x14ac:dyDescent="0.25">
      <c r="B534" s="348" t="s">
        <v>880</v>
      </c>
      <c r="C534" s="293">
        <v>202.55</v>
      </c>
      <c r="D534" s="230">
        <f t="shared" si="28"/>
        <v>1.1233150274588155E-2</v>
      </c>
      <c r="E534" s="293">
        <v>1.8214285714285738E-2</v>
      </c>
      <c r="F534" s="266">
        <f t="shared" si="30"/>
        <v>527</v>
      </c>
      <c r="G534" s="230">
        <f t="shared" ca="1" si="29"/>
        <v>7.9680500239875159E-3</v>
      </c>
    </row>
    <row r="535" spans="2:7" x14ac:dyDescent="0.25">
      <c r="B535" s="348" t="s">
        <v>881</v>
      </c>
      <c r="C535" s="293">
        <v>200.3</v>
      </c>
      <c r="D535" s="230">
        <f t="shared" si="28"/>
        <v>-1.2814194184327277E-2</v>
      </c>
      <c r="E535" s="293">
        <v>1.819407008086249E-2</v>
      </c>
      <c r="F535" s="266">
        <f t="shared" si="30"/>
        <v>528</v>
      </c>
      <c r="G535" s="230">
        <f t="shared" ca="1" si="29"/>
        <v>3.5747577266775896E-2</v>
      </c>
    </row>
    <row r="536" spans="2:7" x14ac:dyDescent="0.25">
      <c r="B536" s="348">
        <v>45201</v>
      </c>
      <c r="C536" s="293">
        <v>202.9</v>
      </c>
      <c r="D536" s="230">
        <f t="shared" si="28"/>
        <v>-6.1229488121479214E-3</v>
      </c>
      <c r="E536" s="293">
        <v>1.816495745145108E-2</v>
      </c>
      <c r="F536" s="266">
        <f t="shared" si="30"/>
        <v>529</v>
      </c>
      <c r="G536" s="230">
        <f t="shared" ca="1" si="29"/>
        <v>-4.5051414954742778E-3</v>
      </c>
    </row>
    <row r="537" spans="2:7" x14ac:dyDescent="0.25">
      <c r="B537" s="348">
        <v>45171</v>
      </c>
      <c r="C537" s="293">
        <v>204.15</v>
      </c>
      <c r="D537" s="230">
        <f t="shared" si="28"/>
        <v>3.7860163241223432E-3</v>
      </c>
      <c r="E537" s="293">
        <v>1.8158783783783772E-2</v>
      </c>
      <c r="F537" s="266">
        <f t="shared" si="30"/>
        <v>530</v>
      </c>
      <c r="G537" s="230">
        <f t="shared" ca="1" si="29"/>
        <v>-2.0930621060033139E-3</v>
      </c>
    </row>
    <row r="538" spans="2:7" x14ac:dyDescent="0.25">
      <c r="B538" s="348">
        <v>45140</v>
      </c>
      <c r="C538" s="293">
        <v>203.38</v>
      </c>
      <c r="D538" s="230">
        <f t="shared" si="28"/>
        <v>1.563046192259665E-2</v>
      </c>
      <c r="E538" s="293">
        <v>1.8117977528089746E-2</v>
      </c>
      <c r="F538" s="266">
        <f t="shared" si="30"/>
        <v>531</v>
      </c>
      <c r="G538" s="230">
        <f t="shared" ca="1" si="29"/>
        <v>8.5473172225803504E-3</v>
      </c>
    </row>
    <row r="539" spans="2:7" x14ac:dyDescent="0.25">
      <c r="B539" s="348">
        <v>45109</v>
      </c>
      <c r="C539" s="293">
        <v>200.25</v>
      </c>
      <c r="D539" s="230">
        <f t="shared" si="28"/>
        <v>-1.0231316725978656E-2</v>
      </c>
      <c r="E539" s="293">
        <v>1.8109269490484969E-2</v>
      </c>
      <c r="F539" s="266">
        <f t="shared" si="30"/>
        <v>532</v>
      </c>
      <c r="G539" s="230">
        <f t="shared" ca="1" si="29"/>
        <v>8.8791107829705972E-4</v>
      </c>
    </row>
    <row r="540" spans="2:7" x14ac:dyDescent="0.25">
      <c r="B540" s="348">
        <v>45079</v>
      </c>
      <c r="C540" s="293">
        <v>202.32</v>
      </c>
      <c r="D540" s="230">
        <f t="shared" si="28"/>
        <v>-7.9921549399362135E-3</v>
      </c>
      <c r="E540" s="293">
        <v>1.8101018859744133E-2</v>
      </c>
      <c r="F540" s="266">
        <f t="shared" si="30"/>
        <v>533</v>
      </c>
      <c r="G540" s="230">
        <f t="shared" ca="1" si="29"/>
        <v>4.4400534197084021E-2</v>
      </c>
    </row>
    <row r="541" spans="2:7" x14ac:dyDescent="0.25">
      <c r="B541" s="348">
        <v>44987</v>
      </c>
      <c r="C541" s="293">
        <v>203.95</v>
      </c>
      <c r="D541" s="230">
        <f t="shared" si="28"/>
        <v>-3.8098959605333826E-3</v>
      </c>
      <c r="E541" s="293">
        <v>1.8098295328757841E-2</v>
      </c>
      <c r="F541" s="266">
        <f t="shared" si="30"/>
        <v>534</v>
      </c>
      <c r="G541" s="230">
        <f t="shared" ca="1" si="29"/>
        <v>2.4083999783978474E-2</v>
      </c>
    </row>
    <row r="542" spans="2:7" x14ac:dyDescent="0.25">
      <c r="B542" s="348">
        <v>44959</v>
      </c>
      <c r="C542" s="293">
        <v>204.73</v>
      </c>
      <c r="D542" s="230">
        <f t="shared" si="28"/>
        <v>1.7544731610337871E-2</v>
      </c>
      <c r="E542" s="293">
        <v>1.8095453517303683E-2</v>
      </c>
      <c r="F542" s="266">
        <f t="shared" si="30"/>
        <v>535</v>
      </c>
      <c r="G542" s="230">
        <f t="shared" ca="1" si="29"/>
        <v>4.798651819899151E-2</v>
      </c>
    </row>
    <row r="543" spans="2:7" x14ac:dyDescent="0.25">
      <c r="B543" s="348">
        <v>44928</v>
      </c>
      <c r="C543" s="293">
        <v>201.2</v>
      </c>
      <c r="D543" s="230">
        <f t="shared" si="28"/>
        <v>8.8752945895802515E-3</v>
      </c>
      <c r="E543" s="293">
        <v>1.806451612903226E-2</v>
      </c>
      <c r="F543" s="266">
        <f t="shared" si="30"/>
        <v>536</v>
      </c>
      <c r="G543" s="230">
        <f t="shared" ca="1" si="29"/>
        <v>-3.6887433186666554E-2</v>
      </c>
    </row>
    <row r="544" spans="2:7" x14ac:dyDescent="0.25">
      <c r="B544" s="348" t="s">
        <v>882</v>
      </c>
      <c r="C544" s="293">
        <v>199.43</v>
      </c>
      <c r="D544" s="230">
        <f t="shared" si="28"/>
        <v>-8.4522448167850817E-3</v>
      </c>
      <c r="E544" s="293">
        <v>1.8048190529351693E-2</v>
      </c>
      <c r="F544" s="266">
        <f t="shared" si="30"/>
        <v>537</v>
      </c>
      <c r="G544" s="230">
        <f t="shared" ca="1" si="29"/>
        <v>-2.5136778649502721E-2</v>
      </c>
    </row>
    <row r="545" spans="2:7" x14ac:dyDescent="0.25">
      <c r="B545" s="348" t="s">
        <v>883</v>
      </c>
      <c r="C545" s="293">
        <v>201.13</v>
      </c>
      <c r="D545" s="230">
        <f t="shared" si="28"/>
        <v>1.0601949552808687E-2</v>
      </c>
      <c r="E545" s="293">
        <v>1.8027210884353773E-2</v>
      </c>
      <c r="F545" s="266">
        <f t="shared" si="30"/>
        <v>538</v>
      </c>
      <c r="G545" s="230">
        <f t="shared" ca="1" si="29"/>
        <v>-2.9886896691419381E-3</v>
      </c>
    </row>
    <row r="546" spans="2:7" x14ac:dyDescent="0.25">
      <c r="B546" s="348" t="s">
        <v>884</v>
      </c>
      <c r="C546" s="293">
        <v>199.02</v>
      </c>
      <c r="D546" s="230">
        <f t="shared" si="28"/>
        <v>-8.716441699457067E-3</v>
      </c>
      <c r="E546" s="293">
        <v>1.7983074753173511E-2</v>
      </c>
      <c r="F546" s="266">
        <f t="shared" si="30"/>
        <v>539</v>
      </c>
      <c r="G546" s="230">
        <f t="shared" ca="1" si="29"/>
        <v>2.2008056650555947E-2</v>
      </c>
    </row>
    <row r="547" spans="2:7" x14ac:dyDescent="0.25">
      <c r="B547" s="348" t="s">
        <v>885</v>
      </c>
      <c r="C547" s="293">
        <v>200.77</v>
      </c>
      <c r="D547" s="230">
        <f t="shared" si="28"/>
        <v>-1.2444663059517969E-2</v>
      </c>
      <c r="E547" s="293">
        <v>1.7982412805058967E-2</v>
      </c>
      <c r="F547" s="266">
        <f t="shared" si="30"/>
        <v>540</v>
      </c>
      <c r="G547" s="230">
        <f t="shared" ca="1" si="29"/>
        <v>-2.0215252478835467E-2</v>
      </c>
    </row>
    <row r="548" spans="2:7" x14ac:dyDescent="0.25">
      <c r="B548" s="348" t="s">
        <v>886</v>
      </c>
      <c r="C548" s="293">
        <v>203.3</v>
      </c>
      <c r="D548" s="230">
        <f t="shared" si="28"/>
        <v>-9.8280098280090211E-4</v>
      </c>
      <c r="E548" s="293">
        <v>1.7969041789434481E-2</v>
      </c>
      <c r="F548" s="266">
        <f t="shared" si="30"/>
        <v>541</v>
      </c>
      <c r="G548" s="230">
        <f t="shared" ca="1" si="29"/>
        <v>-1.1327062059232305E-3</v>
      </c>
    </row>
    <row r="549" spans="2:7" x14ac:dyDescent="0.25">
      <c r="B549" s="348" t="s">
        <v>887</v>
      </c>
      <c r="C549" s="293">
        <v>203.5</v>
      </c>
      <c r="D549" s="230">
        <f t="shared" si="28"/>
        <v>9.5748375254254281E-3</v>
      </c>
      <c r="E549" s="293">
        <v>1.7950635751682986E-2</v>
      </c>
      <c r="F549" s="266">
        <f t="shared" si="30"/>
        <v>542</v>
      </c>
      <c r="G549" s="230">
        <f t="shared" ca="1" si="29"/>
        <v>-2.3866378029676607E-4</v>
      </c>
    </row>
    <row r="550" spans="2:7" x14ac:dyDescent="0.25">
      <c r="B550" s="348" t="s">
        <v>888</v>
      </c>
      <c r="C550" s="293">
        <v>201.57</v>
      </c>
      <c r="D550" s="230">
        <f t="shared" si="28"/>
        <v>-6.4452156668315386E-4</v>
      </c>
      <c r="E550" s="293">
        <v>1.7934320231410616E-2</v>
      </c>
      <c r="F550" s="266">
        <f t="shared" si="30"/>
        <v>543</v>
      </c>
      <c r="G550" s="230">
        <f t="shared" ca="1" si="29"/>
        <v>3.2086302882806943E-2</v>
      </c>
    </row>
    <row r="551" spans="2:7" x14ac:dyDescent="0.25">
      <c r="B551" s="348" t="s">
        <v>889</v>
      </c>
      <c r="C551" s="293">
        <v>201.7</v>
      </c>
      <c r="D551" s="230">
        <f t="shared" si="28"/>
        <v>4.9603174603163325E-4</v>
      </c>
      <c r="E551" s="293">
        <v>1.7925040738729026E-2</v>
      </c>
      <c r="F551" s="266">
        <f t="shared" si="30"/>
        <v>544</v>
      </c>
      <c r="G551" s="230">
        <f t="shared" ca="1" si="29"/>
        <v>3.0433479893409353E-2</v>
      </c>
    </row>
    <row r="552" spans="2:7" x14ac:dyDescent="0.25">
      <c r="B552" s="348" t="s">
        <v>890</v>
      </c>
      <c r="C552" s="293">
        <v>201.6</v>
      </c>
      <c r="D552" s="230">
        <f t="shared" si="28"/>
        <v>1.72570390554041E-2</v>
      </c>
      <c r="E552" s="293">
        <v>1.7922948073701761E-2</v>
      </c>
      <c r="F552" s="266">
        <f t="shared" si="30"/>
        <v>545</v>
      </c>
      <c r="G552" s="230">
        <f t="shared" ca="1" si="29"/>
        <v>1.0033218777195801E-2</v>
      </c>
    </row>
    <row r="553" spans="2:7" x14ac:dyDescent="0.25">
      <c r="B553" s="348" t="s">
        <v>891</v>
      </c>
      <c r="C553" s="293">
        <v>198.18</v>
      </c>
      <c r="D553" s="230">
        <f t="shared" si="28"/>
        <v>-5.6196688409433371E-3</v>
      </c>
      <c r="E553" s="293">
        <v>1.7907932160539319E-2</v>
      </c>
      <c r="F553" s="266">
        <f t="shared" si="30"/>
        <v>546</v>
      </c>
      <c r="G553" s="230">
        <f t="shared" ca="1" si="29"/>
        <v>2.1779136217584417E-3</v>
      </c>
    </row>
    <row r="554" spans="2:7" x14ac:dyDescent="0.25">
      <c r="B554" s="348" t="s">
        <v>892</v>
      </c>
      <c r="C554" s="293">
        <v>199.3</v>
      </c>
      <c r="D554" s="230">
        <f t="shared" si="28"/>
        <v>1.1931962427011999E-2</v>
      </c>
      <c r="E554" s="293">
        <v>1.7907634307257281E-2</v>
      </c>
      <c r="F554" s="266">
        <f t="shared" si="30"/>
        <v>547</v>
      </c>
      <c r="G554" s="230">
        <f t="shared" ca="1" si="29"/>
        <v>4.6300925414817444E-2</v>
      </c>
    </row>
    <row r="555" spans="2:7" x14ac:dyDescent="0.25">
      <c r="B555" s="348" t="s">
        <v>893</v>
      </c>
      <c r="C555" s="293">
        <v>196.95</v>
      </c>
      <c r="D555" s="230">
        <f t="shared" si="28"/>
        <v>-1.5209125475286189E-3</v>
      </c>
      <c r="E555" s="293">
        <v>1.7891221374045863E-2</v>
      </c>
      <c r="F555" s="266">
        <f t="shared" si="30"/>
        <v>548</v>
      </c>
      <c r="G555" s="230">
        <f t="shared" ca="1" si="29"/>
        <v>-2.4345109234425615E-2</v>
      </c>
    </row>
    <row r="556" spans="2:7" x14ac:dyDescent="0.25">
      <c r="B556" s="348">
        <v>45261</v>
      </c>
      <c r="C556" s="293">
        <v>197.25</v>
      </c>
      <c r="D556" s="230">
        <f t="shared" si="28"/>
        <v>1.6249428731021087E-3</v>
      </c>
      <c r="E556" s="293">
        <v>1.7876787678767991E-2</v>
      </c>
      <c r="F556" s="266">
        <f t="shared" si="30"/>
        <v>549</v>
      </c>
      <c r="G556" s="230">
        <f t="shared" ca="1" si="29"/>
        <v>-1.9566525825067266E-2</v>
      </c>
    </row>
    <row r="557" spans="2:7" x14ac:dyDescent="0.25">
      <c r="B557" s="348">
        <v>45231</v>
      </c>
      <c r="C557" s="293">
        <v>196.93</v>
      </c>
      <c r="D557" s="230">
        <f t="shared" si="28"/>
        <v>2.0863016486871722E-3</v>
      </c>
      <c r="E557" s="293">
        <v>1.7873669597408659E-2</v>
      </c>
      <c r="F557" s="266">
        <f t="shared" si="30"/>
        <v>550</v>
      </c>
      <c r="G557" s="230">
        <f t="shared" ca="1" si="29"/>
        <v>3.9530182400950027E-2</v>
      </c>
    </row>
    <row r="558" spans="2:7" x14ac:dyDescent="0.25">
      <c r="B558" s="348">
        <v>45200</v>
      </c>
      <c r="C558" s="293">
        <v>196.52</v>
      </c>
      <c r="D558" s="230">
        <f t="shared" si="28"/>
        <v>3.164880040837259E-3</v>
      </c>
      <c r="E558" s="293">
        <v>1.7834269386146406E-2</v>
      </c>
      <c r="F558" s="266">
        <f t="shared" si="30"/>
        <v>551</v>
      </c>
      <c r="G558" s="230">
        <f t="shared" ca="1" si="29"/>
        <v>1.439567281927632E-2</v>
      </c>
    </row>
    <row r="559" spans="2:7" x14ac:dyDescent="0.25">
      <c r="B559" s="348">
        <v>45170</v>
      </c>
      <c r="C559" s="293">
        <v>195.9</v>
      </c>
      <c r="D559" s="230">
        <f t="shared" si="28"/>
        <v>2.5654450261780148E-2</v>
      </c>
      <c r="E559" s="293">
        <v>1.7820693986497105E-2</v>
      </c>
      <c r="F559" s="266">
        <f t="shared" si="30"/>
        <v>552</v>
      </c>
      <c r="G559" s="230">
        <f t="shared" ca="1" si="29"/>
        <v>1.3995873155854703E-2</v>
      </c>
    </row>
    <row r="560" spans="2:7" x14ac:dyDescent="0.25">
      <c r="B560" s="348">
        <v>45078</v>
      </c>
      <c r="C560" s="293">
        <v>191</v>
      </c>
      <c r="D560" s="230">
        <f t="shared" si="28"/>
        <v>-1.2664771258723118E-2</v>
      </c>
      <c r="E560" s="293">
        <v>1.7806132165301802E-2</v>
      </c>
      <c r="F560" s="266">
        <f t="shared" si="30"/>
        <v>553</v>
      </c>
      <c r="G560" s="230">
        <f t="shared" ca="1" si="29"/>
        <v>-3.2771068443384316E-2</v>
      </c>
    </row>
    <row r="561" spans="2:7" x14ac:dyDescent="0.25">
      <c r="B561" s="348">
        <v>45047</v>
      </c>
      <c r="C561" s="293">
        <v>193.45</v>
      </c>
      <c r="D561" s="230">
        <f t="shared" si="28"/>
        <v>-7.1850141134206513E-3</v>
      </c>
      <c r="E561" s="293">
        <v>1.7764618800888199E-2</v>
      </c>
      <c r="F561" s="266">
        <f t="shared" si="30"/>
        <v>554</v>
      </c>
      <c r="G561" s="230">
        <f t="shared" ca="1" si="29"/>
        <v>2.1773937082618752E-2</v>
      </c>
    </row>
    <row r="562" spans="2:7" x14ac:dyDescent="0.25">
      <c r="B562" s="348">
        <v>45017</v>
      </c>
      <c r="C562" s="293">
        <v>194.85</v>
      </c>
      <c r="D562" s="230">
        <f t="shared" si="28"/>
        <v>-1.8486802337296049E-2</v>
      </c>
      <c r="E562" s="293">
        <v>1.7635270541082271E-2</v>
      </c>
      <c r="F562" s="266">
        <f t="shared" si="30"/>
        <v>555</v>
      </c>
      <c r="G562" s="230">
        <f t="shared" ca="1" si="29"/>
        <v>4.1328658889602611E-2</v>
      </c>
    </row>
    <row r="563" spans="2:7" x14ac:dyDescent="0.25">
      <c r="B563" s="348">
        <v>44986</v>
      </c>
      <c r="C563" s="293">
        <v>198.52</v>
      </c>
      <c r="D563" s="230">
        <f t="shared" si="28"/>
        <v>1.0177081213108119E-2</v>
      </c>
      <c r="E563" s="293">
        <v>1.7601915088361508E-2</v>
      </c>
      <c r="F563" s="266">
        <f t="shared" si="30"/>
        <v>556</v>
      </c>
      <c r="G563" s="230">
        <f t="shared" ca="1" si="29"/>
        <v>-4.9555881358855653E-3</v>
      </c>
    </row>
    <row r="564" spans="2:7" x14ac:dyDescent="0.25">
      <c r="B564" s="348">
        <v>44958</v>
      </c>
      <c r="C564" s="293">
        <v>196.52</v>
      </c>
      <c r="D564" s="230">
        <f t="shared" si="28"/>
        <v>7.1290355433362151E-4</v>
      </c>
      <c r="E564" s="293">
        <v>1.7544731610337871E-2</v>
      </c>
      <c r="F564" s="266">
        <f t="shared" si="30"/>
        <v>557</v>
      </c>
      <c r="G564" s="230">
        <f t="shared" ca="1" si="29"/>
        <v>1.7761475048909528E-2</v>
      </c>
    </row>
    <row r="565" spans="2:7" x14ac:dyDescent="0.25">
      <c r="B565" s="348" t="s">
        <v>894</v>
      </c>
      <c r="C565" s="293">
        <v>196.38</v>
      </c>
      <c r="D565" s="230">
        <f t="shared" si="28"/>
        <v>5.1182311393183078E-3</v>
      </c>
      <c r="E565" s="293">
        <v>1.7530422942728219E-2</v>
      </c>
      <c r="F565" s="266">
        <f t="shared" si="30"/>
        <v>558</v>
      </c>
      <c r="G565" s="230">
        <f t="shared" ca="1" si="29"/>
        <v>-1.3103158049234277E-2</v>
      </c>
    </row>
    <row r="566" spans="2:7" x14ac:dyDescent="0.25">
      <c r="B566" s="348" t="s">
        <v>895</v>
      </c>
      <c r="C566" s="293">
        <v>195.38</v>
      </c>
      <c r="D566" s="230">
        <f t="shared" si="28"/>
        <v>7.6328004125838511E-3</v>
      </c>
      <c r="E566" s="293">
        <v>1.7466822794691472E-2</v>
      </c>
      <c r="F566" s="266">
        <f t="shared" si="30"/>
        <v>559</v>
      </c>
      <c r="G566" s="230">
        <f t="shared" ca="1" si="29"/>
        <v>9.7028702918841841E-3</v>
      </c>
    </row>
    <row r="567" spans="2:7" x14ac:dyDescent="0.25">
      <c r="B567" s="348" t="s">
        <v>896</v>
      </c>
      <c r="C567" s="293">
        <v>193.9</v>
      </c>
      <c r="D567" s="230">
        <f t="shared" si="28"/>
        <v>3.1039834454216209E-3</v>
      </c>
      <c r="E567" s="293">
        <v>1.7390387858347456E-2</v>
      </c>
      <c r="F567" s="266">
        <f t="shared" si="30"/>
        <v>560</v>
      </c>
      <c r="G567" s="230">
        <f t="shared" ca="1" si="29"/>
        <v>2.5036967543077417E-2</v>
      </c>
    </row>
    <row r="568" spans="2:7" x14ac:dyDescent="0.25">
      <c r="B568" s="348" t="s">
        <v>897</v>
      </c>
      <c r="C568" s="293">
        <v>193.3</v>
      </c>
      <c r="D568" s="230">
        <f t="shared" si="28"/>
        <v>1.6031537450722722E-2</v>
      </c>
      <c r="E568" s="293">
        <v>1.7381738173817496E-2</v>
      </c>
      <c r="F568" s="266">
        <f t="shared" si="30"/>
        <v>561</v>
      </c>
      <c r="G568" s="230">
        <f t="shared" ca="1" si="29"/>
        <v>1.8882449785859576E-3</v>
      </c>
    </row>
    <row r="569" spans="2:7" x14ac:dyDescent="0.25">
      <c r="B569" s="348" t="s">
        <v>898</v>
      </c>
      <c r="C569" s="293">
        <v>190.25</v>
      </c>
      <c r="D569" s="230">
        <f t="shared" si="28"/>
        <v>7.5733502806907271E-3</v>
      </c>
      <c r="E569" s="293">
        <v>1.7323975044563289E-2</v>
      </c>
      <c r="F569" s="266">
        <f t="shared" si="30"/>
        <v>562</v>
      </c>
      <c r="G569" s="230">
        <f t="shared" ca="1" si="29"/>
        <v>-2.1616647744661811E-3</v>
      </c>
    </row>
    <row r="570" spans="2:7" x14ac:dyDescent="0.25">
      <c r="B570" s="348" t="s">
        <v>899</v>
      </c>
      <c r="C570" s="293">
        <v>188.82</v>
      </c>
      <c r="D570" s="230">
        <f t="shared" si="28"/>
        <v>-2.8603765819528726E-2</v>
      </c>
      <c r="E570" s="293">
        <v>1.7322834645669305E-2</v>
      </c>
      <c r="F570" s="266">
        <f t="shared" si="30"/>
        <v>563</v>
      </c>
      <c r="G570" s="230">
        <f t="shared" ca="1" si="29"/>
        <v>1.4663021286714192E-2</v>
      </c>
    </row>
    <row r="571" spans="2:7" x14ac:dyDescent="0.25">
      <c r="B571" s="348" t="s">
        <v>900</v>
      </c>
      <c r="C571" s="293">
        <v>194.38</v>
      </c>
      <c r="D571" s="230">
        <f t="shared" si="28"/>
        <v>-1.8998716302952579E-3</v>
      </c>
      <c r="E571" s="293">
        <v>1.73180076628352E-2</v>
      </c>
      <c r="F571" s="266">
        <f t="shared" si="30"/>
        <v>564</v>
      </c>
      <c r="G571" s="230">
        <f t="shared" ca="1" si="29"/>
        <v>2.5329221538843483E-2</v>
      </c>
    </row>
    <row r="572" spans="2:7" x14ac:dyDescent="0.25">
      <c r="B572" s="348" t="s">
        <v>901</v>
      </c>
      <c r="C572" s="293">
        <v>194.75</v>
      </c>
      <c r="D572" s="230">
        <f t="shared" si="28"/>
        <v>1.3883175647881885E-3</v>
      </c>
      <c r="E572" s="293">
        <v>1.72570390554041E-2</v>
      </c>
      <c r="F572" s="266">
        <f t="shared" si="30"/>
        <v>565</v>
      </c>
      <c r="G572" s="230">
        <f t="shared" ca="1" si="29"/>
        <v>2.6927033941492658E-2</v>
      </c>
    </row>
    <row r="573" spans="2:7" x14ac:dyDescent="0.25">
      <c r="B573" s="348" t="s">
        <v>902</v>
      </c>
      <c r="C573" s="293">
        <v>194.48</v>
      </c>
      <c r="D573" s="230">
        <f t="shared" si="28"/>
        <v>-2.056343820687756E-4</v>
      </c>
      <c r="E573" s="293">
        <v>1.7254201993157858E-2</v>
      </c>
      <c r="F573" s="266">
        <f t="shared" si="30"/>
        <v>566</v>
      </c>
      <c r="G573" s="230">
        <f t="shared" ca="1" si="29"/>
        <v>-2.1817010434903444E-2</v>
      </c>
    </row>
    <row r="574" spans="2:7" x14ac:dyDescent="0.25">
      <c r="B574" s="348" t="s">
        <v>903</v>
      </c>
      <c r="C574" s="293">
        <v>194.52</v>
      </c>
      <c r="D574" s="230">
        <f t="shared" si="28"/>
        <v>-1.847290640394017E-3</v>
      </c>
      <c r="E574" s="293">
        <v>1.7254092316767444E-2</v>
      </c>
      <c r="F574" s="266">
        <f t="shared" si="30"/>
        <v>567</v>
      </c>
      <c r="G574" s="230">
        <f t="shared" ca="1" si="29"/>
        <v>-2.475862246858819E-2</v>
      </c>
    </row>
    <row r="575" spans="2:7" x14ac:dyDescent="0.25">
      <c r="B575" s="348" t="s">
        <v>904</v>
      </c>
      <c r="C575" s="293">
        <v>194.88</v>
      </c>
      <c r="D575" s="230">
        <f t="shared" si="28"/>
        <v>-1.3765182186234792E-2</v>
      </c>
      <c r="E575" s="293">
        <v>1.7206663005674416E-2</v>
      </c>
      <c r="F575" s="266">
        <f t="shared" si="30"/>
        <v>568</v>
      </c>
      <c r="G575" s="230">
        <f t="shared" ca="1" si="29"/>
        <v>1.2307442089477207E-2</v>
      </c>
    </row>
    <row r="576" spans="2:7" x14ac:dyDescent="0.25">
      <c r="B576" s="348" t="s">
        <v>905</v>
      </c>
      <c r="C576" s="293">
        <v>197.6</v>
      </c>
      <c r="D576" s="230">
        <f t="shared" si="28"/>
        <v>-1.2098790120988023E-2</v>
      </c>
      <c r="E576" s="293">
        <v>1.7184035476718318E-2</v>
      </c>
      <c r="F576" s="266">
        <f t="shared" si="30"/>
        <v>569</v>
      </c>
      <c r="G576" s="230">
        <f t="shared" ca="1" si="29"/>
        <v>-1.4124557469110629E-3</v>
      </c>
    </row>
    <row r="577" spans="2:7" x14ac:dyDescent="0.25">
      <c r="B577" s="348" t="s">
        <v>906</v>
      </c>
      <c r="C577" s="293">
        <v>200.02</v>
      </c>
      <c r="D577" s="230">
        <f t="shared" si="28"/>
        <v>5.7320997586485234E-3</v>
      </c>
      <c r="E577" s="293">
        <v>1.716738197424883E-2</v>
      </c>
      <c r="F577" s="266">
        <f t="shared" si="30"/>
        <v>570</v>
      </c>
      <c r="G577" s="230">
        <f t="shared" ca="1" si="29"/>
        <v>1.1361239609844047E-2</v>
      </c>
    </row>
    <row r="578" spans="2:7" x14ac:dyDescent="0.25">
      <c r="B578" s="348" t="s">
        <v>907</v>
      </c>
      <c r="C578" s="293">
        <v>198.88</v>
      </c>
      <c r="D578" s="230">
        <f t="shared" si="28"/>
        <v>3.5321424967200699E-3</v>
      </c>
      <c r="E578" s="293">
        <v>1.7119565217391441E-2</v>
      </c>
      <c r="F578" s="266">
        <f t="shared" si="30"/>
        <v>571</v>
      </c>
      <c r="G578" s="230">
        <f t="shared" ca="1" si="29"/>
        <v>3.0542771913097198E-2</v>
      </c>
    </row>
    <row r="579" spans="2:7" x14ac:dyDescent="0.25">
      <c r="B579" s="348">
        <v>44907</v>
      </c>
      <c r="C579" s="293">
        <v>198.18</v>
      </c>
      <c r="D579" s="230">
        <f t="shared" si="28"/>
        <v>5.8877271343009685E-3</v>
      </c>
      <c r="E579" s="293">
        <v>1.7117270305503585E-2</v>
      </c>
      <c r="F579" s="266">
        <f t="shared" si="30"/>
        <v>572</v>
      </c>
      <c r="G579" s="230">
        <f t="shared" ca="1" si="29"/>
        <v>8.8446266803281805E-3</v>
      </c>
    </row>
    <row r="580" spans="2:7" x14ac:dyDescent="0.25">
      <c r="B580" s="348">
        <v>44816</v>
      </c>
      <c r="C580" s="293">
        <v>197.02</v>
      </c>
      <c r="D580" s="230">
        <f t="shared" si="28"/>
        <v>-2.3928659895962268E-2</v>
      </c>
      <c r="E580" s="293">
        <v>1.7114523352527167E-2</v>
      </c>
      <c r="F580" s="266">
        <f t="shared" si="30"/>
        <v>573</v>
      </c>
      <c r="G580" s="230">
        <f t="shared" ca="1" si="29"/>
        <v>-4.4579463748535683E-3</v>
      </c>
    </row>
    <row r="581" spans="2:7" x14ac:dyDescent="0.25">
      <c r="B581" s="348">
        <v>44785</v>
      </c>
      <c r="C581" s="293">
        <v>201.85</v>
      </c>
      <c r="D581" s="230">
        <f t="shared" si="28"/>
        <v>-6.3992124046271526E-3</v>
      </c>
      <c r="E581" s="293">
        <v>1.7114407219168237E-2</v>
      </c>
      <c r="F581" s="266">
        <f t="shared" si="30"/>
        <v>574</v>
      </c>
      <c r="G581" s="230">
        <f t="shared" ca="1" si="29"/>
        <v>1.9924614123242673E-2</v>
      </c>
    </row>
    <row r="582" spans="2:7" x14ac:dyDescent="0.25">
      <c r="B582" s="348">
        <v>44754</v>
      </c>
      <c r="C582" s="293">
        <v>203.15</v>
      </c>
      <c r="D582" s="230">
        <f t="shared" si="28"/>
        <v>-1.2300661221314679E-2</v>
      </c>
      <c r="E582" s="293">
        <v>1.7108938547486074E-2</v>
      </c>
      <c r="F582" s="266">
        <f t="shared" si="30"/>
        <v>575</v>
      </c>
      <c r="G582" s="230">
        <f t="shared" ca="1" si="29"/>
        <v>-6.4903010163800019E-3</v>
      </c>
    </row>
    <row r="583" spans="2:7" x14ac:dyDescent="0.25">
      <c r="B583" s="348">
        <v>44724</v>
      </c>
      <c r="C583" s="293">
        <v>205.68</v>
      </c>
      <c r="D583" s="230">
        <f t="shared" si="28"/>
        <v>-2.425065476767907E-3</v>
      </c>
      <c r="E583" s="293">
        <v>1.7033492822966512E-2</v>
      </c>
      <c r="F583" s="266">
        <f t="shared" si="30"/>
        <v>576</v>
      </c>
      <c r="G583" s="230">
        <f t="shared" ca="1" si="29"/>
        <v>1.8386386132160808E-2</v>
      </c>
    </row>
    <row r="584" spans="2:7" x14ac:dyDescent="0.25">
      <c r="B584" s="348">
        <v>44693</v>
      </c>
      <c r="C584" s="293">
        <v>206.18</v>
      </c>
      <c r="D584" s="230">
        <f t="shared" si="28"/>
        <v>-9.6993210475182501E-5</v>
      </c>
      <c r="E584" s="293">
        <v>1.7002518891687579E-2</v>
      </c>
      <c r="F584" s="266">
        <f t="shared" si="30"/>
        <v>577</v>
      </c>
      <c r="G584" s="230">
        <f t="shared" ca="1" si="29"/>
        <v>-7.3186964317414841E-3</v>
      </c>
    </row>
    <row r="585" spans="2:7" x14ac:dyDescent="0.25">
      <c r="B585" s="348">
        <v>44604</v>
      </c>
      <c r="C585" s="293">
        <v>206.2</v>
      </c>
      <c r="D585" s="230">
        <f t="shared" ref="D585:D648" si="31">C585/C586-1</f>
        <v>-3.1423737007493235E-3</v>
      </c>
      <c r="E585" s="293">
        <v>1.6937022900763488E-2</v>
      </c>
      <c r="F585" s="266">
        <f t="shared" si="30"/>
        <v>578</v>
      </c>
      <c r="G585" s="230">
        <f t="shared" ref="G585:G648" ca="1" si="32">_xlfn.NORM.INV(RAND(),$M$10,$M$11)</f>
        <v>5.6850970738667548E-3</v>
      </c>
    </row>
    <row r="586" spans="2:7" x14ac:dyDescent="0.25">
      <c r="B586" s="348">
        <v>44573</v>
      </c>
      <c r="C586" s="293">
        <v>206.85</v>
      </c>
      <c r="D586" s="230">
        <f t="shared" si="31"/>
        <v>1.6711722782010385E-2</v>
      </c>
      <c r="E586" s="293">
        <v>1.6928880301775751E-2</v>
      </c>
      <c r="F586" s="266">
        <f t="shared" ref="F586:F649" si="33">F585+1</f>
        <v>579</v>
      </c>
      <c r="G586" s="230">
        <f t="shared" ca="1" si="32"/>
        <v>1.7702151591267742E-2</v>
      </c>
    </row>
    <row r="587" spans="2:7" x14ac:dyDescent="0.25">
      <c r="B587" s="348" t="s">
        <v>908</v>
      </c>
      <c r="C587" s="293">
        <v>203.45</v>
      </c>
      <c r="D587" s="230">
        <f t="shared" si="31"/>
        <v>4.3441773214196733E-3</v>
      </c>
      <c r="E587" s="293">
        <v>1.690617075232459E-2</v>
      </c>
      <c r="F587" s="266">
        <f t="shared" si="33"/>
        <v>580</v>
      </c>
      <c r="G587" s="230">
        <f t="shared" ca="1" si="32"/>
        <v>1.4673570937612028E-2</v>
      </c>
    </row>
    <row r="588" spans="2:7" x14ac:dyDescent="0.25">
      <c r="B588" s="348" t="s">
        <v>909</v>
      </c>
      <c r="C588" s="293">
        <v>202.57</v>
      </c>
      <c r="D588" s="230">
        <f t="shared" si="31"/>
        <v>-1.2326200571936008E-3</v>
      </c>
      <c r="E588" s="293">
        <v>1.6898608349900535E-2</v>
      </c>
      <c r="F588" s="266">
        <f t="shared" si="33"/>
        <v>581</v>
      </c>
      <c r="G588" s="230">
        <f t="shared" ca="1" si="32"/>
        <v>-5.1741434949523777E-3</v>
      </c>
    </row>
    <row r="589" spans="2:7" x14ac:dyDescent="0.25">
      <c r="B589" s="348" t="s">
        <v>910</v>
      </c>
      <c r="C589" s="293">
        <v>202.82</v>
      </c>
      <c r="D589" s="230">
        <f t="shared" si="31"/>
        <v>7.0506454816285924E-3</v>
      </c>
      <c r="E589" s="293">
        <v>1.6893283889575672E-2</v>
      </c>
      <c r="F589" s="266">
        <f t="shared" si="33"/>
        <v>582</v>
      </c>
      <c r="G589" s="230">
        <f t="shared" ca="1" si="32"/>
        <v>2.5623461946614437E-3</v>
      </c>
    </row>
    <row r="590" spans="2:7" x14ac:dyDescent="0.25">
      <c r="B590" s="348" t="s">
        <v>911</v>
      </c>
      <c r="C590" s="293">
        <v>201.4</v>
      </c>
      <c r="D590" s="230">
        <f t="shared" si="31"/>
        <v>1.13995882087079E-2</v>
      </c>
      <c r="E590" s="293">
        <v>1.6883261135177019E-2</v>
      </c>
      <c r="F590" s="266">
        <f t="shared" si="33"/>
        <v>583</v>
      </c>
      <c r="G590" s="230">
        <f t="shared" ca="1" si="32"/>
        <v>-1.5251244572754485E-3</v>
      </c>
    </row>
    <row r="591" spans="2:7" x14ac:dyDescent="0.25">
      <c r="B591" s="348" t="s">
        <v>912</v>
      </c>
      <c r="C591" s="293">
        <v>199.13</v>
      </c>
      <c r="D591" s="230">
        <f t="shared" si="31"/>
        <v>2.443667043934572E-2</v>
      </c>
      <c r="E591" s="293">
        <v>1.6873607131486779E-2</v>
      </c>
      <c r="F591" s="266">
        <f t="shared" si="33"/>
        <v>584</v>
      </c>
      <c r="G591" s="230">
        <f t="shared" ca="1" si="32"/>
        <v>5.4049474627982673E-2</v>
      </c>
    </row>
    <row r="592" spans="2:7" x14ac:dyDescent="0.25">
      <c r="B592" s="348" t="s">
        <v>913</v>
      </c>
      <c r="C592" s="293">
        <v>194.38</v>
      </c>
      <c r="D592" s="230">
        <f t="shared" si="31"/>
        <v>-1.0288065843622185E-4</v>
      </c>
      <c r="E592" s="293">
        <v>1.6838000708968348E-2</v>
      </c>
      <c r="F592" s="266">
        <f t="shared" si="33"/>
        <v>585</v>
      </c>
      <c r="G592" s="230">
        <f t="shared" ca="1" si="32"/>
        <v>1.8850760497676165E-3</v>
      </c>
    </row>
    <row r="593" spans="2:7" x14ac:dyDescent="0.25">
      <c r="B593" s="348" t="s">
        <v>914</v>
      </c>
      <c r="C593" s="293">
        <v>194.4</v>
      </c>
      <c r="D593" s="230">
        <f t="shared" si="31"/>
        <v>4.1169205434332667E-4</v>
      </c>
      <c r="E593" s="293">
        <v>1.6834432488719298E-2</v>
      </c>
      <c r="F593" s="266">
        <f t="shared" si="33"/>
        <v>586</v>
      </c>
      <c r="G593" s="230">
        <f t="shared" ca="1" si="32"/>
        <v>-1.2402537258708738E-2</v>
      </c>
    </row>
    <row r="594" spans="2:7" x14ac:dyDescent="0.25">
      <c r="B594" s="348" t="s">
        <v>915</v>
      </c>
      <c r="C594" s="293">
        <v>194.32</v>
      </c>
      <c r="D594" s="230">
        <f t="shared" si="31"/>
        <v>-1.3253440308739206E-2</v>
      </c>
      <c r="E594" s="293">
        <v>1.6733333333333267E-2</v>
      </c>
      <c r="F594" s="266">
        <f t="shared" si="33"/>
        <v>587</v>
      </c>
      <c r="G594" s="230">
        <f t="shared" ca="1" si="32"/>
        <v>-1.2916297283281803E-2</v>
      </c>
    </row>
    <row r="595" spans="2:7" x14ac:dyDescent="0.25">
      <c r="B595" s="348" t="s">
        <v>916</v>
      </c>
      <c r="C595" s="293">
        <v>196.93</v>
      </c>
      <c r="D595" s="230">
        <f t="shared" si="31"/>
        <v>-7.3092045569109754E-3</v>
      </c>
      <c r="E595" s="293">
        <v>1.6725798276735926E-2</v>
      </c>
      <c r="F595" s="266">
        <f t="shared" si="33"/>
        <v>588</v>
      </c>
      <c r="G595" s="230">
        <f t="shared" ca="1" si="32"/>
        <v>-9.4513302113925172E-3</v>
      </c>
    </row>
    <row r="596" spans="2:7" x14ac:dyDescent="0.25">
      <c r="B596" s="348" t="s">
        <v>917</v>
      </c>
      <c r="C596" s="293">
        <v>198.38</v>
      </c>
      <c r="D596" s="230">
        <f t="shared" si="31"/>
        <v>-3.7663837693968638E-3</v>
      </c>
      <c r="E596" s="293">
        <v>1.6711722782010385E-2</v>
      </c>
      <c r="F596" s="266">
        <f t="shared" si="33"/>
        <v>589</v>
      </c>
      <c r="G596" s="230">
        <f t="shared" ca="1" si="32"/>
        <v>1.4655751464351417E-2</v>
      </c>
    </row>
    <row r="597" spans="2:7" x14ac:dyDescent="0.25">
      <c r="B597" s="348" t="s">
        <v>918</v>
      </c>
      <c r="C597" s="293">
        <v>199.13</v>
      </c>
      <c r="D597" s="230">
        <f t="shared" si="31"/>
        <v>2.8201641738430094E-3</v>
      </c>
      <c r="E597" s="293">
        <v>1.67056465085198E-2</v>
      </c>
      <c r="F597" s="266">
        <f t="shared" si="33"/>
        <v>590</v>
      </c>
      <c r="G597" s="230">
        <f t="shared" ca="1" si="32"/>
        <v>-1.062335835548514E-3</v>
      </c>
    </row>
    <row r="598" spans="2:7" x14ac:dyDescent="0.25">
      <c r="B598" s="348" t="s">
        <v>919</v>
      </c>
      <c r="C598" s="293">
        <v>198.57</v>
      </c>
      <c r="D598" s="230">
        <f t="shared" si="31"/>
        <v>1.5130882130427459E-3</v>
      </c>
      <c r="E598" s="293">
        <v>1.6688819967508595E-2</v>
      </c>
      <c r="F598" s="266">
        <f t="shared" si="33"/>
        <v>591</v>
      </c>
      <c r="G598" s="230">
        <f t="shared" ca="1" si="32"/>
        <v>-2.4943934969378549E-4</v>
      </c>
    </row>
    <row r="599" spans="2:7" x14ac:dyDescent="0.25">
      <c r="B599" s="348" t="s">
        <v>920</v>
      </c>
      <c r="C599" s="293">
        <v>198.27</v>
      </c>
      <c r="D599" s="230">
        <f t="shared" si="31"/>
        <v>-7.9059294470852359E-3</v>
      </c>
      <c r="E599" s="293">
        <v>1.6636600521146461E-2</v>
      </c>
      <c r="F599" s="266">
        <f t="shared" si="33"/>
        <v>592</v>
      </c>
      <c r="G599" s="230">
        <f t="shared" ca="1" si="32"/>
        <v>7.0218145048215877E-3</v>
      </c>
    </row>
    <row r="600" spans="2:7" x14ac:dyDescent="0.25">
      <c r="B600" s="348">
        <v>44876</v>
      </c>
      <c r="C600" s="293">
        <v>199.85</v>
      </c>
      <c r="D600" s="230">
        <f t="shared" si="31"/>
        <v>2.7770635124710674E-2</v>
      </c>
      <c r="E600" s="293">
        <v>1.6622665493302158E-2</v>
      </c>
      <c r="F600" s="266">
        <f t="shared" si="33"/>
        <v>593</v>
      </c>
      <c r="G600" s="230">
        <f t="shared" ca="1" si="32"/>
        <v>7.929896263795113E-3</v>
      </c>
    </row>
    <row r="601" spans="2:7" x14ac:dyDescent="0.25">
      <c r="B601" s="348">
        <v>44845</v>
      </c>
      <c r="C601" s="293">
        <v>194.45</v>
      </c>
      <c r="D601" s="230">
        <f t="shared" si="31"/>
        <v>-5.2690812359320605E-3</v>
      </c>
      <c r="E601" s="293">
        <v>1.6617969320672055E-2</v>
      </c>
      <c r="F601" s="266">
        <f t="shared" si="33"/>
        <v>594</v>
      </c>
      <c r="G601" s="230">
        <f t="shared" ca="1" si="32"/>
        <v>-1.4700297143842203E-2</v>
      </c>
    </row>
    <row r="602" spans="2:7" x14ac:dyDescent="0.25">
      <c r="B602" s="348">
        <v>44815</v>
      </c>
      <c r="C602" s="293">
        <v>195.48</v>
      </c>
      <c r="D602" s="230">
        <f t="shared" si="31"/>
        <v>-1.3793103448276334E-3</v>
      </c>
      <c r="E602" s="293">
        <v>1.6568989219303942E-2</v>
      </c>
      <c r="F602" s="266">
        <f t="shared" si="33"/>
        <v>595</v>
      </c>
      <c r="G602" s="230">
        <f t="shared" ca="1" si="32"/>
        <v>2.0853625606794969E-2</v>
      </c>
    </row>
    <row r="603" spans="2:7" x14ac:dyDescent="0.25">
      <c r="B603" s="348">
        <v>44753</v>
      </c>
      <c r="C603" s="293">
        <v>195.75</v>
      </c>
      <c r="D603" s="230">
        <f t="shared" si="31"/>
        <v>2.4068004916018015E-3</v>
      </c>
      <c r="E603" s="293">
        <v>1.6553246275519795E-2</v>
      </c>
      <c r="F603" s="266">
        <f t="shared" si="33"/>
        <v>596</v>
      </c>
      <c r="G603" s="230">
        <f t="shared" ca="1" si="32"/>
        <v>2.415158926162915E-2</v>
      </c>
    </row>
    <row r="604" spans="2:7" x14ac:dyDescent="0.25">
      <c r="B604" s="348">
        <v>44662</v>
      </c>
      <c r="C604" s="293">
        <v>195.28</v>
      </c>
      <c r="D604" s="230">
        <f t="shared" si="31"/>
        <v>5.30244530244528E-3</v>
      </c>
      <c r="E604" s="293">
        <v>1.6526610644257644E-2</v>
      </c>
      <c r="F604" s="266">
        <f t="shared" si="33"/>
        <v>597</v>
      </c>
      <c r="G604" s="230">
        <f t="shared" ca="1" si="32"/>
        <v>-1.684091756686764E-2</v>
      </c>
    </row>
    <row r="605" spans="2:7" x14ac:dyDescent="0.25">
      <c r="B605" s="348">
        <v>44631</v>
      </c>
      <c r="C605" s="293">
        <v>194.25</v>
      </c>
      <c r="D605" s="230">
        <f t="shared" si="31"/>
        <v>-1.3809209524292987E-2</v>
      </c>
      <c r="E605" s="293">
        <v>1.6518424396442244E-2</v>
      </c>
      <c r="F605" s="266">
        <f t="shared" si="33"/>
        <v>598</v>
      </c>
      <c r="G605" s="230">
        <f t="shared" ca="1" si="32"/>
        <v>-1.0426057838334356E-2</v>
      </c>
    </row>
    <row r="606" spans="2:7" x14ac:dyDescent="0.25">
      <c r="B606" s="348">
        <v>44603</v>
      </c>
      <c r="C606" s="293">
        <v>196.97</v>
      </c>
      <c r="D606" s="230">
        <f t="shared" si="31"/>
        <v>3.9245667686034214E-3</v>
      </c>
      <c r="E606" s="293">
        <v>1.6514926953207665E-2</v>
      </c>
      <c r="F606" s="266">
        <f t="shared" si="33"/>
        <v>599</v>
      </c>
      <c r="G606" s="230">
        <f t="shared" ca="1" si="32"/>
        <v>1.737074310492287E-2</v>
      </c>
    </row>
    <row r="607" spans="2:7" x14ac:dyDescent="0.25">
      <c r="B607" s="348">
        <v>44572</v>
      </c>
      <c r="C607" s="293">
        <v>196.2</v>
      </c>
      <c r="D607" s="230">
        <f t="shared" si="31"/>
        <v>1.510761589403975E-2</v>
      </c>
      <c r="E607" s="293">
        <v>1.6497876510944032E-2</v>
      </c>
      <c r="F607" s="266">
        <f t="shared" si="33"/>
        <v>600</v>
      </c>
      <c r="G607" s="230">
        <f t="shared" ca="1" si="32"/>
        <v>1.899395255319053E-2</v>
      </c>
    </row>
    <row r="608" spans="2:7" x14ac:dyDescent="0.25">
      <c r="B608" s="348" t="s">
        <v>921</v>
      </c>
      <c r="C608" s="293">
        <v>193.28</v>
      </c>
      <c r="D608" s="230">
        <f t="shared" si="31"/>
        <v>8.6629788122325468E-3</v>
      </c>
      <c r="E608" s="293">
        <v>1.647727272727284E-2</v>
      </c>
      <c r="F608" s="266">
        <f t="shared" si="33"/>
        <v>601</v>
      </c>
      <c r="G608" s="230">
        <f t="shared" ca="1" si="32"/>
        <v>1.8819497026985562E-3</v>
      </c>
    </row>
    <row r="609" spans="2:7" x14ac:dyDescent="0.25">
      <c r="B609" s="348" t="s">
        <v>922</v>
      </c>
      <c r="C609" s="293">
        <v>191.62</v>
      </c>
      <c r="D609" s="230">
        <f t="shared" si="31"/>
        <v>1.5680535228936865E-3</v>
      </c>
      <c r="E609" s="293">
        <v>1.6477209612322685E-2</v>
      </c>
      <c r="F609" s="266">
        <f t="shared" si="33"/>
        <v>602</v>
      </c>
      <c r="G609" s="230">
        <f t="shared" ca="1" si="32"/>
        <v>-9.9202574191791359E-3</v>
      </c>
    </row>
    <row r="610" spans="2:7" x14ac:dyDescent="0.25">
      <c r="B610" s="348" t="s">
        <v>923</v>
      </c>
      <c r="C610" s="293">
        <v>191.32</v>
      </c>
      <c r="D610" s="230">
        <f t="shared" si="31"/>
        <v>-5.1996672212978323E-3</v>
      </c>
      <c r="E610" s="293">
        <v>1.6466648060284861E-2</v>
      </c>
      <c r="F610" s="266">
        <f t="shared" si="33"/>
        <v>603</v>
      </c>
      <c r="G610" s="230">
        <f t="shared" ca="1" si="32"/>
        <v>-4.1347253150708944E-3</v>
      </c>
    </row>
    <row r="611" spans="2:7" x14ac:dyDescent="0.25">
      <c r="B611" s="348" t="s">
        <v>924</v>
      </c>
      <c r="C611" s="293">
        <v>192.32</v>
      </c>
      <c r="D611" s="230">
        <f t="shared" si="31"/>
        <v>-1.5596568754872031E-4</v>
      </c>
      <c r="E611" s="293">
        <v>1.6454749439042793E-2</v>
      </c>
      <c r="F611" s="266">
        <f t="shared" si="33"/>
        <v>604</v>
      </c>
      <c r="G611" s="230">
        <f t="shared" ca="1" si="32"/>
        <v>-1.2716942276206804E-2</v>
      </c>
    </row>
    <row r="612" spans="2:7" x14ac:dyDescent="0.25">
      <c r="B612" s="348" t="s">
        <v>925</v>
      </c>
      <c r="C612" s="293">
        <v>192.35</v>
      </c>
      <c r="D612" s="230">
        <f t="shared" si="31"/>
        <v>5.5938937682977752E-3</v>
      </c>
      <c r="E612" s="293">
        <v>1.6395187905887232E-2</v>
      </c>
      <c r="F612" s="266">
        <f t="shared" si="33"/>
        <v>605</v>
      </c>
      <c r="G612" s="230">
        <f t="shared" ca="1" si="32"/>
        <v>-2.0005616878795963E-3</v>
      </c>
    </row>
    <row r="613" spans="2:7" x14ac:dyDescent="0.25">
      <c r="B613" s="348" t="s">
        <v>926</v>
      </c>
      <c r="C613" s="293">
        <v>191.28</v>
      </c>
      <c r="D613" s="230">
        <f t="shared" si="31"/>
        <v>2.7785058977720656E-3</v>
      </c>
      <c r="E613" s="293">
        <v>1.6393442622950838E-2</v>
      </c>
      <c r="F613" s="266">
        <f t="shared" si="33"/>
        <v>606</v>
      </c>
      <c r="G613" s="230">
        <f t="shared" ca="1" si="32"/>
        <v>1.0675328777868887E-2</v>
      </c>
    </row>
    <row r="614" spans="2:7" x14ac:dyDescent="0.25">
      <c r="B614" s="348" t="s">
        <v>927</v>
      </c>
      <c r="C614" s="293">
        <v>190.75</v>
      </c>
      <c r="D614" s="230">
        <f t="shared" si="31"/>
        <v>9.0990848013543513E-3</v>
      </c>
      <c r="E614" s="293">
        <v>1.637057700778155E-2</v>
      </c>
      <c r="F614" s="266">
        <f t="shared" si="33"/>
        <v>607</v>
      </c>
      <c r="G614" s="230">
        <f t="shared" ca="1" si="32"/>
        <v>-1.9988226445647128E-2</v>
      </c>
    </row>
    <row r="615" spans="2:7" x14ac:dyDescent="0.25">
      <c r="B615" s="348" t="s">
        <v>928</v>
      </c>
      <c r="C615" s="293">
        <v>189.03</v>
      </c>
      <c r="D615" s="230">
        <f t="shared" si="31"/>
        <v>-3.2691800685473726E-3</v>
      </c>
      <c r="E615" s="293">
        <v>1.6275207591933682E-2</v>
      </c>
      <c r="F615" s="266">
        <f t="shared" si="33"/>
        <v>608</v>
      </c>
      <c r="G615" s="230">
        <f t="shared" ca="1" si="32"/>
        <v>-1.7967525633787743E-2</v>
      </c>
    </row>
    <row r="616" spans="2:7" x14ac:dyDescent="0.25">
      <c r="B616" s="348" t="s">
        <v>929</v>
      </c>
      <c r="C616" s="293">
        <v>189.65</v>
      </c>
      <c r="D616" s="230">
        <f t="shared" si="31"/>
        <v>1.1197014129565419E-2</v>
      </c>
      <c r="E616" s="293">
        <v>1.6258756378102701E-2</v>
      </c>
      <c r="F616" s="266">
        <f t="shared" si="33"/>
        <v>609</v>
      </c>
      <c r="G616" s="230">
        <f t="shared" ca="1" si="32"/>
        <v>-8.6141717701767422E-3</v>
      </c>
    </row>
    <row r="617" spans="2:7" x14ac:dyDescent="0.25">
      <c r="B617" s="348" t="s">
        <v>930</v>
      </c>
      <c r="C617" s="293">
        <v>187.55</v>
      </c>
      <c r="D617" s="230">
        <f t="shared" si="31"/>
        <v>-5.8309037900874383E-3</v>
      </c>
      <c r="E617" s="293">
        <v>1.6254539166522752E-2</v>
      </c>
      <c r="F617" s="266">
        <f t="shared" si="33"/>
        <v>610</v>
      </c>
      <c r="G617" s="230">
        <f t="shared" ca="1" si="32"/>
        <v>-1.3957628924125662E-3</v>
      </c>
    </row>
    <row r="618" spans="2:7" x14ac:dyDescent="0.25">
      <c r="B618" s="348" t="s">
        <v>931</v>
      </c>
      <c r="C618" s="293">
        <v>188.65</v>
      </c>
      <c r="D618" s="230">
        <f t="shared" si="31"/>
        <v>-4.7480875758375563E-3</v>
      </c>
      <c r="E618" s="293">
        <v>1.6226996645816172E-2</v>
      </c>
      <c r="F618" s="266">
        <f t="shared" si="33"/>
        <v>611</v>
      </c>
      <c r="G618" s="230">
        <f t="shared" ca="1" si="32"/>
        <v>-4.3933730425860986E-3</v>
      </c>
    </row>
    <row r="619" spans="2:7" x14ac:dyDescent="0.25">
      <c r="B619" s="348" t="s">
        <v>932</v>
      </c>
      <c r="C619" s="293">
        <v>189.55</v>
      </c>
      <c r="D619" s="230">
        <f t="shared" si="31"/>
        <v>-7.0696671079080176E-2</v>
      </c>
      <c r="E619" s="293">
        <v>1.619494475556249E-2</v>
      </c>
      <c r="F619" s="266">
        <f t="shared" si="33"/>
        <v>612</v>
      </c>
      <c r="G619" s="230">
        <f t="shared" ca="1" si="32"/>
        <v>-9.819026573868397E-3</v>
      </c>
    </row>
    <row r="620" spans="2:7" x14ac:dyDescent="0.25">
      <c r="B620" s="348">
        <v>44905</v>
      </c>
      <c r="C620" s="293">
        <v>203.97</v>
      </c>
      <c r="D620" s="230">
        <f t="shared" si="31"/>
        <v>8.75370919881302E-3</v>
      </c>
      <c r="E620" s="293">
        <v>1.6161043379642637E-2</v>
      </c>
      <c r="F620" s="266">
        <f t="shared" si="33"/>
        <v>613</v>
      </c>
      <c r="G620" s="230">
        <f t="shared" ca="1" si="32"/>
        <v>-2.9247326912907608E-2</v>
      </c>
    </row>
    <row r="621" spans="2:7" x14ac:dyDescent="0.25">
      <c r="B621" s="348">
        <v>44875</v>
      </c>
      <c r="C621" s="293">
        <v>202.2</v>
      </c>
      <c r="D621" s="230">
        <f t="shared" si="31"/>
        <v>-1.6776075857038775E-2</v>
      </c>
      <c r="E621" s="293">
        <v>1.6139444803098701E-2</v>
      </c>
      <c r="F621" s="266">
        <f t="shared" si="33"/>
        <v>614</v>
      </c>
      <c r="G621" s="230">
        <f t="shared" ca="1" si="32"/>
        <v>-5.7966896961988718E-4</v>
      </c>
    </row>
    <row r="622" spans="2:7" x14ac:dyDescent="0.25">
      <c r="B622" s="348">
        <v>44844</v>
      </c>
      <c r="C622" s="293">
        <v>205.65</v>
      </c>
      <c r="D622" s="230">
        <f t="shared" si="31"/>
        <v>7.8412153883851143E-3</v>
      </c>
      <c r="E622" s="293">
        <v>1.613891726251282E-2</v>
      </c>
      <c r="F622" s="266">
        <f t="shared" si="33"/>
        <v>615</v>
      </c>
      <c r="G622" s="230">
        <f t="shared" ca="1" si="32"/>
        <v>2.8518079778818137E-2</v>
      </c>
    </row>
    <row r="623" spans="2:7" x14ac:dyDescent="0.25">
      <c r="B623" s="348">
        <v>44752</v>
      </c>
      <c r="C623" s="293">
        <v>204.05</v>
      </c>
      <c r="D623" s="230">
        <f t="shared" si="31"/>
        <v>-4.9739113473447061E-3</v>
      </c>
      <c r="E623" s="293">
        <v>1.6124848694449412E-2</v>
      </c>
      <c r="F623" s="266">
        <f t="shared" si="33"/>
        <v>616</v>
      </c>
      <c r="G623" s="230">
        <f t="shared" ca="1" si="32"/>
        <v>3.8792378176325047E-2</v>
      </c>
    </row>
    <row r="624" spans="2:7" x14ac:dyDescent="0.25">
      <c r="B624" s="348">
        <v>44722</v>
      </c>
      <c r="C624" s="293">
        <v>205.07</v>
      </c>
      <c r="D624" s="230">
        <f t="shared" si="31"/>
        <v>1.1442663378544937E-2</v>
      </c>
      <c r="E624" s="293">
        <v>1.6094875052943713E-2</v>
      </c>
      <c r="F624" s="266">
        <f t="shared" si="33"/>
        <v>617</v>
      </c>
      <c r="G624" s="230">
        <f t="shared" ca="1" si="32"/>
        <v>-3.044012291209048E-4</v>
      </c>
    </row>
    <row r="625" spans="2:7" x14ac:dyDescent="0.25">
      <c r="B625" s="348">
        <v>44661</v>
      </c>
      <c r="C625" s="293">
        <v>202.75</v>
      </c>
      <c r="D625" s="230">
        <f t="shared" si="31"/>
        <v>2.7883396704689423E-2</v>
      </c>
      <c r="E625" s="293">
        <v>1.6051584579503286E-2</v>
      </c>
      <c r="F625" s="266">
        <f t="shared" si="33"/>
        <v>618</v>
      </c>
      <c r="G625" s="230">
        <f t="shared" ca="1" si="32"/>
        <v>1.7200938948318705E-3</v>
      </c>
    </row>
    <row r="626" spans="2:7" x14ac:dyDescent="0.25">
      <c r="B626" s="348">
        <v>44630</v>
      </c>
      <c r="C626" s="293">
        <v>197.25</v>
      </c>
      <c r="D626" s="230">
        <f t="shared" si="31"/>
        <v>6.5949675324672441E-4</v>
      </c>
      <c r="E626" s="293">
        <v>1.6031537450722722E-2</v>
      </c>
      <c r="F626" s="266">
        <f t="shared" si="33"/>
        <v>619</v>
      </c>
      <c r="G626" s="230">
        <f t="shared" ca="1" si="32"/>
        <v>-2.6195626828850085E-2</v>
      </c>
    </row>
    <row r="627" spans="2:7" x14ac:dyDescent="0.25">
      <c r="B627" s="348" t="s">
        <v>933</v>
      </c>
      <c r="C627" s="293">
        <v>197.12</v>
      </c>
      <c r="D627" s="230">
        <f t="shared" si="31"/>
        <v>3.6659877800406804E-3</v>
      </c>
      <c r="E627" s="293">
        <v>1.6003729024238744E-2</v>
      </c>
      <c r="F627" s="266">
        <f t="shared" si="33"/>
        <v>620</v>
      </c>
      <c r="G627" s="230">
        <f t="shared" ca="1" si="32"/>
        <v>1.7637948466953067E-2</v>
      </c>
    </row>
    <row r="628" spans="2:7" x14ac:dyDescent="0.25">
      <c r="B628" s="348" t="s">
        <v>934</v>
      </c>
      <c r="C628" s="293">
        <v>196.4</v>
      </c>
      <c r="D628" s="230">
        <f t="shared" si="31"/>
        <v>-1.3214088328392659E-2</v>
      </c>
      <c r="E628" s="293">
        <v>1.592545113894106E-2</v>
      </c>
      <c r="F628" s="266">
        <f t="shared" si="33"/>
        <v>621</v>
      </c>
      <c r="G628" s="230">
        <f t="shared" ca="1" si="32"/>
        <v>-8.5601287526770806E-3</v>
      </c>
    </row>
    <row r="629" spans="2:7" x14ac:dyDescent="0.25">
      <c r="B629" s="348" t="s">
        <v>935</v>
      </c>
      <c r="C629" s="293">
        <v>199.03</v>
      </c>
      <c r="D629" s="230">
        <f t="shared" si="31"/>
        <v>-8.534136546184401E-4</v>
      </c>
      <c r="E629" s="293">
        <v>1.5911266629254239E-2</v>
      </c>
      <c r="F629" s="266">
        <f t="shared" si="33"/>
        <v>622</v>
      </c>
      <c r="G629" s="230">
        <f t="shared" ca="1" si="32"/>
        <v>1.1786300717228528E-2</v>
      </c>
    </row>
    <row r="630" spans="2:7" x14ac:dyDescent="0.25">
      <c r="B630" s="348" t="s">
        <v>936</v>
      </c>
      <c r="C630" s="293">
        <v>199.2</v>
      </c>
      <c r="D630" s="230">
        <f t="shared" si="31"/>
        <v>9.1185410334344574E-3</v>
      </c>
      <c r="E630" s="293">
        <v>1.5908214423447697E-2</v>
      </c>
      <c r="F630" s="266">
        <f t="shared" si="33"/>
        <v>623</v>
      </c>
      <c r="G630" s="230">
        <f t="shared" ca="1" si="32"/>
        <v>1.1514138306918586E-2</v>
      </c>
    </row>
    <row r="631" spans="2:7" x14ac:dyDescent="0.25">
      <c r="B631" s="348" t="s">
        <v>937</v>
      </c>
      <c r="C631" s="293">
        <v>197.4</v>
      </c>
      <c r="D631" s="230">
        <f t="shared" si="31"/>
        <v>1.1157318186427734E-3</v>
      </c>
      <c r="E631" s="293">
        <v>1.5875901351269484E-2</v>
      </c>
      <c r="F631" s="266">
        <f t="shared" si="33"/>
        <v>624</v>
      </c>
      <c r="G631" s="230">
        <f t="shared" ca="1" si="32"/>
        <v>-1.0173015366841238E-2</v>
      </c>
    </row>
    <row r="632" spans="2:7" x14ac:dyDescent="0.25">
      <c r="B632" s="348" t="s">
        <v>938</v>
      </c>
      <c r="C632" s="293">
        <v>197.18</v>
      </c>
      <c r="D632" s="230">
        <f t="shared" si="31"/>
        <v>-8.9963311051917128E-3</v>
      </c>
      <c r="E632" s="293">
        <v>1.5874673629242775E-2</v>
      </c>
      <c r="F632" s="266">
        <f t="shared" si="33"/>
        <v>625</v>
      </c>
      <c r="G632" s="230">
        <f t="shared" ca="1" si="32"/>
        <v>4.2307327679335866E-3</v>
      </c>
    </row>
    <row r="633" spans="2:7" x14ac:dyDescent="0.25">
      <c r="B633" s="348" t="s">
        <v>939</v>
      </c>
      <c r="C633" s="293">
        <v>198.97</v>
      </c>
      <c r="D633" s="230">
        <f t="shared" si="31"/>
        <v>-7.0366304022357884E-3</v>
      </c>
      <c r="E633" s="293">
        <v>1.5807560137457211E-2</v>
      </c>
      <c r="F633" s="266">
        <f t="shared" si="33"/>
        <v>626</v>
      </c>
      <c r="G633" s="230">
        <f t="shared" ca="1" si="32"/>
        <v>-8.1404863556346369E-3</v>
      </c>
    </row>
    <row r="634" spans="2:7" x14ac:dyDescent="0.25">
      <c r="B634" s="348" t="s">
        <v>940</v>
      </c>
      <c r="C634" s="293">
        <v>200.38</v>
      </c>
      <c r="D634" s="230">
        <f t="shared" si="31"/>
        <v>-1.0224746851074329E-2</v>
      </c>
      <c r="E634" s="293">
        <v>1.5801354401805856E-2</v>
      </c>
      <c r="F634" s="266">
        <f t="shared" si="33"/>
        <v>627</v>
      </c>
      <c r="G634" s="230">
        <f t="shared" ca="1" si="32"/>
        <v>1.5173561703548812E-2</v>
      </c>
    </row>
    <row r="635" spans="2:7" x14ac:dyDescent="0.25">
      <c r="B635" s="348" t="s">
        <v>941</v>
      </c>
      <c r="C635" s="293">
        <v>202.45</v>
      </c>
      <c r="D635" s="230">
        <f t="shared" si="31"/>
        <v>7.3642832263520752E-3</v>
      </c>
      <c r="E635" s="293">
        <v>1.574882134617317E-2</v>
      </c>
      <c r="F635" s="266">
        <f t="shared" si="33"/>
        <v>628</v>
      </c>
      <c r="G635" s="230">
        <f t="shared" ca="1" si="32"/>
        <v>5.9649989954441499E-3</v>
      </c>
    </row>
    <row r="636" spans="2:7" x14ac:dyDescent="0.25">
      <c r="B636" s="348" t="s">
        <v>942</v>
      </c>
      <c r="C636" s="293">
        <v>200.97</v>
      </c>
      <c r="D636" s="230">
        <f t="shared" si="31"/>
        <v>7.4693755602028844E-4</v>
      </c>
      <c r="E636" s="293">
        <v>1.5745735529960614E-2</v>
      </c>
      <c r="F636" s="266">
        <f t="shared" si="33"/>
        <v>629</v>
      </c>
      <c r="G636" s="230">
        <f t="shared" ca="1" si="32"/>
        <v>3.9653469897961452E-2</v>
      </c>
    </row>
    <row r="637" spans="2:7" x14ac:dyDescent="0.25">
      <c r="B637" s="348" t="s">
        <v>943</v>
      </c>
      <c r="C637" s="293">
        <v>200.82</v>
      </c>
      <c r="D637" s="230">
        <f t="shared" si="31"/>
        <v>-3.23326747940057E-2</v>
      </c>
      <c r="E637" s="293">
        <v>1.5744489428699771E-2</v>
      </c>
      <c r="F637" s="266">
        <f t="shared" si="33"/>
        <v>630</v>
      </c>
      <c r="G637" s="230">
        <f t="shared" ca="1" si="32"/>
        <v>3.0686419103225049E-3</v>
      </c>
    </row>
    <row r="638" spans="2:7" x14ac:dyDescent="0.25">
      <c r="B638" s="348" t="s">
        <v>944</v>
      </c>
      <c r="C638" s="293">
        <v>207.53</v>
      </c>
      <c r="D638" s="230">
        <f t="shared" si="31"/>
        <v>-2.9786211866442702E-3</v>
      </c>
      <c r="E638" s="293">
        <v>1.5707534056157879E-2</v>
      </c>
      <c r="F638" s="266">
        <f t="shared" si="33"/>
        <v>631</v>
      </c>
      <c r="G638" s="230">
        <f t="shared" ca="1" si="32"/>
        <v>-6.194220076156505E-3</v>
      </c>
    </row>
    <row r="639" spans="2:7" x14ac:dyDescent="0.25">
      <c r="B639" s="348" t="s">
        <v>945</v>
      </c>
      <c r="C639" s="293">
        <v>208.15</v>
      </c>
      <c r="D639" s="230">
        <f t="shared" si="31"/>
        <v>-1.500094643195149E-2</v>
      </c>
      <c r="E639" s="293">
        <v>1.5700602350153137E-2</v>
      </c>
      <c r="F639" s="266">
        <f t="shared" si="33"/>
        <v>632</v>
      </c>
      <c r="G639" s="230">
        <f t="shared" ca="1" si="32"/>
        <v>7.6417375316295197E-4</v>
      </c>
    </row>
    <row r="640" spans="2:7" x14ac:dyDescent="0.25">
      <c r="B640" s="348" t="s">
        <v>946</v>
      </c>
      <c r="C640" s="293">
        <v>211.32</v>
      </c>
      <c r="D640" s="230">
        <f t="shared" si="31"/>
        <v>1.5165876777250009E-3</v>
      </c>
      <c r="E640" s="293">
        <v>1.568431568431583E-2</v>
      </c>
      <c r="F640" s="266">
        <f t="shared" si="33"/>
        <v>633</v>
      </c>
      <c r="G640" s="230">
        <f t="shared" ca="1" si="32"/>
        <v>-1.9913428827289956E-2</v>
      </c>
    </row>
    <row r="641" spans="2:7" x14ac:dyDescent="0.25">
      <c r="B641" s="348">
        <v>44904</v>
      </c>
      <c r="C641" s="293">
        <v>211</v>
      </c>
      <c r="D641" s="230">
        <f t="shared" si="31"/>
        <v>1.1650764731265362E-2</v>
      </c>
      <c r="E641" s="293">
        <v>1.5673048308699533E-2</v>
      </c>
      <c r="F641" s="266">
        <f t="shared" si="33"/>
        <v>634</v>
      </c>
      <c r="G641" s="230">
        <f t="shared" ca="1" si="32"/>
        <v>-1.3869500484954904E-2</v>
      </c>
    </row>
    <row r="642" spans="2:7" x14ac:dyDescent="0.25">
      <c r="B642" s="348">
        <v>44813</v>
      </c>
      <c r="C642" s="293">
        <v>208.57</v>
      </c>
      <c r="D642" s="230">
        <f t="shared" si="31"/>
        <v>1.0513565891472787E-2</v>
      </c>
      <c r="E642" s="293">
        <v>1.5670706226494024E-2</v>
      </c>
      <c r="F642" s="266">
        <f t="shared" si="33"/>
        <v>635</v>
      </c>
      <c r="G642" s="230">
        <f t="shared" ca="1" si="32"/>
        <v>3.2016798168739383E-2</v>
      </c>
    </row>
    <row r="643" spans="2:7" x14ac:dyDescent="0.25">
      <c r="B643" s="348">
        <v>44782</v>
      </c>
      <c r="C643" s="293">
        <v>206.4</v>
      </c>
      <c r="D643" s="230">
        <f t="shared" si="31"/>
        <v>1.3155311211466847E-2</v>
      </c>
      <c r="E643" s="293">
        <v>1.563046192259665E-2</v>
      </c>
      <c r="F643" s="266">
        <f t="shared" si="33"/>
        <v>636</v>
      </c>
      <c r="G643" s="230">
        <f t="shared" ca="1" si="32"/>
        <v>-6.0160061529085486E-3</v>
      </c>
    </row>
    <row r="644" spans="2:7" x14ac:dyDescent="0.25">
      <c r="B644" s="348">
        <v>44751</v>
      </c>
      <c r="C644" s="293">
        <v>203.72</v>
      </c>
      <c r="D644" s="230">
        <f t="shared" si="31"/>
        <v>7.4176639303729086E-3</v>
      </c>
      <c r="E644" s="293">
        <v>1.5564757960873976E-2</v>
      </c>
      <c r="F644" s="266">
        <f t="shared" si="33"/>
        <v>637</v>
      </c>
      <c r="G644" s="230">
        <f t="shared" ca="1" si="32"/>
        <v>-9.7234310221417375E-3</v>
      </c>
    </row>
    <row r="645" spans="2:7" x14ac:dyDescent="0.25">
      <c r="B645" s="348">
        <v>44721</v>
      </c>
      <c r="C645" s="293">
        <v>202.22</v>
      </c>
      <c r="D645" s="230">
        <f t="shared" si="31"/>
        <v>-2.6140567200986231E-3</v>
      </c>
      <c r="E645" s="293">
        <v>1.5559252373030574E-2</v>
      </c>
      <c r="F645" s="266">
        <f t="shared" si="33"/>
        <v>638</v>
      </c>
      <c r="G645" s="230">
        <f t="shared" ca="1" si="32"/>
        <v>1.5831592693456666E-2</v>
      </c>
    </row>
    <row r="646" spans="2:7" x14ac:dyDescent="0.25">
      <c r="B646" s="348">
        <v>44690</v>
      </c>
      <c r="C646" s="293">
        <v>202.75</v>
      </c>
      <c r="D646" s="230">
        <f t="shared" si="31"/>
        <v>-5.3961246014225805E-3</v>
      </c>
      <c r="E646" s="293">
        <v>1.5551795939614754E-2</v>
      </c>
      <c r="F646" s="266">
        <f t="shared" si="33"/>
        <v>639</v>
      </c>
      <c r="G646" s="230">
        <f t="shared" ca="1" si="32"/>
        <v>-3.8623180134771104E-2</v>
      </c>
    </row>
    <row r="647" spans="2:7" x14ac:dyDescent="0.25">
      <c r="B647" s="348">
        <v>44601</v>
      </c>
      <c r="C647" s="293">
        <v>203.85</v>
      </c>
      <c r="D647" s="230">
        <f t="shared" si="31"/>
        <v>-6.675762596238255E-3</v>
      </c>
      <c r="E647" s="293">
        <v>1.553424287451044E-2</v>
      </c>
      <c r="F647" s="266">
        <f t="shared" si="33"/>
        <v>640</v>
      </c>
      <c r="G647" s="230">
        <f t="shared" ca="1" si="32"/>
        <v>5.8778594046446926E-2</v>
      </c>
    </row>
    <row r="648" spans="2:7" x14ac:dyDescent="0.25">
      <c r="B648" s="348">
        <v>44570</v>
      </c>
      <c r="C648" s="293">
        <v>205.22</v>
      </c>
      <c r="D648" s="230">
        <f t="shared" si="31"/>
        <v>-7.5442499274591679E-3</v>
      </c>
      <c r="E648" s="293">
        <v>1.5530740598126203E-2</v>
      </c>
      <c r="F648" s="266">
        <f t="shared" si="33"/>
        <v>641</v>
      </c>
      <c r="G648" s="230">
        <f t="shared" ca="1" si="32"/>
        <v>-1.0415409095300497E-4</v>
      </c>
    </row>
    <row r="649" spans="2:7" x14ac:dyDescent="0.25">
      <c r="B649" s="348" t="s">
        <v>947</v>
      </c>
      <c r="C649" s="293">
        <v>206.78</v>
      </c>
      <c r="D649" s="230">
        <f t="shared" ref="D649:D712" si="34">C649/C650-1</f>
        <v>2.2752003165495971E-2</v>
      </c>
      <c r="E649" s="293">
        <v>1.5526601520087002E-2</v>
      </c>
      <c r="F649" s="266">
        <f t="shared" si="33"/>
        <v>642</v>
      </c>
      <c r="G649" s="230">
        <f t="shared" ref="G649:G712" ca="1" si="35">_xlfn.NORM.INV(RAND(),$M$10,$M$11)</f>
        <v>-1.3087534898293956E-2</v>
      </c>
    </row>
    <row r="650" spans="2:7" x14ac:dyDescent="0.25">
      <c r="B650" s="348" t="s">
        <v>948</v>
      </c>
      <c r="C650" s="293">
        <v>202.18</v>
      </c>
      <c r="D650" s="230">
        <f t="shared" si="34"/>
        <v>-3.0869523535615007E-2</v>
      </c>
      <c r="E650" s="293">
        <v>1.5503875968992276E-2</v>
      </c>
      <c r="F650" s="266">
        <f t="shared" ref="F650:F713" si="36">F649+1</f>
        <v>643</v>
      </c>
      <c r="G650" s="230">
        <f t="shared" ca="1" si="35"/>
        <v>-1.1833099437475635E-2</v>
      </c>
    </row>
    <row r="651" spans="2:7" x14ac:dyDescent="0.25">
      <c r="B651" s="348" t="s">
        <v>949</v>
      </c>
      <c r="C651" s="293">
        <v>208.62</v>
      </c>
      <c r="D651" s="230">
        <f t="shared" si="34"/>
        <v>4.9132947976879837E-3</v>
      </c>
      <c r="E651" s="293">
        <v>1.5465898174831905E-2</v>
      </c>
      <c r="F651" s="266">
        <f t="shared" si="36"/>
        <v>644</v>
      </c>
      <c r="G651" s="230">
        <f t="shared" ca="1" si="35"/>
        <v>-1.5702013383532977E-2</v>
      </c>
    </row>
    <row r="652" spans="2:7" x14ac:dyDescent="0.25">
      <c r="B652" s="348" t="s">
        <v>950</v>
      </c>
      <c r="C652" s="293">
        <v>207.6</v>
      </c>
      <c r="D652" s="230">
        <f t="shared" si="34"/>
        <v>-2.2588551929638712E-3</v>
      </c>
      <c r="E652" s="293">
        <v>1.5425008204791757E-2</v>
      </c>
      <c r="F652" s="266">
        <f t="shared" si="36"/>
        <v>645</v>
      </c>
      <c r="G652" s="230">
        <f t="shared" ca="1" si="35"/>
        <v>-2.9669326286169563E-2</v>
      </c>
    </row>
    <row r="653" spans="2:7" x14ac:dyDescent="0.25">
      <c r="B653" s="348" t="s">
        <v>951</v>
      </c>
      <c r="C653" s="293">
        <v>208.07</v>
      </c>
      <c r="D653" s="230">
        <f t="shared" si="34"/>
        <v>-1.2000768049155175E-3</v>
      </c>
      <c r="E653" s="293">
        <v>1.5399422521655382E-2</v>
      </c>
      <c r="F653" s="266">
        <f t="shared" si="36"/>
        <v>646</v>
      </c>
      <c r="G653" s="230">
        <f t="shared" ca="1" si="35"/>
        <v>-1.5328301375820029E-2</v>
      </c>
    </row>
    <row r="654" spans="2:7" x14ac:dyDescent="0.25">
      <c r="B654" s="348" t="s">
        <v>952</v>
      </c>
      <c r="C654" s="293">
        <v>208.32</v>
      </c>
      <c r="D654" s="230">
        <f t="shared" si="34"/>
        <v>-8.0000000000000071E-3</v>
      </c>
      <c r="E654" s="293">
        <v>1.5336991698325697E-2</v>
      </c>
      <c r="F654" s="266">
        <f t="shared" si="36"/>
        <v>647</v>
      </c>
      <c r="G654" s="230">
        <f t="shared" ca="1" si="35"/>
        <v>1.5137268968515171E-3</v>
      </c>
    </row>
    <row r="655" spans="2:7" x14ac:dyDescent="0.25">
      <c r="B655" s="348" t="s">
        <v>953</v>
      </c>
      <c r="C655" s="293">
        <v>210</v>
      </c>
      <c r="D655" s="230">
        <f t="shared" si="34"/>
        <v>-2.8766996577559878E-2</v>
      </c>
      <c r="E655" s="293">
        <v>1.5312632922160674E-2</v>
      </c>
      <c r="F655" s="266">
        <f t="shared" si="36"/>
        <v>648</v>
      </c>
      <c r="G655" s="230">
        <f t="shared" ca="1" si="35"/>
        <v>1.310340670534493E-2</v>
      </c>
    </row>
    <row r="656" spans="2:7" x14ac:dyDescent="0.25">
      <c r="B656" s="348" t="s">
        <v>954</v>
      </c>
      <c r="C656" s="293">
        <v>216.22</v>
      </c>
      <c r="D656" s="230">
        <f t="shared" si="34"/>
        <v>-6.0221578632831951E-3</v>
      </c>
      <c r="E656" s="293">
        <v>1.5297787019159292E-2</v>
      </c>
      <c r="F656" s="266">
        <f t="shared" si="36"/>
        <v>649</v>
      </c>
      <c r="G656" s="230">
        <f t="shared" ca="1" si="35"/>
        <v>-2.4816403565282629E-3</v>
      </c>
    </row>
    <row r="657" spans="2:7" x14ac:dyDescent="0.25">
      <c r="B657" s="348" t="s">
        <v>955</v>
      </c>
      <c r="C657" s="293">
        <v>217.53</v>
      </c>
      <c r="D657" s="230">
        <f t="shared" si="34"/>
        <v>-1.8056245203809884E-2</v>
      </c>
      <c r="E657" s="293">
        <v>1.5286624203821653E-2</v>
      </c>
      <c r="F657" s="266">
        <f t="shared" si="36"/>
        <v>650</v>
      </c>
      <c r="G657" s="230">
        <f t="shared" ca="1" si="35"/>
        <v>1.5184046503584681E-2</v>
      </c>
    </row>
    <row r="658" spans="2:7" x14ac:dyDescent="0.25">
      <c r="B658" s="348" t="s">
        <v>956</v>
      </c>
      <c r="C658" s="293">
        <v>221.53</v>
      </c>
      <c r="D658" s="230">
        <f t="shared" si="34"/>
        <v>1.3635323724548121E-2</v>
      </c>
      <c r="E658" s="293">
        <v>1.524590163934425E-2</v>
      </c>
      <c r="F658" s="266">
        <f t="shared" si="36"/>
        <v>651</v>
      </c>
      <c r="G658" s="230">
        <f t="shared" ca="1" si="35"/>
        <v>-2.0427894400343255E-3</v>
      </c>
    </row>
    <row r="659" spans="2:7" x14ac:dyDescent="0.25">
      <c r="B659" s="348" t="s">
        <v>957</v>
      </c>
      <c r="C659" s="293">
        <v>218.55</v>
      </c>
      <c r="D659" s="230">
        <f t="shared" si="34"/>
        <v>2.2930520522816966E-3</v>
      </c>
      <c r="E659" s="293">
        <v>1.5236410105180287E-2</v>
      </c>
      <c r="F659" s="266">
        <f t="shared" si="36"/>
        <v>652</v>
      </c>
      <c r="G659" s="230">
        <f t="shared" ca="1" si="35"/>
        <v>-2.3945469540528246E-3</v>
      </c>
    </row>
    <row r="660" spans="2:7" x14ac:dyDescent="0.25">
      <c r="B660" s="348">
        <v>44903</v>
      </c>
      <c r="C660" s="293">
        <v>218.05</v>
      </c>
      <c r="D660" s="230">
        <f t="shared" si="34"/>
        <v>-5.3371042788066259E-3</v>
      </c>
      <c r="E660" s="293">
        <v>1.5223596574690745E-2</v>
      </c>
      <c r="F660" s="266">
        <f t="shared" si="36"/>
        <v>653</v>
      </c>
      <c r="G660" s="230">
        <f t="shared" ca="1" si="35"/>
        <v>2.6438860715001762E-3</v>
      </c>
    </row>
    <row r="661" spans="2:7" x14ac:dyDescent="0.25">
      <c r="B661" s="348">
        <v>44873</v>
      </c>
      <c r="C661" s="293">
        <v>219.22</v>
      </c>
      <c r="D661" s="230">
        <f t="shared" si="34"/>
        <v>1.9296043148742337E-2</v>
      </c>
      <c r="E661" s="293">
        <v>1.5222594542843471E-2</v>
      </c>
      <c r="F661" s="266">
        <f t="shared" si="36"/>
        <v>654</v>
      </c>
      <c r="G661" s="230">
        <f t="shared" ca="1" si="35"/>
        <v>-6.964991797401298E-3</v>
      </c>
    </row>
    <row r="662" spans="2:7" x14ac:dyDescent="0.25">
      <c r="B662" s="348">
        <v>44842</v>
      </c>
      <c r="C662" s="293">
        <v>215.07</v>
      </c>
      <c r="D662" s="230">
        <f t="shared" si="34"/>
        <v>-1.3123480016519085E-2</v>
      </c>
      <c r="E662" s="293">
        <v>1.5174739423666539E-2</v>
      </c>
      <c r="F662" s="266">
        <f t="shared" si="36"/>
        <v>655</v>
      </c>
      <c r="G662" s="230">
        <f t="shared" ca="1" si="35"/>
        <v>2.9813522999341598E-2</v>
      </c>
    </row>
    <row r="663" spans="2:7" x14ac:dyDescent="0.25">
      <c r="B663" s="348">
        <v>44781</v>
      </c>
      <c r="C663" s="293">
        <v>217.93</v>
      </c>
      <c r="D663" s="230">
        <f t="shared" si="34"/>
        <v>-9.4090909090909225E-3</v>
      </c>
      <c r="E663" s="293">
        <v>1.5172900494001551E-2</v>
      </c>
      <c r="F663" s="266">
        <f t="shared" si="36"/>
        <v>656</v>
      </c>
      <c r="G663" s="230">
        <f t="shared" ca="1" si="35"/>
        <v>2.9164561111621495E-2</v>
      </c>
    </row>
    <row r="664" spans="2:7" x14ac:dyDescent="0.25">
      <c r="B664" s="348">
        <v>44689</v>
      </c>
      <c r="C664" s="293">
        <v>220</v>
      </c>
      <c r="D664" s="230">
        <f t="shared" si="34"/>
        <v>1.0332950631458004E-2</v>
      </c>
      <c r="E664" s="293">
        <v>1.5166548547129732E-2</v>
      </c>
      <c r="F664" s="266">
        <f t="shared" si="36"/>
        <v>657</v>
      </c>
      <c r="G664" s="230">
        <f t="shared" ca="1" si="35"/>
        <v>-7.0473924575579811E-4</v>
      </c>
    </row>
    <row r="665" spans="2:7" x14ac:dyDescent="0.25">
      <c r="B665" s="348">
        <v>44659</v>
      </c>
      <c r="C665" s="293">
        <v>217.75</v>
      </c>
      <c r="D665" s="230">
        <f t="shared" si="34"/>
        <v>7.2624664631324443E-3</v>
      </c>
      <c r="E665" s="293">
        <v>1.5164201321053117E-2</v>
      </c>
      <c r="F665" s="266">
        <f t="shared" si="36"/>
        <v>658</v>
      </c>
      <c r="G665" s="230">
        <f t="shared" ca="1" si="35"/>
        <v>-3.2173554050920018E-2</v>
      </c>
    </row>
    <row r="666" spans="2:7" x14ac:dyDescent="0.25">
      <c r="B666" s="348">
        <v>44628</v>
      </c>
      <c r="C666" s="293">
        <v>216.18</v>
      </c>
      <c r="D666" s="230">
        <f t="shared" si="34"/>
        <v>6.424581005586516E-3</v>
      </c>
      <c r="E666" s="293">
        <v>1.510761589403975E-2</v>
      </c>
      <c r="F666" s="266">
        <f t="shared" si="36"/>
        <v>659</v>
      </c>
      <c r="G666" s="230">
        <f t="shared" ca="1" si="35"/>
        <v>-1.6664814228065039E-2</v>
      </c>
    </row>
    <row r="667" spans="2:7" x14ac:dyDescent="0.25">
      <c r="B667" s="348">
        <v>44600</v>
      </c>
      <c r="C667" s="293">
        <v>214.8</v>
      </c>
      <c r="D667" s="230">
        <f t="shared" si="34"/>
        <v>1.3986013986013734E-3</v>
      </c>
      <c r="E667" s="293">
        <v>1.5028554253080806E-2</v>
      </c>
      <c r="F667" s="266">
        <f t="shared" si="36"/>
        <v>660</v>
      </c>
      <c r="G667" s="230">
        <f t="shared" ca="1" si="35"/>
        <v>-4.7939461028878028E-2</v>
      </c>
    </row>
    <row r="668" spans="2:7" x14ac:dyDescent="0.25">
      <c r="B668" s="348">
        <v>44569</v>
      </c>
      <c r="C668" s="293">
        <v>214.5</v>
      </c>
      <c r="D668" s="230">
        <f t="shared" si="34"/>
        <v>1.2508850601840926E-2</v>
      </c>
      <c r="E668" s="293">
        <v>1.4881535147836189E-2</v>
      </c>
      <c r="F668" s="266">
        <f t="shared" si="36"/>
        <v>661</v>
      </c>
      <c r="G668" s="230">
        <f t="shared" ca="1" si="35"/>
        <v>-8.7593392519166504E-3</v>
      </c>
    </row>
    <row r="669" spans="2:7" x14ac:dyDescent="0.25">
      <c r="B669" s="348" t="s">
        <v>958</v>
      </c>
      <c r="C669" s="293">
        <v>211.85</v>
      </c>
      <c r="D669" s="230">
        <f t="shared" si="34"/>
        <v>1.8509615384615374E-2</v>
      </c>
      <c r="E669" s="293">
        <v>1.4880353911120192E-2</v>
      </c>
      <c r="F669" s="266">
        <f t="shared" si="36"/>
        <v>662</v>
      </c>
      <c r="G669" s="230">
        <f t="shared" ca="1" si="35"/>
        <v>1.0241873604626934E-2</v>
      </c>
    </row>
    <row r="670" spans="2:7" x14ac:dyDescent="0.25">
      <c r="B670" s="348" t="s">
        <v>959</v>
      </c>
      <c r="C670" s="293">
        <v>208</v>
      </c>
      <c r="D670" s="230">
        <f t="shared" si="34"/>
        <v>2.3017902813299296E-2</v>
      </c>
      <c r="E670" s="293">
        <v>1.486765211412866E-2</v>
      </c>
      <c r="F670" s="266">
        <f t="shared" si="36"/>
        <v>663</v>
      </c>
      <c r="G670" s="230">
        <f t="shared" ca="1" si="35"/>
        <v>4.7271463187527722E-3</v>
      </c>
    </row>
    <row r="671" spans="2:7" x14ac:dyDescent="0.25">
      <c r="B671" s="348" t="s">
        <v>960</v>
      </c>
      <c r="C671" s="293">
        <v>203.32</v>
      </c>
      <c r="D671" s="230">
        <f t="shared" si="34"/>
        <v>3.5538005923001492E-3</v>
      </c>
      <c r="E671" s="293">
        <v>1.4853713428357063E-2</v>
      </c>
      <c r="F671" s="266">
        <f t="shared" si="36"/>
        <v>664</v>
      </c>
      <c r="G671" s="230">
        <f t="shared" ca="1" si="35"/>
        <v>-2.3728385741318934E-2</v>
      </c>
    </row>
    <row r="672" spans="2:7" x14ac:dyDescent="0.25">
      <c r="B672" s="348" t="s">
        <v>961</v>
      </c>
      <c r="C672" s="293">
        <v>202.6</v>
      </c>
      <c r="D672" s="230">
        <f t="shared" si="34"/>
        <v>-2.314368370298947E-2</v>
      </c>
      <c r="E672" s="293">
        <v>1.4836795252225476E-2</v>
      </c>
      <c r="F672" s="266">
        <f t="shared" si="36"/>
        <v>665</v>
      </c>
      <c r="G672" s="230">
        <f t="shared" ca="1" si="35"/>
        <v>-1.0498959254115512E-2</v>
      </c>
    </row>
    <row r="673" spans="2:7" x14ac:dyDescent="0.25">
      <c r="B673" s="348" t="s">
        <v>962</v>
      </c>
      <c r="C673" s="293">
        <v>207.4</v>
      </c>
      <c r="D673" s="230">
        <f t="shared" si="34"/>
        <v>9.5896412403251308E-3</v>
      </c>
      <c r="E673" s="293">
        <v>1.4832162373145996E-2</v>
      </c>
      <c r="F673" s="266">
        <f t="shared" si="36"/>
        <v>666</v>
      </c>
      <c r="G673" s="230">
        <f t="shared" ca="1" si="35"/>
        <v>-1.8061605337347082E-2</v>
      </c>
    </row>
    <row r="674" spans="2:7" x14ac:dyDescent="0.25">
      <c r="B674" s="348" t="s">
        <v>963</v>
      </c>
      <c r="C674" s="293">
        <v>205.43</v>
      </c>
      <c r="D674" s="230">
        <f t="shared" si="34"/>
        <v>-7.5845410628019305E-3</v>
      </c>
      <c r="E674" s="293">
        <v>1.4829142488717029E-2</v>
      </c>
      <c r="F674" s="266">
        <f t="shared" si="36"/>
        <v>667</v>
      </c>
      <c r="G674" s="230">
        <f t="shared" ca="1" si="35"/>
        <v>6.3018077272166519E-3</v>
      </c>
    </row>
    <row r="675" spans="2:7" x14ac:dyDescent="0.25">
      <c r="B675" s="348" t="s">
        <v>964</v>
      </c>
      <c r="C675" s="293">
        <v>207</v>
      </c>
      <c r="D675" s="230">
        <f t="shared" si="34"/>
        <v>4.6105314244115903E-3</v>
      </c>
      <c r="E675" s="293">
        <v>1.4827721082387946E-2</v>
      </c>
      <c r="F675" s="266">
        <f t="shared" si="36"/>
        <v>668</v>
      </c>
      <c r="G675" s="230">
        <f t="shared" ca="1" si="35"/>
        <v>-1.9262813440024645E-2</v>
      </c>
    </row>
    <row r="676" spans="2:7" x14ac:dyDescent="0.25">
      <c r="B676" s="348" t="s">
        <v>965</v>
      </c>
      <c r="C676" s="293">
        <v>206.05</v>
      </c>
      <c r="D676" s="230">
        <f t="shared" si="34"/>
        <v>1.592545113894106E-2</v>
      </c>
      <c r="E676" s="293">
        <v>1.4817253868949498E-2</v>
      </c>
      <c r="F676" s="266">
        <f t="shared" si="36"/>
        <v>669</v>
      </c>
      <c r="G676" s="230">
        <f t="shared" ca="1" si="35"/>
        <v>-1.135189027496767E-2</v>
      </c>
    </row>
    <row r="677" spans="2:7" x14ac:dyDescent="0.25">
      <c r="B677" s="348" t="s">
        <v>966</v>
      </c>
      <c r="C677" s="293">
        <v>202.82</v>
      </c>
      <c r="D677" s="230">
        <f t="shared" si="34"/>
        <v>2.1741278782487772E-3</v>
      </c>
      <c r="E677" s="293">
        <v>1.4779025152763969E-2</v>
      </c>
      <c r="F677" s="266">
        <f t="shared" si="36"/>
        <v>670</v>
      </c>
      <c r="G677" s="230">
        <f t="shared" ca="1" si="35"/>
        <v>1.9044932978843666E-2</v>
      </c>
    </row>
    <row r="678" spans="2:7" x14ac:dyDescent="0.25">
      <c r="B678" s="348" t="s">
        <v>967</v>
      </c>
      <c r="C678" s="293">
        <v>202.38</v>
      </c>
      <c r="D678" s="230">
        <f t="shared" si="34"/>
        <v>2.7674808307520449E-2</v>
      </c>
      <c r="E678" s="293">
        <v>1.4755197853789426E-2</v>
      </c>
      <c r="F678" s="266">
        <f t="shared" si="36"/>
        <v>671</v>
      </c>
      <c r="G678" s="230">
        <f t="shared" ca="1" si="35"/>
        <v>1.5206377830795158E-2</v>
      </c>
    </row>
    <row r="679" spans="2:7" x14ac:dyDescent="0.25">
      <c r="B679" s="348" t="s">
        <v>968</v>
      </c>
      <c r="C679" s="293">
        <v>196.93</v>
      </c>
      <c r="D679" s="230">
        <f t="shared" si="34"/>
        <v>-1.8882024711040168E-2</v>
      </c>
      <c r="E679" s="293">
        <v>1.4735226400613977E-2</v>
      </c>
      <c r="F679" s="266">
        <f t="shared" si="36"/>
        <v>672</v>
      </c>
      <c r="G679" s="230">
        <f t="shared" ca="1" si="35"/>
        <v>-6.3840889246936407E-3</v>
      </c>
    </row>
    <row r="680" spans="2:7" x14ac:dyDescent="0.25">
      <c r="B680" s="348" t="s">
        <v>969</v>
      </c>
      <c r="C680" s="293">
        <v>200.72</v>
      </c>
      <c r="D680" s="230">
        <f t="shared" si="34"/>
        <v>-1.2933366117531375E-2</v>
      </c>
      <c r="E680" s="293">
        <v>1.4732660155603483E-2</v>
      </c>
      <c r="F680" s="266">
        <f t="shared" si="36"/>
        <v>673</v>
      </c>
      <c r="G680" s="230">
        <f t="shared" ca="1" si="35"/>
        <v>-1.121934847297806E-2</v>
      </c>
    </row>
    <row r="681" spans="2:7" x14ac:dyDescent="0.25">
      <c r="B681" s="348" t="s">
        <v>970</v>
      </c>
      <c r="C681" s="293">
        <v>203.35</v>
      </c>
      <c r="D681" s="230">
        <f t="shared" si="34"/>
        <v>-5.9637287969888098E-3</v>
      </c>
      <c r="E681" s="293">
        <v>1.471428571428568E-2</v>
      </c>
      <c r="F681" s="266">
        <f t="shared" si="36"/>
        <v>674</v>
      </c>
      <c r="G681" s="230">
        <f t="shared" ca="1" si="35"/>
        <v>6.4174339795182878E-3</v>
      </c>
    </row>
    <row r="682" spans="2:7" x14ac:dyDescent="0.25">
      <c r="B682" s="348">
        <v>44902</v>
      </c>
      <c r="C682" s="293">
        <v>204.57</v>
      </c>
      <c r="D682" s="230">
        <f t="shared" si="34"/>
        <v>-5.0097276264591262E-3</v>
      </c>
      <c r="E682" s="293">
        <v>1.4707302159431057E-2</v>
      </c>
      <c r="F682" s="266">
        <f t="shared" si="36"/>
        <v>675</v>
      </c>
      <c r="G682" s="230">
        <f t="shared" ca="1" si="35"/>
        <v>-5.9721631650376172E-3</v>
      </c>
    </row>
    <row r="683" spans="2:7" x14ac:dyDescent="0.25">
      <c r="B683" s="348">
        <v>44872</v>
      </c>
      <c r="C683" s="293">
        <v>205.6</v>
      </c>
      <c r="D683" s="230">
        <f t="shared" si="34"/>
        <v>-1.8849916487711837E-2</v>
      </c>
      <c r="E683" s="293">
        <v>1.4705882352941346E-2</v>
      </c>
      <c r="F683" s="266">
        <f t="shared" si="36"/>
        <v>676</v>
      </c>
      <c r="G683" s="230">
        <f t="shared" ca="1" si="35"/>
        <v>-1.6348625985124481E-2</v>
      </c>
    </row>
    <row r="684" spans="2:7" x14ac:dyDescent="0.25">
      <c r="B684" s="348">
        <v>44780</v>
      </c>
      <c r="C684" s="293">
        <v>209.55</v>
      </c>
      <c r="D684" s="230">
        <f t="shared" si="34"/>
        <v>-4.0399239543725818E-3</v>
      </c>
      <c r="E684" s="293">
        <v>1.4705882352941124E-2</v>
      </c>
      <c r="F684" s="266">
        <f t="shared" si="36"/>
        <v>677</v>
      </c>
      <c r="G684" s="230">
        <f t="shared" ca="1" si="35"/>
        <v>-1.0395420617934329E-2</v>
      </c>
    </row>
    <row r="685" spans="2:7" x14ac:dyDescent="0.25">
      <c r="B685" s="348">
        <v>44749</v>
      </c>
      <c r="C685" s="293">
        <v>210.4</v>
      </c>
      <c r="D685" s="230">
        <f t="shared" si="34"/>
        <v>1.1392587607556681E-2</v>
      </c>
      <c r="E685" s="293">
        <v>1.4697406340057562E-2</v>
      </c>
      <c r="F685" s="266">
        <f t="shared" si="36"/>
        <v>678</v>
      </c>
      <c r="G685" s="230">
        <f t="shared" ca="1" si="35"/>
        <v>-5.9992981289935174E-3</v>
      </c>
    </row>
    <row r="686" spans="2:7" x14ac:dyDescent="0.25">
      <c r="B686" s="348">
        <v>44719</v>
      </c>
      <c r="C686" s="293">
        <v>208.03</v>
      </c>
      <c r="D686" s="230">
        <f t="shared" si="34"/>
        <v>5.9477756286265837E-3</v>
      </c>
      <c r="E686" s="293">
        <v>1.467470148420924E-2</v>
      </c>
      <c r="F686" s="266">
        <f t="shared" si="36"/>
        <v>679</v>
      </c>
      <c r="G686" s="230">
        <f t="shared" ca="1" si="35"/>
        <v>3.1545524671418183E-2</v>
      </c>
    </row>
    <row r="687" spans="2:7" x14ac:dyDescent="0.25">
      <c r="B687" s="348">
        <v>44688</v>
      </c>
      <c r="C687" s="293">
        <v>206.8</v>
      </c>
      <c r="D687" s="230">
        <f t="shared" si="34"/>
        <v>-1.5940994527718244E-2</v>
      </c>
      <c r="E687" s="293">
        <v>1.4671983054015403E-2</v>
      </c>
      <c r="F687" s="266">
        <f t="shared" si="36"/>
        <v>680</v>
      </c>
      <c r="G687" s="230">
        <f t="shared" ca="1" si="35"/>
        <v>1.5407905791808061E-2</v>
      </c>
    </row>
    <row r="688" spans="2:7" x14ac:dyDescent="0.25">
      <c r="B688" s="348">
        <v>44658</v>
      </c>
      <c r="C688" s="293">
        <v>210.15</v>
      </c>
      <c r="D688" s="230">
        <f t="shared" si="34"/>
        <v>-4.0284360189573043E-3</v>
      </c>
      <c r="E688" s="293">
        <v>1.4671295777802573E-2</v>
      </c>
      <c r="F688" s="266">
        <f t="shared" si="36"/>
        <v>681</v>
      </c>
      <c r="G688" s="230">
        <f t="shared" ca="1" si="35"/>
        <v>-1.4693718056228707E-2</v>
      </c>
    </row>
    <row r="689" spans="2:7" x14ac:dyDescent="0.25">
      <c r="B689" s="348">
        <v>44568</v>
      </c>
      <c r="C689" s="293">
        <v>211</v>
      </c>
      <c r="D689" s="230">
        <f t="shared" si="34"/>
        <v>1.4276787001874736E-2</v>
      </c>
      <c r="E689" s="293">
        <v>1.4662336421816802E-2</v>
      </c>
      <c r="F689" s="266">
        <f t="shared" si="36"/>
        <v>682</v>
      </c>
      <c r="G689" s="230">
        <f t="shared" ca="1" si="35"/>
        <v>1.7344988099282886E-2</v>
      </c>
    </row>
    <row r="690" spans="2:7" x14ac:dyDescent="0.25">
      <c r="B690" s="348" t="s">
        <v>971</v>
      </c>
      <c r="C690" s="293">
        <v>208.03</v>
      </c>
      <c r="D690" s="230">
        <f t="shared" si="34"/>
        <v>-1.1170263333016406E-2</v>
      </c>
      <c r="E690" s="293">
        <v>1.4650602409638447E-2</v>
      </c>
      <c r="F690" s="266">
        <f t="shared" si="36"/>
        <v>683</v>
      </c>
      <c r="G690" s="230">
        <f t="shared" ca="1" si="35"/>
        <v>3.7422103517458359E-2</v>
      </c>
    </row>
    <row r="691" spans="2:7" x14ac:dyDescent="0.25">
      <c r="B691" s="348" t="s">
        <v>972</v>
      </c>
      <c r="C691" s="293">
        <v>210.38</v>
      </c>
      <c r="D691" s="230">
        <f t="shared" si="34"/>
        <v>-1.5167119183597033E-2</v>
      </c>
      <c r="E691" s="293">
        <v>1.4645308924485345E-2</v>
      </c>
      <c r="F691" s="266">
        <f t="shared" si="36"/>
        <v>684</v>
      </c>
      <c r="G691" s="230">
        <f t="shared" ca="1" si="35"/>
        <v>1.1311113494388269E-2</v>
      </c>
    </row>
    <row r="692" spans="2:7" x14ac:dyDescent="0.25">
      <c r="B692" s="348" t="s">
        <v>973</v>
      </c>
      <c r="C692" s="293">
        <v>213.62</v>
      </c>
      <c r="D692" s="230">
        <f t="shared" si="34"/>
        <v>5.5071781595670277E-3</v>
      </c>
      <c r="E692" s="293">
        <v>1.4573672754802702E-2</v>
      </c>
      <c r="F692" s="266">
        <f t="shared" si="36"/>
        <v>685</v>
      </c>
      <c r="G692" s="230">
        <f t="shared" ca="1" si="35"/>
        <v>1.1201309419734001E-2</v>
      </c>
    </row>
    <row r="693" spans="2:7" x14ac:dyDescent="0.25">
      <c r="B693" s="348" t="s">
        <v>974</v>
      </c>
      <c r="C693" s="293">
        <v>212.45</v>
      </c>
      <c r="D693" s="230">
        <f t="shared" si="34"/>
        <v>1.4662336421816802E-2</v>
      </c>
      <c r="E693" s="293">
        <v>1.4563716258631398E-2</v>
      </c>
      <c r="F693" s="266">
        <f t="shared" si="36"/>
        <v>686</v>
      </c>
      <c r="G693" s="230">
        <f t="shared" ca="1" si="35"/>
        <v>-1.1962626876921227E-3</v>
      </c>
    </row>
    <row r="694" spans="2:7" x14ac:dyDescent="0.25">
      <c r="B694" s="348" t="s">
        <v>975</v>
      </c>
      <c r="C694" s="293">
        <v>209.38</v>
      </c>
      <c r="D694" s="230">
        <f t="shared" si="34"/>
        <v>-7.1588793967458653E-4</v>
      </c>
      <c r="E694" s="293">
        <v>1.4545174696013685E-2</v>
      </c>
      <c r="F694" s="266">
        <f t="shared" si="36"/>
        <v>687</v>
      </c>
      <c r="G694" s="230">
        <f t="shared" ca="1" si="35"/>
        <v>1.4950830734081056E-2</v>
      </c>
    </row>
    <row r="695" spans="2:7" x14ac:dyDescent="0.25">
      <c r="B695" s="348" t="s">
        <v>976</v>
      </c>
      <c r="C695" s="293">
        <v>209.53</v>
      </c>
      <c r="D695" s="230">
        <f t="shared" si="34"/>
        <v>1.9015659955257336E-2</v>
      </c>
      <c r="E695" s="293">
        <v>1.4523745878998406E-2</v>
      </c>
      <c r="F695" s="266">
        <f t="shared" si="36"/>
        <v>688</v>
      </c>
      <c r="G695" s="230">
        <f t="shared" ca="1" si="35"/>
        <v>-2.1654546064096579E-2</v>
      </c>
    </row>
    <row r="696" spans="2:7" x14ac:dyDescent="0.25">
      <c r="B696" s="348" t="s">
        <v>977</v>
      </c>
      <c r="C696" s="293">
        <v>205.62</v>
      </c>
      <c r="D696" s="230">
        <f t="shared" si="34"/>
        <v>-3.2695112198334653E-2</v>
      </c>
      <c r="E696" s="293">
        <v>1.4514791263477989E-2</v>
      </c>
      <c r="F696" s="266">
        <f t="shared" si="36"/>
        <v>689</v>
      </c>
      <c r="G696" s="230">
        <f t="shared" ca="1" si="35"/>
        <v>3.7827996401016222E-3</v>
      </c>
    </row>
    <row r="697" spans="2:7" x14ac:dyDescent="0.25">
      <c r="B697" s="348" t="s">
        <v>978</v>
      </c>
      <c r="C697" s="293">
        <v>212.57</v>
      </c>
      <c r="D697" s="230">
        <f t="shared" si="34"/>
        <v>2.5323171908161246E-2</v>
      </c>
      <c r="E697" s="293">
        <v>1.4504630009014141E-2</v>
      </c>
      <c r="F697" s="266">
        <f t="shared" si="36"/>
        <v>690</v>
      </c>
      <c r="G697" s="230">
        <f t="shared" ca="1" si="35"/>
        <v>2.6300517222520421E-2</v>
      </c>
    </row>
    <row r="698" spans="2:7" x14ac:dyDescent="0.25">
      <c r="B698" s="348" t="s">
        <v>979</v>
      </c>
      <c r="C698" s="293">
        <v>207.32</v>
      </c>
      <c r="D698" s="230">
        <f t="shared" si="34"/>
        <v>2.3297137216189423E-2</v>
      </c>
      <c r="E698" s="293">
        <v>1.4485596707819015E-2</v>
      </c>
      <c r="F698" s="266">
        <f t="shared" si="36"/>
        <v>691</v>
      </c>
      <c r="G698" s="230">
        <f t="shared" ca="1" si="35"/>
        <v>-9.4734504290806612E-3</v>
      </c>
    </row>
    <row r="699" spans="2:7" x14ac:dyDescent="0.25">
      <c r="B699" s="348" t="s">
        <v>980</v>
      </c>
      <c r="C699" s="293">
        <v>202.6</v>
      </c>
      <c r="D699" s="230">
        <f t="shared" si="34"/>
        <v>-4.0492540847738678E-2</v>
      </c>
      <c r="E699" s="293">
        <v>1.4474899907606975E-2</v>
      </c>
      <c r="F699" s="266">
        <f t="shared" si="36"/>
        <v>692</v>
      </c>
      <c r="G699" s="230">
        <f t="shared" ca="1" si="35"/>
        <v>1.4771631463709052E-2</v>
      </c>
    </row>
    <row r="700" spans="2:7" x14ac:dyDescent="0.25">
      <c r="B700" s="348" t="s">
        <v>981</v>
      </c>
      <c r="C700" s="293">
        <v>211.15</v>
      </c>
      <c r="D700" s="230">
        <f t="shared" si="34"/>
        <v>-4.0445353328788958E-2</v>
      </c>
      <c r="E700" s="293">
        <v>1.4471780028943559E-2</v>
      </c>
      <c r="F700" s="266">
        <f t="shared" si="36"/>
        <v>693</v>
      </c>
      <c r="G700" s="230">
        <f t="shared" ca="1" si="35"/>
        <v>2.3006567175381069E-2</v>
      </c>
    </row>
    <row r="701" spans="2:7" x14ac:dyDescent="0.25">
      <c r="B701" s="348" t="s">
        <v>982</v>
      </c>
      <c r="C701" s="293">
        <v>220.05</v>
      </c>
      <c r="D701" s="230">
        <f t="shared" si="34"/>
        <v>-1.300740076250273E-2</v>
      </c>
      <c r="E701" s="293">
        <v>1.4465169394746846E-2</v>
      </c>
      <c r="F701" s="266">
        <f t="shared" si="36"/>
        <v>694</v>
      </c>
      <c r="G701" s="230">
        <f t="shared" ca="1" si="35"/>
        <v>-1.9384593893787855E-2</v>
      </c>
    </row>
    <row r="702" spans="2:7" x14ac:dyDescent="0.25">
      <c r="B702" s="348" t="s">
        <v>983</v>
      </c>
      <c r="C702" s="293">
        <v>222.95</v>
      </c>
      <c r="D702" s="230">
        <f t="shared" si="34"/>
        <v>-4.4832997085864079E-4</v>
      </c>
      <c r="E702" s="293">
        <v>1.446314757313294E-2</v>
      </c>
      <c r="F702" s="266">
        <f t="shared" si="36"/>
        <v>695</v>
      </c>
      <c r="G702" s="230">
        <f t="shared" ca="1" si="35"/>
        <v>-2.6635277997030471E-2</v>
      </c>
    </row>
    <row r="703" spans="2:7" x14ac:dyDescent="0.25">
      <c r="B703" s="348" t="s">
        <v>984</v>
      </c>
      <c r="C703" s="293">
        <v>223.05</v>
      </c>
      <c r="D703" s="230">
        <f t="shared" si="34"/>
        <v>-3.2195079619907085E-2</v>
      </c>
      <c r="E703" s="293">
        <v>1.444192283886947E-2</v>
      </c>
      <c r="F703" s="266">
        <f t="shared" si="36"/>
        <v>696</v>
      </c>
      <c r="G703" s="230">
        <f t="shared" ca="1" si="35"/>
        <v>2.1969921943000369E-2</v>
      </c>
    </row>
    <row r="704" spans="2:7" x14ac:dyDescent="0.25">
      <c r="B704" s="348">
        <v>44840</v>
      </c>
      <c r="C704" s="293">
        <v>230.47</v>
      </c>
      <c r="D704" s="230">
        <f t="shared" si="34"/>
        <v>-2.9722561360670197E-2</v>
      </c>
      <c r="E704" s="293">
        <v>1.4440970671430575E-2</v>
      </c>
      <c r="F704" s="266">
        <f t="shared" si="36"/>
        <v>697</v>
      </c>
      <c r="G704" s="230">
        <f t="shared" ca="1" si="35"/>
        <v>2.7731318489904261E-2</v>
      </c>
    </row>
    <row r="705" spans="2:7" x14ac:dyDescent="0.25">
      <c r="B705" s="348">
        <v>44810</v>
      </c>
      <c r="C705" s="293">
        <v>237.53</v>
      </c>
      <c r="D705" s="230">
        <f t="shared" si="34"/>
        <v>9.906462585034026E-3</v>
      </c>
      <c r="E705" s="293">
        <v>1.4374568071872984E-2</v>
      </c>
      <c r="F705" s="266">
        <f t="shared" si="36"/>
        <v>698</v>
      </c>
      <c r="G705" s="230">
        <f t="shared" ca="1" si="35"/>
        <v>-2.1501697969375073E-2</v>
      </c>
    </row>
    <row r="706" spans="2:7" x14ac:dyDescent="0.25">
      <c r="B706" s="348">
        <v>44779</v>
      </c>
      <c r="C706" s="293">
        <v>235.2</v>
      </c>
      <c r="D706" s="230">
        <f t="shared" si="34"/>
        <v>5.9019758788811938E-3</v>
      </c>
      <c r="E706" s="293">
        <v>1.4370906246945037E-2</v>
      </c>
      <c r="F706" s="266">
        <f t="shared" si="36"/>
        <v>699</v>
      </c>
      <c r="G706" s="230">
        <f t="shared" ca="1" si="35"/>
        <v>4.417588195323249E-3</v>
      </c>
    </row>
    <row r="707" spans="2:7" x14ac:dyDescent="0.25">
      <c r="B707" s="348">
        <v>44748</v>
      </c>
      <c r="C707" s="293">
        <v>233.82</v>
      </c>
      <c r="D707" s="230">
        <f t="shared" si="34"/>
        <v>-1.174978867286558E-2</v>
      </c>
      <c r="E707" s="293">
        <v>1.4352693522150961E-2</v>
      </c>
      <c r="F707" s="266">
        <f t="shared" si="36"/>
        <v>700</v>
      </c>
      <c r="G707" s="230">
        <f t="shared" ca="1" si="35"/>
        <v>-3.3079336592642228E-2</v>
      </c>
    </row>
    <row r="708" spans="2:7" x14ac:dyDescent="0.25">
      <c r="B708" s="348">
        <v>44718</v>
      </c>
      <c r="C708" s="293">
        <v>236.6</v>
      </c>
      <c r="D708" s="230">
        <f t="shared" si="34"/>
        <v>-4.8370136698212551E-3</v>
      </c>
      <c r="E708" s="293">
        <v>1.433160365702979E-2</v>
      </c>
      <c r="F708" s="266">
        <f t="shared" si="36"/>
        <v>701</v>
      </c>
      <c r="G708" s="230">
        <f t="shared" ca="1" si="35"/>
        <v>1.3618879817329066E-2</v>
      </c>
    </row>
    <row r="709" spans="2:7" x14ac:dyDescent="0.25">
      <c r="B709" s="348">
        <v>44626</v>
      </c>
      <c r="C709" s="293">
        <v>237.75</v>
      </c>
      <c r="D709" s="230">
        <f t="shared" si="34"/>
        <v>2.868351119922341E-3</v>
      </c>
      <c r="E709" s="293">
        <v>1.4320987654321105E-2</v>
      </c>
      <c r="F709" s="266">
        <f t="shared" si="36"/>
        <v>702</v>
      </c>
      <c r="G709" s="230">
        <f t="shared" ca="1" si="35"/>
        <v>-2.6372251873192261E-3</v>
      </c>
    </row>
    <row r="710" spans="2:7" x14ac:dyDescent="0.25">
      <c r="B710" s="348">
        <v>44598</v>
      </c>
      <c r="C710" s="293">
        <v>237.07</v>
      </c>
      <c r="D710" s="230">
        <f t="shared" si="34"/>
        <v>7.1798793440394082E-3</v>
      </c>
      <c r="E710" s="293">
        <v>1.431200163565749E-2</v>
      </c>
      <c r="F710" s="266">
        <f t="shared" si="36"/>
        <v>703</v>
      </c>
      <c r="G710" s="230">
        <f t="shared" ca="1" si="35"/>
        <v>1.6903441563246371E-2</v>
      </c>
    </row>
    <row r="711" spans="2:7" x14ac:dyDescent="0.25">
      <c r="B711" s="348">
        <v>44567</v>
      </c>
      <c r="C711" s="293">
        <v>235.38</v>
      </c>
      <c r="D711" s="230">
        <f t="shared" si="34"/>
        <v>-1.5270049784545936E-2</v>
      </c>
      <c r="E711" s="293">
        <v>1.4309764309764272E-2</v>
      </c>
      <c r="F711" s="266">
        <f t="shared" si="36"/>
        <v>704</v>
      </c>
      <c r="G711" s="230">
        <f t="shared" ca="1" si="35"/>
        <v>4.9552354392919749E-3</v>
      </c>
    </row>
    <row r="712" spans="2:7" x14ac:dyDescent="0.25">
      <c r="B712" s="348" t="s">
        <v>985</v>
      </c>
      <c r="C712" s="293">
        <v>239.03</v>
      </c>
      <c r="D712" s="230">
        <f t="shared" si="34"/>
        <v>3.8216025533344133E-3</v>
      </c>
      <c r="E712" s="293">
        <v>1.4285714285714235E-2</v>
      </c>
      <c r="F712" s="266">
        <f t="shared" si="36"/>
        <v>705</v>
      </c>
      <c r="G712" s="230">
        <f t="shared" ca="1" si="35"/>
        <v>-1.0539351116477658E-2</v>
      </c>
    </row>
    <row r="713" spans="2:7" x14ac:dyDescent="0.25">
      <c r="B713" s="348" t="s">
        <v>986</v>
      </c>
      <c r="C713" s="293">
        <v>238.12</v>
      </c>
      <c r="D713" s="230">
        <f t="shared" ref="D713:D776" si="37">C713/C714-1</f>
        <v>1.9916905812309871E-2</v>
      </c>
      <c r="E713" s="293">
        <v>1.4285714285714235E-2</v>
      </c>
      <c r="F713" s="266">
        <f t="shared" si="36"/>
        <v>706</v>
      </c>
      <c r="G713" s="230">
        <f t="shared" ref="G713:G776" ca="1" si="38">_xlfn.NORM.INV(RAND(),$M$10,$M$11)</f>
        <v>-2.4247621295667758E-2</v>
      </c>
    </row>
    <row r="714" spans="2:7" x14ac:dyDescent="0.25">
      <c r="B714" s="348" t="s">
        <v>987</v>
      </c>
      <c r="C714" s="293">
        <v>233.47</v>
      </c>
      <c r="D714" s="230">
        <f t="shared" si="37"/>
        <v>2.9954120345861979E-2</v>
      </c>
      <c r="E714" s="293">
        <v>1.4276787001874736E-2</v>
      </c>
      <c r="F714" s="266">
        <f t="shared" ref="F714:F777" si="39">F713+1</f>
        <v>707</v>
      </c>
      <c r="G714" s="230">
        <f t="shared" ca="1" si="38"/>
        <v>1.4929220846342626E-2</v>
      </c>
    </row>
    <row r="715" spans="2:7" x14ac:dyDescent="0.25">
      <c r="B715" s="348" t="s">
        <v>988</v>
      </c>
      <c r="C715" s="293">
        <v>226.68</v>
      </c>
      <c r="D715" s="230">
        <f t="shared" si="37"/>
        <v>1.9107134828934891E-2</v>
      </c>
      <c r="E715" s="293">
        <v>1.4275478145841403E-2</v>
      </c>
      <c r="F715" s="266">
        <f t="shared" si="39"/>
        <v>708</v>
      </c>
      <c r="G715" s="230">
        <f t="shared" ca="1" si="38"/>
        <v>-6.4307173747624501E-3</v>
      </c>
    </row>
    <row r="716" spans="2:7" x14ac:dyDescent="0.25">
      <c r="B716" s="348" t="s">
        <v>989</v>
      </c>
      <c r="C716" s="293">
        <v>222.43</v>
      </c>
      <c r="D716" s="230">
        <f t="shared" si="37"/>
        <v>-3.2786885245901565E-2</v>
      </c>
      <c r="E716" s="293">
        <v>1.4239589369980932E-2</v>
      </c>
      <c r="F716" s="266">
        <f t="shared" si="39"/>
        <v>709</v>
      </c>
      <c r="G716" s="230">
        <f t="shared" ca="1" si="38"/>
        <v>-9.2105991264428907E-3</v>
      </c>
    </row>
    <row r="717" spans="2:7" x14ac:dyDescent="0.25">
      <c r="B717" s="348" t="s">
        <v>990</v>
      </c>
      <c r="C717" s="293">
        <v>229.97</v>
      </c>
      <c r="D717" s="230">
        <f t="shared" si="37"/>
        <v>-1.3004291845493565E-2</v>
      </c>
      <c r="E717" s="293">
        <v>1.423085611023267E-2</v>
      </c>
      <c r="F717" s="266">
        <f t="shared" si="39"/>
        <v>710</v>
      </c>
      <c r="G717" s="230">
        <f t="shared" ca="1" si="38"/>
        <v>4.315881082528425E-2</v>
      </c>
    </row>
    <row r="718" spans="2:7" x14ac:dyDescent="0.25">
      <c r="B718" s="348" t="s">
        <v>991</v>
      </c>
      <c r="C718" s="293">
        <v>233</v>
      </c>
      <c r="D718" s="230">
        <f t="shared" si="37"/>
        <v>1.3925152306353272E-2</v>
      </c>
      <c r="E718" s="293">
        <v>1.4224888716857009E-2</v>
      </c>
      <c r="F718" s="266">
        <f t="shared" si="39"/>
        <v>711</v>
      </c>
      <c r="G718" s="230">
        <f t="shared" ca="1" si="38"/>
        <v>2.8178042457915879E-2</v>
      </c>
    </row>
    <row r="719" spans="2:7" x14ac:dyDescent="0.25">
      <c r="B719" s="348" t="s">
        <v>992</v>
      </c>
      <c r="C719" s="293">
        <v>229.8</v>
      </c>
      <c r="D719" s="230">
        <f t="shared" si="37"/>
        <v>1.8752493682670623E-2</v>
      </c>
      <c r="E719" s="293">
        <v>1.4224329530300839E-2</v>
      </c>
      <c r="F719" s="266">
        <f t="shared" si="39"/>
        <v>712</v>
      </c>
      <c r="G719" s="230">
        <f t="shared" ca="1" si="38"/>
        <v>2.1718100376651561E-2</v>
      </c>
    </row>
    <row r="720" spans="2:7" x14ac:dyDescent="0.25">
      <c r="B720" s="348" t="s">
        <v>993</v>
      </c>
      <c r="C720" s="293">
        <v>225.57</v>
      </c>
      <c r="D720" s="230">
        <f t="shared" si="37"/>
        <v>-6.2546754218269496E-2</v>
      </c>
      <c r="E720" s="293">
        <v>1.4214181876918142E-2</v>
      </c>
      <c r="F720" s="266">
        <f t="shared" si="39"/>
        <v>713</v>
      </c>
      <c r="G720" s="230">
        <f t="shared" ca="1" si="38"/>
        <v>2.9716349365279449E-2</v>
      </c>
    </row>
    <row r="721" spans="2:7" x14ac:dyDescent="0.25">
      <c r="B721" s="348" t="s">
        <v>994</v>
      </c>
      <c r="C721" s="293">
        <v>240.62</v>
      </c>
      <c r="D721" s="230">
        <f t="shared" si="37"/>
        <v>-1.1096498438270541E-2</v>
      </c>
      <c r="E721" s="293">
        <v>1.4136732329084634E-2</v>
      </c>
      <c r="F721" s="266">
        <f t="shared" si="39"/>
        <v>714</v>
      </c>
      <c r="G721" s="230">
        <f t="shared" ca="1" si="38"/>
        <v>-3.112549679308526E-2</v>
      </c>
    </row>
    <row r="722" spans="2:7" x14ac:dyDescent="0.25">
      <c r="B722" s="348" t="s">
        <v>995</v>
      </c>
      <c r="C722" s="293">
        <v>243.32</v>
      </c>
      <c r="D722" s="230">
        <f t="shared" si="37"/>
        <v>3.9829059829059821E-2</v>
      </c>
      <c r="E722" s="293">
        <v>1.4113118785416434E-2</v>
      </c>
      <c r="F722" s="266">
        <f t="shared" si="39"/>
        <v>715</v>
      </c>
      <c r="G722" s="230">
        <f t="shared" ca="1" si="38"/>
        <v>1.4664849841228256E-2</v>
      </c>
    </row>
    <row r="723" spans="2:7" x14ac:dyDescent="0.25">
      <c r="B723" s="348" t="s">
        <v>996</v>
      </c>
      <c r="C723" s="293">
        <v>234</v>
      </c>
      <c r="D723" s="230">
        <f t="shared" si="37"/>
        <v>-1.3656538067599033E-3</v>
      </c>
      <c r="E723" s="293">
        <v>1.4108674928503318E-2</v>
      </c>
      <c r="F723" s="266">
        <f t="shared" si="39"/>
        <v>716</v>
      </c>
      <c r="G723" s="230">
        <f t="shared" ca="1" si="38"/>
        <v>5.2545734775796505E-3</v>
      </c>
    </row>
    <row r="724" spans="2:7" x14ac:dyDescent="0.25">
      <c r="B724" s="348" t="s">
        <v>997</v>
      </c>
      <c r="C724" s="293">
        <v>234.32</v>
      </c>
      <c r="D724" s="230">
        <f t="shared" si="37"/>
        <v>-1.0890671169269783E-2</v>
      </c>
      <c r="E724" s="293">
        <v>1.4103343465045493E-2</v>
      </c>
      <c r="F724" s="266">
        <f t="shared" si="39"/>
        <v>717</v>
      </c>
      <c r="G724" s="230">
        <f t="shared" ca="1" si="38"/>
        <v>4.7011891569278914E-3</v>
      </c>
    </row>
    <row r="725" spans="2:7" x14ac:dyDescent="0.25">
      <c r="B725" s="348">
        <v>44900</v>
      </c>
      <c r="C725" s="293">
        <v>236.9</v>
      </c>
      <c r="D725" s="230">
        <f t="shared" si="37"/>
        <v>4.0262767535494959E-3</v>
      </c>
      <c r="E725" s="293">
        <v>1.4094955489614147E-2</v>
      </c>
      <c r="F725" s="266">
        <f t="shared" si="39"/>
        <v>718</v>
      </c>
      <c r="G725" s="230">
        <f t="shared" ca="1" si="38"/>
        <v>4.2815356412436939E-3</v>
      </c>
    </row>
    <row r="726" spans="2:7" x14ac:dyDescent="0.25">
      <c r="B726" s="348">
        <v>44870</v>
      </c>
      <c r="C726" s="293">
        <v>235.95</v>
      </c>
      <c r="D726" s="230">
        <f t="shared" si="37"/>
        <v>-1.2017418976635108E-2</v>
      </c>
      <c r="E726" s="293">
        <v>1.4069974674045582E-2</v>
      </c>
      <c r="F726" s="266">
        <f t="shared" si="39"/>
        <v>719</v>
      </c>
      <c r="G726" s="230">
        <f t="shared" ca="1" si="38"/>
        <v>-1.8777504684613651E-2</v>
      </c>
    </row>
    <row r="727" spans="2:7" x14ac:dyDescent="0.25">
      <c r="B727" s="348">
        <v>44839</v>
      </c>
      <c r="C727" s="293">
        <v>238.82</v>
      </c>
      <c r="D727" s="230">
        <f t="shared" si="37"/>
        <v>-1.1383863890383705E-2</v>
      </c>
      <c r="E727" s="293">
        <v>1.4065488916394697E-2</v>
      </c>
      <c r="F727" s="266">
        <f t="shared" si="39"/>
        <v>720</v>
      </c>
      <c r="G727" s="230">
        <f t="shared" ca="1" si="38"/>
        <v>-3.3646791566941156E-2</v>
      </c>
    </row>
    <row r="728" spans="2:7" x14ac:dyDescent="0.25">
      <c r="B728" s="348">
        <v>44809</v>
      </c>
      <c r="C728" s="293">
        <v>241.57</v>
      </c>
      <c r="D728" s="230">
        <f t="shared" si="37"/>
        <v>-4.0404040404040664E-3</v>
      </c>
      <c r="E728" s="293">
        <v>1.4065458479848525E-2</v>
      </c>
      <c r="F728" s="266">
        <f t="shared" si="39"/>
        <v>721</v>
      </c>
      <c r="G728" s="230">
        <f t="shared" ca="1" si="38"/>
        <v>4.9213626177183507E-3</v>
      </c>
    </row>
    <row r="729" spans="2:7" x14ac:dyDescent="0.25">
      <c r="B729" s="348">
        <v>44717</v>
      </c>
      <c r="C729" s="293">
        <v>242.55</v>
      </c>
      <c r="D729" s="230">
        <f t="shared" si="37"/>
        <v>-3.200702398531341E-2</v>
      </c>
      <c r="E729" s="293">
        <v>1.4044687642498888E-2</v>
      </c>
      <c r="F729" s="266">
        <f t="shared" si="39"/>
        <v>722</v>
      </c>
      <c r="G729" s="230">
        <f t="shared" ca="1" si="38"/>
        <v>5.6370067601313224E-3</v>
      </c>
    </row>
    <row r="730" spans="2:7" x14ac:dyDescent="0.25">
      <c r="B730" s="348">
        <v>44686</v>
      </c>
      <c r="C730" s="293">
        <v>250.57</v>
      </c>
      <c r="D730" s="230">
        <f t="shared" si="37"/>
        <v>1.9074345209045163E-2</v>
      </c>
      <c r="E730" s="293">
        <v>1.3949516037198739E-2</v>
      </c>
      <c r="F730" s="266">
        <f t="shared" si="39"/>
        <v>723</v>
      </c>
      <c r="G730" s="230">
        <f t="shared" ca="1" si="38"/>
        <v>1.6543039613861533E-2</v>
      </c>
    </row>
    <row r="731" spans="2:7" x14ac:dyDescent="0.25">
      <c r="B731" s="348">
        <v>44656</v>
      </c>
      <c r="C731" s="293">
        <v>245.88</v>
      </c>
      <c r="D731" s="230">
        <f t="shared" si="37"/>
        <v>-6.545454545454521E-3</v>
      </c>
      <c r="E731" s="293">
        <v>1.3949079089924155E-2</v>
      </c>
      <c r="F731" s="266">
        <f t="shared" si="39"/>
        <v>724</v>
      </c>
      <c r="G731" s="230">
        <f t="shared" ca="1" si="38"/>
        <v>2.1766209607756437E-2</v>
      </c>
    </row>
    <row r="732" spans="2:7" x14ac:dyDescent="0.25">
      <c r="B732" s="348">
        <v>44597</v>
      </c>
      <c r="C732" s="293">
        <v>247.5</v>
      </c>
      <c r="D732" s="230">
        <f t="shared" si="37"/>
        <v>-2.7122641509433998E-2</v>
      </c>
      <c r="E732" s="293">
        <v>1.3941374731896827E-2</v>
      </c>
      <c r="F732" s="266">
        <f t="shared" si="39"/>
        <v>725</v>
      </c>
      <c r="G732" s="230">
        <f t="shared" ca="1" si="38"/>
        <v>-3.3169883487374111E-2</v>
      </c>
    </row>
    <row r="733" spans="2:7" x14ac:dyDescent="0.25">
      <c r="B733" s="348" t="s">
        <v>998</v>
      </c>
      <c r="C733" s="293">
        <v>254.4</v>
      </c>
      <c r="D733" s="230">
        <f t="shared" si="37"/>
        <v>-2.6294637731082648E-2</v>
      </c>
      <c r="E733" s="293">
        <v>1.3941330235260008E-2</v>
      </c>
      <c r="F733" s="266">
        <f t="shared" si="39"/>
        <v>726</v>
      </c>
      <c r="G733" s="230">
        <f t="shared" ca="1" si="38"/>
        <v>1.9691138151412788E-4</v>
      </c>
    </row>
    <row r="734" spans="2:7" x14ac:dyDescent="0.25">
      <c r="B734" s="348" t="s">
        <v>999</v>
      </c>
      <c r="C734" s="293">
        <v>261.27</v>
      </c>
      <c r="D734" s="230">
        <f t="shared" si="37"/>
        <v>6.8984122090332001E-3</v>
      </c>
      <c r="E734" s="293">
        <v>1.3935920812711444E-2</v>
      </c>
      <c r="F734" s="266">
        <f t="shared" si="39"/>
        <v>727</v>
      </c>
      <c r="G734" s="230">
        <f t="shared" ca="1" si="38"/>
        <v>3.5670653071175162E-3</v>
      </c>
    </row>
    <row r="735" spans="2:7" x14ac:dyDescent="0.25">
      <c r="B735" s="348" t="s">
        <v>1000</v>
      </c>
      <c r="C735" s="293">
        <v>259.48</v>
      </c>
      <c r="D735" s="230">
        <f t="shared" si="37"/>
        <v>-1.9424079812561335E-2</v>
      </c>
      <c r="E735" s="293">
        <v>1.3925152306353272E-2</v>
      </c>
      <c r="F735" s="266">
        <f t="shared" si="39"/>
        <v>728</v>
      </c>
      <c r="G735" s="230">
        <f t="shared" ca="1" si="38"/>
        <v>-3.4491186596068972E-2</v>
      </c>
    </row>
    <row r="736" spans="2:7" x14ac:dyDescent="0.25">
      <c r="B736" s="348" t="s">
        <v>1001</v>
      </c>
      <c r="C736" s="293">
        <v>264.62</v>
      </c>
      <c r="D736" s="230">
        <f t="shared" si="37"/>
        <v>-2.2668883179688404E-4</v>
      </c>
      <c r="E736" s="293">
        <v>1.3923838282167367E-2</v>
      </c>
      <c r="F736" s="266">
        <f t="shared" si="39"/>
        <v>729</v>
      </c>
      <c r="G736" s="230">
        <f t="shared" ca="1" si="38"/>
        <v>6.8253287294408162E-3</v>
      </c>
    </row>
    <row r="737" spans="2:7" x14ac:dyDescent="0.25">
      <c r="B737" s="348" t="s">
        <v>1002</v>
      </c>
      <c r="C737" s="293">
        <v>264.68</v>
      </c>
      <c r="D737" s="230">
        <f t="shared" si="37"/>
        <v>-1.5510507718058508E-2</v>
      </c>
      <c r="E737" s="293">
        <v>1.3900414937759287E-2</v>
      </c>
      <c r="F737" s="266">
        <f t="shared" si="39"/>
        <v>730</v>
      </c>
      <c r="G737" s="230">
        <f t="shared" ca="1" si="38"/>
        <v>-3.1660682432757908E-2</v>
      </c>
    </row>
    <row r="738" spans="2:7" x14ac:dyDescent="0.25">
      <c r="B738" s="348" t="s">
        <v>1003</v>
      </c>
      <c r="C738" s="293">
        <v>268.85000000000002</v>
      </c>
      <c r="D738" s="230">
        <f t="shared" si="37"/>
        <v>-2.7818991097923185E-3</v>
      </c>
      <c r="E738" s="293">
        <v>1.3885714285714279E-2</v>
      </c>
      <c r="F738" s="266">
        <f t="shared" si="39"/>
        <v>731</v>
      </c>
      <c r="G738" s="230">
        <f t="shared" ca="1" si="38"/>
        <v>-6.9585599700261467E-3</v>
      </c>
    </row>
    <row r="739" spans="2:7" x14ac:dyDescent="0.25">
      <c r="B739" s="348" t="s">
        <v>1004</v>
      </c>
      <c r="C739" s="293">
        <v>269.60000000000002</v>
      </c>
      <c r="D739" s="230">
        <f t="shared" si="37"/>
        <v>5.0326188257223681E-3</v>
      </c>
      <c r="E739" s="293">
        <v>1.3883944464222253E-2</v>
      </c>
      <c r="F739" s="266">
        <f t="shared" si="39"/>
        <v>732</v>
      </c>
      <c r="G739" s="230">
        <f t="shared" ca="1" si="38"/>
        <v>1.340001827448589E-2</v>
      </c>
    </row>
    <row r="740" spans="2:7" x14ac:dyDescent="0.25">
      <c r="B740" s="348" t="s">
        <v>1005</v>
      </c>
      <c r="C740" s="293">
        <v>268.25</v>
      </c>
      <c r="D740" s="230">
        <f t="shared" si="37"/>
        <v>1.1386343927911602E-2</v>
      </c>
      <c r="E740" s="293">
        <v>1.3874757191749243E-2</v>
      </c>
      <c r="F740" s="266">
        <f t="shared" si="39"/>
        <v>733</v>
      </c>
      <c r="G740" s="230">
        <f t="shared" ca="1" si="38"/>
        <v>-1.703024361902955E-2</v>
      </c>
    </row>
    <row r="741" spans="2:7" x14ac:dyDescent="0.25">
      <c r="B741" s="348" t="s">
        <v>1006</v>
      </c>
      <c r="C741" s="293">
        <v>265.23</v>
      </c>
      <c r="D741" s="230">
        <f t="shared" si="37"/>
        <v>-1.511325659116225E-2</v>
      </c>
      <c r="E741" s="293">
        <v>1.3873733437256508E-2</v>
      </c>
      <c r="F741" s="266">
        <f t="shared" si="39"/>
        <v>734</v>
      </c>
      <c r="G741" s="230">
        <f t="shared" ca="1" si="38"/>
        <v>2.8881868141217681E-2</v>
      </c>
    </row>
    <row r="742" spans="2:7" x14ac:dyDescent="0.25">
      <c r="B742" s="348" t="s">
        <v>1007</v>
      </c>
      <c r="C742" s="293">
        <v>269.3</v>
      </c>
      <c r="D742" s="230">
        <f t="shared" si="37"/>
        <v>-3.6838340486409216E-2</v>
      </c>
      <c r="E742" s="293">
        <v>1.3861738048693617E-2</v>
      </c>
      <c r="F742" s="266">
        <f t="shared" si="39"/>
        <v>735</v>
      </c>
      <c r="G742" s="230">
        <f t="shared" ca="1" si="38"/>
        <v>8.7458291850110916E-3</v>
      </c>
    </row>
    <row r="743" spans="2:7" x14ac:dyDescent="0.25">
      <c r="B743" s="348" t="s">
        <v>1008</v>
      </c>
      <c r="C743" s="293">
        <v>279.60000000000002</v>
      </c>
      <c r="D743" s="230">
        <f t="shared" si="37"/>
        <v>8.9493466976908742E-4</v>
      </c>
      <c r="E743" s="293">
        <v>1.3847305389221631E-2</v>
      </c>
      <c r="F743" s="266">
        <f t="shared" si="39"/>
        <v>736</v>
      </c>
      <c r="G743" s="230">
        <f t="shared" ca="1" si="38"/>
        <v>1.6539953302666083E-2</v>
      </c>
    </row>
    <row r="744" spans="2:7" x14ac:dyDescent="0.25">
      <c r="B744" s="348">
        <v>44899</v>
      </c>
      <c r="C744" s="293">
        <v>279.35000000000002</v>
      </c>
      <c r="D744" s="230">
        <f t="shared" si="37"/>
        <v>-2.1712484678690247E-2</v>
      </c>
      <c r="E744" s="293">
        <v>1.382711274415005E-2</v>
      </c>
      <c r="F744" s="266">
        <f t="shared" si="39"/>
        <v>737</v>
      </c>
      <c r="G744" s="230">
        <f t="shared" ca="1" si="38"/>
        <v>-2.8287743122956802E-2</v>
      </c>
    </row>
    <row r="745" spans="2:7" x14ac:dyDescent="0.25">
      <c r="B745" s="348">
        <v>44869</v>
      </c>
      <c r="C745" s="293">
        <v>285.55</v>
      </c>
      <c r="D745" s="230">
        <f t="shared" si="37"/>
        <v>-2.1485847440202765E-2</v>
      </c>
      <c r="E745" s="293">
        <v>1.3819095477386911E-2</v>
      </c>
      <c r="F745" s="266">
        <f t="shared" si="39"/>
        <v>738</v>
      </c>
      <c r="G745" s="230">
        <f t="shared" ca="1" si="38"/>
        <v>9.3880609778800245E-4</v>
      </c>
    </row>
    <row r="746" spans="2:7" x14ac:dyDescent="0.25">
      <c r="B746" s="348">
        <v>44777</v>
      </c>
      <c r="C746" s="293">
        <v>291.82</v>
      </c>
      <c r="D746" s="230">
        <f t="shared" si="37"/>
        <v>4.7860069552043694E-3</v>
      </c>
      <c r="E746" s="293">
        <v>1.3818297331639195E-2</v>
      </c>
      <c r="F746" s="266">
        <f t="shared" si="39"/>
        <v>739</v>
      </c>
      <c r="G746" s="230">
        <f t="shared" ca="1" si="38"/>
        <v>1.2033732511357625E-2</v>
      </c>
    </row>
    <row r="747" spans="2:7" x14ac:dyDescent="0.25">
      <c r="B747" s="348">
        <v>44746</v>
      </c>
      <c r="C747" s="293">
        <v>290.43</v>
      </c>
      <c r="D747" s="230">
        <f t="shared" si="37"/>
        <v>-2.136334535161899E-2</v>
      </c>
      <c r="E747" s="293">
        <v>1.3782324524012513E-2</v>
      </c>
      <c r="F747" s="266">
        <f t="shared" si="39"/>
        <v>740</v>
      </c>
      <c r="G747" s="230">
        <f t="shared" ca="1" si="38"/>
        <v>-2.8473917975622956E-3</v>
      </c>
    </row>
    <row r="748" spans="2:7" x14ac:dyDescent="0.25">
      <c r="B748" s="348">
        <v>44716</v>
      </c>
      <c r="C748" s="293">
        <v>296.77</v>
      </c>
      <c r="D748" s="230">
        <f t="shared" si="37"/>
        <v>-9.3467303134493473E-3</v>
      </c>
      <c r="E748" s="293">
        <v>1.3752455795677854E-2</v>
      </c>
      <c r="F748" s="266">
        <f t="shared" si="39"/>
        <v>741</v>
      </c>
      <c r="G748" s="230">
        <f t="shared" ca="1" si="38"/>
        <v>-2.8524884480169002E-2</v>
      </c>
    </row>
    <row r="749" spans="2:7" x14ac:dyDescent="0.25">
      <c r="B749" s="348">
        <v>44685</v>
      </c>
      <c r="C749" s="293">
        <v>299.57</v>
      </c>
      <c r="D749" s="230">
        <f t="shared" si="37"/>
        <v>-1.0667107001321119E-2</v>
      </c>
      <c r="E749" s="293">
        <v>1.372113247656781E-2</v>
      </c>
      <c r="F749" s="266">
        <f t="shared" si="39"/>
        <v>742</v>
      </c>
      <c r="G749" s="230">
        <f t="shared" ca="1" si="38"/>
        <v>-5.0188529346776502E-3</v>
      </c>
    </row>
    <row r="750" spans="2:7" x14ac:dyDescent="0.25">
      <c r="B750" s="348">
        <v>44655</v>
      </c>
      <c r="C750" s="293">
        <v>302.8</v>
      </c>
      <c r="D750" s="230">
        <f t="shared" si="37"/>
        <v>6.3143901628448518E-3</v>
      </c>
      <c r="E750" s="293">
        <v>1.3678409761857857E-2</v>
      </c>
      <c r="F750" s="266">
        <f t="shared" si="39"/>
        <v>743</v>
      </c>
      <c r="G750" s="230">
        <f t="shared" ca="1" si="38"/>
        <v>-7.1940466931953526E-3</v>
      </c>
    </row>
    <row r="751" spans="2:7" x14ac:dyDescent="0.25">
      <c r="B751" s="348">
        <v>44565</v>
      </c>
      <c r="C751" s="293">
        <v>300.89999999999998</v>
      </c>
      <c r="D751" s="230">
        <f t="shared" si="37"/>
        <v>1.6725798276735926E-2</v>
      </c>
      <c r="E751" s="293">
        <v>1.3635323724548121E-2</v>
      </c>
      <c r="F751" s="266">
        <f t="shared" si="39"/>
        <v>744</v>
      </c>
      <c r="G751" s="230">
        <f t="shared" ca="1" si="38"/>
        <v>7.7231556544975722E-3</v>
      </c>
    </row>
    <row r="752" spans="2:7" x14ac:dyDescent="0.25">
      <c r="B752" s="348" t="s">
        <v>1009</v>
      </c>
      <c r="C752" s="293">
        <v>295.95</v>
      </c>
      <c r="D752" s="230">
        <f t="shared" si="37"/>
        <v>-1.4813581890812166E-2</v>
      </c>
      <c r="E752" s="293">
        <v>1.363179796240499E-2</v>
      </c>
      <c r="F752" s="266">
        <f t="shared" si="39"/>
        <v>745</v>
      </c>
      <c r="G752" s="230">
        <f t="shared" ca="1" si="38"/>
        <v>-6.1791096050138007E-3</v>
      </c>
    </row>
    <row r="753" spans="2:7" x14ac:dyDescent="0.25">
      <c r="B753" s="348" t="s">
        <v>1010</v>
      </c>
      <c r="C753" s="293">
        <v>300.39999999999998</v>
      </c>
      <c r="D753" s="230">
        <f t="shared" si="37"/>
        <v>-2.8215767634856004E-3</v>
      </c>
      <c r="E753" s="293">
        <v>1.3621794871794934E-2</v>
      </c>
      <c r="F753" s="266">
        <f t="shared" si="39"/>
        <v>746</v>
      </c>
      <c r="G753" s="230">
        <f t="shared" ca="1" si="38"/>
        <v>2.1117194860679901E-2</v>
      </c>
    </row>
    <row r="754" spans="2:7" x14ac:dyDescent="0.25">
      <c r="B754" s="348" t="s">
        <v>1011</v>
      </c>
      <c r="C754" s="293">
        <v>301.25</v>
      </c>
      <c r="D754" s="230">
        <f t="shared" si="37"/>
        <v>3.8320559813393995E-3</v>
      </c>
      <c r="E754" s="293">
        <v>1.3583922590249209E-2</v>
      </c>
      <c r="F754" s="266">
        <f t="shared" si="39"/>
        <v>747</v>
      </c>
      <c r="G754" s="230">
        <f t="shared" ca="1" si="38"/>
        <v>-3.7689467620941705E-2</v>
      </c>
    </row>
    <row r="755" spans="2:7" x14ac:dyDescent="0.25">
      <c r="B755" s="348" t="s">
        <v>1012</v>
      </c>
      <c r="C755" s="293">
        <v>300.10000000000002</v>
      </c>
      <c r="D755" s="230">
        <f t="shared" si="37"/>
        <v>-5.2373375762396757E-3</v>
      </c>
      <c r="E755" s="293">
        <v>1.3573180703188914E-2</v>
      </c>
      <c r="F755" s="266">
        <f t="shared" si="39"/>
        <v>748</v>
      </c>
      <c r="G755" s="230">
        <f t="shared" ca="1" si="38"/>
        <v>2.2398177655675505E-2</v>
      </c>
    </row>
    <row r="756" spans="2:7" x14ac:dyDescent="0.25">
      <c r="B756" s="348" t="s">
        <v>1013</v>
      </c>
      <c r="C756" s="293">
        <v>301.68</v>
      </c>
      <c r="D756" s="230">
        <f t="shared" si="37"/>
        <v>-1.1760081239558295E-2</v>
      </c>
      <c r="E756" s="293">
        <v>1.3547250165210301E-2</v>
      </c>
      <c r="F756" s="266">
        <f t="shared" si="39"/>
        <v>749</v>
      </c>
      <c r="G756" s="230">
        <f t="shared" ca="1" si="38"/>
        <v>5.6439212686970911E-3</v>
      </c>
    </row>
    <row r="757" spans="2:7" x14ac:dyDescent="0.25">
      <c r="B757" s="348" t="s">
        <v>1014</v>
      </c>
      <c r="C757" s="293">
        <v>305.27</v>
      </c>
      <c r="D757" s="230">
        <f t="shared" si="37"/>
        <v>-1.0798429319373026E-3</v>
      </c>
      <c r="E757" s="293">
        <v>1.3524936601859716E-2</v>
      </c>
      <c r="F757" s="266">
        <f t="shared" si="39"/>
        <v>750</v>
      </c>
      <c r="G757" s="230">
        <f t="shared" ca="1" si="38"/>
        <v>-1.8603548913852935E-3</v>
      </c>
    </row>
    <row r="758" spans="2:7" x14ac:dyDescent="0.25">
      <c r="B758" s="348" t="s">
        <v>1015</v>
      </c>
      <c r="C758" s="293">
        <v>305.60000000000002</v>
      </c>
      <c r="D758" s="230">
        <f t="shared" si="37"/>
        <v>1.9015146547769479E-3</v>
      </c>
      <c r="E758" s="293">
        <v>1.3523338665115681E-2</v>
      </c>
      <c r="F758" s="266">
        <f t="shared" si="39"/>
        <v>751</v>
      </c>
      <c r="G758" s="230">
        <f t="shared" ca="1" si="38"/>
        <v>-1.8991481951166789E-2</v>
      </c>
    </row>
    <row r="759" spans="2:7" x14ac:dyDescent="0.25">
      <c r="B759" s="348" t="s">
        <v>1016</v>
      </c>
      <c r="C759" s="293">
        <v>305.02</v>
      </c>
      <c r="D759" s="230">
        <f t="shared" si="37"/>
        <v>1.6733333333333267E-2</v>
      </c>
      <c r="E759" s="293">
        <v>1.3517296540691781E-2</v>
      </c>
      <c r="F759" s="266">
        <f t="shared" si="39"/>
        <v>752</v>
      </c>
      <c r="G759" s="230">
        <f t="shared" ca="1" si="38"/>
        <v>-2.0084811567288967E-2</v>
      </c>
    </row>
    <row r="760" spans="2:7" x14ac:dyDescent="0.25">
      <c r="B760" s="348" t="s">
        <v>1017</v>
      </c>
      <c r="C760" s="293">
        <v>300</v>
      </c>
      <c r="D760" s="230">
        <f t="shared" si="37"/>
        <v>-1.9960079840319889E-3</v>
      </c>
      <c r="E760" s="293">
        <v>1.3464171611136555E-2</v>
      </c>
      <c r="F760" s="266">
        <f t="shared" si="39"/>
        <v>753</v>
      </c>
      <c r="G760" s="230">
        <f t="shared" ca="1" si="38"/>
        <v>-1.8820419385144678E-2</v>
      </c>
    </row>
    <row r="761" spans="2:7" x14ac:dyDescent="0.25">
      <c r="B761" s="348" t="s">
        <v>1018</v>
      </c>
      <c r="C761" s="293">
        <v>300.60000000000002</v>
      </c>
      <c r="D761" s="230">
        <f t="shared" si="37"/>
        <v>4.9478470179193934E-3</v>
      </c>
      <c r="E761" s="293">
        <v>1.3456871828810835E-2</v>
      </c>
      <c r="F761" s="266">
        <f t="shared" si="39"/>
        <v>754</v>
      </c>
      <c r="G761" s="230">
        <f t="shared" ca="1" si="38"/>
        <v>-4.5836129709599773E-3</v>
      </c>
    </row>
    <row r="762" spans="2:7" x14ac:dyDescent="0.25">
      <c r="B762" s="348" t="s">
        <v>1019</v>
      </c>
      <c r="C762" s="293">
        <v>299.12</v>
      </c>
      <c r="D762" s="230">
        <f t="shared" si="37"/>
        <v>1.7934320231410616E-2</v>
      </c>
      <c r="E762" s="293">
        <v>1.345166676974463E-2</v>
      </c>
      <c r="F762" s="266">
        <f t="shared" si="39"/>
        <v>755</v>
      </c>
      <c r="G762" s="230">
        <f t="shared" ca="1" si="38"/>
        <v>8.6571417050128087E-3</v>
      </c>
    </row>
    <row r="763" spans="2:7" x14ac:dyDescent="0.25">
      <c r="B763" s="348" t="s">
        <v>1020</v>
      </c>
      <c r="C763" s="293">
        <v>293.85000000000002</v>
      </c>
      <c r="D763" s="230">
        <f t="shared" si="37"/>
        <v>-1.7454107733975266E-2</v>
      </c>
      <c r="E763" s="293">
        <v>1.3443472627145958E-2</v>
      </c>
      <c r="F763" s="266">
        <f t="shared" si="39"/>
        <v>756</v>
      </c>
      <c r="G763" s="230">
        <f t="shared" ca="1" si="38"/>
        <v>-1.9216216021737974E-2</v>
      </c>
    </row>
    <row r="764" spans="2:7" x14ac:dyDescent="0.25">
      <c r="B764" s="348" t="s">
        <v>1021</v>
      </c>
      <c r="C764" s="293">
        <v>299.07</v>
      </c>
      <c r="D764" s="230">
        <f t="shared" si="37"/>
        <v>2.0368474923234237E-2</v>
      </c>
      <c r="E764" s="293">
        <v>1.3440977525638109E-2</v>
      </c>
      <c r="F764" s="266">
        <f t="shared" si="39"/>
        <v>757</v>
      </c>
      <c r="G764" s="230">
        <f t="shared" ca="1" si="38"/>
        <v>3.3816151625791206E-2</v>
      </c>
    </row>
    <row r="765" spans="2:7" x14ac:dyDescent="0.25">
      <c r="B765" s="348">
        <v>44868</v>
      </c>
      <c r="C765" s="293">
        <v>293.10000000000002</v>
      </c>
      <c r="D765" s="230">
        <f t="shared" si="37"/>
        <v>-3.4679722562218629E-3</v>
      </c>
      <c r="E765" s="293">
        <v>1.3439585112101859E-2</v>
      </c>
      <c r="F765" s="266">
        <f t="shared" si="39"/>
        <v>758</v>
      </c>
      <c r="G765" s="230">
        <f t="shared" ca="1" si="38"/>
        <v>-7.9815981471342955E-3</v>
      </c>
    </row>
    <row r="766" spans="2:7" x14ac:dyDescent="0.25">
      <c r="B766" s="348">
        <v>44837</v>
      </c>
      <c r="C766" s="293">
        <v>294.12</v>
      </c>
      <c r="D766" s="230">
        <f t="shared" si="37"/>
        <v>4.6797608881297137E-3</v>
      </c>
      <c r="E766" s="293">
        <v>1.3427968540187907E-2</v>
      </c>
      <c r="F766" s="266">
        <f t="shared" si="39"/>
        <v>759</v>
      </c>
      <c r="G766" s="230">
        <f t="shared" ca="1" si="38"/>
        <v>1.1386398058702823E-2</v>
      </c>
    </row>
    <row r="767" spans="2:7" x14ac:dyDescent="0.25">
      <c r="B767" s="348">
        <v>44807</v>
      </c>
      <c r="C767" s="293">
        <v>292.75</v>
      </c>
      <c r="D767" s="230">
        <f t="shared" si="37"/>
        <v>-3.3363973717359663E-3</v>
      </c>
      <c r="E767" s="293">
        <v>1.3426521979032602E-2</v>
      </c>
      <c r="F767" s="266">
        <f t="shared" si="39"/>
        <v>760</v>
      </c>
      <c r="G767" s="230">
        <f t="shared" ca="1" si="38"/>
        <v>4.9394745649393923E-3</v>
      </c>
    </row>
    <row r="768" spans="2:7" x14ac:dyDescent="0.25">
      <c r="B768" s="348">
        <v>44776</v>
      </c>
      <c r="C768" s="293">
        <v>293.73</v>
      </c>
      <c r="D768" s="230">
        <f t="shared" si="37"/>
        <v>2.7279404049942224E-2</v>
      </c>
      <c r="E768" s="293">
        <v>1.3407821229050487E-2</v>
      </c>
      <c r="F768" s="266">
        <f t="shared" si="39"/>
        <v>761</v>
      </c>
      <c r="G768" s="230">
        <f t="shared" ca="1" si="38"/>
        <v>-1.3600576091512174E-2</v>
      </c>
    </row>
    <row r="769" spans="2:7" x14ac:dyDescent="0.25">
      <c r="B769" s="348">
        <v>44745</v>
      </c>
      <c r="C769" s="293">
        <v>285.93</v>
      </c>
      <c r="D769" s="230">
        <f t="shared" si="37"/>
        <v>-5.9794889622803993E-3</v>
      </c>
      <c r="E769" s="293">
        <v>1.3342053629823436E-2</v>
      </c>
      <c r="F769" s="266">
        <f t="shared" si="39"/>
        <v>762</v>
      </c>
      <c r="G769" s="230">
        <f t="shared" ca="1" si="38"/>
        <v>-1.524329548652628E-2</v>
      </c>
    </row>
    <row r="770" spans="2:7" x14ac:dyDescent="0.25">
      <c r="B770" s="348">
        <v>44654</v>
      </c>
      <c r="C770" s="293">
        <v>287.64999999999998</v>
      </c>
      <c r="D770" s="230">
        <f t="shared" si="37"/>
        <v>1.0113424869192755E-2</v>
      </c>
      <c r="E770" s="293">
        <v>1.3333333333333197E-2</v>
      </c>
      <c r="F770" s="266">
        <f t="shared" si="39"/>
        <v>763</v>
      </c>
      <c r="G770" s="230">
        <f t="shared" ca="1" si="38"/>
        <v>-9.4325489885674699E-3</v>
      </c>
    </row>
    <row r="771" spans="2:7" x14ac:dyDescent="0.25">
      <c r="B771" s="348">
        <v>44623</v>
      </c>
      <c r="C771" s="293">
        <v>284.77</v>
      </c>
      <c r="D771" s="230">
        <f t="shared" si="37"/>
        <v>2.5828530259365934E-2</v>
      </c>
      <c r="E771" s="293">
        <v>1.3305938753546576E-2</v>
      </c>
      <c r="F771" s="266">
        <f t="shared" si="39"/>
        <v>764</v>
      </c>
      <c r="G771" s="230">
        <f t="shared" ca="1" si="38"/>
        <v>-2.4399509173635814E-2</v>
      </c>
    </row>
    <row r="772" spans="2:7" x14ac:dyDescent="0.25">
      <c r="B772" s="348">
        <v>44595</v>
      </c>
      <c r="C772" s="293">
        <v>277.60000000000002</v>
      </c>
      <c r="D772" s="230">
        <f t="shared" si="37"/>
        <v>-1.0795250089958852E-3</v>
      </c>
      <c r="E772" s="293">
        <v>1.3299679642753137E-2</v>
      </c>
      <c r="F772" s="266">
        <f t="shared" si="39"/>
        <v>765</v>
      </c>
      <c r="G772" s="230">
        <f t="shared" ca="1" si="38"/>
        <v>-1.1003760608350219E-2</v>
      </c>
    </row>
    <row r="773" spans="2:7" x14ac:dyDescent="0.25">
      <c r="B773" s="348" t="s">
        <v>1022</v>
      </c>
      <c r="C773" s="293">
        <v>277.89999999999998</v>
      </c>
      <c r="D773" s="230">
        <f t="shared" si="37"/>
        <v>1.0085728693898233E-3</v>
      </c>
      <c r="E773" s="293">
        <v>1.3276512047205369E-2</v>
      </c>
      <c r="F773" s="266">
        <f t="shared" si="39"/>
        <v>766</v>
      </c>
      <c r="G773" s="230">
        <f t="shared" ca="1" si="38"/>
        <v>-8.5901288356460791E-4</v>
      </c>
    </row>
    <row r="774" spans="2:7" x14ac:dyDescent="0.25">
      <c r="B774" s="348" t="s">
        <v>1023</v>
      </c>
      <c r="C774" s="293">
        <v>277.62</v>
      </c>
      <c r="D774" s="230">
        <f t="shared" si="37"/>
        <v>3.3696987749934904E-2</v>
      </c>
      <c r="E774" s="293">
        <v>1.3264798540872036E-2</v>
      </c>
      <c r="F774" s="266">
        <f t="shared" si="39"/>
        <v>767</v>
      </c>
      <c r="G774" s="230">
        <f t="shared" ca="1" si="38"/>
        <v>-9.3775075447624493E-4</v>
      </c>
    </row>
    <row r="775" spans="2:7" x14ac:dyDescent="0.25">
      <c r="B775" s="348" t="s">
        <v>1024</v>
      </c>
      <c r="C775" s="293">
        <v>268.57</v>
      </c>
      <c r="D775" s="230">
        <f t="shared" si="37"/>
        <v>-5.2830188679245382E-2</v>
      </c>
      <c r="E775" s="293">
        <v>1.3224821973550238E-2</v>
      </c>
      <c r="F775" s="266">
        <f t="shared" si="39"/>
        <v>768</v>
      </c>
      <c r="G775" s="230">
        <f t="shared" ca="1" si="38"/>
        <v>-1.9112822402002808E-2</v>
      </c>
    </row>
    <row r="776" spans="2:7" x14ac:dyDescent="0.25">
      <c r="B776" s="348" t="s">
        <v>1025</v>
      </c>
      <c r="C776" s="293">
        <v>283.55</v>
      </c>
      <c r="D776" s="230">
        <f t="shared" si="37"/>
        <v>5.246924522281704E-3</v>
      </c>
      <c r="E776" s="293">
        <v>1.3199665831244767E-2</v>
      </c>
      <c r="F776" s="266">
        <f t="shared" si="39"/>
        <v>769</v>
      </c>
      <c r="G776" s="230">
        <f t="shared" ca="1" si="38"/>
        <v>2.5645521107436732E-3</v>
      </c>
    </row>
    <row r="777" spans="2:7" x14ac:dyDescent="0.25">
      <c r="B777" s="348" t="s">
        <v>1026</v>
      </c>
      <c r="C777" s="293">
        <v>282.07</v>
      </c>
      <c r="D777" s="230">
        <f t="shared" ref="D777:D840" si="40">C777/C778-1</f>
        <v>-1.1667834618079853E-2</v>
      </c>
      <c r="E777" s="293">
        <v>1.3199505018561819E-2</v>
      </c>
      <c r="F777" s="266">
        <f t="shared" si="39"/>
        <v>770</v>
      </c>
      <c r="G777" s="230">
        <f t="shared" ref="G777:G840" ca="1" si="41">_xlfn.NORM.INV(RAND(),$M$10,$M$11)</f>
        <v>1.3990051772112376E-2</v>
      </c>
    </row>
    <row r="778" spans="2:7" x14ac:dyDescent="0.25">
      <c r="B778" s="348" t="s">
        <v>1027</v>
      </c>
      <c r="C778" s="293">
        <v>285.39999999999998</v>
      </c>
      <c r="D778" s="230">
        <f t="shared" si="40"/>
        <v>1.4827721082387946E-2</v>
      </c>
      <c r="E778" s="293">
        <v>1.317891373801916E-2</v>
      </c>
      <c r="F778" s="266">
        <f t="shared" ref="F778:F841" si="42">F777+1</f>
        <v>771</v>
      </c>
      <c r="G778" s="230">
        <f t="shared" ca="1" si="41"/>
        <v>1.3807606728777001E-2</v>
      </c>
    </row>
    <row r="779" spans="2:7" x14ac:dyDescent="0.25">
      <c r="B779" s="348" t="s">
        <v>1028</v>
      </c>
      <c r="C779" s="293">
        <v>281.23</v>
      </c>
      <c r="D779" s="230">
        <f t="shared" si="40"/>
        <v>-4.3193485572666779E-3</v>
      </c>
      <c r="E779" s="293">
        <v>1.3177159590044063E-2</v>
      </c>
      <c r="F779" s="266">
        <f t="shared" si="42"/>
        <v>772</v>
      </c>
      <c r="G779" s="230">
        <f t="shared" ca="1" si="41"/>
        <v>-6.8153182596605308E-3</v>
      </c>
    </row>
    <row r="780" spans="2:7" x14ac:dyDescent="0.25">
      <c r="B780" s="348" t="s">
        <v>1029</v>
      </c>
      <c r="C780" s="293">
        <v>282.45</v>
      </c>
      <c r="D780" s="230">
        <f t="shared" si="40"/>
        <v>1.773364071643968E-3</v>
      </c>
      <c r="E780" s="293">
        <v>1.3169763665884959E-2</v>
      </c>
      <c r="F780" s="266">
        <f t="shared" si="42"/>
        <v>773</v>
      </c>
      <c r="G780" s="230">
        <f t="shared" ca="1" si="41"/>
        <v>-1.8078962827840384E-2</v>
      </c>
    </row>
    <row r="781" spans="2:7" x14ac:dyDescent="0.25">
      <c r="B781" s="348" t="s">
        <v>1030</v>
      </c>
      <c r="C781" s="293">
        <v>281.95</v>
      </c>
      <c r="D781" s="230">
        <f t="shared" si="40"/>
        <v>9.5853450724225908E-4</v>
      </c>
      <c r="E781" s="293">
        <v>1.3166277341261301E-2</v>
      </c>
      <c r="F781" s="266">
        <f t="shared" si="42"/>
        <v>774</v>
      </c>
      <c r="G781" s="230">
        <f t="shared" ca="1" si="41"/>
        <v>1.3023053063824658E-3</v>
      </c>
    </row>
    <row r="782" spans="2:7" x14ac:dyDescent="0.25">
      <c r="B782" s="348" t="s">
        <v>1031</v>
      </c>
      <c r="C782" s="293">
        <v>281.68</v>
      </c>
      <c r="D782" s="230">
        <f t="shared" si="40"/>
        <v>3.9985231678050459E-2</v>
      </c>
      <c r="E782" s="293">
        <v>1.3155311211466847E-2</v>
      </c>
      <c r="F782" s="266">
        <f t="shared" si="42"/>
        <v>775</v>
      </c>
      <c r="G782" s="230">
        <f t="shared" ca="1" si="41"/>
        <v>-1.2270996979716082E-2</v>
      </c>
    </row>
    <row r="783" spans="2:7" x14ac:dyDescent="0.25">
      <c r="B783" s="348" t="s">
        <v>1032</v>
      </c>
      <c r="C783" s="293">
        <v>270.85000000000002</v>
      </c>
      <c r="D783" s="230">
        <f t="shared" si="40"/>
        <v>-3.5193958607915077E-2</v>
      </c>
      <c r="E783" s="293">
        <v>1.3134057971014412E-2</v>
      </c>
      <c r="F783" s="266">
        <f t="shared" si="42"/>
        <v>776</v>
      </c>
      <c r="G783" s="230">
        <f t="shared" ca="1" si="41"/>
        <v>1.0197766373098324E-2</v>
      </c>
    </row>
    <row r="784" spans="2:7" x14ac:dyDescent="0.25">
      <c r="B784" s="348">
        <v>44867</v>
      </c>
      <c r="C784" s="293">
        <v>280.73</v>
      </c>
      <c r="D784" s="230">
        <f t="shared" si="40"/>
        <v>-2.1232828951955884E-2</v>
      </c>
      <c r="E784" s="293">
        <v>1.3104838709677491E-2</v>
      </c>
      <c r="F784" s="266">
        <f t="shared" si="42"/>
        <v>777</v>
      </c>
      <c r="G784" s="230">
        <f t="shared" ca="1" si="41"/>
        <v>2.6105714302909859E-2</v>
      </c>
    </row>
    <row r="785" spans="2:7" x14ac:dyDescent="0.25">
      <c r="B785" s="348">
        <v>44836</v>
      </c>
      <c r="C785" s="293">
        <v>286.82</v>
      </c>
      <c r="D785" s="230">
        <f t="shared" si="40"/>
        <v>8.2255343082113797E-3</v>
      </c>
      <c r="E785" s="293">
        <v>1.3102637325718147E-2</v>
      </c>
      <c r="F785" s="266">
        <f t="shared" si="42"/>
        <v>778</v>
      </c>
      <c r="G785" s="230">
        <f t="shared" ca="1" si="41"/>
        <v>-7.6447254232563967E-3</v>
      </c>
    </row>
    <row r="786" spans="2:7" x14ac:dyDescent="0.25">
      <c r="B786" s="348">
        <v>44806</v>
      </c>
      <c r="C786" s="293">
        <v>284.48</v>
      </c>
      <c r="D786" s="230">
        <f t="shared" si="40"/>
        <v>1.5564757960873976E-2</v>
      </c>
      <c r="E786" s="293">
        <v>1.3069908814589581E-2</v>
      </c>
      <c r="F786" s="266">
        <f t="shared" si="42"/>
        <v>779</v>
      </c>
      <c r="G786" s="230">
        <f t="shared" ca="1" si="41"/>
        <v>9.260979589103917E-4</v>
      </c>
    </row>
    <row r="787" spans="2:7" x14ac:dyDescent="0.25">
      <c r="B787" s="348">
        <v>44775</v>
      </c>
      <c r="C787" s="293">
        <v>280.12</v>
      </c>
      <c r="D787" s="230">
        <f t="shared" si="40"/>
        <v>5.8168761220827037E-3</v>
      </c>
      <c r="E787" s="293">
        <v>1.3051305130513224E-2</v>
      </c>
      <c r="F787" s="266">
        <f t="shared" si="42"/>
        <v>780</v>
      </c>
      <c r="G787" s="230">
        <f t="shared" ca="1" si="41"/>
        <v>-4.4337946407687328E-3</v>
      </c>
    </row>
    <row r="788" spans="2:7" x14ac:dyDescent="0.25">
      <c r="B788" s="348">
        <v>44744</v>
      </c>
      <c r="C788" s="293">
        <v>278.5</v>
      </c>
      <c r="D788" s="230">
        <f t="shared" si="40"/>
        <v>-2.5815027284175174E-2</v>
      </c>
      <c r="E788" s="293">
        <v>1.3031245372427058E-2</v>
      </c>
      <c r="F788" s="266">
        <f t="shared" si="42"/>
        <v>781</v>
      </c>
      <c r="G788" s="230">
        <f t="shared" ca="1" si="41"/>
        <v>1.1773756261412796E-2</v>
      </c>
    </row>
    <row r="789" spans="2:7" x14ac:dyDescent="0.25">
      <c r="B789" s="348">
        <v>44653</v>
      </c>
      <c r="C789" s="293">
        <v>285.88</v>
      </c>
      <c r="D789" s="230">
        <f t="shared" si="40"/>
        <v>-1.1206419479800833E-2</v>
      </c>
      <c r="E789" s="293">
        <v>1.3029506281039938E-2</v>
      </c>
      <c r="F789" s="266">
        <f t="shared" si="42"/>
        <v>782</v>
      </c>
      <c r="G789" s="230">
        <f t="shared" ca="1" si="41"/>
        <v>-4.036004338888325E-2</v>
      </c>
    </row>
    <row r="790" spans="2:7" x14ac:dyDescent="0.25">
      <c r="B790" s="348">
        <v>44622</v>
      </c>
      <c r="C790" s="293">
        <v>289.12</v>
      </c>
      <c r="D790" s="230">
        <f t="shared" si="40"/>
        <v>-1.6598639455782327E-2</v>
      </c>
      <c r="E790" s="293">
        <v>1.3008130081300751E-2</v>
      </c>
      <c r="F790" s="266">
        <f t="shared" si="42"/>
        <v>783</v>
      </c>
      <c r="G790" s="230">
        <f t="shared" ca="1" si="41"/>
        <v>1.0226595318710252E-2</v>
      </c>
    </row>
    <row r="791" spans="2:7" x14ac:dyDescent="0.25">
      <c r="B791" s="348">
        <v>44594</v>
      </c>
      <c r="C791" s="293">
        <v>294</v>
      </c>
      <c r="D791" s="230">
        <f t="shared" si="40"/>
        <v>1.9700332963374034E-2</v>
      </c>
      <c r="E791" s="293">
        <v>1.3000977517106493E-2</v>
      </c>
      <c r="F791" s="266">
        <f t="shared" si="42"/>
        <v>784</v>
      </c>
      <c r="G791" s="230">
        <f t="shared" ca="1" si="41"/>
        <v>-1.2122024089307702E-2</v>
      </c>
    </row>
    <row r="792" spans="2:7" x14ac:dyDescent="0.25">
      <c r="B792" s="348">
        <v>44563</v>
      </c>
      <c r="C792" s="293">
        <v>288.32</v>
      </c>
      <c r="D792" s="230">
        <f t="shared" si="40"/>
        <v>7.0555361508906067E-3</v>
      </c>
      <c r="E792" s="293">
        <v>1.2980572895396891E-2</v>
      </c>
      <c r="F792" s="266">
        <f t="shared" si="42"/>
        <v>785</v>
      </c>
      <c r="G792" s="230">
        <f t="shared" ca="1" si="41"/>
        <v>6.6719034610463728E-3</v>
      </c>
    </row>
    <row r="793" spans="2:7" x14ac:dyDescent="0.25">
      <c r="B793" s="348" t="s">
        <v>1033</v>
      </c>
      <c r="C793" s="293">
        <v>286.3</v>
      </c>
      <c r="D793" s="230">
        <f t="shared" si="40"/>
        <v>3.7055819176295968E-2</v>
      </c>
      <c r="E793" s="293">
        <v>1.2937468900315219E-2</v>
      </c>
      <c r="F793" s="266">
        <f t="shared" si="42"/>
        <v>786</v>
      </c>
      <c r="G793" s="230">
        <f t="shared" ca="1" si="41"/>
        <v>1.9973379527174331E-2</v>
      </c>
    </row>
    <row r="794" spans="2:7" x14ac:dyDescent="0.25">
      <c r="B794" s="348" t="s">
        <v>1034</v>
      </c>
      <c r="C794" s="293">
        <v>276.07</v>
      </c>
      <c r="D794" s="230">
        <f t="shared" si="40"/>
        <v>1.3547250165210301E-2</v>
      </c>
      <c r="E794" s="293">
        <v>1.2919533773346537E-2</v>
      </c>
      <c r="F794" s="266">
        <f t="shared" si="42"/>
        <v>787</v>
      </c>
      <c r="G794" s="230">
        <f t="shared" ca="1" si="41"/>
        <v>1.9558891508869504E-2</v>
      </c>
    </row>
    <row r="795" spans="2:7" x14ac:dyDescent="0.25">
      <c r="B795" s="348" t="s">
        <v>1035</v>
      </c>
      <c r="C795" s="293">
        <v>272.38</v>
      </c>
      <c r="D795" s="230">
        <f t="shared" si="40"/>
        <v>-3.188199751199583E-2</v>
      </c>
      <c r="E795" s="293">
        <v>1.2897678417884695E-2</v>
      </c>
      <c r="F795" s="266">
        <f t="shared" si="42"/>
        <v>788</v>
      </c>
      <c r="G795" s="230">
        <f t="shared" ca="1" si="41"/>
        <v>-1.7877267676352358E-2</v>
      </c>
    </row>
    <row r="796" spans="2:7" x14ac:dyDescent="0.25">
      <c r="B796" s="348" t="s">
        <v>1036</v>
      </c>
      <c r="C796" s="293">
        <v>281.35000000000002</v>
      </c>
      <c r="D796" s="230">
        <f t="shared" si="40"/>
        <v>-1.7564075703610516E-2</v>
      </c>
      <c r="E796" s="293">
        <v>1.2896292315959235E-2</v>
      </c>
      <c r="F796" s="266">
        <f t="shared" si="42"/>
        <v>789</v>
      </c>
      <c r="G796" s="230">
        <f t="shared" ca="1" si="41"/>
        <v>1.0080877973518853E-2</v>
      </c>
    </row>
    <row r="797" spans="2:7" x14ac:dyDescent="0.25">
      <c r="B797" s="348" t="s">
        <v>1037</v>
      </c>
      <c r="C797" s="293">
        <v>286.38</v>
      </c>
      <c r="D797" s="230">
        <f t="shared" si="40"/>
        <v>-5.3351844506148272E-2</v>
      </c>
      <c r="E797" s="293">
        <v>1.2887093671859917E-2</v>
      </c>
      <c r="F797" s="266">
        <f t="shared" si="42"/>
        <v>790</v>
      </c>
      <c r="G797" s="230">
        <f t="shared" ca="1" si="41"/>
        <v>-3.0541766324711094E-3</v>
      </c>
    </row>
    <row r="798" spans="2:7" x14ac:dyDescent="0.25">
      <c r="B798" s="348" t="s">
        <v>1038</v>
      </c>
      <c r="C798" s="293">
        <v>302.52</v>
      </c>
      <c r="D798" s="230">
        <f t="shared" si="40"/>
        <v>-1.651495448634599E-2</v>
      </c>
      <c r="E798" s="293">
        <v>1.2886275491054588E-2</v>
      </c>
      <c r="F798" s="266">
        <f t="shared" si="42"/>
        <v>791</v>
      </c>
      <c r="G798" s="230">
        <f t="shared" ca="1" si="41"/>
        <v>3.7133848173249305E-3</v>
      </c>
    </row>
    <row r="799" spans="2:7" x14ac:dyDescent="0.25">
      <c r="B799" s="348" t="s">
        <v>1039</v>
      </c>
      <c r="C799" s="293">
        <v>307.60000000000002</v>
      </c>
      <c r="D799" s="230">
        <f t="shared" si="40"/>
        <v>-9.5630614676239789E-3</v>
      </c>
      <c r="E799" s="293">
        <v>1.288376075345532E-2</v>
      </c>
      <c r="F799" s="266">
        <f t="shared" si="42"/>
        <v>792</v>
      </c>
      <c r="G799" s="230">
        <f t="shared" ca="1" si="41"/>
        <v>3.0083715101897257E-3</v>
      </c>
    </row>
    <row r="800" spans="2:7" x14ac:dyDescent="0.25">
      <c r="B800" s="348" t="s">
        <v>1040</v>
      </c>
      <c r="C800" s="293">
        <v>310.57</v>
      </c>
      <c r="D800" s="230">
        <f t="shared" si="40"/>
        <v>-1.9201010579504185E-2</v>
      </c>
      <c r="E800" s="293">
        <v>1.2871949180875975E-2</v>
      </c>
      <c r="F800" s="266">
        <f t="shared" si="42"/>
        <v>793</v>
      </c>
      <c r="G800" s="230">
        <f t="shared" ca="1" si="41"/>
        <v>-2.5876555166808892E-4</v>
      </c>
    </row>
    <row r="801" spans="2:7" x14ac:dyDescent="0.25">
      <c r="B801" s="348" t="s">
        <v>1041</v>
      </c>
      <c r="C801" s="293">
        <v>316.64999999999998</v>
      </c>
      <c r="D801" s="230">
        <f t="shared" si="40"/>
        <v>-2.0629716689348099E-2</v>
      </c>
      <c r="E801" s="293">
        <v>1.2842543185312527E-2</v>
      </c>
      <c r="F801" s="266">
        <f t="shared" si="42"/>
        <v>794</v>
      </c>
      <c r="G801" s="230">
        <f t="shared" ca="1" si="41"/>
        <v>9.8612385355305102E-3</v>
      </c>
    </row>
    <row r="802" spans="2:7" x14ac:dyDescent="0.25">
      <c r="B802" s="348" t="s">
        <v>1042</v>
      </c>
      <c r="C802" s="293">
        <v>323.32</v>
      </c>
      <c r="D802" s="230">
        <f t="shared" si="40"/>
        <v>1.0690840887777497E-2</v>
      </c>
      <c r="E802" s="293">
        <v>1.2819295413540877E-2</v>
      </c>
      <c r="F802" s="266">
        <f t="shared" si="42"/>
        <v>795</v>
      </c>
      <c r="G802" s="230">
        <f t="shared" ca="1" si="41"/>
        <v>-3.3167620311319167E-2</v>
      </c>
    </row>
    <row r="803" spans="2:7" x14ac:dyDescent="0.25">
      <c r="B803" s="348" t="s">
        <v>1043</v>
      </c>
      <c r="C803" s="293">
        <v>319.89999999999998</v>
      </c>
      <c r="D803" s="230">
        <f t="shared" si="40"/>
        <v>-1.5328736764343764E-2</v>
      </c>
      <c r="E803" s="293">
        <v>1.2813102119460407E-2</v>
      </c>
      <c r="F803" s="266">
        <f t="shared" si="42"/>
        <v>796</v>
      </c>
      <c r="G803" s="230">
        <f t="shared" ca="1" si="41"/>
        <v>-2.1026628493827919E-3</v>
      </c>
    </row>
    <row r="804" spans="2:7" x14ac:dyDescent="0.25">
      <c r="B804" s="348" t="s">
        <v>1044</v>
      </c>
      <c r="C804" s="293">
        <v>324.88</v>
      </c>
      <c r="D804" s="230">
        <f t="shared" si="40"/>
        <v>-6.0171256653552496E-2</v>
      </c>
      <c r="E804" s="293">
        <v>1.2807549713515387E-2</v>
      </c>
      <c r="F804" s="266">
        <f t="shared" si="42"/>
        <v>797</v>
      </c>
      <c r="G804" s="230">
        <f t="shared" ca="1" si="41"/>
        <v>1.6694216358146352E-3</v>
      </c>
    </row>
    <row r="805" spans="2:7" x14ac:dyDescent="0.25">
      <c r="B805" s="348">
        <v>44896</v>
      </c>
      <c r="C805" s="293">
        <v>345.68</v>
      </c>
      <c r="D805" s="230">
        <f t="shared" si="40"/>
        <v>-4.0049557726106189E-3</v>
      </c>
      <c r="E805" s="293">
        <v>1.2805463664496974E-2</v>
      </c>
      <c r="F805" s="266">
        <f t="shared" si="42"/>
        <v>798</v>
      </c>
      <c r="G805" s="230">
        <f t="shared" ca="1" si="41"/>
        <v>-3.8363147339552171E-2</v>
      </c>
    </row>
    <row r="806" spans="2:7" x14ac:dyDescent="0.25">
      <c r="B806" s="348">
        <v>44866</v>
      </c>
      <c r="C806" s="293">
        <v>347.07</v>
      </c>
      <c r="D806" s="230">
        <f t="shared" si="40"/>
        <v>9.2285508291278795E-4</v>
      </c>
      <c r="E806" s="293">
        <v>1.2795275590551158E-2</v>
      </c>
      <c r="F806" s="266">
        <f t="shared" si="42"/>
        <v>799</v>
      </c>
      <c r="G806" s="230">
        <f t="shared" ca="1" si="41"/>
        <v>1.4774881495524091E-2</v>
      </c>
    </row>
    <row r="807" spans="2:7" x14ac:dyDescent="0.25">
      <c r="B807" s="348">
        <v>44835</v>
      </c>
      <c r="C807" s="293">
        <v>346.75</v>
      </c>
      <c r="D807" s="230">
        <f t="shared" si="40"/>
        <v>-2.5298664792691494E-2</v>
      </c>
      <c r="E807" s="293">
        <v>1.2777476989713099E-2</v>
      </c>
      <c r="F807" s="266">
        <f t="shared" si="42"/>
        <v>800</v>
      </c>
      <c r="G807" s="230">
        <f t="shared" ca="1" si="41"/>
        <v>-1.9812173856168444E-2</v>
      </c>
    </row>
    <row r="808" spans="2:7" x14ac:dyDescent="0.25">
      <c r="B808" s="348">
        <v>44743</v>
      </c>
      <c r="C808" s="293">
        <v>355.75</v>
      </c>
      <c r="D808" s="230">
        <f t="shared" si="40"/>
        <v>8.1330763999092337E-3</v>
      </c>
      <c r="E808" s="293">
        <v>1.2754409769335062E-2</v>
      </c>
      <c r="F808" s="266">
        <f t="shared" si="42"/>
        <v>801</v>
      </c>
      <c r="G808" s="230">
        <f t="shared" ca="1" si="41"/>
        <v>1.5635920765923558E-2</v>
      </c>
    </row>
    <row r="809" spans="2:7" x14ac:dyDescent="0.25">
      <c r="B809" s="348">
        <v>44713</v>
      </c>
      <c r="C809" s="293">
        <v>352.88</v>
      </c>
      <c r="D809" s="230">
        <f t="shared" si="40"/>
        <v>-1.0847932725998599E-2</v>
      </c>
      <c r="E809" s="293">
        <v>1.274155871734961E-2</v>
      </c>
      <c r="F809" s="266">
        <f t="shared" si="42"/>
        <v>802</v>
      </c>
      <c r="G809" s="230">
        <f t="shared" ca="1" si="41"/>
        <v>-4.3706675556690652E-2</v>
      </c>
    </row>
    <row r="810" spans="2:7" x14ac:dyDescent="0.25">
      <c r="B810" s="348">
        <v>44682</v>
      </c>
      <c r="C810" s="293">
        <v>356.75</v>
      </c>
      <c r="D810" s="230">
        <f t="shared" si="40"/>
        <v>-1.1088011088011052E-2</v>
      </c>
      <c r="E810" s="293">
        <v>1.2729975840921615E-2</v>
      </c>
      <c r="F810" s="266">
        <f t="shared" si="42"/>
        <v>803</v>
      </c>
      <c r="G810" s="230">
        <f t="shared" ca="1" si="41"/>
        <v>1.0776089954847771E-2</v>
      </c>
    </row>
    <row r="811" spans="2:7" x14ac:dyDescent="0.25">
      <c r="B811" s="348">
        <v>44652</v>
      </c>
      <c r="C811" s="293">
        <v>360.75</v>
      </c>
      <c r="D811" s="230">
        <f t="shared" si="40"/>
        <v>3.895923194656925E-3</v>
      </c>
      <c r="E811" s="293">
        <v>1.2723041117145062E-2</v>
      </c>
      <c r="F811" s="266">
        <f t="shared" si="42"/>
        <v>804</v>
      </c>
      <c r="G811" s="230">
        <f t="shared" ca="1" si="41"/>
        <v>3.164619857621602E-2</v>
      </c>
    </row>
    <row r="812" spans="2:7" x14ac:dyDescent="0.25">
      <c r="B812" s="348">
        <v>44621</v>
      </c>
      <c r="C812" s="293">
        <v>359.35</v>
      </c>
      <c r="D812" s="230">
        <f t="shared" si="40"/>
        <v>4.6689778573025809E-3</v>
      </c>
      <c r="E812" s="293">
        <v>1.2696405117478271E-2</v>
      </c>
      <c r="F812" s="266">
        <f t="shared" si="42"/>
        <v>805</v>
      </c>
      <c r="G812" s="230">
        <f t="shared" ca="1" si="41"/>
        <v>-3.2048666348549644E-2</v>
      </c>
    </row>
    <row r="813" spans="2:7" x14ac:dyDescent="0.25">
      <c r="B813" s="348" t="s">
        <v>1045</v>
      </c>
      <c r="C813" s="293">
        <v>357.68</v>
      </c>
      <c r="D813" s="230">
        <f t="shared" si="40"/>
        <v>1.764458759277332E-3</v>
      </c>
      <c r="E813" s="293">
        <v>1.2681925237031155E-2</v>
      </c>
      <c r="F813" s="266">
        <f t="shared" si="42"/>
        <v>806</v>
      </c>
      <c r="G813" s="230">
        <f t="shared" ca="1" si="41"/>
        <v>2.8477864232211083E-4</v>
      </c>
    </row>
    <row r="814" spans="2:7" x14ac:dyDescent="0.25">
      <c r="B814" s="348" t="s">
        <v>1046</v>
      </c>
      <c r="C814" s="293">
        <v>357.05</v>
      </c>
      <c r="D814" s="230">
        <f t="shared" si="40"/>
        <v>1.4779025152763969E-2</v>
      </c>
      <c r="E814" s="293">
        <v>1.2680367293397499E-2</v>
      </c>
      <c r="F814" s="266">
        <f t="shared" si="42"/>
        <v>807</v>
      </c>
      <c r="G814" s="230">
        <f t="shared" ca="1" si="41"/>
        <v>8.9989457628476583E-4</v>
      </c>
    </row>
    <row r="815" spans="2:7" x14ac:dyDescent="0.25">
      <c r="B815" s="348" t="s">
        <v>1047</v>
      </c>
      <c r="C815" s="293">
        <v>351.85</v>
      </c>
      <c r="D815" s="230">
        <f t="shared" si="40"/>
        <v>-2.4948260709324321E-3</v>
      </c>
      <c r="E815" s="293">
        <v>1.267828843106189E-2</v>
      </c>
      <c r="F815" s="266">
        <f t="shared" si="42"/>
        <v>808</v>
      </c>
      <c r="G815" s="230">
        <f t="shared" ca="1" si="41"/>
        <v>-1.914190294239873E-3</v>
      </c>
    </row>
    <row r="816" spans="2:7" x14ac:dyDescent="0.25">
      <c r="B816" s="348" t="s">
        <v>1048</v>
      </c>
      <c r="C816" s="293">
        <v>352.73</v>
      </c>
      <c r="D816" s="230">
        <f t="shared" si="40"/>
        <v>8.3762149799886387E-3</v>
      </c>
      <c r="E816" s="293">
        <v>1.2659754039064275E-2</v>
      </c>
      <c r="F816" s="266">
        <f t="shared" si="42"/>
        <v>809</v>
      </c>
      <c r="G816" s="230">
        <f t="shared" ca="1" si="41"/>
        <v>-2.1106161432317277E-2</v>
      </c>
    </row>
    <row r="817" spans="2:7" x14ac:dyDescent="0.25">
      <c r="B817" s="348" t="s">
        <v>1049</v>
      </c>
      <c r="C817" s="293">
        <v>349.8</v>
      </c>
      <c r="D817" s="230">
        <f t="shared" si="40"/>
        <v>1.6321621853792045E-3</v>
      </c>
      <c r="E817" s="293">
        <v>1.2654559505409502E-2</v>
      </c>
      <c r="F817" s="266">
        <f t="shared" si="42"/>
        <v>810</v>
      </c>
      <c r="G817" s="230">
        <f t="shared" ca="1" si="41"/>
        <v>-4.0822023212990811E-3</v>
      </c>
    </row>
    <row r="818" spans="2:7" x14ac:dyDescent="0.25">
      <c r="B818" s="348" t="s">
        <v>1050</v>
      </c>
      <c r="C818" s="293">
        <v>349.23</v>
      </c>
      <c r="D818" s="230">
        <f t="shared" si="40"/>
        <v>5.6440233823826791E-3</v>
      </c>
      <c r="E818" s="293">
        <v>1.2650120096076911E-2</v>
      </c>
      <c r="F818" s="266">
        <f t="shared" si="42"/>
        <v>811</v>
      </c>
      <c r="G818" s="230">
        <f t="shared" ca="1" si="41"/>
        <v>2.4730125222859355E-2</v>
      </c>
    </row>
    <row r="819" spans="2:7" x14ac:dyDescent="0.25">
      <c r="B819" s="348" t="s">
        <v>1051</v>
      </c>
      <c r="C819" s="293">
        <v>347.27</v>
      </c>
      <c r="D819" s="230">
        <f t="shared" si="40"/>
        <v>1.2980572895396891E-2</v>
      </c>
      <c r="E819" s="293">
        <v>1.2595837897042772E-2</v>
      </c>
      <c r="F819" s="266">
        <f t="shared" si="42"/>
        <v>812</v>
      </c>
      <c r="G819" s="230">
        <f t="shared" ca="1" si="41"/>
        <v>-8.956315109425135E-3</v>
      </c>
    </row>
    <row r="820" spans="2:7" x14ac:dyDescent="0.25">
      <c r="B820" s="348" t="s">
        <v>1052</v>
      </c>
      <c r="C820" s="293">
        <v>342.82</v>
      </c>
      <c r="D820" s="230">
        <f t="shared" si="40"/>
        <v>-7.4696004632309743E-3</v>
      </c>
      <c r="E820" s="293">
        <v>1.2566602995878196E-2</v>
      </c>
      <c r="F820" s="266">
        <f t="shared" si="42"/>
        <v>813</v>
      </c>
      <c r="G820" s="230">
        <f t="shared" ca="1" si="41"/>
        <v>2.2966860110896652E-2</v>
      </c>
    </row>
    <row r="821" spans="2:7" x14ac:dyDescent="0.25">
      <c r="B821" s="348" t="s">
        <v>1053</v>
      </c>
      <c r="C821" s="293">
        <v>345.4</v>
      </c>
      <c r="D821" s="230">
        <f t="shared" si="40"/>
        <v>3.7299537509760228E-2</v>
      </c>
      <c r="E821" s="293">
        <v>1.2534368429564902E-2</v>
      </c>
      <c r="F821" s="266">
        <f t="shared" si="42"/>
        <v>814</v>
      </c>
      <c r="G821" s="230">
        <f t="shared" ca="1" si="41"/>
        <v>-1.8264122560092758E-2</v>
      </c>
    </row>
    <row r="822" spans="2:7" x14ac:dyDescent="0.25">
      <c r="B822" s="348" t="s">
        <v>1054</v>
      </c>
      <c r="C822" s="293">
        <v>332.98</v>
      </c>
      <c r="D822" s="230">
        <f t="shared" si="40"/>
        <v>-7.2152653548001044E-3</v>
      </c>
      <c r="E822" s="293">
        <v>1.2508850601840926E-2</v>
      </c>
      <c r="F822" s="266">
        <f t="shared" si="42"/>
        <v>815</v>
      </c>
      <c r="G822" s="230">
        <f t="shared" ca="1" si="41"/>
        <v>-2.9663831474678187E-3</v>
      </c>
    </row>
    <row r="823" spans="2:7" x14ac:dyDescent="0.25">
      <c r="B823" s="348" t="s">
        <v>1055</v>
      </c>
      <c r="C823" s="293">
        <v>335.4</v>
      </c>
      <c r="D823" s="230">
        <f t="shared" si="40"/>
        <v>4.1129908427750994E-2</v>
      </c>
      <c r="E823" s="293">
        <v>1.2478485370051695E-2</v>
      </c>
      <c r="F823" s="266">
        <f t="shared" si="42"/>
        <v>816</v>
      </c>
      <c r="G823" s="230">
        <f t="shared" ca="1" si="41"/>
        <v>1.1489094173501749E-2</v>
      </c>
    </row>
    <row r="824" spans="2:7" x14ac:dyDescent="0.25">
      <c r="B824" s="348" t="s">
        <v>1056</v>
      </c>
      <c r="C824" s="293">
        <v>322.14999999999998</v>
      </c>
      <c r="D824" s="230">
        <f t="shared" si="40"/>
        <v>1.2413576367064749E-2</v>
      </c>
      <c r="E824" s="293">
        <v>1.2429378531073398E-2</v>
      </c>
      <c r="F824" s="266">
        <f t="shared" si="42"/>
        <v>817</v>
      </c>
      <c r="G824" s="230">
        <f t="shared" ca="1" si="41"/>
        <v>-2.3939195437150972E-2</v>
      </c>
    </row>
    <row r="825" spans="2:7" x14ac:dyDescent="0.25">
      <c r="B825" s="348" t="s">
        <v>1057</v>
      </c>
      <c r="C825" s="293">
        <v>318.2</v>
      </c>
      <c r="D825" s="230">
        <f t="shared" si="40"/>
        <v>-1.6231256763023616E-2</v>
      </c>
      <c r="E825" s="293">
        <v>1.2413576367064749E-2</v>
      </c>
      <c r="F825" s="266">
        <f t="shared" si="42"/>
        <v>818</v>
      </c>
      <c r="G825" s="230">
        <f t="shared" ca="1" si="41"/>
        <v>-4.4438243915468833E-3</v>
      </c>
    </row>
    <row r="826" spans="2:7" x14ac:dyDescent="0.25">
      <c r="B826" s="348" t="s">
        <v>1058</v>
      </c>
      <c r="C826" s="293">
        <v>323.45</v>
      </c>
      <c r="D826" s="230">
        <f t="shared" si="40"/>
        <v>2.3241400681748292E-3</v>
      </c>
      <c r="E826" s="293">
        <v>1.2411347517730542E-2</v>
      </c>
      <c r="F826" s="266">
        <f t="shared" si="42"/>
        <v>819</v>
      </c>
      <c r="G826" s="230">
        <f t="shared" ca="1" si="41"/>
        <v>-1.3489928791433703E-2</v>
      </c>
    </row>
    <row r="827" spans="2:7" x14ac:dyDescent="0.25">
      <c r="B827" s="348" t="s">
        <v>1059</v>
      </c>
      <c r="C827" s="293">
        <v>322.7</v>
      </c>
      <c r="D827" s="230">
        <f t="shared" si="40"/>
        <v>1.1218350463775284E-2</v>
      </c>
      <c r="E827" s="293">
        <v>1.2391258221939205E-2</v>
      </c>
      <c r="F827" s="266">
        <f t="shared" si="42"/>
        <v>820</v>
      </c>
      <c r="G827" s="230">
        <f t="shared" ca="1" si="41"/>
        <v>-2.5205742556943571E-2</v>
      </c>
    </row>
    <row r="828" spans="2:7" x14ac:dyDescent="0.25">
      <c r="B828" s="348">
        <v>44481</v>
      </c>
      <c r="C828" s="293">
        <v>319.12</v>
      </c>
      <c r="D828" s="230">
        <f t="shared" si="40"/>
        <v>-7.7114427860697221E-3</v>
      </c>
      <c r="E828" s="293">
        <v>1.2384490806897075E-2</v>
      </c>
      <c r="F828" s="266">
        <f t="shared" si="42"/>
        <v>821</v>
      </c>
      <c r="G828" s="230">
        <f t="shared" ca="1" si="41"/>
        <v>1.4119010126699067E-2</v>
      </c>
    </row>
    <row r="829" spans="2:7" x14ac:dyDescent="0.25">
      <c r="B829" s="348">
        <v>44451</v>
      </c>
      <c r="C829" s="293">
        <v>321.60000000000002</v>
      </c>
      <c r="D829" s="230">
        <f t="shared" si="40"/>
        <v>2.3375409069659181E-3</v>
      </c>
      <c r="E829" s="293">
        <v>1.2367824773414027E-2</v>
      </c>
      <c r="F829" s="266">
        <f t="shared" si="42"/>
        <v>822</v>
      </c>
      <c r="G829" s="230">
        <f t="shared" ca="1" si="41"/>
        <v>-1.0156722198619064E-2</v>
      </c>
    </row>
    <row r="830" spans="2:7" x14ac:dyDescent="0.25">
      <c r="B830" s="348">
        <v>44420</v>
      </c>
      <c r="C830" s="293">
        <v>320.85000000000002</v>
      </c>
      <c r="D830" s="230">
        <f t="shared" si="40"/>
        <v>1.4705882352941346E-2</v>
      </c>
      <c r="E830" s="293">
        <v>1.2363194162950952E-2</v>
      </c>
      <c r="F830" s="266">
        <f t="shared" si="42"/>
        <v>823</v>
      </c>
      <c r="G830" s="230">
        <f t="shared" ca="1" si="41"/>
        <v>-7.6370582388375196E-3</v>
      </c>
    </row>
    <row r="831" spans="2:7" x14ac:dyDescent="0.25">
      <c r="B831" s="348">
        <v>44389</v>
      </c>
      <c r="C831" s="293">
        <v>316.2</v>
      </c>
      <c r="D831" s="230">
        <f t="shared" si="40"/>
        <v>1.2650120096076911E-2</v>
      </c>
      <c r="E831" s="293">
        <v>1.2355065576886481E-2</v>
      </c>
      <c r="F831" s="266">
        <f t="shared" si="42"/>
        <v>824</v>
      </c>
      <c r="G831" s="230">
        <f t="shared" ca="1" si="41"/>
        <v>-1.6145931386827218E-2</v>
      </c>
    </row>
    <row r="832" spans="2:7" x14ac:dyDescent="0.25">
      <c r="B832" s="348">
        <v>44359</v>
      </c>
      <c r="C832" s="293">
        <v>312.25</v>
      </c>
      <c r="D832" s="230">
        <f t="shared" si="40"/>
        <v>-2.5376115862413395E-2</v>
      </c>
      <c r="E832" s="293">
        <v>1.2337966578166437E-2</v>
      </c>
      <c r="F832" s="266">
        <f t="shared" si="42"/>
        <v>825</v>
      </c>
      <c r="G832" s="230">
        <f t="shared" ca="1" si="41"/>
        <v>-6.7395186930803196E-3</v>
      </c>
    </row>
    <row r="833" spans="2:7" x14ac:dyDescent="0.25">
      <c r="B833" s="348">
        <v>44267</v>
      </c>
      <c r="C833" s="293">
        <v>320.38</v>
      </c>
      <c r="D833" s="230">
        <f t="shared" si="40"/>
        <v>-9.3382807668521695E-3</v>
      </c>
      <c r="E833" s="293">
        <v>1.2261580381471404E-2</v>
      </c>
      <c r="F833" s="266">
        <f t="shared" si="42"/>
        <v>826</v>
      </c>
      <c r="G833" s="230">
        <f t="shared" ca="1" si="41"/>
        <v>-3.2633498105031605E-2</v>
      </c>
    </row>
    <row r="834" spans="2:7" x14ac:dyDescent="0.25">
      <c r="B834" s="348">
        <v>44239</v>
      </c>
      <c r="C834" s="293">
        <v>323.39999999999998</v>
      </c>
      <c r="D834" s="230">
        <f t="shared" si="40"/>
        <v>1.8903591682419618E-2</v>
      </c>
      <c r="E834" s="293">
        <v>1.221269296741001E-2</v>
      </c>
      <c r="F834" s="266">
        <f t="shared" si="42"/>
        <v>827</v>
      </c>
      <c r="G834" s="230">
        <f t="shared" ca="1" si="41"/>
        <v>4.4670682971241112E-3</v>
      </c>
    </row>
    <row r="835" spans="2:7" x14ac:dyDescent="0.25">
      <c r="B835" s="348">
        <v>44208</v>
      </c>
      <c r="C835" s="293">
        <v>317.39999999999998</v>
      </c>
      <c r="D835" s="230">
        <f t="shared" si="40"/>
        <v>-3.8290126169104877E-3</v>
      </c>
      <c r="E835" s="293">
        <v>1.2199497667743087E-2</v>
      </c>
      <c r="F835" s="266">
        <f t="shared" si="42"/>
        <v>828</v>
      </c>
      <c r="G835" s="230">
        <f t="shared" ca="1" si="41"/>
        <v>-1.7960423901832059E-3</v>
      </c>
    </row>
    <row r="836" spans="2:7" x14ac:dyDescent="0.25">
      <c r="B836" s="348" t="s">
        <v>1060</v>
      </c>
      <c r="C836" s="293">
        <v>318.62</v>
      </c>
      <c r="D836" s="230">
        <f t="shared" si="40"/>
        <v>1.0529654297494417E-2</v>
      </c>
      <c r="E836" s="293">
        <v>1.218769043266299E-2</v>
      </c>
      <c r="F836" s="266">
        <f t="shared" si="42"/>
        <v>829</v>
      </c>
      <c r="G836" s="230">
        <f t="shared" ca="1" si="41"/>
        <v>3.7604302621161767E-2</v>
      </c>
    </row>
    <row r="837" spans="2:7" x14ac:dyDescent="0.25">
      <c r="B837" s="348" t="s">
        <v>1061</v>
      </c>
      <c r="C837" s="293">
        <v>315.3</v>
      </c>
      <c r="D837" s="230">
        <f t="shared" si="40"/>
        <v>1.4707302159431057E-2</v>
      </c>
      <c r="E837" s="293">
        <v>1.217372230752356E-2</v>
      </c>
      <c r="F837" s="266">
        <f t="shared" si="42"/>
        <v>830</v>
      </c>
      <c r="G837" s="230">
        <f t="shared" ca="1" si="41"/>
        <v>1.1481011690317542E-2</v>
      </c>
    </row>
    <row r="838" spans="2:7" x14ac:dyDescent="0.25">
      <c r="B838" s="348" t="s">
        <v>1062</v>
      </c>
      <c r="C838" s="293">
        <v>310.73</v>
      </c>
      <c r="D838" s="230">
        <f t="shared" si="40"/>
        <v>-2.3935919585362009E-2</v>
      </c>
      <c r="E838" s="293">
        <v>1.2148956774364006E-2</v>
      </c>
      <c r="F838" s="266">
        <f t="shared" si="42"/>
        <v>831</v>
      </c>
      <c r="G838" s="230">
        <f t="shared" ca="1" si="41"/>
        <v>-1.6349511230292824E-2</v>
      </c>
    </row>
    <row r="839" spans="2:7" x14ac:dyDescent="0.25">
      <c r="B839" s="348" t="s">
        <v>1063</v>
      </c>
      <c r="C839" s="293">
        <v>318.35000000000002</v>
      </c>
      <c r="D839" s="230">
        <f t="shared" si="40"/>
        <v>3.1421838177547734E-4</v>
      </c>
      <c r="E839" s="293">
        <v>1.2144455097475415E-2</v>
      </c>
      <c r="F839" s="266">
        <f t="shared" si="42"/>
        <v>832</v>
      </c>
      <c r="G839" s="230">
        <f t="shared" ca="1" si="41"/>
        <v>-5.7715087491468165E-3</v>
      </c>
    </row>
    <row r="840" spans="2:7" x14ac:dyDescent="0.25">
      <c r="B840" s="348" t="s">
        <v>1064</v>
      </c>
      <c r="C840" s="293">
        <v>318.25</v>
      </c>
      <c r="D840" s="230">
        <f t="shared" si="40"/>
        <v>-9.8008711885499977E-3</v>
      </c>
      <c r="E840" s="293">
        <v>1.2141816415735862E-2</v>
      </c>
      <c r="F840" s="266">
        <f t="shared" si="42"/>
        <v>833</v>
      </c>
      <c r="G840" s="230">
        <f t="shared" ca="1" si="41"/>
        <v>-1.3426088388209207E-2</v>
      </c>
    </row>
    <row r="841" spans="2:7" x14ac:dyDescent="0.25">
      <c r="B841" s="348" t="s">
        <v>1065</v>
      </c>
      <c r="C841" s="293">
        <v>321.39999999999998</v>
      </c>
      <c r="D841" s="230">
        <f t="shared" ref="D841:D904" si="43">C841/C842-1</f>
        <v>-1.9253462517856423E-3</v>
      </c>
      <c r="E841" s="293">
        <v>1.2139605462822445E-2</v>
      </c>
      <c r="F841" s="266">
        <f t="shared" si="42"/>
        <v>834</v>
      </c>
      <c r="G841" s="230">
        <f t="shared" ref="G841:G904" ca="1" si="44">_xlfn.NORM.INV(RAND(),$M$10,$M$11)</f>
        <v>-4.3227212657966405E-2</v>
      </c>
    </row>
    <row r="842" spans="2:7" x14ac:dyDescent="0.25">
      <c r="B842" s="348" t="s">
        <v>1066</v>
      </c>
      <c r="C842" s="293">
        <v>322.02</v>
      </c>
      <c r="D842" s="230">
        <f t="shared" si="43"/>
        <v>-1.1389801369232289E-2</v>
      </c>
      <c r="E842" s="293">
        <v>1.2131392310563704E-2</v>
      </c>
      <c r="F842" s="266">
        <f t="shared" ref="F842:F905" si="45">F841+1</f>
        <v>835</v>
      </c>
      <c r="G842" s="230">
        <f t="shared" ca="1" si="44"/>
        <v>-8.8707298950723417E-3</v>
      </c>
    </row>
    <row r="843" spans="2:7" x14ac:dyDescent="0.25">
      <c r="B843" s="348" t="s">
        <v>1067</v>
      </c>
      <c r="C843" s="293">
        <v>325.73</v>
      </c>
      <c r="D843" s="230">
        <f t="shared" si="43"/>
        <v>-1.5624055605923171E-2</v>
      </c>
      <c r="E843" s="293">
        <v>1.2128017967433902E-2</v>
      </c>
      <c r="F843" s="266">
        <f t="shared" si="45"/>
        <v>836</v>
      </c>
      <c r="G843" s="230">
        <f t="shared" ca="1" si="44"/>
        <v>-1.6012211534495766E-2</v>
      </c>
    </row>
    <row r="844" spans="2:7" x14ac:dyDescent="0.25">
      <c r="B844" s="348" t="s">
        <v>1068</v>
      </c>
      <c r="C844" s="293">
        <v>330.9</v>
      </c>
      <c r="D844" s="230">
        <f t="shared" si="43"/>
        <v>5.140144528767987E-4</v>
      </c>
      <c r="E844" s="293">
        <v>1.2120046171604448E-2</v>
      </c>
      <c r="F844" s="266">
        <f t="shared" si="45"/>
        <v>837</v>
      </c>
      <c r="G844" s="230">
        <f t="shared" ca="1" si="44"/>
        <v>2.0784424512537661E-2</v>
      </c>
    </row>
    <row r="845" spans="2:7" x14ac:dyDescent="0.25">
      <c r="B845" s="348" t="s">
        <v>1069</v>
      </c>
      <c r="C845" s="293">
        <v>330.73</v>
      </c>
      <c r="D845" s="230">
        <f t="shared" si="43"/>
        <v>3.8852633176507112E-3</v>
      </c>
      <c r="E845" s="293">
        <v>1.2089693367553611E-2</v>
      </c>
      <c r="F845" s="266">
        <f t="shared" si="45"/>
        <v>838</v>
      </c>
      <c r="G845" s="230">
        <f t="shared" ca="1" si="44"/>
        <v>-2.0765219828808287E-2</v>
      </c>
    </row>
    <row r="846" spans="2:7" x14ac:dyDescent="0.25">
      <c r="B846" s="348" t="s">
        <v>1070</v>
      </c>
      <c r="C846" s="293">
        <v>329.45</v>
      </c>
      <c r="D846" s="230">
        <f t="shared" si="43"/>
        <v>-1.7271680504211684E-3</v>
      </c>
      <c r="E846" s="293">
        <v>1.2088244182532515E-2</v>
      </c>
      <c r="F846" s="266">
        <f t="shared" si="45"/>
        <v>839</v>
      </c>
      <c r="G846" s="230">
        <f t="shared" ca="1" si="44"/>
        <v>-1.6093259115771263E-3</v>
      </c>
    </row>
    <row r="847" spans="2:7" x14ac:dyDescent="0.25">
      <c r="B847" s="348">
        <v>44541</v>
      </c>
      <c r="C847" s="293">
        <v>330.02</v>
      </c>
      <c r="D847" s="230">
        <f t="shared" si="43"/>
        <v>2.8420068557182931E-2</v>
      </c>
      <c r="E847" s="293">
        <v>1.2078651685393238E-2</v>
      </c>
      <c r="F847" s="266">
        <f t="shared" si="45"/>
        <v>840</v>
      </c>
      <c r="G847" s="230">
        <f t="shared" ca="1" si="44"/>
        <v>-2.2278435325635886E-2</v>
      </c>
    </row>
    <row r="848" spans="2:7" x14ac:dyDescent="0.25">
      <c r="B848" s="348">
        <v>44511</v>
      </c>
      <c r="C848" s="293">
        <v>320.89999999999998</v>
      </c>
      <c r="D848" s="230">
        <f t="shared" si="43"/>
        <v>-1.6549187863929005E-2</v>
      </c>
      <c r="E848" s="293">
        <v>1.2074992055926437E-2</v>
      </c>
      <c r="F848" s="266">
        <f t="shared" si="45"/>
        <v>841</v>
      </c>
      <c r="G848" s="230">
        <f t="shared" ca="1" si="44"/>
        <v>2.2415715642681924E-2</v>
      </c>
    </row>
    <row r="849" spans="2:7" x14ac:dyDescent="0.25">
      <c r="B849" s="348">
        <v>44480</v>
      </c>
      <c r="C849" s="293">
        <v>326.3</v>
      </c>
      <c r="D849" s="230">
        <f t="shared" si="43"/>
        <v>-8.899553503629698E-3</v>
      </c>
      <c r="E849" s="293">
        <v>1.2074643249176731E-2</v>
      </c>
      <c r="F849" s="266">
        <f t="shared" si="45"/>
        <v>842</v>
      </c>
      <c r="G849" s="230">
        <f t="shared" ca="1" si="44"/>
        <v>3.3711615134483248E-3</v>
      </c>
    </row>
    <row r="850" spans="2:7" x14ac:dyDescent="0.25">
      <c r="B850" s="348">
        <v>44450</v>
      </c>
      <c r="C850" s="293">
        <v>329.23</v>
      </c>
      <c r="D850" s="230">
        <f t="shared" si="43"/>
        <v>1.5189258156644847E-4</v>
      </c>
      <c r="E850" s="293">
        <v>1.2055837563451854E-2</v>
      </c>
      <c r="F850" s="266">
        <f t="shared" si="45"/>
        <v>843</v>
      </c>
      <c r="G850" s="230">
        <f t="shared" ca="1" si="44"/>
        <v>9.1138493047399002E-3</v>
      </c>
    </row>
    <row r="851" spans="2:7" x14ac:dyDescent="0.25">
      <c r="B851" s="348">
        <v>44419</v>
      </c>
      <c r="C851" s="293">
        <v>329.18</v>
      </c>
      <c r="D851" s="230">
        <f t="shared" si="43"/>
        <v>7.1286522869817848E-3</v>
      </c>
      <c r="E851" s="293">
        <v>1.2055837563451854E-2</v>
      </c>
      <c r="F851" s="266">
        <f t="shared" si="45"/>
        <v>844</v>
      </c>
      <c r="G851" s="230">
        <f t="shared" ca="1" si="44"/>
        <v>-1.6384619058360181E-2</v>
      </c>
    </row>
    <row r="852" spans="2:7" x14ac:dyDescent="0.25">
      <c r="B852" s="348">
        <v>44297</v>
      </c>
      <c r="C852" s="293">
        <v>326.85000000000002</v>
      </c>
      <c r="D852" s="230">
        <f t="shared" si="43"/>
        <v>1.8390804597701038E-3</v>
      </c>
      <c r="E852" s="293">
        <v>1.2049861495844638E-2</v>
      </c>
      <c r="F852" s="266">
        <f t="shared" si="45"/>
        <v>845</v>
      </c>
      <c r="G852" s="230">
        <f t="shared" ca="1" si="44"/>
        <v>-9.910458109649278E-3</v>
      </c>
    </row>
    <row r="853" spans="2:7" x14ac:dyDescent="0.25">
      <c r="B853" s="348">
        <v>44266</v>
      </c>
      <c r="C853" s="293">
        <v>326.25</v>
      </c>
      <c r="D853" s="230">
        <f t="shared" si="43"/>
        <v>-1.9883756500458372E-3</v>
      </c>
      <c r="E853" s="293">
        <v>1.2045401899467123E-2</v>
      </c>
      <c r="F853" s="266">
        <f t="shared" si="45"/>
        <v>846</v>
      </c>
      <c r="G853" s="230">
        <f t="shared" ca="1" si="44"/>
        <v>6.8404066559542226E-3</v>
      </c>
    </row>
    <row r="854" spans="2:7" x14ac:dyDescent="0.25">
      <c r="B854" s="348">
        <v>44238</v>
      </c>
      <c r="C854" s="293">
        <v>326.89999999999998</v>
      </c>
      <c r="D854" s="230">
        <f t="shared" si="43"/>
        <v>-2.5325725444726999E-3</v>
      </c>
      <c r="E854" s="293">
        <v>1.201381588827144E-2</v>
      </c>
      <c r="F854" s="266">
        <f t="shared" si="45"/>
        <v>847</v>
      </c>
      <c r="G854" s="230">
        <f t="shared" ca="1" si="44"/>
        <v>1.1440032651902968E-2</v>
      </c>
    </row>
    <row r="855" spans="2:7" x14ac:dyDescent="0.25">
      <c r="B855" s="348">
        <v>44207</v>
      </c>
      <c r="C855" s="293">
        <v>327.73</v>
      </c>
      <c r="D855" s="230">
        <f t="shared" si="43"/>
        <v>1.345166676974463E-2</v>
      </c>
      <c r="E855" s="293">
        <v>1.199925296479587E-2</v>
      </c>
      <c r="F855" s="266">
        <f t="shared" si="45"/>
        <v>848</v>
      </c>
      <c r="G855" s="230">
        <f t="shared" ca="1" si="44"/>
        <v>-1.0214009203243339E-3</v>
      </c>
    </row>
    <row r="856" spans="2:7" x14ac:dyDescent="0.25">
      <c r="B856" s="348" t="s">
        <v>1071</v>
      </c>
      <c r="C856" s="293">
        <v>323.38</v>
      </c>
      <c r="D856" s="230">
        <f t="shared" si="43"/>
        <v>-1.5436139442837504E-2</v>
      </c>
      <c r="E856" s="293">
        <v>1.1989342806394188E-2</v>
      </c>
      <c r="F856" s="266">
        <f t="shared" si="45"/>
        <v>849</v>
      </c>
      <c r="G856" s="230">
        <f t="shared" ca="1" si="44"/>
        <v>1.7027806190541547E-2</v>
      </c>
    </row>
    <row r="857" spans="2:7" x14ac:dyDescent="0.25">
      <c r="B857" s="348" t="s">
        <v>1072</v>
      </c>
      <c r="C857" s="293">
        <v>328.45</v>
      </c>
      <c r="D857" s="230">
        <f t="shared" si="43"/>
        <v>-2.1159290716733836E-2</v>
      </c>
      <c r="E857" s="293">
        <v>1.1966650318783634E-2</v>
      </c>
      <c r="F857" s="266">
        <f t="shared" si="45"/>
        <v>850</v>
      </c>
      <c r="G857" s="230">
        <f t="shared" ca="1" si="44"/>
        <v>2.310553354128024E-2</v>
      </c>
    </row>
    <row r="858" spans="2:7" x14ac:dyDescent="0.25">
      <c r="B858" s="348" t="s">
        <v>1073</v>
      </c>
      <c r="C858" s="293">
        <v>335.55</v>
      </c>
      <c r="D858" s="230">
        <f t="shared" si="43"/>
        <v>4.43020923758497E-3</v>
      </c>
      <c r="E858" s="293">
        <v>1.196293176074148E-2</v>
      </c>
      <c r="F858" s="266">
        <f t="shared" si="45"/>
        <v>851</v>
      </c>
      <c r="G858" s="230">
        <f t="shared" ca="1" si="44"/>
        <v>1.6239830285124587E-2</v>
      </c>
    </row>
    <row r="859" spans="2:7" x14ac:dyDescent="0.25">
      <c r="B859" s="348" t="s">
        <v>1074</v>
      </c>
      <c r="C859" s="293">
        <v>334.07</v>
      </c>
      <c r="D859" s="230">
        <f t="shared" si="43"/>
        <v>6.5897858319585723E-4</v>
      </c>
      <c r="E859" s="293">
        <v>1.1959226262139744E-2</v>
      </c>
      <c r="F859" s="266">
        <f t="shared" si="45"/>
        <v>852</v>
      </c>
      <c r="G859" s="230">
        <f t="shared" ca="1" si="44"/>
        <v>2.8176402723787158E-2</v>
      </c>
    </row>
    <row r="860" spans="2:7" x14ac:dyDescent="0.25">
      <c r="B860" s="348" t="s">
        <v>1075</v>
      </c>
      <c r="C860" s="293">
        <v>333.85</v>
      </c>
      <c r="D860" s="230">
        <f t="shared" si="43"/>
        <v>-2.1541617819460623E-2</v>
      </c>
      <c r="E860" s="293">
        <v>1.195219123505975E-2</v>
      </c>
      <c r="F860" s="266">
        <f t="shared" si="45"/>
        <v>853</v>
      </c>
      <c r="G860" s="230">
        <f t="shared" ca="1" si="44"/>
        <v>3.6523179287512905E-2</v>
      </c>
    </row>
    <row r="861" spans="2:7" x14ac:dyDescent="0.25">
      <c r="B861" s="348" t="s">
        <v>1076</v>
      </c>
      <c r="C861" s="293">
        <v>341.2</v>
      </c>
      <c r="D861" s="230">
        <f t="shared" si="43"/>
        <v>-1.9962659773086311E-2</v>
      </c>
      <c r="E861" s="293">
        <v>1.1936507936507912E-2</v>
      </c>
      <c r="F861" s="266">
        <f t="shared" si="45"/>
        <v>854</v>
      </c>
      <c r="G861" s="230">
        <f t="shared" ca="1" si="44"/>
        <v>1.6617389107522793E-2</v>
      </c>
    </row>
    <row r="862" spans="2:7" x14ac:dyDescent="0.25">
      <c r="B862" s="348" t="s">
        <v>1077</v>
      </c>
      <c r="C862" s="293">
        <v>348.15</v>
      </c>
      <c r="D862" s="230">
        <f t="shared" si="43"/>
        <v>-8.063137500712414E-3</v>
      </c>
      <c r="E862" s="293">
        <v>1.1935453069798596E-2</v>
      </c>
      <c r="F862" s="266">
        <f t="shared" si="45"/>
        <v>855</v>
      </c>
      <c r="G862" s="230">
        <f t="shared" ca="1" si="44"/>
        <v>-2.9582110354209892E-2</v>
      </c>
    </row>
    <row r="863" spans="2:7" x14ac:dyDescent="0.25">
      <c r="B863" s="348" t="s">
        <v>1078</v>
      </c>
      <c r="C863" s="293">
        <v>350.98</v>
      </c>
      <c r="D863" s="230">
        <f t="shared" si="43"/>
        <v>-1.3463754672962791E-2</v>
      </c>
      <c r="E863" s="293">
        <v>1.1931962427011999E-2</v>
      </c>
      <c r="F863" s="266">
        <f t="shared" si="45"/>
        <v>856</v>
      </c>
      <c r="G863" s="230">
        <f t="shared" ca="1" si="44"/>
        <v>-2.7068364812803504E-3</v>
      </c>
    </row>
    <row r="864" spans="2:7" x14ac:dyDescent="0.25">
      <c r="B864" s="348" t="s">
        <v>1079</v>
      </c>
      <c r="C864" s="293">
        <v>355.77</v>
      </c>
      <c r="D864" s="230">
        <f t="shared" si="43"/>
        <v>2.5078899909827257E-3</v>
      </c>
      <c r="E864" s="293">
        <v>1.1913104414856379E-2</v>
      </c>
      <c r="F864" s="266">
        <f t="shared" si="45"/>
        <v>857</v>
      </c>
      <c r="G864" s="230">
        <f t="shared" ca="1" si="44"/>
        <v>-1.4787441826609772E-2</v>
      </c>
    </row>
    <row r="865" spans="2:7" x14ac:dyDescent="0.25">
      <c r="B865" s="348" t="s">
        <v>1080</v>
      </c>
      <c r="C865" s="293">
        <v>354.88</v>
      </c>
      <c r="D865" s="230">
        <f t="shared" si="43"/>
        <v>2.1461651417598038E-3</v>
      </c>
      <c r="E865" s="293">
        <v>1.191057307429455E-2</v>
      </c>
      <c r="F865" s="266">
        <f t="shared" si="45"/>
        <v>858</v>
      </c>
      <c r="G865" s="230">
        <f t="shared" ca="1" si="44"/>
        <v>-1.2605706037003997E-3</v>
      </c>
    </row>
    <row r="866" spans="2:7" x14ac:dyDescent="0.25">
      <c r="B866" s="348" t="s">
        <v>1081</v>
      </c>
      <c r="C866" s="293">
        <v>354.12</v>
      </c>
      <c r="D866" s="230">
        <f t="shared" si="43"/>
        <v>5.2988403211418289E-2</v>
      </c>
      <c r="E866" s="293">
        <v>1.1902737629654769E-2</v>
      </c>
      <c r="F866" s="266">
        <f t="shared" si="45"/>
        <v>859</v>
      </c>
      <c r="G866" s="230">
        <f t="shared" ca="1" si="44"/>
        <v>2.8797279318630484E-3</v>
      </c>
    </row>
    <row r="867" spans="2:7" x14ac:dyDescent="0.25">
      <c r="B867" s="348" t="s">
        <v>1082</v>
      </c>
      <c r="C867" s="293">
        <v>336.3</v>
      </c>
      <c r="D867" s="230">
        <f t="shared" si="43"/>
        <v>2.0482476103777847E-2</v>
      </c>
      <c r="E867" s="293">
        <v>1.1898070076822309E-2</v>
      </c>
      <c r="F867" s="266">
        <f t="shared" si="45"/>
        <v>860</v>
      </c>
      <c r="G867" s="230">
        <f t="shared" ca="1" si="44"/>
        <v>-3.0379229511093925E-2</v>
      </c>
    </row>
    <row r="868" spans="2:7" x14ac:dyDescent="0.25">
      <c r="B868" s="348">
        <v>44540</v>
      </c>
      <c r="C868" s="293">
        <v>329.55</v>
      </c>
      <c r="D868" s="230">
        <f t="shared" si="43"/>
        <v>9.6507352941177516E-3</v>
      </c>
      <c r="E868" s="293">
        <v>1.1892763555734875E-2</v>
      </c>
      <c r="F868" s="266">
        <f t="shared" si="45"/>
        <v>861</v>
      </c>
      <c r="G868" s="230">
        <f t="shared" ca="1" si="44"/>
        <v>6.0823260388630247E-3</v>
      </c>
    </row>
    <row r="869" spans="2:7" x14ac:dyDescent="0.25">
      <c r="B869" s="348">
        <v>44510</v>
      </c>
      <c r="C869" s="293">
        <v>326.39999999999998</v>
      </c>
      <c r="D869" s="230">
        <f t="shared" si="43"/>
        <v>-1.2614574825301816E-2</v>
      </c>
      <c r="E869" s="293">
        <v>1.1883408071748924E-2</v>
      </c>
      <c r="F869" s="266">
        <f t="shared" si="45"/>
        <v>862</v>
      </c>
      <c r="G869" s="230">
        <f t="shared" ca="1" si="44"/>
        <v>1.5572988364463764E-2</v>
      </c>
    </row>
    <row r="870" spans="2:7" x14ac:dyDescent="0.25">
      <c r="B870" s="348">
        <v>44418</v>
      </c>
      <c r="C870" s="293">
        <v>330.57</v>
      </c>
      <c r="D870" s="230">
        <f t="shared" si="43"/>
        <v>2.8275475923852156E-2</v>
      </c>
      <c r="E870" s="293">
        <v>1.1860781644954299E-2</v>
      </c>
      <c r="F870" s="266">
        <f t="shared" si="45"/>
        <v>863</v>
      </c>
      <c r="G870" s="230">
        <f t="shared" ca="1" si="44"/>
        <v>-1.6905794032047185E-3</v>
      </c>
    </row>
    <row r="871" spans="2:7" x14ac:dyDescent="0.25">
      <c r="B871" s="348">
        <v>44387</v>
      </c>
      <c r="C871" s="293">
        <v>321.48</v>
      </c>
      <c r="D871" s="230">
        <f t="shared" si="43"/>
        <v>1.1325028312570762E-2</v>
      </c>
      <c r="E871" s="293">
        <v>1.1858537097281907E-2</v>
      </c>
      <c r="F871" s="266">
        <f t="shared" si="45"/>
        <v>864</v>
      </c>
      <c r="G871" s="230">
        <f t="shared" ca="1" si="44"/>
        <v>-7.6908338953937967E-3</v>
      </c>
    </row>
    <row r="872" spans="2:7" x14ac:dyDescent="0.25">
      <c r="B872" s="348">
        <v>44357</v>
      </c>
      <c r="C872" s="293">
        <v>317.88</v>
      </c>
      <c r="D872" s="230">
        <f t="shared" si="43"/>
        <v>-1.7159818198682952E-2</v>
      </c>
      <c r="E872" s="293">
        <v>1.1849442379182173E-2</v>
      </c>
      <c r="F872" s="266">
        <f t="shared" si="45"/>
        <v>865</v>
      </c>
      <c r="G872" s="230">
        <f t="shared" ca="1" si="44"/>
        <v>7.6702582007123956E-3</v>
      </c>
    </row>
    <row r="873" spans="2:7" x14ac:dyDescent="0.25">
      <c r="B873" s="348">
        <v>44326</v>
      </c>
      <c r="C873" s="293">
        <v>323.43</v>
      </c>
      <c r="D873" s="230">
        <f t="shared" si="43"/>
        <v>9.078996630475622E-3</v>
      </c>
      <c r="E873" s="293">
        <v>1.1829758713136851E-2</v>
      </c>
      <c r="F873" s="266">
        <f t="shared" si="45"/>
        <v>866</v>
      </c>
      <c r="G873" s="230">
        <f t="shared" ca="1" si="44"/>
        <v>2.1629688269656274E-3</v>
      </c>
    </row>
    <row r="874" spans="2:7" x14ac:dyDescent="0.25">
      <c r="B874" s="348">
        <v>44296</v>
      </c>
      <c r="C874" s="293">
        <v>320.52</v>
      </c>
      <c r="D874" s="230">
        <f t="shared" si="43"/>
        <v>7.544322897020006E-3</v>
      </c>
      <c r="E874" s="293">
        <v>1.1811707486538037E-2</v>
      </c>
      <c r="F874" s="266">
        <f t="shared" si="45"/>
        <v>867</v>
      </c>
      <c r="G874" s="230">
        <f t="shared" ca="1" si="44"/>
        <v>8.7968068448475174E-3</v>
      </c>
    </row>
    <row r="875" spans="2:7" x14ac:dyDescent="0.25">
      <c r="B875" s="348">
        <v>44206</v>
      </c>
      <c r="C875" s="293">
        <v>318.12</v>
      </c>
      <c r="D875" s="230">
        <f t="shared" si="43"/>
        <v>3.3748620091467174E-3</v>
      </c>
      <c r="E875" s="293">
        <v>1.1802088061733995E-2</v>
      </c>
      <c r="F875" s="266">
        <f t="shared" si="45"/>
        <v>868</v>
      </c>
      <c r="G875" s="230">
        <f t="shared" ca="1" si="44"/>
        <v>3.0813219099922615E-2</v>
      </c>
    </row>
    <row r="876" spans="2:7" x14ac:dyDescent="0.25">
      <c r="B876" s="348" t="s">
        <v>1083</v>
      </c>
      <c r="C876" s="293">
        <v>317.05</v>
      </c>
      <c r="D876" s="230">
        <f t="shared" si="43"/>
        <v>-1.0393907235158206E-2</v>
      </c>
      <c r="E876" s="293">
        <v>1.1784023954409362E-2</v>
      </c>
      <c r="F876" s="266">
        <f t="shared" si="45"/>
        <v>869</v>
      </c>
      <c r="G876" s="230">
        <f t="shared" ca="1" si="44"/>
        <v>2.683797527970782E-3</v>
      </c>
    </row>
    <row r="877" spans="2:7" x14ac:dyDescent="0.25">
      <c r="B877" s="348" t="s">
        <v>1084</v>
      </c>
      <c r="C877" s="293">
        <v>320.38</v>
      </c>
      <c r="D877" s="230">
        <f t="shared" si="43"/>
        <v>1.8136335209506527E-3</v>
      </c>
      <c r="E877" s="293">
        <v>1.1764705882352899E-2</v>
      </c>
      <c r="F877" s="266">
        <f t="shared" si="45"/>
        <v>870</v>
      </c>
      <c r="G877" s="230">
        <f t="shared" ca="1" si="44"/>
        <v>1.7376749012072167E-2</v>
      </c>
    </row>
    <row r="878" spans="2:7" x14ac:dyDescent="0.25">
      <c r="B878" s="348" t="s">
        <v>1085</v>
      </c>
      <c r="C878" s="293">
        <v>319.8</v>
      </c>
      <c r="D878" s="230">
        <f t="shared" si="43"/>
        <v>-2.1868787276341894E-2</v>
      </c>
      <c r="E878" s="293">
        <v>1.1749586928584632E-2</v>
      </c>
      <c r="F878" s="266">
        <f t="shared" si="45"/>
        <v>871</v>
      </c>
      <c r="G878" s="230">
        <f t="shared" ca="1" si="44"/>
        <v>-7.4374442577652671E-3</v>
      </c>
    </row>
    <row r="879" spans="2:7" x14ac:dyDescent="0.25">
      <c r="B879" s="348" t="s">
        <v>1086</v>
      </c>
      <c r="C879" s="293">
        <v>326.95</v>
      </c>
      <c r="D879" s="230">
        <f t="shared" si="43"/>
        <v>-3.3407243163340761E-2</v>
      </c>
      <c r="E879" s="293">
        <v>1.1741882785378799E-2</v>
      </c>
      <c r="F879" s="266">
        <f t="shared" si="45"/>
        <v>872</v>
      </c>
      <c r="G879" s="230">
        <f t="shared" ca="1" si="44"/>
        <v>4.6090885586214936E-3</v>
      </c>
    </row>
    <row r="880" spans="2:7" x14ac:dyDescent="0.25">
      <c r="B880" s="348" t="s">
        <v>1087</v>
      </c>
      <c r="C880" s="293">
        <v>338.25</v>
      </c>
      <c r="D880" s="230">
        <f t="shared" si="43"/>
        <v>3.2626427406199365E-3</v>
      </c>
      <c r="E880" s="293">
        <v>1.1734733266424824E-2</v>
      </c>
      <c r="F880" s="266">
        <f t="shared" si="45"/>
        <v>873</v>
      </c>
      <c r="G880" s="230">
        <f t="shared" ca="1" si="44"/>
        <v>4.5710869104461354E-3</v>
      </c>
    </row>
    <row r="881" spans="2:7" x14ac:dyDescent="0.25">
      <c r="B881" s="348" t="s">
        <v>1088</v>
      </c>
      <c r="C881" s="293">
        <v>337.15</v>
      </c>
      <c r="D881" s="230">
        <f t="shared" si="43"/>
        <v>9.2196246295686013E-3</v>
      </c>
      <c r="E881" s="293">
        <v>1.1660836248542417E-2</v>
      </c>
      <c r="F881" s="266">
        <f t="shared" si="45"/>
        <v>874</v>
      </c>
      <c r="G881" s="230">
        <f t="shared" ca="1" si="44"/>
        <v>-1.375561045061117E-2</v>
      </c>
    </row>
    <row r="882" spans="2:7" x14ac:dyDescent="0.25">
      <c r="B882" s="348" t="s">
        <v>1089</v>
      </c>
      <c r="C882" s="293">
        <v>334.07</v>
      </c>
      <c r="D882" s="230">
        <f t="shared" si="43"/>
        <v>8.088675853803462E-4</v>
      </c>
      <c r="E882" s="293">
        <v>1.1655011655011593E-2</v>
      </c>
      <c r="F882" s="266">
        <f t="shared" si="45"/>
        <v>875</v>
      </c>
      <c r="G882" s="230">
        <f t="shared" ca="1" si="44"/>
        <v>-1.7721454709309976E-2</v>
      </c>
    </row>
    <row r="883" spans="2:7" x14ac:dyDescent="0.25">
      <c r="B883" s="348" t="s">
        <v>1090</v>
      </c>
      <c r="C883" s="293">
        <v>333.8</v>
      </c>
      <c r="D883" s="230">
        <f t="shared" si="43"/>
        <v>7.698113207547097E-3</v>
      </c>
      <c r="E883" s="293">
        <v>1.1653718091009901E-2</v>
      </c>
      <c r="F883" s="266">
        <f t="shared" si="45"/>
        <v>876</v>
      </c>
      <c r="G883" s="230">
        <f t="shared" ca="1" si="44"/>
        <v>-1.9496533414316009E-2</v>
      </c>
    </row>
    <row r="884" spans="2:7" x14ac:dyDescent="0.25">
      <c r="B884" s="348" t="s">
        <v>1091</v>
      </c>
      <c r="C884" s="293">
        <v>331.25</v>
      </c>
      <c r="D884" s="230">
        <f t="shared" si="43"/>
        <v>-4.1188142625218083E-3</v>
      </c>
      <c r="E884" s="293">
        <v>1.1650764731265362E-2</v>
      </c>
      <c r="F884" s="266">
        <f t="shared" si="45"/>
        <v>877</v>
      </c>
      <c r="G884" s="230">
        <f t="shared" ca="1" si="44"/>
        <v>-1.4469880548377511E-2</v>
      </c>
    </row>
    <row r="885" spans="2:7" x14ac:dyDescent="0.25">
      <c r="B885" s="348" t="s">
        <v>1092</v>
      </c>
      <c r="C885" s="293">
        <v>332.62</v>
      </c>
      <c r="D885" s="230">
        <f t="shared" si="43"/>
        <v>-3.9229778696133755E-3</v>
      </c>
      <c r="E885" s="293">
        <v>1.1648170228377497E-2</v>
      </c>
      <c r="F885" s="266">
        <f t="shared" si="45"/>
        <v>878</v>
      </c>
      <c r="G885" s="230">
        <f t="shared" ca="1" si="44"/>
        <v>1.6590850947414429E-2</v>
      </c>
    </row>
    <row r="886" spans="2:7" x14ac:dyDescent="0.25">
      <c r="B886" s="348" t="s">
        <v>1093</v>
      </c>
      <c r="C886" s="293">
        <v>333.93</v>
      </c>
      <c r="D886" s="230">
        <f t="shared" si="43"/>
        <v>-9.1685953355883365E-3</v>
      </c>
      <c r="E886" s="293">
        <v>1.1647058823529344E-2</v>
      </c>
      <c r="F886" s="266">
        <f t="shared" si="45"/>
        <v>879</v>
      </c>
      <c r="G886" s="230">
        <f t="shared" ca="1" si="44"/>
        <v>1.8242724836333775E-2</v>
      </c>
    </row>
    <row r="887" spans="2:7" x14ac:dyDescent="0.25">
      <c r="B887" s="348" t="s">
        <v>1094</v>
      </c>
      <c r="C887" s="293">
        <v>337.02</v>
      </c>
      <c r="D887" s="230">
        <f t="shared" si="43"/>
        <v>8.6122412615430299E-4</v>
      </c>
      <c r="E887" s="293">
        <v>1.1644154634373516E-2</v>
      </c>
      <c r="F887" s="266">
        <f t="shared" si="45"/>
        <v>880</v>
      </c>
      <c r="G887" s="230">
        <f t="shared" ca="1" si="44"/>
        <v>4.3372160981123946E-2</v>
      </c>
    </row>
    <row r="888" spans="2:7" x14ac:dyDescent="0.25">
      <c r="B888" s="348" t="s">
        <v>1095</v>
      </c>
      <c r="C888" s="293">
        <v>336.73</v>
      </c>
      <c r="D888" s="230">
        <f t="shared" si="43"/>
        <v>4.0252847516251133E-3</v>
      </c>
      <c r="E888" s="293">
        <v>1.1637239165328994E-2</v>
      </c>
      <c r="F888" s="266">
        <f t="shared" si="45"/>
        <v>881</v>
      </c>
      <c r="G888" s="230">
        <f t="shared" ca="1" si="44"/>
        <v>1.6660823946768759E-2</v>
      </c>
    </row>
    <row r="889" spans="2:7" x14ac:dyDescent="0.25">
      <c r="B889" s="348" t="s">
        <v>1096</v>
      </c>
      <c r="C889" s="293">
        <v>335.38</v>
      </c>
      <c r="D889" s="230">
        <f t="shared" si="43"/>
        <v>1.2681925237031155E-2</v>
      </c>
      <c r="E889" s="293">
        <v>1.1633582818092902E-2</v>
      </c>
      <c r="F889" s="266">
        <f t="shared" si="45"/>
        <v>882</v>
      </c>
      <c r="G889" s="230">
        <f t="shared" ca="1" si="44"/>
        <v>-9.1570323100175453E-3</v>
      </c>
    </row>
    <row r="890" spans="2:7" x14ac:dyDescent="0.25">
      <c r="B890" s="348">
        <v>44448</v>
      </c>
      <c r="C890" s="293">
        <v>331.18</v>
      </c>
      <c r="D890" s="230">
        <f t="shared" si="43"/>
        <v>2.4161884626994201E-4</v>
      </c>
      <c r="E890" s="293">
        <v>1.1594905164059144E-2</v>
      </c>
      <c r="F890" s="266">
        <f t="shared" si="45"/>
        <v>883</v>
      </c>
      <c r="G890" s="230">
        <f t="shared" ca="1" si="44"/>
        <v>2.9010999187572946E-2</v>
      </c>
    </row>
    <row r="891" spans="2:7" x14ac:dyDescent="0.25">
      <c r="B891" s="348">
        <v>44417</v>
      </c>
      <c r="C891" s="293">
        <v>331.1</v>
      </c>
      <c r="D891" s="230">
        <f t="shared" si="43"/>
        <v>-1.7857142857142794E-2</v>
      </c>
      <c r="E891" s="293">
        <v>1.1562272396212547E-2</v>
      </c>
      <c r="F891" s="266">
        <f t="shared" si="45"/>
        <v>884</v>
      </c>
      <c r="G891" s="230">
        <f t="shared" ca="1" si="44"/>
        <v>3.8222450483598298E-2</v>
      </c>
    </row>
    <row r="892" spans="2:7" x14ac:dyDescent="0.25">
      <c r="B892" s="348">
        <v>44386</v>
      </c>
      <c r="C892" s="293">
        <v>337.12</v>
      </c>
      <c r="D892" s="230">
        <f t="shared" si="43"/>
        <v>-1.7801474230108139E-2</v>
      </c>
      <c r="E892" s="293">
        <v>1.1555350127108843E-2</v>
      </c>
      <c r="F892" s="266">
        <f t="shared" si="45"/>
        <v>885</v>
      </c>
      <c r="G892" s="230">
        <f t="shared" ca="1" si="44"/>
        <v>-4.8126114498227351E-3</v>
      </c>
    </row>
    <row r="893" spans="2:7" x14ac:dyDescent="0.25">
      <c r="B893" s="348">
        <v>44356</v>
      </c>
      <c r="C893" s="293">
        <v>343.23</v>
      </c>
      <c r="D893" s="230">
        <f t="shared" si="43"/>
        <v>4.7870554113875752E-2</v>
      </c>
      <c r="E893" s="293">
        <v>1.1550459489081844E-2</v>
      </c>
      <c r="F893" s="266">
        <f t="shared" si="45"/>
        <v>886</v>
      </c>
      <c r="G893" s="230">
        <f t="shared" ca="1" si="44"/>
        <v>-2.1890694591507102E-2</v>
      </c>
    </row>
    <row r="894" spans="2:7" x14ac:dyDescent="0.25">
      <c r="B894" s="348">
        <v>44264</v>
      </c>
      <c r="C894" s="293">
        <v>327.55</v>
      </c>
      <c r="D894" s="230">
        <f t="shared" si="43"/>
        <v>5.587449728302607E-3</v>
      </c>
      <c r="E894" s="293">
        <v>1.1548711874444839E-2</v>
      </c>
      <c r="F894" s="266">
        <f t="shared" si="45"/>
        <v>887</v>
      </c>
      <c r="G894" s="230">
        <f t="shared" ca="1" si="44"/>
        <v>-3.4914901786172174E-2</v>
      </c>
    </row>
    <row r="895" spans="2:7" x14ac:dyDescent="0.25">
      <c r="B895" s="348">
        <v>44236</v>
      </c>
      <c r="C895" s="293">
        <v>325.73</v>
      </c>
      <c r="D895" s="230">
        <f t="shared" si="43"/>
        <v>1.4671983054015403E-2</v>
      </c>
      <c r="E895" s="293">
        <v>1.1532657900409582E-2</v>
      </c>
      <c r="F895" s="266">
        <f t="shared" si="45"/>
        <v>888</v>
      </c>
      <c r="G895" s="230">
        <f t="shared" ca="1" si="44"/>
        <v>3.4168769716578722E-2</v>
      </c>
    </row>
    <row r="896" spans="2:7" x14ac:dyDescent="0.25">
      <c r="B896" s="348">
        <v>44205</v>
      </c>
      <c r="C896" s="293">
        <v>321.02</v>
      </c>
      <c r="D896" s="230">
        <f t="shared" si="43"/>
        <v>1.6849725411880456E-3</v>
      </c>
      <c r="E896" s="293">
        <v>1.1488825936417868E-2</v>
      </c>
      <c r="F896" s="266">
        <f t="shared" si="45"/>
        <v>889</v>
      </c>
      <c r="G896" s="230">
        <f t="shared" ca="1" si="44"/>
        <v>-1.7047244116688849E-2</v>
      </c>
    </row>
    <row r="897" spans="2:7" x14ac:dyDescent="0.25">
      <c r="B897" s="348" t="s">
        <v>1097</v>
      </c>
      <c r="C897" s="293">
        <v>320.48</v>
      </c>
      <c r="D897" s="230">
        <f t="shared" si="43"/>
        <v>1.3439585112101859E-2</v>
      </c>
      <c r="E897" s="293">
        <v>1.1484401782653419E-2</v>
      </c>
      <c r="F897" s="266">
        <f t="shared" si="45"/>
        <v>890</v>
      </c>
      <c r="G897" s="230">
        <f t="shared" ca="1" si="44"/>
        <v>2.2125156654960058E-2</v>
      </c>
    </row>
    <row r="898" spans="2:7" x14ac:dyDescent="0.25">
      <c r="B898" s="348" t="s">
        <v>1098</v>
      </c>
      <c r="C898" s="293">
        <v>316.23</v>
      </c>
      <c r="D898" s="230">
        <f t="shared" si="43"/>
        <v>-3.9372558901348276E-3</v>
      </c>
      <c r="E898" s="293">
        <v>1.1468690040118634E-2</v>
      </c>
      <c r="F898" s="266">
        <f t="shared" si="45"/>
        <v>891</v>
      </c>
      <c r="G898" s="230">
        <f t="shared" ca="1" si="44"/>
        <v>4.4148459008087053E-2</v>
      </c>
    </row>
    <row r="899" spans="2:7" x14ac:dyDescent="0.25">
      <c r="B899" s="348" t="s">
        <v>1099</v>
      </c>
      <c r="C899" s="293">
        <v>317.48</v>
      </c>
      <c r="D899" s="230">
        <f t="shared" si="43"/>
        <v>9.5395573645382647E-3</v>
      </c>
      <c r="E899" s="293">
        <v>1.1442663378544937E-2</v>
      </c>
      <c r="F899" s="266">
        <f t="shared" si="45"/>
        <v>892</v>
      </c>
      <c r="G899" s="230">
        <f t="shared" ca="1" si="44"/>
        <v>-1.224623261821897E-2</v>
      </c>
    </row>
    <row r="900" spans="2:7" x14ac:dyDescent="0.25">
      <c r="B900" s="348" t="s">
        <v>1100</v>
      </c>
      <c r="C900" s="293">
        <v>314.48</v>
      </c>
      <c r="D900" s="230">
        <f t="shared" si="43"/>
        <v>-4.24292318409214E-3</v>
      </c>
      <c r="E900" s="293">
        <v>1.1441647597254079E-2</v>
      </c>
      <c r="F900" s="266">
        <f t="shared" si="45"/>
        <v>893</v>
      </c>
      <c r="G900" s="230">
        <f t="shared" ca="1" si="44"/>
        <v>-1.1485975143288411E-2</v>
      </c>
    </row>
    <row r="901" spans="2:7" x14ac:dyDescent="0.25">
      <c r="B901" s="348" t="s">
        <v>1101</v>
      </c>
      <c r="C901" s="293">
        <v>315.82</v>
      </c>
      <c r="D901" s="230">
        <f t="shared" si="43"/>
        <v>-2.9990213719732761E-3</v>
      </c>
      <c r="E901" s="293">
        <v>1.1437285550895959E-2</v>
      </c>
      <c r="F901" s="266">
        <f t="shared" si="45"/>
        <v>894</v>
      </c>
      <c r="G901" s="230">
        <f t="shared" ca="1" si="44"/>
        <v>-1.5707192851549361E-2</v>
      </c>
    </row>
    <row r="902" spans="2:7" x14ac:dyDescent="0.25">
      <c r="B902" s="348" t="s">
        <v>1102</v>
      </c>
      <c r="C902" s="293">
        <v>316.77</v>
      </c>
      <c r="D902" s="230">
        <f t="shared" si="43"/>
        <v>7.4420379734756459E-3</v>
      </c>
      <c r="E902" s="293">
        <v>1.1410233553218019E-2</v>
      </c>
      <c r="F902" s="266">
        <f t="shared" si="45"/>
        <v>895</v>
      </c>
      <c r="G902" s="230">
        <f t="shared" ca="1" si="44"/>
        <v>3.8132987141289106E-2</v>
      </c>
    </row>
    <row r="903" spans="2:7" x14ac:dyDescent="0.25">
      <c r="B903" s="348" t="s">
        <v>1103</v>
      </c>
      <c r="C903" s="293">
        <v>314.43</v>
      </c>
      <c r="D903" s="230">
        <f t="shared" si="43"/>
        <v>1.4224888716857009E-2</v>
      </c>
      <c r="E903" s="293">
        <v>1.1399738366660417E-2</v>
      </c>
      <c r="F903" s="266">
        <f t="shared" si="45"/>
        <v>896</v>
      </c>
      <c r="G903" s="230">
        <f t="shared" ca="1" si="44"/>
        <v>-4.5314065410424542E-2</v>
      </c>
    </row>
    <row r="904" spans="2:7" x14ac:dyDescent="0.25">
      <c r="B904" s="348" t="s">
        <v>1104</v>
      </c>
      <c r="C904" s="293">
        <v>310.02</v>
      </c>
      <c r="D904" s="230">
        <f t="shared" si="43"/>
        <v>-1.4871306005719731E-2</v>
      </c>
      <c r="E904" s="293">
        <v>1.13995882087079E-2</v>
      </c>
      <c r="F904" s="266">
        <f t="shared" si="45"/>
        <v>897</v>
      </c>
      <c r="G904" s="230">
        <f t="shared" ca="1" si="44"/>
        <v>1.6059244197190875E-2</v>
      </c>
    </row>
    <row r="905" spans="2:7" x14ac:dyDescent="0.25">
      <c r="B905" s="348" t="s">
        <v>1105</v>
      </c>
      <c r="C905" s="293">
        <v>314.7</v>
      </c>
      <c r="D905" s="230">
        <f t="shared" ref="D905:D968" si="46">C905/C906-1</f>
        <v>-8.6627815404000108E-3</v>
      </c>
      <c r="E905" s="293">
        <v>1.1397131067007127E-2</v>
      </c>
      <c r="F905" s="266">
        <f t="shared" si="45"/>
        <v>898</v>
      </c>
      <c r="G905" s="230">
        <f t="shared" ref="G905:G968" ca="1" si="47">_xlfn.NORM.INV(RAND(),$M$10,$M$11)</f>
        <v>2.4812642727526535E-2</v>
      </c>
    </row>
    <row r="906" spans="2:7" x14ac:dyDescent="0.25">
      <c r="B906" s="348" t="s">
        <v>1106</v>
      </c>
      <c r="C906" s="293">
        <v>317.45</v>
      </c>
      <c r="D906" s="230">
        <f t="shared" si="46"/>
        <v>3.3971728226174225E-2</v>
      </c>
      <c r="E906" s="293">
        <v>1.1392587607556681E-2</v>
      </c>
      <c r="F906" s="266">
        <f t="shared" ref="F906:F969" si="48">F905+1</f>
        <v>899</v>
      </c>
      <c r="G906" s="230">
        <f t="shared" ca="1" si="47"/>
        <v>-7.5538102100853322E-3</v>
      </c>
    </row>
    <row r="907" spans="2:7" x14ac:dyDescent="0.25">
      <c r="B907" s="348" t="s">
        <v>1107</v>
      </c>
      <c r="C907" s="293">
        <v>307.02</v>
      </c>
      <c r="D907" s="230">
        <f t="shared" si="46"/>
        <v>-2.3720552396426786E-3</v>
      </c>
      <c r="E907" s="293">
        <v>1.1389201349831346E-2</v>
      </c>
      <c r="F907" s="266">
        <f t="shared" si="48"/>
        <v>900</v>
      </c>
      <c r="G907" s="230">
        <f t="shared" ca="1" si="47"/>
        <v>1.5134285939266473E-2</v>
      </c>
    </row>
    <row r="908" spans="2:7" x14ac:dyDescent="0.25">
      <c r="B908" s="348" t="s">
        <v>1108</v>
      </c>
      <c r="C908" s="293">
        <v>307.75</v>
      </c>
      <c r="D908" s="230">
        <f t="shared" si="46"/>
        <v>1.5911266629254239E-2</v>
      </c>
      <c r="E908" s="293">
        <v>1.1386343927911602E-2</v>
      </c>
      <c r="F908" s="266">
        <f t="shared" si="48"/>
        <v>901</v>
      </c>
      <c r="G908" s="230">
        <f t="shared" ca="1" si="47"/>
        <v>6.7226459359520799E-3</v>
      </c>
    </row>
    <row r="909" spans="2:7" x14ac:dyDescent="0.25">
      <c r="B909" s="348">
        <v>44538</v>
      </c>
      <c r="C909" s="293">
        <v>302.93</v>
      </c>
      <c r="D909" s="230">
        <f t="shared" si="46"/>
        <v>7.6841194863948026E-3</v>
      </c>
      <c r="E909" s="293">
        <v>1.1368217366766187E-2</v>
      </c>
      <c r="F909" s="266">
        <f t="shared" si="48"/>
        <v>902</v>
      </c>
      <c r="G909" s="230">
        <f t="shared" ca="1" si="47"/>
        <v>2.2658743715776586E-2</v>
      </c>
    </row>
    <row r="910" spans="2:7" x14ac:dyDescent="0.25">
      <c r="B910" s="348">
        <v>44508</v>
      </c>
      <c r="C910" s="293">
        <v>300.62</v>
      </c>
      <c r="D910" s="230">
        <f t="shared" si="46"/>
        <v>-4.338754015831503E-3</v>
      </c>
      <c r="E910" s="293">
        <v>1.1366761389678182E-2</v>
      </c>
      <c r="F910" s="266">
        <f t="shared" si="48"/>
        <v>903</v>
      </c>
      <c r="G910" s="230">
        <f t="shared" ca="1" si="47"/>
        <v>6.1485094669824431E-3</v>
      </c>
    </row>
    <row r="911" spans="2:7" x14ac:dyDescent="0.25">
      <c r="B911" s="348">
        <v>44477</v>
      </c>
      <c r="C911" s="293">
        <v>301.93</v>
      </c>
      <c r="D911" s="230">
        <f t="shared" si="46"/>
        <v>1.1829758713136851E-2</v>
      </c>
      <c r="E911" s="293">
        <v>1.1363636363636243E-2</v>
      </c>
      <c r="F911" s="266">
        <f t="shared" si="48"/>
        <v>904</v>
      </c>
      <c r="G911" s="230">
        <f t="shared" ca="1" si="47"/>
        <v>1.9364681773840431E-2</v>
      </c>
    </row>
    <row r="912" spans="2:7" x14ac:dyDescent="0.25">
      <c r="B912" s="348">
        <v>44447</v>
      </c>
      <c r="C912" s="293">
        <v>298.39999999999998</v>
      </c>
      <c r="D912" s="230">
        <f t="shared" si="46"/>
        <v>-2.0066889632107676E-3</v>
      </c>
      <c r="E912" s="293">
        <v>1.1359570661896301E-2</v>
      </c>
      <c r="F912" s="266">
        <f t="shared" si="48"/>
        <v>905</v>
      </c>
      <c r="G912" s="230">
        <f t="shared" ca="1" si="47"/>
        <v>-8.8241110949583718E-3</v>
      </c>
    </row>
    <row r="913" spans="2:7" x14ac:dyDescent="0.25">
      <c r="B913" s="348">
        <v>44355</v>
      </c>
      <c r="C913" s="293">
        <v>299</v>
      </c>
      <c r="D913" s="230">
        <f t="shared" si="46"/>
        <v>-4.8260941920452716E-3</v>
      </c>
      <c r="E913" s="293">
        <v>1.1353959693443105E-2</v>
      </c>
      <c r="F913" s="266">
        <f t="shared" si="48"/>
        <v>906</v>
      </c>
      <c r="G913" s="230">
        <f t="shared" ca="1" si="47"/>
        <v>-3.0548640401901646E-2</v>
      </c>
    </row>
    <row r="914" spans="2:7" x14ac:dyDescent="0.25">
      <c r="B914" s="348">
        <v>44324</v>
      </c>
      <c r="C914" s="293">
        <v>300.45</v>
      </c>
      <c r="D914" s="230">
        <f t="shared" si="46"/>
        <v>6.8699731903485439E-3</v>
      </c>
      <c r="E914" s="293">
        <v>1.1330181104469483E-2</v>
      </c>
      <c r="F914" s="266">
        <f t="shared" si="48"/>
        <v>907</v>
      </c>
      <c r="G914" s="230">
        <f t="shared" ca="1" si="47"/>
        <v>9.1919282593234562E-4</v>
      </c>
    </row>
    <row r="915" spans="2:7" x14ac:dyDescent="0.25">
      <c r="B915" s="348">
        <v>44294</v>
      </c>
      <c r="C915" s="293">
        <v>298.39999999999998</v>
      </c>
      <c r="D915" s="230">
        <f t="shared" si="46"/>
        <v>-4.3376710043376843E-3</v>
      </c>
      <c r="E915" s="293">
        <v>1.1325028312570762E-2</v>
      </c>
      <c r="F915" s="266">
        <f t="shared" si="48"/>
        <v>908</v>
      </c>
      <c r="G915" s="230">
        <f t="shared" ca="1" si="47"/>
        <v>-2.4679031002092282E-2</v>
      </c>
    </row>
    <row r="916" spans="2:7" x14ac:dyDescent="0.25">
      <c r="B916" s="348">
        <v>44263</v>
      </c>
      <c r="C916" s="293">
        <v>299.7</v>
      </c>
      <c r="D916" s="230">
        <f t="shared" si="46"/>
        <v>1.2089693367553611E-2</v>
      </c>
      <c r="E916" s="293">
        <v>1.1323959611210688E-2</v>
      </c>
      <c r="F916" s="266">
        <f t="shared" si="48"/>
        <v>909</v>
      </c>
      <c r="G916" s="230">
        <f t="shared" ca="1" si="47"/>
        <v>-2.2231893820554766E-2</v>
      </c>
    </row>
    <row r="917" spans="2:7" x14ac:dyDescent="0.25">
      <c r="B917" s="348">
        <v>44235</v>
      </c>
      <c r="C917" s="293">
        <v>296.12</v>
      </c>
      <c r="D917" s="230">
        <f t="shared" si="46"/>
        <v>8.6861736553462965E-3</v>
      </c>
      <c r="E917" s="293">
        <v>1.1318296555655083E-2</v>
      </c>
      <c r="F917" s="266">
        <f t="shared" si="48"/>
        <v>910</v>
      </c>
      <c r="G917" s="230">
        <f t="shared" ca="1" si="47"/>
        <v>5.0380662773145558E-3</v>
      </c>
    </row>
    <row r="918" spans="2:7" x14ac:dyDescent="0.25">
      <c r="B918" s="348" t="s">
        <v>1109</v>
      </c>
      <c r="C918" s="293">
        <v>293.57</v>
      </c>
      <c r="D918" s="230">
        <f t="shared" si="46"/>
        <v>-5.6227348169224367E-3</v>
      </c>
      <c r="E918" s="293">
        <v>1.1313174032565154E-2</v>
      </c>
      <c r="F918" s="266">
        <f t="shared" si="48"/>
        <v>911</v>
      </c>
      <c r="G918" s="230">
        <f t="shared" ca="1" si="47"/>
        <v>-1.2141380777022811E-2</v>
      </c>
    </row>
    <row r="919" spans="2:7" x14ac:dyDescent="0.25">
      <c r="B919" s="348" t="s">
        <v>1110</v>
      </c>
      <c r="C919" s="293">
        <v>295.23</v>
      </c>
      <c r="D919" s="230">
        <f t="shared" si="46"/>
        <v>-2.5339549969592978E-3</v>
      </c>
      <c r="E919" s="293">
        <v>1.1302325581395323E-2</v>
      </c>
      <c r="F919" s="266">
        <f t="shared" si="48"/>
        <v>912</v>
      </c>
      <c r="G919" s="230">
        <f t="shared" ca="1" si="47"/>
        <v>3.8036103467111185E-2</v>
      </c>
    </row>
    <row r="920" spans="2:7" x14ac:dyDescent="0.25">
      <c r="B920" s="348" t="s">
        <v>1111</v>
      </c>
      <c r="C920" s="293">
        <v>295.98</v>
      </c>
      <c r="D920" s="230">
        <f t="shared" si="46"/>
        <v>8.4536570520410415E-4</v>
      </c>
      <c r="E920" s="293">
        <v>1.128266033254155E-2</v>
      </c>
      <c r="F920" s="266">
        <f t="shared" si="48"/>
        <v>913</v>
      </c>
      <c r="G920" s="230">
        <f t="shared" ca="1" si="47"/>
        <v>9.4868375733526814E-4</v>
      </c>
    </row>
    <row r="921" spans="2:7" x14ac:dyDescent="0.25">
      <c r="B921" s="348" t="s">
        <v>1112</v>
      </c>
      <c r="C921" s="293">
        <v>295.73</v>
      </c>
      <c r="D921" s="230">
        <f t="shared" si="46"/>
        <v>1.693594824374145E-3</v>
      </c>
      <c r="E921" s="293">
        <v>1.1276681433749491E-2</v>
      </c>
      <c r="F921" s="266">
        <f t="shared" si="48"/>
        <v>914</v>
      </c>
      <c r="G921" s="230">
        <f t="shared" ca="1" si="47"/>
        <v>-1.902871071946282E-2</v>
      </c>
    </row>
    <row r="922" spans="2:7" x14ac:dyDescent="0.25">
      <c r="B922" s="348" t="s">
        <v>1113</v>
      </c>
      <c r="C922" s="293">
        <v>295.23</v>
      </c>
      <c r="D922" s="230">
        <f t="shared" si="46"/>
        <v>-1.4487431985846344E-2</v>
      </c>
      <c r="E922" s="293">
        <v>1.1233150274588155E-2</v>
      </c>
      <c r="F922" s="266">
        <f t="shared" si="48"/>
        <v>915</v>
      </c>
      <c r="G922" s="230">
        <f t="shared" ca="1" si="47"/>
        <v>2.4396583841612682E-2</v>
      </c>
    </row>
    <row r="923" spans="2:7" x14ac:dyDescent="0.25">
      <c r="B923" s="348" t="s">
        <v>1114</v>
      </c>
      <c r="C923" s="293">
        <v>299.57</v>
      </c>
      <c r="D923" s="230">
        <f t="shared" si="46"/>
        <v>2.5573433755563091E-2</v>
      </c>
      <c r="E923" s="293">
        <v>1.1232633757020327E-2</v>
      </c>
      <c r="F923" s="266">
        <f t="shared" si="48"/>
        <v>916</v>
      </c>
      <c r="G923" s="230">
        <f t="shared" ca="1" si="47"/>
        <v>6.9191559667247104E-3</v>
      </c>
    </row>
    <row r="924" spans="2:7" x14ac:dyDescent="0.25">
      <c r="B924" s="348" t="s">
        <v>1115</v>
      </c>
      <c r="C924" s="293">
        <v>292.10000000000002</v>
      </c>
      <c r="D924" s="230">
        <f t="shared" si="46"/>
        <v>2.8340080971659853E-2</v>
      </c>
      <c r="E924" s="293">
        <v>1.1228238849019689E-2</v>
      </c>
      <c r="F924" s="266">
        <f t="shared" si="48"/>
        <v>917</v>
      </c>
      <c r="G924" s="230">
        <f t="shared" ca="1" si="47"/>
        <v>-4.6235375547895308E-3</v>
      </c>
    </row>
    <row r="925" spans="2:7" x14ac:dyDescent="0.25">
      <c r="B925" s="348" t="s">
        <v>1116</v>
      </c>
      <c r="C925" s="293">
        <v>284.05</v>
      </c>
      <c r="D925" s="230">
        <f t="shared" si="46"/>
        <v>-9.9337748344369148E-3</v>
      </c>
      <c r="E925" s="293">
        <v>1.1218350463775284E-2</v>
      </c>
      <c r="F925" s="266">
        <f t="shared" si="48"/>
        <v>918</v>
      </c>
      <c r="G925" s="230">
        <f t="shared" ca="1" si="47"/>
        <v>2.5214546571764541E-3</v>
      </c>
    </row>
    <row r="926" spans="2:7" x14ac:dyDescent="0.25">
      <c r="B926" s="348" t="s">
        <v>1117</v>
      </c>
      <c r="C926" s="293">
        <v>286.89999999999998</v>
      </c>
      <c r="D926" s="230">
        <f t="shared" si="46"/>
        <v>-6.8540570479092011E-3</v>
      </c>
      <c r="E926" s="293">
        <v>1.1200995644057299E-2</v>
      </c>
      <c r="F926" s="266">
        <f t="shared" si="48"/>
        <v>919</v>
      </c>
      <c r="G926" s="230">
        <f t="shared" ca="1" si="47"/>
        <v>-8.6882880229162251E-3</v>
      </c>
    </row>
    <row r="927" spans="2:7" x14ac:dyDescent="0.25">
      <c r="B927" s="348" t="s">
        <v>1118</v>
      </c>
      <c r="C927" s="293">
        <v>288.88</v>
      </c>
      <c r="D927" s="230">
        <f t="shared" si="46"/>
        <v>3.2297273832262441E-3</v>
      </c>
      <c r="E927" s="293">
        <v>1.1197163385275655E-2</v>
      </c>
      <c r="F927" s="266">
        <f t="shared" si="48"/>
        <v>920</v>
      </c>
      <c r="G927" s="230">
        <f t="shared" ca="1" si="47"/>
        <v>1.7494661671088388E-2</v>
      </c>
    </row>
    <row r="928" spans="2:7" x14ac:dyDescent="0.25">
      <c r="B928" s="348" t="s">
        <v>1119</v>
      </c>
      <c r="C928" s="293">
        <v>287.95</v>
      </c>
      <c r="D928" s="230">
        <f t="shared" si="46"/>
        <v>2.5280398789389258E-2</v>
      </c>
      <c r="E928" s="293">
        <v>1.1197014129565419E-2</v>
      </c>
      <c r="F928" s="266">
        <f t="shared" si="48"/>
        <v>921</v>
      </c>
      <c r="G928" s="230">
        <f t="shared" ca="1" si="47"/>
        <v>-2.7288530241130496E-2</v>
      </c>
    </row>
    <row r="929" spans="2:7" x14ac:dyDescent="0.25">
      <c r="B929" s="348" t="s">
        <v>1120</v>
      </c>
      <c r="C929" s="293">
        <v>280.85000000000002</v>
      </c>
      <c r="D929" s="230">
        <f t="shared" si="46"/>
        <v>7.0190145943680227E-2</v>
      </c>
      <c r="E929" s="293">
        <v>1.1177559447529406E-2</v>
      </c>
      <c r="F929" s="266">
        <f t="shared" si="48"/>
        <v>922</v>
      </c>
      <c r="G929" s="230">
        <f t="shared" ca="1" si="47"/>
        <v>-1.8461265416898437E-2</v>
      </c>
    </row>
    <row r="930" spans="2:7" x14ac:dyDescent="0.25">
      <c r="B930" s="348" t="s">
        <v>1121</v>
      </c>
      <c r="C930" s="293">
        <v>262.43</v>
      </c>
      <c r="D930" s="230">
        <f t="shared" si="46"/>
        <v>-1.9016468261514596E-3</v>
      </c>
      <c r="E930" s="293">
        <v>1.1175750153092467E-2</v>
      </c>
      <c r="F930" s="266">
        <f t="shared" si="48"/>
        <v>923</v>
      </c>
      <c r="G930" s="230">
        <f t="shared" ca="1" si="47"/>
        <v>9.9410450803747823E-3</v>
      </c>
    </row>
    <row r="931" spans="2:7" x14ac:dyDescent="0.25">
      <c r="B931" s="348">
        <v>44537</v>
      </c>
      <c r="C931" s="293">
        <v>262.93</v>
      </c>
      <c r="D931" s="230">
        <f t="shared" si="46"/>
        <v>1.1411182959308874E-4</v>
      </c>
      <c r="E931" s="293">
        <v>1.1151891586674179E-2</v>
      </c>
      <c r="F931" s="266">
        <f t="shared" si="48"/>
        <v>924</v>
      </c>
      <c r="G931" s="230">
        <f t="shared" ca="1" si="47"/>
        <v>-1.2517040152931085E-2</v>
      </c>
    </row>
    <row r="932" spans="2:7" x14ac:dyDescent="0.25">
      <c r="B932" s="348">
        <v>44446</v>
      </c>
      <c r="C932" s="293">
        <v>262.89999999999998</v>
      </c>
      <c r="D932" s="230">
        <f t="shared" si="46"/>
        <v>-9.7928436911488559E-3</v>
      </c>
      <c r="E932" s="293">
        <v>1.1138895203455235E-2</v>
      </c>
      <c r="F932" s="266">
        <f t="shared" si="48"/>
        <v>925</v>
      </c>
      <c r="G932" s="230">
        <f t="shared" ca="1" si="47"/>
        <v>1.2305981391386084E-2</v>
      </c>
    </row>
    <row r="933" spans="2:7" x14ac:dyDescent="0.25">
      <c r="B933" s="348">
        <v>44415</v>
      </c>
      <c r="C933" s="293">
        <v>265.5</v>
      </c>
      <c r="D933" s="230">
        <f t="shared" si="46"/>
        <v>-2.1422933814408962E-3</v>
      </c>
      <c r="E933" s="293">
        <v>1.1133810010214296E-2</v>
      </c>
      <c r="F933" s="266">
        <f t="shared" si="48"/>
        <v>926</v>
      </c>
      <c r="G933" s="230">
        <f t="shared" ca="1" si="47"/>
        <v>-3.81679094572367E-3</v>
      </c>
    </row>
    <row r="934" spans="2:7" x14ac:dyDescent="0.25">
      <c r="B934" s="348">
        <v>44384</v>
      </c>
      <c r="C934" s="293">
        <v>266.07</v>
      </c>
      <c r="D934" s="230">
        <f t="shared" si="46"/>
        <v>-8.6368757040933275E-4</v>
      </c>
      <c r="E934" s="293">
        <v>1.1089206505667804E-2</v>
      </c>
      <c r="F934" s="266">
        <f t="shared" si="48"/>
        <v>927</v>
      </c>
      <c r="G934" s="230">
        <f t="shared" ca="1" si="47"/>
        <v>-6.0400595264821638E-3</v>
      </c>
    </row>
    <row r="935" spans="2:7" x14ac:dyDescent="0.25">
      <c r="B935" s="348">
        <v>44354</v>
      </c>
      <c r="C935" s="293">
        <v>266.3</v>
      </c>
      <c r="D935" s="230">
        <f t="shared" si="46"/>
        <v>-7.0102170184204171E-3</v>
      </c>
      <c r="E935" s="293">
        <v>1.1078042328042326E-2</v>
      </c>
      <c r="F935" s="266">
        <f t="shared" si="48"/>
        <v>928</v>
      </c>
      <c r="G935" s="230">
        <f t="shared" ca="1" si="47"/>
        <v>1.5427888421798814E-2</v>
      </c>
    </row>
    <row r="936" spans="2:7" x14ac:dyDescent="0.25">
      <c r="B936" s="348">
        <v>44323</v>
      </c>
      <c r="C936" s="293">
        <v>268.18</v>
      </c>
      <c r="D936" s="230">
        <f t="shared" si="46"/>
        <v>-4.1589305607129257E-3</v>
      </c>
      <c r="E936" s="293">
        <v>1.1064666830587599E-2</v>
      </c>
      <c r="F936" s="266">
        <f t="shared" si="48"/>
        <v>929</v>
      </c>
      <c r="G936" s="230">
        <f t="shared" ca="1" si="47"/>
        <v>-5.7820227582813036E-3</v>
      </c>
    </row>
    <row r="937" spans="2:7" x14ac:dyDescent="0.25">
      <c r="B937" s="348">
        <v>44234</v>
      </c>
      <c r="C937" s="293">
        <v>269.3</v>
      </c>
      <c r="D937" s="230">
        <f t="shared" si="46"/>
        <v>-1.4090774250964389E-3</v>
      </c>
      <c r="E937" s="293">
        <v>1.1062853396705652E-2</v>
      </c>
      <c r="F937" s="266">
        <f t="shared" si="48"/>
        <v>930</v>
      </c>
      <c r="G937" s="230">
        <f t="shared" ca="1" si="47"/>
        <v>-8.0064772842191479E-3</v>
      </c>
    </row>
    <row r="938" spans="2:7" x14ac:dyDescent="0.25">
      <c r="B938" s="348">
        <v>44203</v>
      </c>
      <c r="C938" s="293">
        <v>269.68</v>
      </c>
      <c r="D938" s="230">
        <f t="shared" si="46"/>
        <v>-1.1509420130488945E-2</v>
      </c>
      <c r="E938" s="293">
        <v>1.1023314798556116E-2</v>
      </c>
      <c r="F938" s="266">
        <f t="shared" si="48"/>
        <v>931</v>
      </c>
      <c r="G938" s="230">
        <f t="shared" ca="1" si="47"/>
        <v>1.0936133452658427E-2</v>
      </c>
    </row>
    <row r="939" spans="2:7" x14ac:dyDescent="0.25">
      <c r="B939" s="348" t="s">
        <v>1122</v>
      </c>
      <c r="C939" s="293">
        <v>272.82</v>
      </c>
      <c r="D939" s="230">
        <f t="shared" si="46"/>
        <v>5.6026538886839727E-3</v>
      </c>
      <c r="E939" s="293">
        <v>1.1008366358432387E-2</v>
      </c>
      <c r="F939" s="266">
        <f t="shared" si="48"/>
        <v>932</v>
      </c>
      <c r="G939" s="230">
        <f t="shared" ca="1" si="47"/>
        <v>-9.3045225527907671E-3</v>
      </c>
    </row>
    <row r="940" spans="2:7" x14ac:dyDescent="0.25">
      <c r="B940" s="348" t="s">
        <v>1123</v>
      </c>
      <c r="C940" s="293">
        <v>271.3</v>
      </c>
      <c r="D940" s="230">
        <f t="shared" si="46"/>
        <v>-8.7687248812567953E-3</v>
      </c>
      <c r="E940" s="293">
        <v>1.1004401760704274E-2</v>
      </c>
      <c r="F940" s="266">
        <f t="shared" si="48"/>
        <v>933</v>
      </c>
      <c r="G940" s="230">
        <f t="shared" ca="1" si="47"/>
        <v>-7.0267886925007364E-2</v>
      </c>
    </row>
    <row r="941" spans="2:7" x14ac:dyDescent="0.25">
      <c r="B941" s="348" t="s">
        <v>1124</v>
      </c>
      <c r="C941" s="293">
        <v>273.7</v>
      </c>
      <c r="D941" s="230">
        <f t="shared" si="46"/>
        <v>-1.8264840182657949E-4</v>
      </c>
      <c r="E941" s="293">
        <v>1.0985238585650592E-2</v>
      </c>
      <c r="F941" s="266">
        <f t="shared" si="48"/>
        <v>934</v>
      </c>
      <c r="G941" s="230">
        <f t="shared" ca="1" si="47"/>
        <v>4.8082794344956313E-5</v>
      </c>
    </row>
    <row r="942" spans="2:7" x14ac:dyDescent="0.25">
      <c r="B942" s="348" t="s">
        <v>1125</v>
      </c>
      <c r="C942" s="293">
        <v>273.75</v>
      </c>
      <c r="D942" s="230">
        <f t="shared" si="46"/>
        <v>-2.8048958181552397E-3</v>
      </c>
      <c r="E942" s="293">
        <v>1.096282173498575E-2</v>
      </c>
      <c r="F942" s="266">
        <f t="shared" si="48"/>
        <v>935</v>
      </c>
      <c r="G942" s="230">
        <f t="shared" ca="1" si="47"/>
        <v>-6.5863616241839491E-4</v>
      </c>
    </row>
    <row r="943" spans="2:7" x14ac:dyDescent="0.25">
      <c r="B943" s="348" t="s">
        <v>1126</v>
      </c>
      <c r="C943" s="293">
        <v>274.52</v>
      </c>
      <c r="D943" s="230">
        <f t="shared" si="46"/>
        <v>1.6477209612322685E-2</v>
      </c>
      <c r="E943" s="293">
        <v>1.094075044302345E-2</v>
      </c>
      <c r="F943" s="266">
        <f t="shared" si="48"/>
        <v>936</v>
      </c>
      <c r="G943" s="230">
        <f t="shared" ca="1" si="47"/>
        <v>-5.2001070992371999E-3</v>
      </c>
    </row>
    <row r="944" spans="2:7" x14ac:dyDescent="0.25">
      <c r="B944" s="348" t="s">
        <v>1127</v>
      </c>
      <c r="C944" s="293">
        <v>270.07</v>
      </c>
      <c r="D944" s="230">
        <f t="shared" si="46"/>
        <v>-2.9467783088367394E-2</v>
      </c>
      <c r="E944" s="293">
        <v>1.0936895083236697E-2</v>
      </c>
      <c r="F944" s="266">
        <f t="shared" si="48"/>
        <v>937</v>
      </c>
      <c r="G944" s="230">
        <f t="shared" ca="1" si="47"/>
        <v>1.2376421027104874E-2</v>
      </c>
    </row>
    <row r="945" spans="2:7" x14ac:dyDescent="0.25">
      <c r="B945" s="348" t="s">
        <v>1128</v>
      </c>
      <c r="C945" s="293">
        <v>278.27</v>
      </c>
      <c r="D945" s="230">
        <f t="shared" si="46"/>
        <v>2.656140480318725E-2</v>
      </c>
      <c r="E945" s="293">
        <v>1.0934083099031655E-2</v>
      </c>
      <c r="F945" s="266">
        <f t="shared" si="48"/>
        <v>938</v>
      </c>
      <c r="G945" s="230">
        <f t="shared" ca="1" si="47"/>
        <v>2.7266353361976303E-2</v>
      </c>
    </row>
    <row r="946" spans="2:7" x14ac:dyDescent="0.25">
      <c r="B946" s="348" t="s">
        <v>1129</v>
      </c>
      <c r="C946" s="293">
        <v>271.07</v>
      </c>
      <c r="D946" s="230">
        <f t="shared" si="46"/>
        <v>-1.393233903237534E-2</v>
      </c>
      <c r="E946" s="293">
        <v>1.0929417653929629E-2</v>
      </c>
      <c r="F946" s="266">
        <f t="shared" si="48"/>
        <v>939</v>
      </c>
      <c r="G946" s="230">
        <f t="shared" ca="1" si="47"/>
        <v>-1.3753942166984277E-2</v>
      </c>
    </row>
    <row r="947" spans="2:7" x14ac:dyDescent="0.25">
      <c r="B947" s="348" t="s">
        <v>1130</v>
      </c>
      <c r="C947" s="293">
        <v>274.89999999999998</v>
      </c>
      <c r="D947" s="230">
        <f t="shared" si="46"/>
        <v>-1.5929837121890222E-2</v>
      </c>
      <c r="E947" s="293">
        <v>1.091992058239577E-2</v>
      </c>
      <c r="F947" s="266">
        <f t="shared" si="48"/>
        <v>940</v>
      </c>
      <c r="G947" s="230">
        <f t="shared" ca="1" si="47"/>
        <v>-5.5265632705484898E-3</v>
      </c>
    </row>
    <row r="948" spans="2:7" x14ac:dyDescent="0.25">
      <c r="B948" s="348" t="s">
        <v>1131</v>
      </c>
      <c r="C948" s="293">
        <v>279.35000000000002</v>
      </c>
      <c r="D948" s="230">
        <f t="shared" si="46"/>
        <v>6.2315395144443286E-3</v>
      </c>
      <c r="E948" s="293">
        <v>1.0875882108758894E-2</v>
      </c>
      <c r="F948" s="266">
        <f t="shared" si="48"/>
        <v>941</v>
      </c>
      <c r="G948" s="230">
        <f t="shared" ca="1" si="47"/>
        <v>7.7821392502783878E-3</v>
      </c>
    </row>
    <row r="949" spans="2:7" x14ac:dyDescent="0.25">
      <c r="B949" s="348" t="s">
        <v>1132</v>
      </c>
      <c r="C949" s="293">
        <v>277.62</v>
      </c>
      <c r="D949" s="230">
        <f t="shared" si="46"/>
        <v>-4.7678795483060421E-3</v>
      </c>
      <c r="E949" s="293">
        <v>1.0839105377253855E-2</v>
      </c>
      <c r="F949" s="266">
        <f t="shared" si="48"/>
        <v>942</v>
      </c>
      <c r="G949" s="230">
        <f t="shared" ca="1" si="47"/>
        <v>-3.9405183205214345E-3</v>
      </c>
    </row>
    <row r="950" spans="2:7" x14ac:dyDescent="0.25">
      <c r="B950" s="348" t="s">
        <v>1133</v>
      </c>
      <c r="C950" s="293">
        <v>278.95</v>
      </c>
      <c r="D950" s="230">
        <f t="shared" si="46"/>
        <v>-6.5883190883191389E-3</v>
      </c>
      <c r="E950" s="293">
        <v>1.0823016429183152E-2</v>
      </c>
      <c r="F950" s="266">
        <f t="shared" si="48"/>
        <v>943</v>
      </c>
      <c r="G950" s="230">
        <f t="shared" ca="1" si="47"/>
        <v>-1.5567600031590122E-2</v>
      </c>
    </row>
    <row r="951" spans="2:7" x14ac:dyDescent="0.25">
      <c r="B951" s="348" t="s">
        <v>1134</v>
      </c>
      <c r="C951" s="293">
        <v>280.8</v>
      </c>
      <c r="D951" s="230">
        <f t="shared" si="46"/>
        <v>1.3169763665884959E-2</v>
      </c>
      <c r="E951" s="293">
        <v>1.0819475055099392E-2</v>
      </c>
      <c r="F951" s="266">
        <f t="shared" si="48"/>
        <v>944</v>
      </c>
      <c r="G951" s="230">
        <f t="shared" ca="1" si="47"/>
        <v>1.665117718942135E-2</v>
      </c>
    </row>
    <row r="952" spans="2:7" x14ac:dyDescent="0.25">
      <c r="B952" s="348">
        <v>44506</v>
      </c>
      <c r="C952" s="293">
        <v>277.14999999999998</v>
      </c>
      <c r="D952" s="230">
        <f t="shared" si="46"/>
        <v>1.0825635103905995E-4</v>
      </c>
      <c r="E952" s="293">
        <v>1.0799865001687392E-2</v>
      </c>
      <c r="F952" s="266">
        <f t="shared" si="48"/>
        <v>945</v>
      </c>
      <c r="G952" s="230">
        <f t="shared" ca="1" si="47"/>
        <v>-1.1688297605353476E-2</v>
      </c>
    </row>
    <row r="953" spans="2:7" x14ac:dyDescent="0.25">
      <c r="B953" s="348">
        <v>44475</v>
      </c>
      <c r="C953" s="293">
        <v>277.12</v>
      </c>
      <c r="D953" s="230">
        <f t="shared" si="46"/>
        <v>1.8449099595736707E-2</v>
      </c>
      <c r="E953" s="293">
        <v>1.0799766491535356E-2</v>
      </c>
      <c r="F953" s="266">
        <f t="shared" si="48"/>
        <v>946</v>
      </c>
      <c r="G953" s="230">
        <f t="shared" ca="1" si="47"/>
        <v>-1.5970174371683986E-2</v>
      </c>
    </row>
    <row r="954" spans="2:7" x14ac:dyDescent="0.25">
      <c r="B954" s="348">
        <v>44445</v>
      </c>
      <c r="C954" s="293">
        <v>272.10000000000002</v>
      </c>
      <c r="D954" s="230">
        <f t="shared" si="46"/>
        <v>-1.1623683254631256E-2</v>
      </c>
      <c r="E954" s="293">
        <v>1.0796354992076207E-2</v>
      </c>
      <c r="F954" s="266">
        <f t="shared" si="48"/>
        <v>947</v>
      </c>
      <c r="G954" s="230">
        <f t="shared" ca="1" si="47"/>
        <v>-1.2732357636524638E-2</v>
      </c>
    </row>
    <row r="955" spans="2:7" x14ac:dyDescent="0.25">
      <c r="B955" s="348">
        <v>44414</v>
      </c>
      <c r="C955" s="293">
        <v>275.3</v>
      </c>
      <c r="D955" s="230">
        <f t="shared" si="46"/>
        <v>4.3046840799649821E-3</v>
      </c>
      <c r="E955" s="293">
        <v>1.0791366906474753E-2</v>
      </c>
      <c r="F955" s="266">
        <f t="shared" si="48"/>
        <v>948</v>
      </c>
      <c r="G955" s="230">
        <f t="shared" ca="1" si="47"/>
        <v>5.8278342631916686E-3</v>
      </c>
    </row>
    <row r="956" spans="2:7" x14ac:dyDescent="0.25">
      <c r="B956" s="348">
        <v>44383</v>
      </c>
      <c r="C956" s="293">
        <v>274.12</v>
      </c>
      <c r="D956" s="230">
        <f t="shared" si="46"/>
        <v>1.3008130081300751E-2</v>
      </c>
      <c r="E956" s="293">
        <v>1.0786994834397046E-2</v>
      </c>
      <c r="F956" s="266">
        <f t="shared" si="48"/>
        <v>949</v>
      </c>
      <c r="G956" s="230">
        <f t="shared" ca="1" si="47"/>
        <v>-5.6572518393045003E-3</v>
      </c>
    </row>
    <row r="957" spans="2:7" x14ac:dyDescent="0.25">
      <c r="B957" s="348">
        <v>44292</v>
      </c>
      <c r="C957" s="293">
        <v>270.60000000000002</v>
      </c>
      <c r="D957" s="230">
        <f t="shared" si="46"/>
        <v>4.0071237756011957E-3</v>
      </c>
      <c r="E957" s="293">
        <v>1.0778128286014876E-2</v>
      </c>
      <c r="F957" s="266">
        <f t="shared" si="48"/>
        <v>950</v>
      </c>
      <c r="G957" s="230">
        <f t="shared" ca="1" si="47"/>
        <v>4.1197920480625073E-2</v>
      </c>
    </row>
    <row r="958" spans="2:7" x14ac:dyDescent="0.25">
      <c r="B958" s="348">
        <v>44261</v>
      </c>
      <c r="C958" s="293">
        <v>269.52</v>
      </c>
      <c r="D958" s="230">
        <f t="shared" si="46"/>
        <v>-7.292817679558028E-3</v>
      </c>
      <c r="E958" s="293">
        <v>1.0766246362754694E-2</v>
      </c>
      <c r="F958" s="266">
        <f t="shared" si="48"/>
        <v>951</v>
      </c>
      <c r="G958" s="230">
        <f t="shared" ca="1" si="47"/>
        <v>-7.4667135371720497E-3</v>
      </c>
    </row>
    <row r="959" spans="2:7" x14ac:dyDescent="0.25">
      <c r="B959" s="348">
        <v>44233</v>
      </c>
      <c r="C959" s="293">
        <v>271.5</v>
      </c>
      <c r="D959" s="230">
        <f t="shared" si="46"/>
        <v>3.6845983787769931E-4</v>
      </c>
      <c r="E959" s="293">
        <v>1.075917546505778E-2</v>
      </c>
      <c r="F959" s="266">
        <f t="shared" si="48"/>
        <v>952</v>
      </c>
      <c r="G959" s="230">
        <f t="shared" ca="1" si="47"/>
        <v>7.946509736742078E-3</v>
      </c>
    </row>
    <row r="960" spans="2:7" x14ac:dyDescent="0.25">
      <c r="B960" s="348">
        <v>44202</v>
      </c>
      <c r="C960" s="293">
        <v>271.39999999999998</v>
      </c>
      <c r="D960" s="230">
        <f t="shared" si="46"/>
        <v>6.97536360937967E-3</v>
      </c>
      <c r="E960" s="293">
        <v>1.0747735298633598E-2</v>
      </c>
      <c r="F960" s="266">
        <f t="shared" si="48"/>
        <v>953</v>
      </c>
      <c r="G960" s="230">
        <f t="shared" ca="1" si="47"/>
        <v>-1.3765852414138151E-2</v>
      </c>
    </row>
    <row r="961" spans="2:7" x14ac:dyDescent="0.25">
      <c r="B961" s="348" t="s">
        <v>1135</v>
      </c>
      <c r="C961" s="293">
        <v>269.52</v>
      </c>
      <c r="D961" s="230">
        <f t="shared" si="46"/>
        <v>6.3114906255790082E-4</v>
      </c>
      <c r="E961" s="293">
        <v>1.0710528832361232E-2</v>
      </c>
      <c r="F961" s="266">
        <f t="shared" si="48"/>
        <v>954</v>
      </c>
      <c r="G961" s="230">
        <f t="shared" ca="1" si="47"/>
        <v>-6.8430008620229124E-3</v>
      </c>
    </row>
    <row r="962" spans="2:7" x14ac:dyDescent="0.25">
      <c r="B962" s="348" t="s">
        <v>1136</v>
      </c>
      <c r="C962" s="293">
        <v>269.35000000000002</v>
      </c>
      <c r="D962" s="230">
        <f t="shared" si="46"/>
        <v>-4.0672952486595637E-3</v>
      </c>
      <c r="E962" s="293">
        <v>1.0690840887777497E-2</v>
      </c>
      <c r="F962" s="266">
        <f t="shared" si="48"/>
        <v>955</v>
      </c>
      <c r="G962" s="230">
        <f t="shared" ca="1" si="47"/>
        <v>1.8470533279174819E-2</v>
      </c>
    </row>
    <row r="963" spans="2:7" x14ac:dyDescent="0.25">
      <c r="B963" s="348" t="s">
        <v>1137</v>
      </c>
      <c r="C963" s="293">
        <v>270.45</v>
      </c>
      <c r="D963" s="230">
        <f t="shared" si="46"/>
        <v>2.5908504665806742E-2</v>
      </c>
      <c r="E963" s="293">
        <v>1.0684077756343724E-2</v>
      </c>
      <c r="F963" s="266">
        <f t="shared" si="48"/>
        <v>956</v>
      </c>
      <c r="G963" s="230">
        <f t="shared" ca="1" si="47"/>
        <v>-1.5725231424478792E-2</v>
      </c>
    </row>
    <row r="964" spans="2:7" x14ac:dyDescent="0.25">
      <c r="B964" s="348" t="s">
        <v>1138</v>
      </c>
      <c r="C964" s="293">
        <v>263.62</v>
      </c>
      <c r="D964" s="230">
        <f t="shared" si="46"/>
        <v>1.8742512656026777E-2</v>
      </c>
      <c r="E964" s="293">
        <v>1.0659593634270825E-2</v>
      </c>
      <c r="F964" s="266">
        <f t="shared" si="48"/>
        <v>957</v>
      </c>
      <c r="G964" s="230">
        <f t="shared" ca="1" si="47"/>
        <v>-1.3230590324028905E-2</v>
      </c>
    </row>
    <row r="965" spans="2:7" x14ac:dyDescent="0.25">
      <c r="B965" s="348" t="s">
        <v>1139</v>
      </c>
      <c r="C965" s="293">
        <v>258.77</v>
      </c>
      <c r="D965" s="230">
        <f t="shared" si="46"/>
        <v>5.1272091668284059E-3</v>
      </c>
      <c r="E965" s="293">
        <v>1.0648754914809988E-2</v>
      </c>
      <c r="F965" s="266">
        <f t="shared" si="48"/>
        <v>958</v>
      </c>
      <c r="G965" s="230">
        <f t="shared" ca="1" si="47"/>
        <v>-3.6530625251921661E-3</v>
      </c>
    </row>
    <row r="966" spans="2:7" x14ac:dyDescent="0.25">
      <c r="B966" s="348" t="s">
        <v>1140</v>
      </c>
      <c r="C966" s="293">
        <v>257.45</v>
      </c>
      <c r="D966" s="230">
        <f t="shared" si="46"/>
        <v>4.2910083869707183E-3</v>
      </c>
      <c r="E966" s="293">
        <v>1.0648701510377112E-2</v>
      </c>
      <c r="F966" s="266">
        <f t="shared" si="48"/>
        <v>959</v>
      </c>
      <c r="G966" s="230">
        <f t="shared" ca="1" si="47"/>
        <v>2.3402670962057726E-2</v>
      </c>
    </row>
    <row r="967" spans="2:7" x14ac:dyDescent="0.25">
      <c r="B967" s="348" t="s">
        <v>1141</v>
      </c>
      <c r="C967" s="293">
        <v>256.35000000000002</v>
      </c>
      <c r="D967" s="230">
        <f t="shared" si="46"/>
        <v>8.775381709428709E-3</v>
      </c>
      <c r="E967" s="293">
        <v>1.0637305216012027E-2</v>
      </c>
      <c r="F967" s="266">
        <f t="shared" si="48"/>
        <v>960</v>
      </c>
      <c r="G967" s="230">
        <f t="shared" ca="1" si="47"/>
        <v>-5.4341825708400333E-4</v>
      </c>
    </row>
    <row r="968" spans="2:7" x14ac:dyDescent="0.25">
      <c r="B968" s="348" t="s">
        <v>1142</v>
      </c>
      <c r="C968" s="293">
        <v>254.12</v>
      </c>
      <c r="D968" s="230">
        <f t="shared" si="46"/>
        <v>-6.6452974747869265E-3</v>
      </c>
      <c r="E968" s="293">
        <v>1.0633336442495978E-2</v>
      </c>
      <c r="F968" s="266">
        <f t="shared" si="48"/>
        <v>961</v>
      </c>
      <c r="G968" s="230">
        <f t="shared" ca="1" si="47"/>
        <v>2.6047794444901858E-2</v>
      </c>
    </row>
    <row r="969" spans="2:7" x14ac:dyDescent="0.25">
      <c r="B969" s="348" t="s">
        <v>1143</v>
      </c>
      <c r="C969" s="293">
        <v>255.82</v>
      </c>
      <c r="D969" s="230">
        <f t="shared" ref="D969:D1032" si="49">C969/C970-1</f>
        <v>7.0464118411210919E-3</v>
      </c>
      <c r="E969" s="293">
        <v>1.0630361805296307E-2</v>
      </c>
      <c r="F969" s="266">
        <f t="shared" si="48"/>
        <v>962</v>
      </c>
      <c r="G969" s="230">
        <f t="shared" ref="G969:G1032" ca="1" si="50">_xlfn.NORM.INV(RAND(),$M$10,$M$11)</f>
        <v>-1.5256815189227496E-2</v>
      </c>
    </row>
    <row r="970" spans="2:7" x14ac:dyDescent="0.25">
      <c r="B970" s="348" t="s">
        <v>1144</v>
      </c>
      <c r="C970" s="293">
        <v>254.03</v>
      </c>
      <c r="D970" s="230">
        <f t="shared" si="49"/>
        <v>1.6526610644257644E-2</v>
      </c>
      <c r="E970" s="293">
        <v>1.0620300751879697E-2</v>
      </c>
      <c r="F970" s="266">
        <f t="shared" ref="F970:F1033" si="51">F969+1</f>
        <v>963</v>
      </c>
      <c r="G970" s="230">
        <f t="shared" ca="1" si="50"/>
        <v>4.6616529746148303E-3</v>
      </c>
    </row>
    <row r="971" spans="2:7" x14ac:dyDescent="0.25">
      <c r="B971" s="348" t="s">
        <v>1145</v>
      </c>
      <c r="C971" s="293">
        <v>249.9</v>
      </c>
      <c r="D971" s="230">
        <f t="shared" si="49"/>
        <v>2.7285129604366354E-3</v>
      </c>
      <c r="E971" s="293">
        <v>1.0617616270375274E-2</v>
      </c>
      <c r="F971" s="266">
        <f t="shared" si="51"/>
        <v>964</v>
      </c>
      <c r="G971" s="230">
        <f t="shared" ca="1" si="50"/>
        <v>7.87577529820686E-3</v>
      </c>
    </row>
    <row r="972" spans="2:7" x14ac:dyDescent="0.25">
      <c r="B972" s="348" t="s">
        <v>1146</v>
      </c>
      <c r="C972" s="293">
        <v>249.22</v>
      </c>
      <c r="D972" s="230">
        <f t="shared" si="49"/>
        <v>-1.8045705279747914E-2</v>
      </c>
      <c r="E972" s="293">
        <v>1.0613639136269448E-2</v>
      </c>
      <c r="F972" s="266">
        <f t="shared" si="51"/>
        <v>965</v>
      </c>
      <c r="G972" s="230">
        <f t="shared" ca="1" si="50"/>
        <v>5.4740453193656167E-3</v>
      </c>
    </row>
    <row r="973" spans="2:7" x14ac:dyDescent="0.25">
      <c r="B973" s="348">
        <v>44535</v>
      </c>
      <c r="C973" s="293">
        <v>253.8</v>
      </c>
      <c r="D973" s="230">
        <f t="shared" si="49"/>
        <v>-2.0833333333333259E-2</v>
      </c>
      <c r="E973" s="293">
        <v>1.0601949552808687E-2</v>
      </c>
      <c r="F973" s="266">
        <f t="shared" si="51"/>
        <v>966</v>
      </c>
      <c r="G973" s="230">
        <f t="shared" ca="1" si="50"/>
        <v>-1.9724059784412321E-3</v>
      </c>
    </row>
    <row r="974" spans="2:7" x14ac:dyDescent="0.25">
      <c r="B974" s="348">
        <v>44505</v>
      </c>
      <c r="C974" s="293">
        <v>259.2</v>
      </c>
      <c r="D974" s="230">
        <f t="shared" si="49"/>
        <v>-1.4373716632443689E-2</v>
      </c>
      <c r="E974" s="293">
        <v>1.0590440487347585E-2</v>
      </c>
      <c r="F974" s="266">
        <f t="shared" si="51"/>
        <v>967</v>
      </c>
      <c r="G974" s="230">
        <f t="shared" ca="1" si="50"/>
        <v>4.6961922643894524E-2</v>
      </c>
    </row>
    <row r="975" spans="2:7" x14ac:dyDescent="0.25">
      <c r="B975" s="348">
        <v>44474</v>
      </c>
      <c r="C975" s="293">
        <v>262.98</v>
      </c>
      <c r="D975" s="230">
        <f t="shared" si="49"/>
        <v>2.0805838056051629E-2</v>
      </c>
      <c r="E975" s="293">
        <v>1.0589738908161284E-2</v>
      </c>
      <c r="F975" s="266">
        <f t="shared" si="51"/>
        <v>968</v>
      </c>
      <c r="G975" s="230">
        <f t="shared" ca="1" si="50"/>
        <v>-4.4951445808987037E-3</v>
      </c>
    </row>
    <row r="976" spans="2:7" x14ac:dyDescent="0.25">
      <c r="B976" s="348">
        <v>44382</v>
      </c>
      <c r="C976" s="293">
        <v>257.62</v>
      </c>
      <c r="D976" s="230">
        <f t="shared" si="49"/>
        <v>5.7388249072809483E-3</v>
      </c>
      <c r="E976" s="293">
        <v>1.0556717458420461E-2</v>
      </c>
      <c r="F976" s="266">
        <f t="shared" si="51"/>
        <v>969</v>
      </c>
      <c r="G976" s="230">
        <f t="shared" ca="1" si="50"/>
        <v>9.2375463556937584E-3</v>
      </c>
    </row>
    <row r="977" spans="2:7" x14ac:dyDescent="0.25">
      <c r="B977" s="348">
        <v>44352</v>
      </c>
      <c r="C977" s="293">
        <v>256.14999999999998</v>
      </c>
      <c r="D977" s="230">
        <f t="shared" si="49"/>
        <v>4.4231553200162921E-2</v>
      </c>
      <c r="E977" s="293">
        <v>1.0547706599574269E-2</v>
      </c>
      <c r="F977" s="266">
        <f t="shared" si="51"/>
        <v>970</v>
      </c>
      <c r="G977" s="230">
        <f t="shared" ca="1" si="50"/>
        <v>-1.282691402038251E-2</v>
      </c>
    </row>
    <row r="978" spans="2:7" x14ac:dyDescent="0.25">
      <c r="B978" s="348">
        <v>44321</v>
      </c>
      <c r="C978" s="293">
        <v>245.3</v>
      </c>
      <c r="D978" s="230">
        <f t="shared" si="49"/>
        <v>1.7969041789434481E-2</v>
      </c>
      <c r="E978" s="293">
        <v>1.0533586599896561E-2</v>
      </c>
      <c r="F978" s="266">
        <f t="shared" si="51"/>
        <v>971</v>
      </c>
      <c r="G978" s="230">
        <f t="shared" ca="1" si="50"/>
        <v>1.0523029910619985E-3</v>
      </c>
    </row>
    <row r="979" spans="2:7" x14ac:dyDescent="0.25">
      <c r="B979" s="348">
        <v>44291</v>
      </c>
      <c r="C979" s="293">
        <v>240.97</v>
      </c>
      <c r="D979" s="230">
        <f t="shared" si="49"/>
        <v>-1.1121142481943513E-2</v>
      </c>
      <c r="E979" s="293">
        <v>1.0531264692054565E-2</v>
      </c>
      <c r="F979" s="266">
        <f t="shared" si="51"/>
        <v>972</v>
      </c>
      <c r="G979" s="230">
        <f t="shared" ca="1" si="50"/>
        <v>1.3309921443972901E-2</v>
      </c>
    </row>
    <row r="980" spans="2:7" x14ac:dyDescent="0.25">
      <c r="B980" s="348">
        <v>44260</v>
      </c>
      <c r="C980" s="293">
        <v>243.68</v>
      </c>
      <c r="D980" s="230">
        <f t="shared" si="49"/>
        <v>-1.0958681711177864E-2</v>
      </c>
      <c r="E980" s="293">
        <v>1.0529654297494417E-2</v>
      </c>
      <c r="F980" s="266">
        <f t="shared" si="51"/>
        <v>973</v>
      </c>
      <c r="G980" s="230">
        <f t="shared" ca="1" si="50"/>
        <v>-2.746456187868318E-2</v>
      </c>
    </row>
    <row r="981" spans="2:7" x14ac:dyDescent="0.25">
      <c r="B981" s="348" t="s">
        <v>1147</v>
      </c>
      <c r="C981" s="293">
        <v>246.38</v>
      </c>
      <c r="D981" s="230">
        <f t="shared" si="49"/>
        <v>5.9200587923080583E-3</v>
      </c>
      <c r="E981" s="293">
        <v>1.0526315789473717E-2</v>
      </c>
      <c r="F981" s="266">
        <f t="shared" si="51"/>
        <v>974</v>
      </c>
      <c r="G981" s="230">
        <f t="shared" ca="1" si="50"/>
        <v>-6.1950785358597634E-3</v>
      </c>
    </row>
    <row r="982" spans="2:7" x14ac:dyDescent="0.25">
      <c r="B982" s="348" t="s">
        <v>1148</v>
      </c>
      <c r="C982" s="293">
        <v>244.93</v>
      </c>
      <c r="D982" s="230">
        <f t="shared" si="49"/>
        <v>1.1444921316166035E-3</v>
      </c>
      <c r="E982" s="293">
        <v>1.0523657181343626E-2</v>
      </c>
      <c r="F982" s="266">
        <f t="shared" si="51"/>
        <v>975</v>
      </c>
      <c r="G982" s="230">
        <f t="shared" ca="1" si="50"/>
        <v>-1.5020167499096246E-2</v>
      </c>
    </row>
    <row r="983" spans="2:7" x14ac:dyDescent="0.25">
      <c r="B983" s="348" t="s">
        <v>1149</v>
      </c>
      <c r="C983" s="293">
        <v>244.65</v>
      </c>
      <c r="D983" s="230">
        <f t="shared" si="49"/>
        <v>8.7411866573208208E-3</v>
      </c>
      <c r="E983" s="293">
        <v>1.0513565891472787E-2</v>
      </c>
      <c r="F983" s="266">
        <f t="shared" si="51"/>
        <v>976</v>
      </c>
      <c r="G983" s="230">
        <f t="shared" ca="1" si="50"/>
        <v>-9.7010495706372161E-3</v>
      </c>
    </row>
    <row r="984" spans="2:7" x14ac:dyDescent="0.25">
      <c r="B984" s="348" t="s">
        <v>1150</v>
      </c>
      <c r="C984" s="293">
        <v>242.53</v>
      </c>
      <c r="D984" s="230">
        <f t="shared" si="49"/>
        <v>9.9104726212784211E-3</v>
      </c>
      <c r="E984" s="293">
        <v>1.0493516015213311E-2</v>
      </c>
      <c r="F984" s="266">
        <f t="shared" si="51"/>
        <v>977</v>
      </c>
      <c r="G984" s="230">
        <f t="shared" ca="1" si="50"/>
        <v>-2.9988948973205492E-3</v>
      </c>
    </row>
    <row r="985" spans="2:7" x14ac:dyDescent="0.25">
      <c r="B985" s="348" t="s">
        <v>1151</v>
      </c>
      <c r="C985" s="293">
        <v>240.15</v>
      </c>
      <c r="D985" s="230">
        <f t="shared" si="49"/>
        <v>9.6699600588607826E-3</v>
      </c>
      <c r="E985" s="293">
        <v>1.0481686491579323E-2</v>
      </c>
      <c r="F985" s="266">
        <f t="shared" si="51"/>
        <v>978</v>
      </c>
      <c r="G985" s="230">
        <f t="shared" ca="1" si="50"/>
        <v>-1.8295969394554412E-2</v>
      </c>
    </row>
    <row r="986" spans="2:7" x14ac:dyDescent="0.25">
      <c r="B986" s="348" t="s">
        <v>1152</v>
      </c>
      <c r="C986" s="293">
        <v>237.85</v>
      </c>
      <c r="D986" s="230">
        <f t="shared" si="49"/>
        <v>-2.248068387308888E-2</v>
      </c>
      <c r="E986" s="293">
        <v>1.0474675152479351E-2</v>
      </c>
      <c r="F986" s="266">
        <f t="shared" si="51"/>
        <v>979</v>
      </c>
      <c r="G986" s="230">
        <f t="shared" ca="1" si="50"/>
        <v>-1.0100712515883389E-2</v>
      </c>
    </row>
    <row r="987" spans="2:7" x14ac:dyDescent="0.25">
      <c r="B987" s="348" t="s">
        <v>1153</v>
      </c>
      <c r="C987" s="293">
        <v>243.32</v>
      </c>
      <c r="D987" s="230">
        <f t="shared" si="49"/>
        <v>3.5184003403531117E-2</v>
      </c>
      <c r="E987" s="293">
        <v>1.0463378176382543E-2</v>
      </c>
      <c r="F987" s="266">
        <f t="shared" si="51"/>
        <v>980</v>
      </c>
      <c r="G987" s="230">
        <f t="shared" ca="1" si="50"/>
        <v>-2.6786938067072351E-2</v>
      </c>
    </row>
    <row r="988" spans="2:7" x14ac:dyDescent="0.25">
      <c r="B988" s="348" t="s">
        <v>1154</v>
      </c>
      <c r="C988" s="293">
        <v>235.05</v>
      </c>
      <c r="D988" s="230">
        <f t="shared" si="49"/>
        <v>-5.6265335476773926E-3</v>
      </c>
      <c r="E988" s="293">
        <v>1.0453850076491689E-2</v>
      </c>
      <c r="F988" s="266">
        <f t="shared" si="51"/>
        <v>981</v>
      </c>
      <c r="G988" s="230">
        <f t="shared" ca="1" si="50"/>
        <v>-1.0351492445734576E-2</v>
      </c>
    </row>
    <row r="989" spans="2:7" x14ac:dyDescent="0.25">
      <c r="B989" s="348" t="s">
        <v>1155</v>
      </c>
      <c r="C989" s="293">
        <v>236.38</v>
      </c>
      <c r="D989" s="230">
        <f t="shared" si="49"/>
        <v>7.5873827791985704E-3</v>
      </c>
      <c r="E989" s="293">
        <v>1.043338683788142E-2</v>
      </c>
      <c r="F989" s="266">
        <f t="shared" si="51"/>
        <v>982</v>
      </c>
      <c r="G989" s="230">
        <f t="shared" ca="1" si="50"/>
        <v>-1.4727657120502988E-2</v>
      </c>
    </row>
    <row r="990" spans="2:7" x14ac:dyDescent="0.25">
      <c r="B990" s="348" t="s">
        <v>1156</v>
      </c>
      <c r="C990" s="293">
        <v>234.6</v>
      </c>
      <c r="D990" s="230">
        <f t="shared" si="49"/>
        <v>8.9389366148130867E-2</v>
      </c>
      <c r="E990" s="293">
        <v>1.0398050365556522E-2</v>
      </c>
      <c r="F990" s="266">
        <f t="shared" si="51"/>
        <v>983</v>
      </c>
      <c r="G990" s="230">
        <f t="shared" ca="1" si="50"/>
        <v>-1.9166868951384662E-2</v>
      </c>
    </row>
    <row r="991" spans="2:7" x14ac:dyDescent="0.25">
      <c r="B991" s="348" t="s">
        <v>1157</v>
      </c>
      <c r="C991" s="293">
        <v>215.35</v>
      </c>
      <c r="D991" s="230">
        <f t="shared" si="49"/>
        <v>2.8070845467131234E-2</v>
      </c>
      <c r="E991" s="293">
        <v>1.0392708067126666E-2</v>
      </c>
      <c r="F991" s="266">
        <f t="shared" si="51"/>
        <v>984</v>
      </c>
      <c r="G991" s="230">
        <f t="shared" ca="1" si="50"/>
        <v>3.7818267977732236E-3</v>
      </c>
    </row>
    <row r="992" spans="2:7" x14ac:dyDescent="0.25">
      <c r="B992" s="348" t="s">
        <v>1158</v>
      </c>
      <c r="C992" s="293">
        <v>209.47</v>
      </c>
      <c r="D992" s="230">
        <f t="shared" si="49"/>
        <v>-3.1576514100785991E-2</v>
      </c>
      <c r="E992" s="293">
        <v>1.037632094869223E-2</v>
      </c>
      <c r="F992" s="266">
        <f t="shared" si="51"/>
        <v>985</v>
      </c>
      <c r="G992" s="230">
        <f t="shared" ca="1" si="50"/>
        <v>3.1075419002798831E-2</v>
      </c>
    </row>
    <row r="993" spans="2:7" x14ac:dyDescent="0.25">
      <c r="B993" s="348">
        <v>44534</v>
      </c>
      <c r="C993" s="293">
        <v>216.3</v>
      </c>
      <c r="D993" s="230">
        <f t="shared" si="49"/>
        <v>-3.8880248833592534E-2</v>
      </c>
      <c r="E993" s="293">
        <v>1.0372960372960316E-2</v>
      </c>
      <c r="F993" s="266">
        <f t="shared" si="51"/>
        <v>986</v>
      </c>
      <c r="G993" s="230">
        <f t="shared" ca="1" si="50"/>
        <v>2.0793131268960147E-3</v>
      </c>
    </row>
    <row r="994" spans="2:7" x14ac:dyDescent="0.25">
      <c r="B994" s="348">
        <v>44443</v>
      </c>
      <c r="C994" s="293">
        <v>225.05</v>
      </c>
      <c r="D994" s="230">
        <f t="shared" si="49"/>
        <v>1.8095453517303683E-2</v>
      </c>
      <c r="E994" s="293">
        <v>1.0345143275656721E-2</v>
      </c>
      <c r="F994" s="266">
        <f t="shared" si="51"/>
        <v>987</v>
      </c>
      <c r="G994" s="230">
        <f t="shared" ca="1" si="50"/>
        <v>-2.6706737553205261E-2</v>
      </c>
    </row>
    <row r="995" spans="2:7" x14ac:dyDescent="0.25">
      <c r="B995" s="348">
        <v>44412</v>
      </c>
      <c r="C995" s="293">
        <v>221.05</v>
      </c>
      <c r="D995" s="230">
        <f t="shared" si="49"/>
        <v>9.3607305936074248E-3</v>
      </c>
      <c r="E995" s="293">
        <v>1.0332950631458004E-2</v>
      </c>
      <c r="F995" s="266">
        <f t="shared" si="51"/>
        <v>988</v>
      </c>
      <c r="G995" s="230">
        <f t="shared" ca="1" si="50"/>
        <v>3.4213367351548542E-2</v>
      </c>
    </row>
    <row r="996" spans="2:7" x14ac:dyDescent="0.25">
      <c r="B996" s="348">
        <v>44381</v>
      </c>
      <c r="C996" s="293">
        <v>219</v>
      </c>
      <c r="D996" s="230">
        <f t="shared" si="49"/>
        <v>2.5424919230228937E-2</v>
      </c>
      <c r="E996" s="293">
        <v>1.0326757090012295E-2</v>
      </c>
      <c r="F996" s="266">
        <f t="shared" si="51"/>
        <v>989</v>
      </c>
      <c r="G996" s="230">
        <f t="shared" ca="1" si="50"/>
        <v>4.0737992414146128E-2</v>
      </c>
    </row>
    <row r="997" spans="2:7" x14ac:dyDescent="0.25">
      <c r="B997" s="348">
        <v>44351</v>
      </c>
      <c r="C997" s="293">
        <v>213.57</v>
      </c>
      <c r="D997" s="230">
        <f t="shared" si="49"/>
        <v>3.9958631064309635E-3</v>
      </c>
      <c r="E997" s="293">
        <v>1.0314240528089158E-2</v>
      </c>
      <c r="F997" s="266">
        <f t="shared" si="51"/>
        <v>990</v>
      </c>
      <c r="G997" s="230">
        <f t="shared" ca="1" si="50"/>
        <v>-2.4097919604953622E-3</v>
      </c>
    </row>
    <row r="998" spans="2:7" x14ac:dyDescent="0.25">
      <c r="B998" s="348">
        <v>44320</v>
      </c>
      <c r="C998" s="293">
        <v>212.72</v>
      </c>
      <c r="D998" s="230">
        <f t="shared" si="49"/>
        <v>2.1709894332372803E-2</v>
      </c>
      <c r="E998" s="293">
        <v>1.0302197802197766E-2</v>
      </c>
      <c r="F998" s="266">
        <f t="shared" si="51"/>
        <v>991</v>
      </c>
      <c r="G998" s="230">
        <f t="shared" ca="1" si="50"/>
        <v>-3.0402475687928462E-2</v>
      </c>
    </row>
    <row r="999" spans="2:7" x14ac:dyDescent="0.25">
      <c r="B999" s="348">
        <v>44200</v>
      </c>
      <c r="C999" s="293">
        <v>208.2</v>
      </c>
      <c r="D999" s="230">
        <f t="shared" si="49"/>
        <v>5.4570918047036621E-3</v>
      </c>
      <c r="E999" s="293">
        <v>1.0292576003049669E-2</v>
      </c>
      <c r="F999" s="266">
        <f t="shared" si="51"/>
        <v>992</v>
      </c>
      <c r="G999" s="230">
        <f t="shared" ca="1" si="50"/>
        <v>-9.4752177284085273E-3</v>
      </c>
    </row>
    <row r="1000" spans="2:7" x14ac:dyDescent="0.25">
      <c r="B1000" s="348" t="s">
        <v>1159</v>
      </c>
      <c r="C1000" s="293">
        <v>207.07</v>
      </c>
      <c r="D1000" s="230">
        <f t="shared" si="49"/>
        <v>-9.4714183209759772E-3</v>
      </c>
      <c r="E1000" s="293">
        <v>1.0280662074637625E-2</v>
      </c>
      <c r="F1000" s="266">
        <f t="shared" si="51"/>
        <v>993</v>
      </c>
      <c r="G1000" s="230">
        <f t="shared" ca="1" si="50"/>
        <v>2.0791046692708046E-3</v>
      </c>
    </row>
    <row r="1001" spans="2:7" x14ac:dyDescent="0.25">
      <c r="B1001" s="348" t="s">
        <v>1160</v>
      </c>
      <c r="C1001" s="293">
        <v>209.05</v>
      </c>
      <c r="D1001" s="230">
        <f t="shared" si="49"/>
        <v>3.5157217132953722E-2</v>
      </c>
      <c r="E1001" s="293">
        <v>1.0279605263157965E-2</v>
      </c>
      <c r="F1001" s="266">
        <f t="shared" si="51"/>
        <v>994</v>
      </c>
      <c r="G1001" s="230">
        <f t="shared" ca="1" si="50"/>
        <v>-3.2621033707667571E-2</v>
      </c>
    </row>
    <row r="1002" spans="2:7" x14ac:dyDescent="0.25">
      <c r="B1002" s="348" t="s">
        <v>1161</v>
      </c>
      <c r="C1002" s="293">
        <v>201.95</v>
      </c>
      <c r="D1002" s="230">
        <f t="shared" si="49"/>
        <v>1.0659593634270825E-2</v>
      </c>
      <c r="E1002" s="293">
        <v>1.0247651579846195E-2</v>
      </c>
      <c r="F1002" s="266">
        <f t="shared" si="51"/>
        <v>995</v>
      </c>
      <c r="G1002" s="230">
        <f t="shared" ca="1" si="50"/>
        <v>-2.0627585226417534E-2</v>
      </c>
    </row>
    <row r="1003" spans="2:7" x14ac:dyDescent="0.25">
      <c r="B1003" s="348" t="s">
        <v>1162</v>
      </c>
      <c r="C1003" s="293">
        <v>199.82</v>
      </c>
      <c r="D1003" s="230">
        <f t="shared" si="49"/>
        <v>-2.7639902676399042E-2</v>
      </c>
      <c r="E1003" s="293">
        <v>1.0237009013018827E-2</v>
      </c>
      <c r="F1003" s="266">
        <f t="shared" si="51"/>
        <v>996</v>
      </c>
      <c r="G1003" s="230">
        <f t="shared" ca="1" si="50"/>
        <v>-5.2817857069545296E-2</v>
      </c>
    </row>
    <row r="1004" spans="2:7" x14ac:dyDescent="0.25">
      <c r="B1004" s="348" t="s">
        <v>1163</v>
      </c>
      <c r="C1004" s="293">
        <v>205.5</v>
      </c>
      <c r="D1004" s="230">
        <f t="shared" si="49"/>
        <v>-1.0830324909747335E-2</v>
      </c>
      <c r="E1004" s="293">
        <v>1.0205225972860887E-2</v>
      </c>
      <c r="F1004" s="266">
        <f t="shared" si="51"/>
        <v>997</v>
      </c>
      <c r="G1004" s="230">
        <f t="shared" ca="1" si="50"/>
        <v>-6.9819555171412731E-3</v>
      </c>
    </row>
    <row r="1005" spans="2:7" x14ac:dyDescent="0.25">
      <c r="B1005" s="348" t="s">
        <v>1164</v>
      </c>
      <c r="C1005" s="293">
        <v>207.75</v>
      </c>
      <c r="D1005" s="230">
        <f t="shared" si="49"/>
        <v>2.5576681787471411E-3</v>
      </c>
      <c r="E1005" s="293">
        <v>1.0184937014205087E-2</v>
      </c>
      <c r="F1005" s="266">
        <f t="shared" si="51"/>
        <v>998</v>
      </c>
      <c r="G1005" s="230">
        <f t="shared" ca="1" si="50"/>
        <v>-1.1236247612395544E-2</v>
      </c>
    </row>
    <row r="1006" spans="2:7" x14ac:dyDescent="0.25">
      <c r="B1006" s="348" t="s">
        <v>1165</v>
      </c>
      <c r="C1006" s="293">
        <v>207.22</v>
      </c>
      <c r="D1006" s="230">
        <f t="shared" si="49"/>
        <v>9.5980511571254201E-3</v>
      </c>
      <c r="E1006" s="293">
        <v>1.0177081213108119E-2</v>
      </c>
      <c r="F1006" s="266">
        <f t="shared" si="51"/>
        <v>999</v>
      </c>
      <c r="G1006" s="230">
        <f t="shared" ca="1" si="50"/>
        <v>-1.5383987078254301E-3</v>
      </c>
    </row>
    <row r="1007" spans="2:7" x14ac:dyDescent="0.25">
      <c r="B1007" s="348" t="s">
        <v>1166</v>
      </c>
      <c r="C1007" s="293">
        <v>205.25</v>
      </c>
      <c r="D1007" s="230">
        <f t="shared" si="49"/>
        <v>8.7774906129611807E-4</v>
      </c>
      <c r="E1007" s="293">
        <v>1.0167768174885738E-2</v>
      </c>
      <c r="F1007" s="266">
        <f t="shared" si="51"/>
        <v>1000</v>
      </c>
      <c r="G1007" s="230">
        <f t="shared" ca="1" si="50"/>
        <v>-1.7611308098631255E-2</v>
      </c>
    </row>
    <row r="1008" spans="2:7" x14ac:dyDescent="0.25">
      <c r="B1008" s="348" t="s">
        <v>1167</v>
      </c>
      <c r="C1008" s="293">
        <v>205.07</v>
      </c>
      <c r="D1008" s="230">
        <f t="shared" si="49"/>
        <v>-2.2638452006481735E-2</v>
      </c>
      <c r="E1008" s="293">
        <v>1.0159651669085834E-2</v>
      </c>
      <c r="F1008" s="266">
        <f t="shared" si="51"/>
        <v>1001</v>
      </c>
      <c r="G1008" s="230">
        <f t="shared" ca="1" si="50"/>
        <v>-1.6132069651679161E-2</v>
      </c>
    </row>
    <row r="1009" spans="2:7" x14ac:dyDescent="0.25">
      <c r="B1009" s="348" t="s">
        <v>1168</v>
      </c>
      <c r="C1009" s="293">
        <v>209.82</v>
      </c>
      <c r="D1009" s="230">
        <f t="shared" si="49"/>
        <v>-2.2501747030048924E-2</v>
      </c>
      <c r="E1009" s="293">
        <v>1.0132445538105328E-2</v>
      </c>
      <c r="F1009" s="266">
        <f t="shared" si="51"/>
        <v>1002</v>
      </c>
      <c r="G1009" s="230">
        <f t="shared" ca="1" si="50"/>
        <v>-1.6454462310758908E-2</v>
      </c>
    </row>
    <row r="1010" spans="2:7" x14ac:dyDescent="0.25">
      <c r="B1010" s="348" t="s">
        <v>1169</v>
      </c>
      <c r="C1010" s="293">
        <v>214.65</v>
      </c>
      <c r="D1010" s="230">
        <f t="shared" si="49"/>
        <v>6.895581198986811E-3</v>
      </c>
      <c r="E1010" s="293">
        <v>1.0128152128978885E-2</v>
      </c>
      <c r="F1010" s="266">
        <f t="shared" si="51"/>
        <v>1003</v>
      </c>
      <c r="G1010" s="230">
        <f t="shared" ca="1" si="50"/>
        <v>2.4350488731099643E-2</v>
      </c>
    </row>
    <row r="1011" spans="2:7" x14ac:dyDescent="0.25">
      <c r="B1011" s="348" t="s">
        <v>1170</v>
      </c>
      <c r="C1011" s="293">
        <v>213.18</v>
      </c>
      <c r="D1011" s="230">
        <f t="shared" si="49"/>
        <v>2.7281279397930458E-3</v>
      </c>
      <c r="E1011" s="293">
        <v>1.0122891064361594E-2</v>
      </c>
      <c r="F1011" s="266">
        <f t="shared" si="51"/>
        <v>1004</v>
      </c>
      <c r="G1011" s="230">
        <f t="shared" ca="1" si="50"/>
        <v>7.8317887927855452E-4</v>
      </c>
    </row>
    <row r="1012" spans="2:7" x14ac:dyDescent="0.25">
      <c r="B1012" s="348">
        <v>44533</v>
      </c>
      <c r="C1012" s="293">
        <v>212.6</v>
      </c>
      <c r="D1012" s="230">
        <f t="shared" si="49"/>
        <v>-3.5153503632529004E-3</v>
      </c>
      <c r="E1012" s="293">
        <v>1.0113424869192755E-2</v>
      </c>
      <c r="F1012" s="266">
        <f t="shared" si="51"/>
        <v>1005</v>
      </c>
      <c r="G1012" s="230">
        <f t="shared" ca="1" si="50"/>
        <v>3.2982566962449243E-2</v>
      </c>
    </row>
    <row r="1013" spans="2:7" x14ac:dyDescent="0.25">
      <c r="B1013" s="348">
        <v>44472</v>
      </c>
      <c r="C1013" s="293">
        <v>213.35</v>
      </c>
      <c r="D1013" s="230">
        <f t="shared" si="49"/>
        <v>1.7891221374045863E-2</v>
      </c>
      <c r="E1013" s="293">
        <v>1.0108435949274019E-2</v>
      </c>
      <c r="F1013" s="266">
        <f t="shared" si="51"/>
        <v>1006</v>
      </c>
      <c r="G1013" s="230">
        <f t="shared" ca="1" si="50"/>
        <v>-3.9339605280765209E-2</v>
      </c>
    </row>
    <row r="1014" spans="2:7" x14ac:dyDescent="0.25">
      <c r="B1014" s="348">
        <v>44442</v>
      </c>
      <c r="C1014" s="293">
        <v>209.6</v>
      </c>
      <c r="D1014" s="230">
        <f t="shared" si="49"/>
        <v>5.5169105301031696E-3</v>
      </c>
      <c r="E1014" s="293">
        <v>1.0071090047393483E-2</v>
      </c>
      <c r="F1014" s="266">
        <f t="shared" si="51"/>
        <v>1007</v>
      </c>
      <c r="G1014" s="230">
        <f t="shared" ca="1" si="50"/>
        <v>5.3152752371867173E-2</v>
      </c>
    </row>
    <row r="1015" spans="2:7" x14ac:dyDescent="0.25">
      <c r="B1015" s="348">
        <v>44411</v>
      </c>
      <c r="C1015" s="293">
        <v>208.45</v>
      </c>
      <c r="D1015" s="230">
        <f t="shared" si="49"/>
        <v>-9.4093047569263621E-3</v>
      </c>
      <c r="E1015" s="293">
        <v>1.0060181442558269E-2</v>
      </c>
      <c r="F1015" s="266">
        <f t="shared" si="51"/>
        <v>1008</v>
      </c>
      <c r="G1015" s="230">
        <f t="shared" ca="1" si="50"/>
        <v>8.4068671008180017E-3</v>
      </c>
    </row>
    <row r="1016" spans="2:7" x14ac:dyDescent="0.25">
      <c r="B1016" s="348">
        <v>44319</v>
      </c>
      <c r="C1016" s="293">
        <v>210.43</v>
      </c>
      <c r="D1016" s="230">
        <f t="shared" si="49"/>
        <v>-4.0884229717411125E-2</v>
      </c>
      <c r="E1016" s="293">
        <v>1.0041922589451024E-2</v>
      </c>
      <c r="F1016" s="266">
        <f t="shared" si="51"/>
        <v>1009</v>
      </c>
      <c r="G1016" s="230">
        <f t="shared" ca="1" si="50"/>
        <v>-1.5126871788486611E-2</v>
      </c>
    </row>
    <row r="1017" spans="2:7" x14ac:dyDescent="0.25">
      <c r="B1017" s="348">
        <v>44289</v>
      </c>
      <c r="C1017" s="293">
        <v>219.4</v>
      </c>
      <c r="D1017" s="230">
        <f t="shared" si="49"/>
        <v>7.5774971297359883E-3</v>
      </c>
      <c r="E1017" s="293">
        <v>1.0034158838599483E-2</v>
      </c>
      <c r="F1017" s="266">
        <f t="shared" si="51"/>
        <v>1010</v>
      </c>
      <c r="G1017" s="230">
        <f t="shared" ca="1" si="50"/>
        <v>1.0724376823901496E-2</v>
      </c>
    </row>
    <row r="1018" spans="2:7" x14ac:dyDescent="0.25">
      <c r="B1018" s="348">
        <v>44258</v>
      </c>
      <c r="C1018" s="293">
        <v>217.75</v>
      </c>
      <c r="D1018" s="230">
        <f t="shared" si="49"/>
        <v>1.1849442379182173E-2</v>
      </c>
      <c r="E1018" s="293">
        <v>1.0028653295129031E-2</v>
      </c>
      <c r="F1018" s="266">
        <f t="shared" si="51"/>
        <v>1011</v>
      </c>
      <c r="G1018" s="230">
        <f t="shared" ca="1" si="50"/>
        <v>3.9922593342400996E-2</v>
      </c>
    </row>
    <row r="1019" spans="2:7" x14ac:dyDescent="0.25">
      <c r="B1019" s="348">
        <v>44230</v>
      </c>
      <c r="C1019" s="293">
        <v>215.2</v>
      </c>
      <c r="D1019" s="230">
        <f t="shared" si="49"/>
        <v>3.8610038610038533E-2</v>
      </c>
      <c r="E1019" s="293">
        <v>1.0026485054861922E-2</v>
      </c>
      <c r="F1019" s="266">
        <f t="shared" si="51"/>
        <v>1012</v>
      </c>
      <c r="G1019" s="230">
        <f t="shared" ca="1" si="50"/>
        <v>5.2193661069954191E-3</v>
      </c>
    </row>
    <row r="1020" spans="2:7" x14ac:dyDescent="0.25">
      <c r="B1020" s="348">
        <v>44199</v>
      </c>
      <c r="C1020" s="293">
        <v>207.2</v>
      </c>
      <c r="D1020" s="230">
        <f t="shared" si="49"/>
        <v>9.9926882768706093E-3</v>
      </c>
      <c r="E1020" s="293">
        <v>1.0021413276231295E-2</v>
      </c>
      <c r="F1020" s="266">
        <f t="shared" si="51"/>
        <v>1013</v>
      </c>
      <c r="G1020" s="230">
        <f t="shared" ca="1" si="50"/>
        <v>2.1420907534148444E-2</v>
      </c>
    </row>
    <row r="1021" spans="2:7" x14ac:dyDescent="0.25">
      <c r="B1021" s="348" t="s">
        <v>1171</v>
      </c>
      <c r="C1021" s="293">
        <v>205.15</v>
      </c>
      <c r="D1021" s="230">
        <f t="shared" si="49"/>
        <v>-2.6109660574412552E-2</v>
      </c>
      <c r="E1021" s="293">
        <v>1.0005636978579702E-2</v>
      </c>
      <c r="F1021" s="266">
        <f t="shared" si="51"/>
        <v>1014</v>
      </c>
      <c r="G1021" s="230">
        <f t="shared" ca="1" si="50"/>
        <v>1.173952425699083E-3</v>
      </c>
    </row>
    <row r="1022" spans="2:7" x14ac:dyDescent="0.25">
      <c r="B1022" s="348" t="s">
        <v>1172</v>
      </c>
      <c r="C1022" s="293">
        <v>210.65</v>
      </c>
      <c r="D1022" s="230">
        <f t="shared" si="49"/>
        <v>-4.2543134010872841E-3</v>
      </c>
      <c r="E1022" s="293">
        <v>1.0003847633705432E-2</v>
      </c>
      <c r="F1022" s="266">
        <f t="shared" si="51"/>
        <v>1015</v>
      </c>
      <c r="G1022" s="230">
        <f t="shared" ca="1" si="50"/>
        <v>2.8825860403366349E-2</v>
      </c>
    </row>
    <row r="1023" spans="2:7" x14ac:dyDescent="0.25">
      <c r="B1023" s="348" t="s">
        <v>1173</v>
      </c>
      <c r="C1023" s="293">
        <v>211.55</v>
      </c>
      <c r="D1023" s="230">
        <f t="shared" si="49"/>
        <v>1.8291215403128724E-2</v>
      </c>
      <c r="E1023" s="293">
        <v>1.0000000000000009E-2</v>
      </c>
      <c r="F1023" s="266">
        <f t="shared" si="51"/>
        <v>1016</v>
      </c>
      <c r="G1023" s="230">
        <f t="shared" ca="1" si="50"/>
        <v>-1.9049991378020646E-3</v>
      </c>
    </row>
    <row r="1024" spans="2:7" x14ac:dyDescent="0.25">
      <c r="B1024" s="348" t="s">
        <v>1174</v>
      </c>
      <c r="C1024" s="293">
        <v>207.75</v>
      </c>
      <c r="D1024" s="230">
        <f t="shared" si="49"/>
        <v>-7.6427036064007359E-3</v>
      </c>
      <c r="E1024" s="293">
        <v>9.9926882768706093E-3</v>
      </c>
      <c r="F1024" s="266">
        <f t="shared" si="51"/>
        <v>1017</v>
      </c>
      <c r="G1024" s="230">
        <f t="shared" ca="1" si="50"/>
        <v>2.1023673803108565E-2</v>
      </c>
    </row>
    <row r="1025" spans="2:7" x14ac:dyDescent="0.25">
      <c r="B1025" s="348" t="s">
        <v>1175</v>
      </c>
      <c r="C1025" s="293">
        <v>209.35</v>
      </c>
      <c r="D1025" s="230">
        <f t="shared" si="49"/>
        <v>-2.6143182769688855E-2</v>
      </c>
      <c r="E1025" s="293">
        <v>9.9895941727368154E-3</v>
      </c>
      <c r="F1025" s="266">
        <f t="shared" si="51"/>
        <v>1018</v>
      </c>
      <c r="G1025" s="230">
        <f t="shared" ca="1" si="50"/>
        <v>2.5403064606325958E-2</v>
      </c>
    </row>
    <row r="1026" spans="2:7" x14ac:dyDescent="0.25">
      <c r="B1026" s="348" t="s">
        <v>1176</v>
      </c>
      <c r="C1026" s="293">
        <v>214.97</v>
      </c>
      <c r="D1026" s="230">
        <f t="shared" si="49"/>
        <v>-6.9293666558876144E-3</v>
      </c>
      <c r="E1026" s="293">
        <v>9.9655734734553914E-3</v>
      </c>
      <c r="F1026" s="266">
        <f t="shared" si="51"/>
        <v>1019</v>
      </c>
      <c r="G1026" s="230">
        <f t="shared" ca="1" si="50"/>
        <v>-6.1491707518323202E-3</v>
      </c>
    </row>
    <row r="1027" spans="2:7" x14ac:dyDescent="0.25">
      <c r="B1027" s="348" t="s">
        <v>1177</v>
      </c>
      <c r="C1027" s="293">
        <v>216.47</v>
      </c>
      <c r="D1027" s="230">
        <f t="shared" si="49"/>
        <v>6.369130636913134E-3</v>
      </c>
      <c r="E1027" s="293">
        <v>9.9583140342751619E-3</v>
      </c>
      <c r="F1027" s="266">
        <f t="shared" si="51"/>
        <v>1020</v>
      </c>
      <c r="G1027" s="230">
        <f t="shared" ca="1" si="50"/>
        <v>1.703038706614602E-2</v>
      </c>
    </row>
    <row r="1028" spans="2:7" x14ac:dyDescent="0.25">
      <c r="B1028" s="348" t="s">
        <v>1178</v>
      </c>
      <c r="C1028" s="293">
        <v>215.1</v>
      </c>
      <c r="D1028" s="230">
        <f t="shared" si="49"/>
        <v>-1.6820550324527006E-2</v>
      </c>
      <c r="E1028" s="293">
        <v>9.9552734093204531E-3</v>
      </c>
      <c r="F1028" s="266">
        <f t="shared" si="51"/>
        <v>1021</v>
      </c>
      <c r="G1028" s="230">
        <f t="shared" ca="1" si="50"/>
        <v>-6.1154426804689958E-3</v>
      </c>
    </row>
    <row r="1029" spans="2:7" x14ac:dyDescent="0.25">
      <c r="B1029" s="348" t="s">
        <v>1179</v>
      </c>
      <c r="C1029" s="293">
        <v>218.78</v>
      </c>
      <c r="D1029" s="230">
        <f t="shared" si="49"/>
        <v>-4.8669547418693782E-3</v>
      </c>
      <c r="E1029" s="293">
        <v>9.9396521121761783E-3</v>
      </c>
      <c r="F1029" s="266">
        <f t="shared" si="51"/>
        <v>1022</v>
      </c>
      <c r="G1029" s="230">
        <f t="shared" ca="1" si="50"/>
        <v>1.4534433780595955E-2</v>
      </c>
    </row>
    <row r="1030" spans="2:7" x14ac:dyDescent="0.25">
      <c r="B1030" s="348" t="s">
        <v>1180</v>
      </c>
      <c r="C1030" s="293">
        <v>219.85</v>
      </c>
      <c r="D1030" s="230">
        <f t="shared" si="49"/>
        <v>-5.203619909502244E-3</v>
      </c>
      <c r="E1030" s="293">
        <v>9.9222869830697391E-3</v>
      </c>
      <c r="F1030" s="266">
        <f t="shared" si="51"/>
        <v>1023</v>
      </c>
      <c r="G1030" s="230">
        <f t="shared" ca="1" si="50"/>
        <v>-2.6943140108281515E-3</v>
      </c>
    </row>
    <row r="1031" spans="2:7" x14ac:dyDescent="0.25">
      <c r="B1031" s="348">
        <v>44532</v>
      </c>
      <c r="C1031" s="293">
        <v>221</v>
      </c>
      <c r="D1031" s="230">
        <f t="shared" si="49"/>
        <v>1.1441647597254079E-2</v>
      </c>
      <c r="E1031" s="293">
        <v>9.9104726212784211E-3</v>
      </c>
      <c r="F1031" s="266">
        <f t="shared" si="51"/>
        <v>1024</v>
      </c>
      <c r="G1031" s="230">
        <f t="shared" ca="1" si="50"/>
        <v>-9.9669336199204647E-3</v>
      </c>
    </row>
    <row r="1032" spans="2:7" x14ac:dyDescent="0.25">
      <c r="B1032" s="348">
        <v>44502</v>
      </c>
      <c r="C1032" s="293">
        <v>218.5</v>
      </c>
      <c r="D1032" s="230">
        <f t="shared" si="49"/>
        <v>-4.5558086560364419E-3</v>
      </c>
      <c r="E1032" s="293">
        <v>9.906462585034026E-3</v>
      </c>
      <c r="F1032" s="266">
        <f t="shared" si="51"/>
        <v>1025</v>
      </c>
      <c r="G1032" s="230">
        <f t="shared" ca="1" si="50"/>
        <v>-2.2597748597304478E-2</v>
      </c>
    </row>
    <row r="1033" spans="2:7" x14ac:dyDescent="0.25">
      <c r="B1033" s="348">
        <v>44471</v>
      </c>
      <c r="C1033" s="293">
        <v>219.5</v>
      </c>
      <c r="D1033" s="230">
        <f t="shared" ref="D1033:D1096" si="52">C1033/C1034-1</f>
        <v>-8.1937363437734057E-4</v>
      </c>
      <c r="E1033" s="293">
        <v>9.9029708912672376E-3</v>
      </c>
      <c r="F1033" s="266">
        <f t="shared" si="51"/>
        <v>1026</v>
      </c>
      <c r="G1033" s="230">
        <f t="shared" ref="G1033:G1096" ca="1" si="53">_xlfn.NORM.INV(RAND(),$M$10,$M$11)</f>
        <v>-3.3282535697780925E-2</v>
      </c>
    </row>
    <row r="1034" spans="2:7" x14ac:dyDescent="0.25">
      <c r="B1034" s="348">
        <v>44441</v>
      </c>
      <c r="C1034" s="293">
        <v>219.68</v>
      </c>
      <c r="D1034" s="230">
        <f t="shared" si="52"/>
        <v>9.3269009878245157E-3</v>
      </c>
      <c r="E1034" s="293">
        <v>9.8994343180389688E-3</v>
      </c>
      <c r="F1034" s="266">
        <f t="shared" ref="F1034:F1097" si="54">F1033+1</f>
        <v>1027</v>
      </c>
      <c r="G1034" s="230">
        <f t="shared" ca="1" si="53"/>
        <v>-3.6423694032683619E-2</v>
      </c>
    </row>
    <row r="1035" spans="2:7" x14ac:dyDescent="0.25">
      <c r="B1035" s="348">
        <v>44410</v>
      </c>
      <c r="C1035" s="293">
        <v>217.65</v>
      </c>
      <c r="D1035" s="230">
        <f t="shared" si="52"/>
        <v>2.2887489425697849E-2</v>
      </c>
      <c r="E1035" s="293">
        <v>9.8982294716296604E-3</v>
      </c>
      <c r="F1035" s="266">
        <f t="shared" si="54"/>
        <v>1028</v>
      </c>
      <c r="G1035" s="230">
        <f t="shared" ca="1" si="53"/>
        <v>1.9072108651615856E-2</v>
      </c>
    </row>
    <row r="1036" spans="2:7" x14ac:dyDescent="0.25">
      <c r="B1036" s="348">
        <v>44318</v>
      </c>
      <c r="C1036" s="293">
        <v>212.78</v>
      </c>
      <c r="D1036" s="230">
        <f t="shared" si="52"/>
        <v>-1.0095371016515364E-2</v>
      </c>
      <c r="E1036" s="293">
        <v>9.8571428571427866E-3</v>
      </c>
      <c r="F1036" s="266">
        <f t="shared" si="54"/>
        <v>1029</v>
      </c>
      <c r="G1036" s="230">
        <f t="shared" ca="1" si="53"/>
        <v>3.3025143718894034E-2</v>
      </c>
    </row>
    <row r="1037" spans="2:7" x14ac:dyDescent="0.25">
      <c r="B1037" s="348">
        <v>44288</v>
      </c>
      <c r="C1037" s="293">
        <v>214.95</v>
      </c>
      <c r="D1037" s="230">
        <f t="shared" si="52"/>
        <v>-8.30449826989621E-3</v>
      </c>
      <c r="E1037" s="293">
        <v>9.8566934638237846E-3</v>
      </c>
      <c r="F1037" s="266">
        <f t="shared" si="54"/>
        <v>1030</v>
      </c>
      <c r="G1037" s="230">
        <f t="shared" ca="1" si="53"/>
        <v>2.1877073257513145E-3</v>
      </c>
    </row>
    <row r="1038" spans="2:7" x14ac:dyDescent="0.25">
      <c r="B1038" s="348">
        <v>44257</v>
      </c>
      <c r="C1038" s="293">
        <v>216.75</v>
      </c>
      <c r="D1038" s="230">
        <f t="shared" si="52"/>
        <v>1.199925296479587E-2</v>
      </c>
      <c r="E1038" s="293">
        <v>9.8306110102841515E-3</v>
      </c>
      <c r="F1038" s="266">
        <f t="shared" si="54"/>
        <v>1031</v>
      </c>
      <c r="G1038" s="230">
        <f t="shared" ca="1" si="53"/>
        <v>1.7143818595051465E-2</v>
      </c>
    </row>
    <row r="1039" spans="2:7" x14ac:dyDescent="0.25">
      <c r="B1039" s="348">
        <v>44229</v>
      </c>
      <c r="C1039" s="293">
        <v>214.18</v>
      </c>
      <c r="D1039" s="230">
        <f t="shared" si="52"/>
        <v>1.6275207591933682E-2</v>
      </c>
      <c r="E1039" s="293">
        <v>9.8194945848375514E-3</v>
      </c>
      <c r="F1039" s="266">
        <f t="shared" si="54"/>
        <v>1032</v>
      </c>
      <c r="G1039" s="230">
        <f t="shared" ca="1" si="53"/>
        <v>-1.6118266502415921E-2</v>
      </c>
    </row>
    <row r="1040" spans="2:7" x14ac:dyDescent="0.25">
      <c r="B1040" s="348">
        <v>44198</v>
      </c>
      <c r="C1040" s="293">
        <v>210.75</v>
      </c>
      <c r="D1040" s="230">
        <f t="shared" si="52"/>
        <v>8.6145010768126085E-3</v>
      </c>
      <c r="E1040" s="293">
        <v>9.7883500166215942E-3</v>
      </c>
      <c r="F1040" s="266">
        <f t="shared" si="54"/>
        <v>1033</v>
      </c>
      <c r="G1040" s="230">
        <f t="shared" ca="1" si="53"/>
        <v>2.8749336840234118E-3</v>
      </c>
    </row>
    <row r="1041" spans="2:7" x14ac:dyDescent="0.25">
      <c r="B1041" s="348" t="s">
        <v>1181</v>
      </c>
      <c r="C1041" s="293">
        <v>208.95</v>
      </c>
      <c r="D1041" s="230">
        <f t="shared" si="52"/>
        <v>-3.2414910858995172E-2</v>
      </c>
      <c r="E1041" s="293">
        <v>9.7822959624054295E-3</v>
      </c>
      <c r="F1041" s="266">
        <f t="shared" si="54"/>
        <v>1034</v>
      </c>
      <c r="G1041" s="230">
        <f t="shared" ca="1" si="53"/>
        <v>-2.515288544157053E-2</v>
      </c>
    </row>
    <row r="1042" spans="2:7" x14ac:dyDescent="0.25">
      <c r="B1042" s="348" t="s">
        <v>1182</v>
      </c>
      <c r="C1042" s="293">
        <v>215.95</v>
      </c>
      <c r="D1042" s="230">
        <f t="shared" si="52"/>
        <v>-3.2568766239584268E-2</v>
      </c>
      <c r="E1042" s="293">
        <v>9.7730138713745252E-3</v>
      </c>
      <c r="F1042" s="266">
        <f t="shared" si="54"/>
        <v>1035</v>
      </c>
      <c r="G1042" s="230">
        <f t="shared" ca="1" si="53"/>
        <v>-6.9347884031471007E-3</v>
      </c>
    </row>
    <row r="1043" spans="2:7" x14ac:dyDescent="0.25">
      <c r="B1043" s="348" t="s">
        <v>1183</v>
      </c>
      <c r="C1043" s="293">
        <v>223.22</v>
      </c>
      <c r="D1043" s="230">
        <f t="shared" si="52"/>
        <v>2.1041075839355994E-2</v>
      </c>
      <c r="E1043" s="293">
        <v>9.7623772997907921E-3</v>
      </c>
      <c r="F1043" s="266">
        <f t="shared" si="54"/>
        <v>1036</v>
      </c>
      <c r="G1043" s="230">
        <f t="shared" ca="1" si="53"/>
        <v>4.0973620685914938E-2</v>
      </c>
    </row>
    <row r="1044" spans="2:7" x14ac:dyDescent="0.25">
      <c r="B1044" s="348" t="s">
        <v>1184</v>
      </c>
      <c r="C1044" s="293">
        <v>218.62</v>
      </c>
      <c r="D1044" s="230">
        <f t="shared" si="52"/>
        <v>-1.6907995323320435E-2</v>
      </c>
      <c r="E1044" s="293">
        <v>9.7550401040538137E-3</v>
      </c>
      <c r="F1044" s="266">
        <f t="shared" si="54"/>
        <v>1037</v>
      </c>
      <c r="G1044" s="230">
        <f t="shared" ca="1" si="53"/>
        <v>-2.5332963534502179E-2</v>
      </c>
    </row>
    <row r="1045" spans="2:7" x14ac:dyDescent="0.25">
      <c r="B1045" s="348" t="s">
        <v>1185</v>
      </c>
      <c r="C1045" s="293">
        <v>222.38</v>
      </c>
      <c r="D1045" s="230">
        <f t="shared" si="52"/>
        <v>-2.3328847016599319E-3</v>
      </c>
      <c r="E1045" s="293">
        <v>9.7547183148369854E-3</v>
      </c>
      <c r="F1045" s="266">
        <f t="shared" si="54"/>
        <v>1038</v>
      </c>
      <c r="G1045" s="230">
        <f t="shared" ca="1" si="53"/>
        <v>8.6033887522076885E-3</v>
      </c>
    </row>
    <row r="1046" spans="2:7" x14ac:dyDescent="0.25">
      <c r="B1046" s="348" t="s">
        <v>1186</v>
      </c>
      <c r="C1046" s="293">
        <v>222.9</v>
      </c>
      <c r="D1046" s="230">
        <f t="shared" si="52"/>
        <v>1.9328448779611929E-3</v>
      </c>
      <c r="E1046" s="293">
        <v>9.7429867293801209E-3</v>
      </c>
      <c r="F1046" s="266">
        <f t="shared" si="54"/>
        <v>1039</v>
      </c>
      <c r="G1046" s="230">
        <f t="shared" ca="1" si="53"/>
        <v>6.3159282488853413E-3</v>
      </c>
    </row>
    <row r="1047" spans="2:7" x14ac:dyDescent="0.25">
      <c r="B1047" s="348" t="s">
        <v>1187</v>
      </c>
      <c r="C1047" s="293">
        <v>222.47</v>
      </c>
      <c r="D1047" s="230">
        <f t="shared" si="52"/>
        <v>3.4166976571216034E-2</v>
      </c>
      <c r="E1047" s="293">
        <v>9.7353748119304306E-3</v>
      </c>
      <c r="F1047" s="266">
        <f t="shared" si="54"/>
        <v>1040</v>
      </c>
      <c r="G1047" s="230">
        <f t="shared" ca="1" si="53"/>
        <v>3.0729108335010337E-2</v>
      </c>
    </row>
    <row r="1048" spans="2:7" x14ac:dyDescent="0.25">
      <c r="B1048" s="348" t="s">
        <v>1188</v>
      </c>
      <c r="C1048" s="293">
        <v>215.12</v>
      </c>
      <c r="D1048" s="230">
        <f t="shared" si="52"/>
        <v>-3.0586708684771091E-3</v>
      </c>
      <c r="E1048" s="293">
        <v>9.7330635058301418E-3</v>
      </c>
      <c r="F1048" s="266">
        <f t="shared" si="54"/>
        <v>1041</v>
      </c>
      <c r="G1048" s="230">
        <f t="shared" ca="1" si="53"/>
        <v>4.6049491338151595E-2</v>
      </c>
    </row>
    <row r="1049" spans="2:7" x14ac:dyDescent="0.25">
      <c r="B1049" s="348" t="s">
        <v>1189</v>
      </c>
      <c r="C1049" s="293">
        <v>215.78</v>
      </c>
      <c r="D1049" s="230">
        <f t="shared" si="52"/>
        <v>-1.5961327982488172E-2</v>
      </c>
      <c r="E1049" s="293">
        <v>9.710363301523639E-3</v>
      </c>
      <c r="F1049" s="266">
        <f t="shared" si="54"/>
        <v>1042</v>
      </c>
      <c r="G1049" s="230">
        <f t="shared" ca="1" si="53"/>
        <v>2.7588231673319041E-3</v>
      </c>
    </row>
    <row r="1050" spans="2:7" x14ac:dyDescent="0.25">
      <c r="B1050" s="348" t="s">
        <v>1190</v>
      </c>
      <c r="C1050" s="293">
        <v>219.28</v>
      </c>
      <c r="D1050" s="230">
        <f t="shared" si="52"/>
        <v>-3.4774187868650386E-2</v>
      </c>
      <c r="E1050" s="293">
        <v>9.705966314587533E-3</v>
      </c>
      <c r="F1050" s="266">
        <f t="shared" si="54"/>
        <v>1043</v>
      </c>
      <c r="G1050" s="230">
        <f t="shared" ca="1" si="53"/>
        <v>1.554802553162413E-2</v>
      </c>
    </row>
    <row r="1051" spans="2:7" x14ac:dyDescent="0.25">
      <c r="B1051" s="348" t="s">
        <v>1191</v>
      </c>
      <c r="C1051" s="293">
        <v>227.18</v>
      </c>
      <c r="D1051" s="230">
        <f t="shared" si="52"/>
        <v>-1.010893246187361E-2</v>
      </c>
      <c r="E1051" s="293">
        <v>9.6923076923076668E-3</v>
      </c>
      <c r="F1051" s="266">
        <f t="shared" si="54"/>
        <v>1044</v>
      </c>
      <c r="G1051" s="230">
        <f t="shared" ca="1" si="53"/>
        <v>5.4902024625007803E-3</v>
      </c>
    </row>
    <row r="1052" spans="2:7" x14ac:dyDescent="0.25">
      <c r="B1052" s="348" t="s">
        <v>1192</v>
      </c>
      <c r="C1052" s="293">
        <v>229.5</v>
      </c>
      <c r="D1052" s="230">
        <f t="shared" si="52"/>
        <v>2.8402883985143568E-3</v>
      </c>
      <c r="E1052" s="293">
        <v>9.6699600588607826E-3</v>
      </c>
      <c r="F1052" s="266">
        <f t="shared" si="54"/>
        <v>1045</v>
      </c>
      <c r="G1052" s="230">
        <f t="shared" ca="1" si="53"/>
        <v>1.2545956839832692E-3</v>
      </c>
    </row>
    <row r="1053" spans="2:7" x14ac:dyDescent="0.25">
      <c r="B1053" s="348">
        <v>44531</v>
      </c>
      <c r="C1053" s="293">
        <v>228.85</v>
      </c>
      <c r="D1053" s="230">
        <f t="shared" si="52"/>
        <v>2.4395702775291017E-2</v>
      </c>
      <c r="E1053" s="293">
        <v>9.6670247046186653E-3</v>
      </c>
      <c r="F1053" s="266">
        <f t="shared" si="54"/>
        <v>1046</v>
      </c>
      <c r="G1053" s="230">
        <f t="shared" ca="1" si="53"/>
        <v>2.3352332592137919E-2</v>
      </c>
    </row>
    <row r="1054" spans="2:7" x14ac:dyDescent="0.25">
      <c r="B1054" s="348">
        <v>44501</v>
      </c>
      <c r="C1054" s="293">
        <v>223.4</v>
      </c>
      <c r="D1054" s="230">
        <f t="shared" si="52"/>
        <v>3.8586703858670468E-2</v>
      </c>
      <c r="E1054" s="293">
        <v>9.6609767662398927E-3</v>
      </c>
      <c r="F1054" s="266">
        <f t="shared" si="54"/>
        <v>1047</v>
      </c>
      <c r="G1054" s="230">
        <f t="shared" ca="1" si="53"/>
        <v>-4.3453754222093494E-2</v>
      </c>
    </row>
    <row r="1055" spans="2:7" x14ac:dyDescent="0.25">
      <c r="B1055" s="348">
        <v>44409</v>
      </c>
      <c r="C1055" s="293">
        <v>215.1</v>
      </c>
      <c r="D1055" s="230">
        <f t="shared" si="52"/>
        <v>5.7626118595732079E-2</v>
      </c>
      <c r="E1055" s="293">
        <v>9.6507352941177516E-3</v>
      </c>
      <c r="F1055" s="266">
        <f t="shared" si="54"/>
        <v>1048</v>
      </c>
      <c r="G1055" s="230">
        <f t="shared" ca="1" si="53"/>
        <v>-3.5655249537827921E-2</v>
      </c>
    </row>
    <row r="1056" spans="2:7" x14ac:dyDescent="0.25">
      <c r="B1056" s="348">
        <v>44378</v>
      </c>
      <c r="C1056" s="293">
        <v>203.38</v>
      </c>
      <c r="D1056" s="230">
        <f t="shared" si="52"/>
        <v>8.8582677165360835E-4</v>
      </c>
      <c r="E1056" s="293">
        <v>9.6414582705635077E-3</v>
      </c>
      <c r="F1056" s="266">
        <f t="shared" si="54"/>
        <v>1049</v>
      </c>
      <c r="G1056" s="230">
        <f t="shared" ca="1" si="53"/>
        <v>1.4379126224275651E-2</v>
      </c>
    </row>
    <row r="1057" spans="2:7" x14ac:dyDescent="0.25">
      <c r="B1057" s="348">
        <v>44348</v>
      </c>
      <c r="C1057" s="293">
        <v>203.2</v>
      </c>
      <c r="D1057" s="230">
        <f t="shared" si="52"/>
        <v>2.4612355402409136E-4</v>
      </c>
      <c r="E1057" s="293">
        <v>9.633911368015502E-3</v>
      </c>
      <c r="F1057" s="266">
        <f t="shared" si="54"/>
        <v>1050</v>
      </c>
      <c r="G1057" s="230">
        <f t="shared" ca="1" si="53"/>
        <v>-1.390894472570563E-2</v>
      </c>
    </row>
    <row r="1058" spans="2:7" x14ac:dyDescent="0.25">
      <c r="B1058" s="348">
        <v>44317</v>
      </c>
      <c r="C1058" s="293">
        <v>203.15</v>
      </c>
      <c r="D1058" s="230">
        <f t="shared" si="52"/>
        <v>2.4974772956609659E-2</v>
      </c>
      <c r="E1058" s="293">
        <v>9.5980511571254201E-3</v>
      </c>
      <c r="F1058" s="266">
        <f t="shared" si="54"/>
        <v>1051</v>
      </c>
      <c r="G1058" s="230">
        <f t="shared" ca="1" si="53"/>
        <v>-8.2851433049971317E-3</v>
      </c>
    </row>
    <row r="1059" spans="2:7" x14ac:dyDescent="0.25">
      <c r="B1059" s="348">
        <v>44287</v>
      </c>
      <c r="C1059" s="293">
        <v>198.2</v>
      </c>
      <c r="D1059" s="230">
        <f t="shared" si="52"/>
        <v>2.138624065962369E-2</v>
      </c>
      <c r="E1059" s="293">
        <v>9.5900516387394941E-3</v>
      </c>
      <c r="F1059" s="266">
        <f t="shared" si="54"/>
        <v>1052</v>
      </c>
      <c r="G1059" s="230">
        <f t="shared" ca="1" si="53"/>
        <v>-1.5299900315621421E-2</v>
      </c>
    </row>
    <row r="1060" spans="2:7" x14ac:dyDescent="0.25">
      <c r="B1060" s="348">
        <v>44197</v>
      </c>
      <c r="C1060" s="293">
        <v>194.05</v>
      </c>
      <c r="D1060" s="230">
        <f t="shared" si="52"/>
        <v>4.8156586578294025E-3</v>
      </c>
      <c r="E1060" s="293">
        <v>9.5896412403251308E-3</v>
      </c>
      <c r="F1060" s="266">
        <f t="shared" si="54"/>
        <v>1053</v>
      </c>
      <c r="G1060" s="230">
        <f t="shared" ca="1" si="53"/>
        <v>-2.8434289342908247E-3</v>
      </c>
    </row>
    <row r="1061" spans="2:7" x14ac:dyDescent="0.25">
      <c r="B1061" s="348" t="s">
        <v>1193</v>
      </c>
      <c r="C1061" s="293">
        <v>193.12</v>
      </c>
      <c r="D1061" s="230">
        <f t="shared" si="52"/>
        <v>4.7866805411032054E-3</v>
      </c>
      <c r="E1061" s="293">
        <v>9.5748375254254281E-3</v>
      </c>
      <c r="F1061" s="266">
        <f t="shared" si="54"/>
        <v>1054</v>
      </c>
      <c r="G1061" s="230">
        <f t="shared" ca="1" si="53"/>
        <v>-6.2340445283283466E-3</v>
      </c>
    </row>
    <row r="1062" spans="2:7" x14ac:dyDescent="0.25">
      <c r="B1062" s="348" t="s">
        <v>1194</v>
      </c>
      <c r="C1062" s="293">
        <v>192.2</v>
      </c>
      <c r="D1062" s="230">
        <f t="shared" si="52"/>
        <v>-1.5584415584416478E-3</v>
      </c>
      <c r="E1062" s="293">
        <v>9.5603389054270682E-3</v>
      </c>
      <c r="F1062" s="266">
        <f t="shared" si="54"/>
        <v>1055</v>
      </c>
      <c r="G1062" s="230">
        <f t="shared" ca="1" si="53"/>
        <v>2.6186082864780254E-2</v>
      </c>
    </row>
    <row r="1063" spans="2:7" x14ac:dyDescent="0.25">
      <c r="B1063" s="348" t="s">
        <v>1195</v>
      </c>
      <c r="C1063" s="293">
        <v>192.5</v>
      </c>
      <c r="D1063" s="230">
        <f t="shared" si="52"/>
        <v>5.4844606946984342E-3</v>
      </c>
      <c r="E1063" s="293">
        <v>9.5395573645382647E-3</v>
      </c>
      <c r="F1063" s="266">
        <f t="shared" si="54"/>
        <v>1056</v>
      </c>
      <c r="G1063" s="230">
        <f t="shared" ca="1" si="53"/>
        <v>2.1393996186692465E-2</v>
      </c>
    </row>
    <row r="1064" spans="2:7" x14ac:dyDescent="0.25">
      <c r="B1064" s="348" t="s">
        <v>1196</v>
      </c>
      <c r="C1064" s="293">
        <v>191.45</v>
      </c>
      <c r="D1064" s="230">
        <f t="shared" si="52"/>
        <v>1.831501831501825E-3</v>
      </c>
      <c r="E1064" s="293">
        <v>9.5389507154213238E-3</v>
      </c>
      <c r="F1064" s="266">
        <f t="shared" si="54"/>
        <v>1057</v>
      </c>
      <c r="G1064" s="230">
        <f t="shared" ca="1" si="53"/>
        <v>1.0214607352483368E-2</v>
      </c>
    </row>
    <row r="1065" spans="2:7" x14ac:dyDescent="0.25">
      <c r="B1065" s="348" t="s">
        <v>1197</v>
      </c>
      <c r="C1065" s="293">
        <v>191.1</v>
      </c>
      <c r="D1065" s="230">
        <f t="shared" si="52"/>
        <v>-8.7145969498910736E-3</v>
      </c>
      <c r="E1065" s="293">
        <v>9.491525423728886E-3</v>
      </c>
      <c r="F1065" s="266">
        <f t="shared" si="54"/>
        <v>1058</v>
      </c>
      <c r="G1065" s="230">
        <f t="shared" ca="1" si="53"/>
        <v>-1.0402709967505195E-2</v>
      </c>
    </row>
    <row r="1066" spans="2:7" x14ac:dyDescent="0.25">
      <c r="B1066" s="348" t="s">
        <v>1198</v>
      </c>
      <c r="C1066" s="293">
        <v>192.78</v>
      </c>
      <c r="D1066" s="230">
        <f t="shared" si="52"/>
        <v>5.8649093904448169E-2</v>
      </c>
      <c r="E1066" s="293">
        <v>9.4900148539363016E-3</v>
      </c>
      <c r="F1066" s="266">
        <f t="shared" si="54"/>
        <v>1059</v>
      </c>
      <c r="G1066" s="230">
        <f t="shared" ca="1" si="53"/>
        <v>1.9750115999090864E-2</v>
      </c>
    </row>
    <row r="1067" spans="2:7" x14ac:dyDescent="0.25">
      <c r="B1067" s="348" t="s">
        <v>1199</v>
      </c>
      <c r="C1067" s="293">
        <v>182.1</v>
      </c>
      <c r="D1067" s="230">
        <f t="shared" si="52"/>
        <v>2.8987964061705451E-2</v>
      </c>
      <c r="E1067" s="293">
        <v>9.4759783947693244E-3</v>
      </c>
      <c r="F1067" s="266">
        <f t="shared" si="54"/>
        <v>1060</v>
      </c>
      <c r="G1067" s="230">
        <f t="shared" ca="1" si="53"/>
        <v>-1.4385903167123005E-3</v>
      </c>
    </row>
    <row r="1068" spans="2:7" x14ac:dyDescent="0.25">
      <c r="B1068" s="348" t="s">
        <v>1200</v>
      </c>
      <c r="C1068" s="293">
        <v>176.97</v>
      </c>
      <c r="D1068" s="230">
        <f t="shared" si="52"/>
        <v>-2.646055671691061E-2</v>
      </c>
      <c r="E1068" s="293">
        <v>9.4667087409276984E-3</v>
      </c>
      <c r="F1068" s="266">
        <f t="shared" si="54"/>
        <v>1061</v>
      </c>
      <c r="G1068" s="230">
        <f t="shared" ca="1" si="53"/>
        <v>1.8476279759225056E-2</v>
      </c>
    </row>
    <row r="1069" spans="2:7" x14ac:dyDescent="0.25">
      <c r="B1069" s="348" t="s">
        <v>1201</v>
      </c>
      <c r="C1069" s="293">
        <v>181.78</v>
      </c>
      <c r="D1069" s="230">
        <f t="shared" si="52"/>
        <v>1.8660689268702679E-2</v>
      </c>
      <c r="E1069" s="293">
        <v>9.4614838760544995E-3</v>
      </c>
      <c r="F1069" s="266">
        <f t="shared" si="54"/>
        <v>1062</v>
      </c>
      <c r="G1069" s="230">
        <f t="shared" ca="1" si="53"/>
        <v>-5.4675312516748375E-3</v>
      </c>
    </row>
    <row r="1070" spans="2:7" x14ac:dyDescent="0.25">
      <c r="B1070" s="348" t="s">
        <v>1202</v>
      </c>
      <c r="C1070" s="293">
        <v>178.45</v>
      </c>
      <c r="D1070" s="230">
        <f t="shared" si="52"/>
        <v>-4.1852678571429047E-3</v>
      </c>
      <c r="E1070" s="293">
        <v>9.4597349643221751E-3</v>
      </c>
      <c r="F1070" s="266">
        <f t="shared" si="54"/>
        <v>1063</v>
      </c>
      <c r="G1070" s="230">
        <f t="shared" ca="1" si="53"/>
        <v>-2.7097158104331092E-3</v>
      </c>
    </row>
    <row r="1071" spans="2:7" x14ac:dyDescent="0.25">
      <c r="B1071" s="348" t="s">
        <v>1203</v>
      </c>
      <c r="C1071" s="293">
        <v>179.2</v>
      </c>
      <c r="D1071" s="230">
        <f t="shared" si="52"/>
        <v>1.6161043379642637E-2</v>
      </c>
      <c r="E1071" s="293">
        <v>9.437239462714242E-3</v>
      </c>
      <c r="F1071" s="266">
        <f t="shared" si="54"/>
        <v>1064</v>
      </c>
      <c r="G1071" s="230">
        <f t="shared" ca="1" si="53"/>
        <v>3.2478374815316435E-3</v>
      </c>
    </row>
    <row r="1072" spans="2:7" x14ac:dyDescent="0.25">
      <c r="B1072" s="348" t="s">
        <v>1204</v>
      </c>
      <c r="C1072" s="293">
        <v>176.35</v>
      </c>
      <c r="D1072" s="230">
        <f t="shared" si="52"/>
        <v>9.5603389054270682E-3</v>
      </c>
      <c r="E1072" s="293">
        <v>9.4274280437125491E-3</v>
      </c>
      <c r="F1072" s="266">
        <f t="shared" si="54"/>
        <v>1065</v>
      </c>
      <c r="G1072" s="230">
        <f t="shared" ca="1" si="53"/>
        <v>8.3626557851336387E-3</v>
      </c>
    </row>
    <row r="1073" spans="2:7" x14ac:dyDescent="0.25">
      <c r="B1073" s="348" t="s">
        <v>1205</v>
      </c>
      <c r="C1073" s="293">
        <v>174.68</v>
      </c>
      <c r="D1073" s="230">
        <f t="shared" si="52"/>
        <v>-1.1711456859971658E-2</v>
      </c>
      <c r="E1073" s="293">
        <v>9.4248094248092773E-3</v>
      </c>
      <c r="F1073" s="266">
        <f t="shared" si="54"/>
        <v>1066</v>
      </c>
      <c r="G1073" s="230">
        <f t="shared" ca="1" si="53"/>
        <v>-5.387732074721146E-3</v>
      </c>
    </row>
    <row r="1074" spans="2:7" x14ac:dyDescent="0.25">
      <c r="B1074" s="348">
        <v>44147</v>
      </c>
      <c r="C1074" s="293">
        <v>176.75</v>
      </c>
      <c r="D1074" s="230">
        <f t="shared" si="52"/>
        <v>-6.7434672660858785E-3</v>
      </c>
      <c r="E1074" s="293">
        <v>9.4217990677378793E-3</v>
      </c>
      <c r="F1074" s="266">
        <f t="shared" si="54"/>
        <v>1067</v>
      </c>
      <c r="G1074" s="230">
        <f t="shared" ca="1" si="53"/>
        <v>7.1928328387588607E-3</v>
      </c>
    </row>
    <row r="1075" spans="2:7" x14ac:dyDescent="0.25">
      <c r="B1075" s="348">
        <v>44116</v>
      </c>
      <c r="C1075" s="293">
        <v>177.95</v>
      </c>
      <c r="D1075" s="230">
        <f t="shared" si="52"/>
        <v>-1.0013908205841471E-2</v>
      </c>
      <c r="E1075" s="293">
        <v>9.4191522762949731E-3</v>
      </c>
      <c r="F1075" s="266">
        <f t="shared" si="54"/>
        <v>1068</v>
      </c>
      <c r="G1075" s="230">
        <f t="shared" ca="1" si="53"/>
        <v>5.1669600016562645E-3</v>
      </c>
    </row>
    <row r="1076" spans="2:7" x14ac:dyDescent="0.25">
      <c r="B1076" s="348">
        <v>44086</v>
      </c>
      <c r="C1076" s="293">
        <v>179.75</v>
      </c>
      <c r="D1076" s="230">
        <f t="shared" si="52"/>
        <v>-1.1547979103656791E-2</v>
      </c>
      <c r="E1076" s="293">
        <v>9.4093047569261401E-3</v>
      </c>
      <c r="F1076" s="266">
        <f t="shared" si="54"/>
        <v>1069</v>
      </c>
      <c r="G1076" s="230">
        <f t="shared" ca="1" si="53"/>
        <v>-4.7817029767410263E-3</v>
      </c>
    </row>
    <row r="1077" spans="2:7" x14ac:dyDescent="0.25">
      <c r="B1077" s="348">
        <v>44055</v>
      </c>
      <c r="C1077" s="293">
        <v>181.85</v>
      </c>
      <c r="D1077" s="230">
        <f t="shared" si="52"/>
        <v>1.467470148420924E-2</v>
      </c>
      <c r="E1077" s="293">
        <v>9.408602150537515E-3</v>
      </c>
      <c r="F1077" s="266">
        <f t="shared" si="54"/>
        <v>1070</v>
      </c>
      <c r="G1077" s="230">
        <f t="shared" ca="1" si="53"/>
        <v>9.8864227665615401E-4</v>
      </c>
    </row>
    <row r="1078" spans="2:7" x14ac:dyDescent="0.25">
      <c r="B1078" s="348">
        <v>44024</v>
      </c>
      <c r="C1078" s="293">
        <v>179.22</v>
      </c>
      <c r="D1078" s="230">
        <f t="shared" si="52"/>
        <v>-6.5410199556541482E-3</v>
      </c>
      <c r="E1078" s="293">
        <v>9.3984962406015171E-3</v>
      </c>
      <c r="F1078" s="266">
        <f t="shared" si="54"/>
        <v>1071</v>
      </c>
      <c r="G1078" s="230">
        <f t="shared" ca="1" si="53"/>
        <v>-1.7190358983904828E-2</v>
      </c>
    </row>
    <row r="1079" spans="2:7" x14ac:dyDescent="0.25">
      <c r="B1079" s="348">
        <v>43933</v>
      </c>
      <c r="C1079" s="293">
        <v>180.4</v>
      </c>
      <c r="D1079" s="230">
        <f t="shared" si="52"/>
        <v>1.3877324451845308E-3</v>
      </c>
      <c r="E1079" s="293">
        <v>9.386733416770765E-3</v>
      </c>
      <c r="F1079" s="266">
        <f t="shared" si="54"/>
        <v>1072</v>
      </c>
      <c r="G1079" s="230">
        <f t="shared" ca="1" si="53"/>
        <v>-2.1181935012990254E-2</v>
      </c>
    </row>
    <row r="1080" spans="2:7" x14ac:dyDescent="0.25">
      <c r="B1080" s="348">
        <v>43902</v>
      </c>
      <c r="C1080" s="293">
        <v>180.15</v>
      </c>
      <c r="D1080" s="230">
        <f t="shared" si="52"/>
        <v>3.9008080245195309E-3</v>
      </c>
      <c r="E1080" s="293">
        <v>9.3851132686082472E-3</v>
      </c>
      <c r="F1080" s="266">
        <f t="shared" si="54"/>
        <v>1073</v>
      </c>
      <c r="G1080" s="230">
        <f t="shared" ca="1" si="53"/>
        <v>-2.8716411103593693E-2</v>
      </c>
    </row>
    <row r="1081" spans="2:7" x14ac:dyDescent="0.25">
      <c r="B1081" s="348">
        <v>43873</v>
      </c>
      <c r="C1081" s="293">
        <v>179.45</v>
      </c>
      <c r="D1081" s="230">
        <f t="shared" si="52"/>
        <v>1.7117270305503585E-2</v>
      </c>
      <c r="E1081" s="293">
        <v>9.3846749226005333E-3</v>
      </c>
      <c r="F1081" s="266">
        <f t="shared" si="54"/>
        <v>1074</v>
      </c>
      <c r="G1081" s="230">
        <f t="shared" ca="1" si="53"/>
        <v>5.3455693029886035E-3</v>
      </c>
    </row>
    <row r="1082" spans="2:7" x14ac:dyDescent="0.25">
      <c r="B1082" s="348">
        <v>43842</v>
      </c>
      <c r="C1082" s="293">
        <v>176.43</v>
      </c>
      <c r="D1082" s="230">
        <f t="shared" si="52"/>
        <v>6.7332382310985039E-3</v>
      </c>
      <c r="E1082" s="293">
        <v>9.376010345942376E-3</v>
      </c>
      <c r="F1082" s="266">
        <f t="shared" si="54"/>
        <v>1075</v>
      </c>
      <c r="G1082" s="230">
        <f t="shared" ca="1" si="53"/>
        <v>3.3013255673081075E-2</v>
      </c>
    </row>
    <row r="1083" spans="2:7" x14ac:dyDescent="0.25">
      <c r="B1083" s="348" t="s">
        <v>1206</v>
      </c>
      <c r="C1083" s="293">
        <v>175.25</v>
      </c>
      <c r="D1083" s="230">
        <f t="shared" si="52"/>
        <v>-1.2286535535140697E-2</v>
      </c>
      <c r="E1083" s="293">
        <v>9.3736685129952591E-3</v>
      </c>
      <c r="F1083" s="266">
        <f t="shared" si="54"/>
        <v>1076</v>
      </c>
      <c r="G1083" s="230">
        <f t="shared" ca="1" si="53"/>
        <v>-1.0957336628727088E-2</v>
      </c>
    </row>
    <row r="1084" spans="2:7" x14ac:dyDescent="0.25">
      <c r="B1084" s="348" t="s">
        <v>1207</v>
      </c>
      <c r="C1084" s="293">
        <v>177.43</v>
      </c>
      <c r="D1084" s="230">
        <f t="shared" si="52"/>
        <v>1.3885714285714279E-2</v>
      </c>
      <c r="E1084" s="293">
        <v>9.3665507918114788E-3</v>
      </c>
      <c r="F1084" s="266">
        <f t="shared" si="54"/>
        <v>1077</v>
      </c>
      <c r="G1084" s="230">
        <f t="shared" ca="1" si="53"/>
        <v>1.774698554647236E-2</v>
      </c>
    </row>
    <row r="1085" spans="2:7" x14ac:dyDescent="0.25">
      <c r="B1085" s="348" t="s">
        <v>1208</v>
      </c>
      <c r="C1085" s="293">
        <v>175</v>
      </c>
      <c r="D1085" s="230">
        <f t="shared" si="52"/>
        <v>-1.5471167369901506E-2</v>
      </c>
      <c r="E1085" s="293">
        <v>9.3632958801497246E-3</v>
      </c>
      <c r="F1085" s="266">
        <f t="shared" si="54"/>
        <v>1078</v>
      </c>
      <c r="G1085" s="230">
        <f t="shared" ca="1" si="53"/>
        <v>3.2459869000316589E-2</v>
      </c>
    </row>
    <row r="1086" spans="2:7" x14ac:dyDescent="0.25">
      <c r="B1086" s="348" t="s">
        <v>1209</v>
      </c>
      <c r="C1086" s="293">
        <v>177.75</v>
      </c>
      <c r="D1086" s="230">
        <f t="shared" si="52"/>
        <v>-1.0116337885686111E-3</v>
      </c>
      <c r="E1086" s="293">
        <v>9.3607305936074248E-3</v>
      </c>
      <c r="F1086" s="266">
        <f t="shared" si="54"/>
        <v>1079</v>
      </c>
      <c r="G1086" s="230">
        <f t="shared" ca="1" si="53"/>
        <v>-2.3994883097923733E-2</v>
      </c>
    </row>
    <row r="1087" spans="2:7" x14ac:dyDescent="0.25">
      <c r="B1087" s="348" t="s">
        <v>1210</v>
      </c>
      <c r="C1087" s="293">
        <v>177.93</v>
      </c>
      <c r="D1087" s="230">
        <f t="shared" si="52"/>
        <v>2.7606121859659272E-2</v>
      </c>
      <c r="E1087" s="293">
        <v>9.3582887700534023E-3</v>
      </c>
      <c r="F1087" s="266">
        <f t="shared" si="54"/>
        <v>1080</v>
      </c>
      <c r="G1087" s="230">
        <f t="shared" ca="1" si="53"/>
        <v>-2.110952280055485E-2</v>
      </c>
    </row>
    <row r="1088" spans="2:7" x14ac:dyDescent="0.25">
      <c r="B1088" s="348" t="s">
        <v>1211</v>
      </c>
      <c r="C1088" s="293">
        <v>173.15</v>
      </c>
      <c r="D1088" s="230">
        <f t="shared" si="52"/>
        <v>1.0799766491535356E-2</v>
      </c>
      <c r="E1088" s="293">
        <v>9.3269009878245157E-3</v>
      </c>
      <c r="F1088" s="266">
        <f t="shared" si="54"/>
        <v>1081</v>
      </c>
      <c r="G1088" s="230">
        <f t="shared" ca="1" si="53"/>
        <v>-7.1493241959185013E-3</v>
      </c>
    </row>
    <row r="1089" spans="2:7" x14ac:dyDescent="0.25">
      <c r="B1089" s="348" t="s">
        <v>1212</v>
      </c>
      <c r="C1089" s="293">
        <v>171.3</v>
      </c>
      <c r="D1089" s="230">
        <f t="shared" si="52"/>
        <v>-7.8192875760207947E-3</v>
      </c>
      <c r="E1089" s="293">
        <v>9.3079117249663668E-3</v>
      </c>
      <c r="F1089" s="266">
        <f t="shared" si="54"/>
        <v>1082</v>
      </c>
      <c r="G1089" s="230">
        <f t="shared" ca="1" si="53"/>
        <v>7.7235191961299568E-4</v>
      </c>
    </row>
    <row r="1090" spans="2:7" x14ac:dyDescent="0.25">
      <c r="B1090" s="348" t="s">
        <v>1213</v>
      </c>
      <c r="C1090" s="293">
        <v>172.65</v>
      </c>
      <c r="D1090" s="230">
        <f t="shared" si="52"/>
        <v>-9.750501864066452E-3</v>
      </c>
      <c r="E1090" s="293">
        <v>9.2854894554610379E-3</v>
      </c>
      <c r="F1090" s="266">
        <f t="shared" si="54"/>
        <v>1083</v>
      </c>
      <c r="G1090" s="230">
        <f t="shared" ca="1" si="53"/>
        <v>5.3007509424080008E-2</v>
      </c>
    </row>
    <row r="1091" spans="2:7" x14ac:dyDescent="0.25">
      <c r="B1091" s="348" t="s">
        <v>1214</v>
      </c>
      <c r="C1091" s="293">
        <v>174.35</v>
      </c>
      <c r="D1091" s="230">
        <f t="shared" si="52"/>
        <v>9.437239462714242E-3</v>
      </c>
      <c r="E1091" s="293">
        <v>9.2838196286473273E-3</v>
      </c>
      <c r="F1091" s="266">
        <f t="shared" si="54"/>
        <v>1084</v>
      </c>
      <c r="G1091" s="230">
        <f t="shared" ca="1" si="53"/>
        <v>-1.6443882817317214E-2</v>
      </c>
    </row>
    <row r="1092" spans="2:7" x14ac:dyDescent="0.25">
      <c r="B1092" s="348" t="s">
        <v>1215</v>
      </c>
      <c r="C1092" s="293">
        <v>172.72</v>
      </c>
      <c r="D1092" s="230">
        <f t="shared" si="52"/>
        <v>3.7775323996047661E-3</v>
      </c>
      <c r="E1092" s="293">
        <v>9.2783505154638846E-3</v>
      </c>
      <c r="F1092" s="266">
        <f t="shared" si="54"/>
        <v>1085</v>
      </c>
      <c r="G1092" s="230">
        <f t="shared" ca="1" si="53"/>
        <v>2.8364831665359497E-2</v>
      </c>
    </row>
    <row r="1093" spans="2:7" x14ac:dyDescent="0.25">
      <c r="B1093" s="348" t="s">
        <v>1216</v>
      </c>
      <c r="C1093" s="293">
        <v>172.07</v>
      </c>
      <c r="D1093" s="230">
        <f t="shared" si="52"/>
        <v>-4.1092719064707017E-3</v>
      </c>
      <c r="E1093" s="293">
        <v>9.2655675160102646E-3</v>
      </c>
      <c r="F1093" s="266">
        <f t="shared" si="54"/>
        <v>1086</v>
      </c>
      <c r="G1093" s="230">
        <f t="shared" ca="1" si="53"/>
        <v>-3.4147807556083667E-3</v>
      </c>
    </row>
    <row r="1094" spans="2:7" x14ac:dyDescent="0.25">
      <c r="B1094" s="348">
        <v>44176</v>
      </c>
      <c r="C1094" s="293">
        <v>172.78</v>
      </c>
      <c r="D1094" s="230">
        <f t="shared" si="52"/>
        <v>-3.4606067597184875E-3</v>
      </c>
      <c r="E1094" s="293">
        <v>9.2562520298797857E-3</v>
      </c>
      <c r="F1094" s="266">
        <f t="shared" si="54"/>
        <v>1087</v>
      </c>
      <c r="G1094" s="230">
        <f t="shared" ca="1" si="53"/>
        <v>2.6627037562109379E-2</v>
      </c>
    </row>
    <row r="1095" spans="2:7" x14ac:dyDescent="0.25">
      <c r="B1095" s="348">
        <v>44146</v>
      </c>
      <c r="C1095" s="293">
        <v>173.38</v>
      </c>
      <c r="D1095" s="230">
        <f t="shared" si="52"/>
        <v>1.3029506281039938E-2</v>
      </c>
      <c r="E1095" s="293">
        <v>9.25147182506314E-3</v>
      </c>
      <c r="F1095" s="266">
        <f t="shared" si="54"/>
        <v>1088</v>
      </c>
      <c r="G1095" s="230">
        <f t="shared" ca="1" si="53"/>
        <v>1.9865027427504782E-2</v>
      </c>
    </row>
    <row r="1096" spans="2:7" x14ac:dyDescent="0.25">
      <c r="B1096" s="348">
        <v>44115</v>
      </c>
      <c r="C1096" s="293">
        <v>171.15</v>
      </c>
      <c r="D1096" s="230">
        <f t="shared" si="52"/>
        <v>-2.7391032562368522E-2</v>
      </c>
      <c r="E1096" s="293">
        <v>9.2466113270988082E-3</v>
      </c>
      <c r="F1096" s="266">
        <f t="shared" si="54"/>
        <v>1089</v>
      </c>
      <c r="G1096" s="230">
        <f t="shared" ca="1" si="53"/>
        <v>1.5192017240802547E-2</v>
      </c>
    </row>
    <row r="1097" spans="2:7" x14ac:dyDescent="0.25">
      <c r="B1097" s="348">
        <v>44085</v>
      </c>
      <c r="C1097" s="293">
        <v>175.97</v>
      </c>
      <c r="D1097" s="230">
        <f t="shared" ref="D1097:D1160" si="55">C1097/C1098-1</f>
        <v>1.7873669597408659E-2</v>
      </c>
      <c r="E1097" s="293">
        <v>9.2283214001591674E-3</v>
      </c>
      <c r="F1097" s="266">
        <f t="shared" si="54"/>
        <v>1090</v>
      </c>
      <c r="G1097" s="230">
        <f t="shared" ref="G1097:G1160" ca="1" si="56">_xlfn.NORM.INV(RAND(),$M$10,$M$11)</f>
        <v>2.5998739653825237E-2</v>
      </c>
    </row>
    <row r="1098" spans="2:7" x14ac:dyDescent="0.25">
      <c r="B1098" s="348">
        <v>43993</v>
      </c>
      <c r="C1098" s="293">
        <v>172.88</v>
      </c>
      <c r="D1098" s="230">
        <f t="shared" si="55"/>
        <v>1.0422698320788903E-3</v>
      </c>
      <c r="E1098" s="293">
        <v>9.2196246295686013E-3</v>
      </c>
      <c r="F1098" s="266">
        <f t="shared" ref="F1098:F1161" si="57">F1097+1</f>
        <v>1091</v>
      </c>
      <c r="G1098" s="230">
        <f t="shared" ca="1" si="56"/>
        <v>-3.8885808393471957E-2</v>
      </c>
    </row>
    <row r="1099" spans="2:7" x14ac:dyDescent="0.25">
      <c r="B1099" s="348">
        <v>43962</v>
      </c>
      <c r="C1099" s="293">
        <v>172.7</v>
      </c>
      <c r="D1099" s="230">
        <f t="shared" si="55"/>
        <v>7.1732664606052321E-3</v>
      </c>
      <c r="E1099" s="293">
        <v>9.2145677928916481E-3</v>
      </c>
      <c r="F1099" s="266">
        <f t="shared" si="57"/>
        <v>1092</v>
      </c>
      <c r="G1099" s="230">
        <f t="shared" ca="1" si="56"/>
        <v>1.2933459620699557E-2</v>
      </c>
    </row>
    <row r="1100" spans="2:7" x14ac:dyDescent="0.25">
      <c r="B1100" s="348">
        <v>43932</v>
      </c>
      <c r="C1100" s="293">
        <v>171.47</v>
      </c>
      <c r="D1100" s="230">
        <f t="shared" si="55"/>
        <v>2.1749493504945816E-2</v>
      </c>
      <c r="E1100" s="293">
        <v>9.1522880720180666E-3</v>
      </c>
      <c r="F1100" s="266">
        <f t="shared" si="57"/>
        <v>1093</v>
      </c>
      <c r="G1100" s="230">
        <f t="shared" ca="1" si="56"/>
        <v>-5.6136346343124959E-3</v>
      </c>
    </row>
    <row r="1101" spans="2:7" x14ac:dyDescent="0.25">
      <c r="B1101" s="348">
        <v>43901</v>
      </c>
      <c r="C1101" s="293">
        <v>167.82</v>
      </c>
      <c r="D1101" s="230">
        <f t="shared" si="55"/>
        <v>2.5089605734767151E-3</v>
      </c>
      <c r="E1101" s="293">
        <v>9.1269475430995062E-3</v>
      </c>
      <c r="F1101" s="266">
        <f t="shared" si="57"/>
        <v>1094</v>
      </c>
      <c r="G1101" s="230">
        <f t="shared" ca="1" si="56"/>
        <v>-1.5340227508386992E-2</v>
      </c>
    </row>
    <row r="1102" spans="2:7" x14ac:dyDescent="0.25">
      <c r="B1102" s="348">
        <v>43872</v>
      </c>
      <c r="C1102" s="293">
        <v>167.4</v>
      </c>
      <c r="D1102" s="230">
        <f t="shared" si="55"/>
        <v>-1.7317287936601033E-2</v>
      </c>
      <c r="E1102" s="293">
        <v>9.1199270405835087E-3</v>
      </c>
      <c r="F1102" s="266">
        <f t="shared" si="57"/>
        <v>1095</v>
      </c>
      <c r="G1102" s="230">
        <f t="shared" ca="1" si="56"/>
        <v>-3.1799822114048748E-2</v>
      </c>
    </row>
    <row r="1103" spans="2:7" x14ac:dyDescent="0.25">
      <c r="B1103" s="348" t="s">
        <v>1217</v>
      </c>
      <c r="C1103" s="293">
        <v>170.35</v>
      </c>
      <c r="D1103" s="230">
        <f t="shared" si="55"/>
        <v>9.6609767662398927E-3</v>
      </c>
      <c r="E1103" s="293">
        <v>9.1185410334344574E-3</v>
      </c>
      <c r="F1103" s="266">
        <f t="shared" si="57"/>
        <v>1096</v>
      </c>
      <c r="G1103" s="230">
        <f t="shared" ca="1" si="56"/>
        <v>2.4662221997365744E-2</v>
      </c>
    </row>
    <row r="1104" spans="2:7" x14ac:dyDescent="0.25">
      <c r="B1104" s="348" t="s">
        <v>1218</v>
      </c>
      <c r="C1104" s="293">
        <v>168.72</v>
      </c>
      <c r="D1104" s="230">
        <f t="shared" si="55"/>
        <v>5.3628888094388039E-3</v>
      </c>
      <c r="E1104" s="293">
        <v>9.0990848013543513E-3</v>
      </c>
      <c r="F1104" s="266">
        <f t="shared" si="57"/>
        <v>1097</v>
      </c>
      <c r="G1104" s="230">
        <f t="shared" ca="1" si="56"/>
        <v>-4.1706051756350412E-3</v>
      </c>
    </row>
    <row r="1105" spans="2:7" x14ac:dyDescent="0.25">
      <c r="B1105" s="348" t="s">
        <v>1219</v>
      </c>
      <c r="C1105" s="293">
        <v>167.82</v>
      </c>
      <c r="D1105" s="230">
        <f t="shared" si="55"/>
        <v>4.7296892773753818E-3</v>
      </c>
      <c r="E1105" s="293">
        <v>9.0848659428317546E-3</v>
      </c>
      <c r="F1105" s="266">
        <f t="shared" si="57"/>
        <v>1098</v>
      </c>
      <c r="G1105" s="230">
        <f t="shared" ca="1" si="56"/>
        <v>5.6764616811101924E-5</v>
      </c>
    </row>
    <row r="1106" spans="2:7" x14ac:dyDescent="0.25">
      <c r="B1106" s="348" t="s">
        <v>1220</v>
      </c>
      <c r="C1106" s="293">
        <v>167.03</v>
      </c>
      <c r="D1106" s="230">
        <f t="shared" si="55"/>
        <v>-1.6892289582107201E-2</v>
      </c>
      <c r="E1106" s="293">
        <v>9.0812481885806928E-3</v>
      </c>
      <c r="F1106" s="266">
        <f t="shared" si="57"/>
        <v>1099</v>
      </c>
      <c r="G1106" s="230">
        <f t="shared" ca="1" si="56"/>
        <v>1.9714193349600263E-2</v>
      </c>
    </row>
    <row r="1107" spans="2:7" x14ac:dyDescent="0.25">
      <c r="B1107" s="348" t="s">
        <v>1221</v>
      </c>
      <c r="C1107" s="293">
        <v>169.9</v>
      </c>
      <c r="D1107" s="230">
        <f t="shared" si="55"/>
        <v>-7.5934579439251859E-3</v>
      </c>
      <c r="E1107" s="293">
        <v>9.0797168359493252E-3</v>
      </c>
      <c r="F1107" s="266">
        <f t="shared" si="57"/>
        <v>1100</v>
      </c>
      <c r="G1107" s="230">
        <f t="shared" ca="1" si="56"/>
        <v>-5.4103745069907547E-2</v>
      </c>
    </row>
    <row r="1108" spans="2:7" x14ac:dyDescent="0.25">
      <c r="B1108" s="348" t="s">
        <v>1222</v>
      </c>
      <c r="C1108" s="293">
        <v>171.2</v>
      </c>
      <c r="D1108" s="230">
        <f t="shared" si="55"/>
        <v>-5.9226570665428246E-3</v>
      </c>
      <c r="E1108" s="293">
        <v>9.078996630475622E-3</v>
      </c>
      <c r="F1108" s="266">
        <f t="shared" si="57"/>
        <v>1101</v>
      </c>
      <c r="G1108" s="230">
        <f t="shared" ca="1" si="56"/>
        <v>-6.9616969635573475E-4</v>
      </c>
    </row>
    <row r="1109" spans="2:7" x14ac:dyDescent="0.25">
      <c r="B1109" s="348" t="s">
        <v>1223</v>
      </c>
      <c r="C1109" s="293">
        <v>172.22</v>
      </c>
      <c r="D1109" s="230">
        <f t="shared" si="55"/>
        <v>2.9117167481946815E-3</v>
      </c>
      <c r="E1109" s="293">
        <v>9.0666157663676916E-3</v>
      </c>
      <c r="F1109" s="266">
        <f t="shared" si="57"/>
        <v>1102</v>
      </c>
      <c r="G1109" s="230">
        <f t="shared" ca="1" si="56"/>
        <v>9.9587578018361868E-4</v>
      </c>
    </row>
    <row r="1110" spans="2:7" x14ac:dyDescent="0.25">
      <c r="B1110" s="348" t="s">
        <v>1224</v>
      </c>
      <c r="C1110" s="293">
        <v>171.72</v>
      </c>
      <c r="D1110" s="230">
        <f t="shared" si="55"/>
        <v>-9.5743453685546154E-3</v>
      </c>
      <c r="E1110" s="293">
        <v>9.0282337491791598E-3</v>
      </c>
      <c r="F1110" s="266">
        <f t="shared" si="57"/>
        <v>1103</v>
      </c>
      <c r="G1110" s="230">
        <f t="shared" ca="1" si="56"/>
        <v>-2.3061292795430982E-2</v>
      </c>
    </row>
    <row r="1111" spans="2:7" x14ac:dyDescent="0.25">
      <c r="B1111" s="348" t="s">
        <v>1225</v>
      </c>
      <c r="C1111" s="293">
        <v>173.38</v>
      </c>
      <c r="D1111" s="230">
        <f t="shared" si="55"/>
        <v>1.0372960372960316E-2</v>
      </c>
      <c r="E1111" s="293">
        <v>9.0045841519319492E-3</v>
      </c>
      <c r="F1111" s="266">
        <f t="shared" si="57"/>
        <v>1104</v>
      </c>
      <c r="G1111" s="230">
        <f t="shared" ca="1" si="56"/>
        <v>-2.3878237147085833E-2</v>
      </c>
    </row>
    <row r="1112" spans="2:7" x14ac:dyDescent="0.25">
      <c r="B1112" s="348" t="s">
        <v>1226</v>
      </c>
      <c r="C1112" s="293">
        <v>171.6</v>
      </c>
      <c r="D1112" s="230">
        <f t="shared" si="55"/>
        <v>1.0481686491579323E-2</v>
      </c>
      <c r="E1112" s="293">
        <v>8.9429030038981061E-3</v>
      </c>
      <c r="F1112" s="266">
        <f t="shared" si="57"/>
        <v>1105</v>
      </c>
      <c r="G1112" s="230">
        <f t="shared" ca="1" si="56"/>
        <v>-4.1262113117739814E-2</v>
      </c>
    </row>
    <row r="1113" spans="2:7" x14ac:dyDescent="0.25">
      <c r="B1113" s="348" t="s">
        <v>1227</v>
      </c>
      <c r="C1113" s="293">
        <v>169.82</v>
      </c>
      <c r="D1113" s="230">
        <f t="shared" si="55"/>
        <v>-5.7377049180329376E-3</v>
      </c>
      <c r="E1113" s="293">
        <v>8.9277143131418768E-3</v>
      </c>
      <c r="F1113" s="266">
        <f t="shared" si="57"/>
        <v>1106</v>
      </c>
      <c r="G1113" s="230">
        <f t="shared" ca="1" si="56"/>
        <v>-3.9738736361546532E-2</v>
      </c>
    </row>
    <row r="1114" spans="2:7" x14ac:dyDescent="0.25">
      <c r="B1114" s="348" t="s">
        <v>1228</v>
      </c>
      <c r="C1114" s="293">
        <v>170.8</v>
      </c>
      <c r="D1114" s="230">
        <f t="shared" si="55"/>
        <v>-2.5225430886885003E-2</v>
      </c>
      <c r="E1114" s="293">
        <v>8.9051859612361284E-3</v>
      </c>
      <c r="F1114" s="266">
        <f t="shared" si="57"/>
        <v>1107</v>
      </c>
      <c r="G1114" s="230">
        <f t="shared" ca="1" si="56"/>
        <v>1.2377410315679554E-2</v>
      </c>
    </row>
    <row r="1115" spans="2:7" x14ac:dyDescent="0.25">
      <c r="B1115" s="348" t="s">
        <v>1229</v>
      </c>
      <c r="C1115" s="293">
        <v>175.22</v>
      </c>
      <c r="D1115" s="230">
        <f t="shared" si="55"/>
        <v>-6.7829972868010846E-2</v>
      </c>
      <c r="E1115" s="293">
        <v>8.8752945895802515E-3</v>
      </c>
      <c r="F1115" s="266">
        <f t="shared" si="57"/>
        <v>1108</v>
      </c>
      <c r="G1115" s="230">
        <f t="shared" ca="1" si="56"/>
        <v>1.6569115309166049E-2</v>
      </c>
    </row>
    <row r="1116" spans="2:7" x14ac:dyDescent="0.25">
      <c r="B1116" s="348" t="s">
        <v>1230</v>
      </c>
      <c r="C1116" s="293">
        <v>187.97</v>
      </c>
      <c r="D1116" s="230">
        <f t="shared" si="55"/>
        <v>-4.1324503311258587E-3</v>
      </c>
      <c r="E1116" s="293">
        <v>8.8707266022127751E-3</v>
      </c>
      <c r="F1116" s="266">
        <f t="shared" si="57"/>
        <v>1109</v>
      </c>
      <c r="G1116" s="230">
        <f t="shared" ca="1" si="56"/>
        <v>4.7269402303857497E-2</v>
      </c>
    </row>
    <row r="1117" spans="2:7" x14ac:dyDescent="0.25">
      <c r="B1117" s="348">
        <v>44175</v>
      </c>
      <c r="C1117" s="293">
        <v>188.75</v>
      </c>
      <c r="D1117" s="230">
        <f t="shared" si="55"/>
        <v>9.3582887700534023E-3</v>
      </c>
      <c r="E1117" s="293">
        <v>8.8623912342893352E-3</v>
      </c>
      <c r="F1117" s="266">
        <f t="shared" si="57"/>
        <v>1110</v>
      </c>
      <c r="G1117" s="230">
        <f t="shared" ca="1" si="56"/>
        <v>9.8668260641437289E-3</v>
      </c>
    </row>
    <row r="1118" spans="2:7" x14ac:dyDescent="0.25">
      <c r="B1118" s="348">
        <v>44084</v>
      </c>
      <c r="C1118" s="293">
        <v>187</v>
      </c>
      <c r="D1118" s="230">
        <f t="shared" si="55"/>
        <v>4.0507456042733203E-2</v>
      </c>
      <c r="E1118" s="293">
        <v>8.8466579292267866E-3</v>
      </c>
      <c r="F1118" s="266">
        <f t="shared" si="57"/>
        <v>1111</v>
      </c>
      <c r="G1118" s="230">
        <f t="shared" ca="1" si="56"/>
        <v>2.0550516485144256E-2</v>
      </c>
    </row>
    <row r="1119" spans="2:7" x14ac:dyDescent="0.25">
      <c r="B1119" s="348">
        <v>44053</v>
      </c>
      <c r="C1119" s="293">
        <v>179.72</v>
      </c>
      <c r="D1119" s="230">
        <f t="shared" si="55"/>
        <v>7.1995228153892032E-2</v>
      </c>
      <c r="E1119" s="293">
        <v>8.8383838383838675E-3</v>
      </c>
      <c r="F1119" s="266">
        <f t="shared" si="57"/>
        <v>1112</v>
      </c>
      <c r="G1119" s="230">
        <f t="shared" ca="1" si="56"/>
        <v>-1.2669181858764303E-2</v>
      </c>
    </row>
    <row r="1120" spans="2:7" x14ac:dyDescent="0.25">
      <c r="B1120" s="348">
        <v>44022</v>
      </c>
      <c r="C1120" s="293">
        <v>167.65</v>
      </c>
      <c r="D1120" s="230">
        <f t="shared" si="55"/>
        <v>1.5875901351269484E-2</v>
      </c>
      <c r="E1120" s="293">
        <v>8.8152798183518399E-3</v>
      </c>
      <c r="F1120" s="266">
        <f t="shared" si="57"/>
        <v>1113</v>
      </c>
      <c r="G1120" s="230">
        <f t="shared" ca="1" si="56"/>
        <v>4.4604119418317854E-3</v>
      </c>
    </row>
    <row r="1121" spans="2:7" x14ac:dyDescent="0.25">
      <c r="B1121" s="348">
        <v>43992</v>
      </c>
      <c r="C1121" s="293">
        <v>165.03</v>
      </c>
      <c r="D1121" s="230">
        <f t="shared" si="55"/>
        <v>-1.1618853686290898E-2</v>
      </c>
      <c r="E1121" s="293">
        <v>8.8070456365092475E-3</v>
      </c>
      <c r="F1121" s="266">
        <f t="shared" si="57"/>
        <v>1114</v>
      </c>
      <c r="G1121" s="230">
        <f t="shared" ca="1" si="56"/>
        <v>-4.184003693599541E-3</v>
      </c>
    </row>
    <row r="1122" spans="2:7" x14ac:dyDescent="0.25">
      <c r="B1122" s="348">
        <v>43961</v>
      </c>
      <c r="C1122" s="293">
        <v>166.97</v>
      </c>
      <c r="D1122" s="230">
        <f t="shared" si="55"/>
        <v>6.6696479908004758E-2</v>
      </c>
      <c r="E1122" s="293">
        <v>8.8052646213736541E-3</v>
      </c>
      <c r="F1122" s="266">
        <f t="shared" si="57"/>
        <v>1115</v>
      </c>
      <c r="G1122" s="230">
        <f t="shared" ca="1" si="56"/>
        <v>3.5247589732881376E-2</v>
      </c>
    </row>
    <row r="1123" spans="2:7" x14ac:dyDescent="0.25">
      <c r="B1123" s="348">
        <v>43840</v>
      </c>
      <c r="C1123" s="293">
        <v>156.53</v>
      </c>
      <c r="D1123" s="230">
        <f t="shared" si="55"/>
        <v>-1.5945911468299157E-3</v>
      </c>
      <c r="E1123" s="293">
        <v>8.7927287097411266E-3</v>
      </c>
      <c r="F1123" s="266">
        <f t="shared" si="57"/>
        <v>1116</v>
      </c>
      <c r="G1123" s="230">
        <f t="shared" ca="1" si="56"/>
        <v>3.1334189841572241E-2</v>
      </c>
    </row>
    <row r="1124" spans="2:7" x14ac:dyDescent="0.25">
      <c r="B1124" s="348" t="s">
        <v>1231</v>
      </c>
      <c r="C1124" s="293">
        <v>156.78</v>
      </c>
      <c r="D1124" s="230">
        <f t="shared" si="55"/>
        <v>6.6131621187801581E-3</v>
      </c>
      <c r="E1124" s="293">
        <v>8.7854798223594432E-3</v>
      </c>
      <c r="F1124" s="266">
        <f t="shared" si="57"/>
        <v>1117</v>
      </c>
      <c r="G1124" s="230">
        <f t="shared" ca="1" si="56"/>
        <v>2.123562963365172E-2</v>
      </c>
    </row>
    <row r="1125" spans="2:7" x14ac:dyDescent="0.25">
      <c r="B1125" s="348" t="s">
        <v>1232</v>
      </c>
      <c r="C1125" s="293">
        <v>155.75</v>
      </c>
      <c r="D1125" s="230">
        <f t="shared" si="55"/>
        <v>-1.9257927846960676E-4</v>
      </c>
      <c r="E1125" s="293">
        <v>8.775381709428709E-3</v>
      </c>
      <c r="F1125" s="266">
        <f t="shared" si="57"/>
        <v>1118</v>
      </c>
      <c r="G1125" s="230">
        <f t="shared" ca="1" si="56"/>
        <v>1.2847804597586232E-3</v>
      </c>
    </row>
    <row r="1126" spans="2:7" x14ac:dyDescent="0.25">
      <c r="B1126" s="348" t="s">
        <v>1233</v>
      </c>
      <c r="C1126" s="293">
        <v>155.78</v>
      </c>
      <c r="D1126" s="230">
        <f t="shared" si="55"/>
        <v>-7.4546033768715381E-3</v>
      </c>
      <c r="E1126" s="293">
        <v>8.7703270601133809E-3</v>
      </c>
      <c r="F1126" s="266">
        <f t="shared" si="57"/>
        <v>1119</v>
      </c>
      <c r="G1126" s="230">
        <f t="shared" ca="1" si="56"/>
        <v>-7.7191152560731422E-3</v>
      </c>
    </row>
    <row r="1127" spans="2:7" x14ac:dyDescent="0.25">
      <c r="B1127" s="348" t="s">
        <v>1234</v>
      </c>
      <c r="C1127" s="293">
        <v>156.94999999999999</v>
      </c>
      <c r="D1127" s="230">
        <f t="shared" si="55"/>
        <v>3.0193633081719629E-2</v>
      </c>
      <c r="E1127" s="293">
        <v>8.7647219939741561E-3</v>
      </c>
      <c r="F1127" s="266">
        <f t="shared" si="57"/>
        <v>1120</v>
      </c>
      <c r="G1127" s="230">
        <f t="shared" ca="1" si="56"/>
        <v>1.8774543996161373E-2</v>
      </c>
    </row>
    <row r="1128" spans="2:7" x14ac:dyDescent="0.25">
      <c r="B1128" s="348" t="s">
        <v>1235</v>
      </c>
      <c r="C1128" s="293">
        <v>152.35</v>
      </c>
      <c r="D1128" s="230">
        <f t="shared" si="55"/>
        <v>-3.22683097249572E-2</v>
      </c>
      <c r="E1128" s="293">
        <v>8.75370919881302E-3</v>
      </c>
      <c r="F1128" s="266">
        <f t="shared" si="57"/>
        <v>1121</v>
      </c>
      <c r="G1128" s="230">
        <f t="shared" ca="1" si="56"/>
        <v>-1.7448360072935286E-2</v>
      </c>
    </row>
    <row r="1129" spans="2:7" x14ac:dyDescent="0.25">
      <c r="B1129" s="348" t="s">
        <v>1236</v>
      </c>
      <c r="C1129" s="293">
        <v>157.43</v>
      </c>
      <c r="D1129" s="230">
        <f t="shared" si="55"/>
        <v>8.390981296438671E-3</v>
      </c>
      <c r="E1129" s="293">
        <v>8.7411866573208208E-3</v>
      </c>
      <c r="F1129" s="266">
        <f t="shared" si="57"/>
        <v>1122</v>
      </c>
      <c r="G1129" s="230">
        <f t="shared" ca="1" si="56"/>
        <v>-2.1247361526577621E-2</v>
      </c>
    </row>
    <row r="1130" spans="2:7" x14ac:dyDescent="0.25">
      <c r="B1130" s="348" t="s">
        <v>1237</v>
      </c>
      <c r="C1130" s="293">
        <v>156.12</v>
      </c>
      <c r="D1130" s="230">
        <f t="shared" si="55"/>
        <v>1.0900929785189195E-3</v>
      </c>
      <c r="E1130" s="293">
        <v>8.7396504139836129E-3</v>
      </c>
      <c r="F1130" s="266">
        <f t="shared" si="57"/>
        <v>1123</v>
      </c>
      <c r="G1130" s="230">
        <f t="shared" ca="1" si="56"/>
        <v>4.0269870096062733E-2</v>
      </c>
    </row>
    <row r="1131" spans="2:7" x14ac:dyDescent="0.25">
      <c r="B1131" s="348" t="s">
        <v>1238</v>
      </c>
      <c r="C1131" s="293">
        <v>155.94999999999999</v>
      </c>
      <c r="D1131" s="230">
        <f t="shared" si="55"/>
        <v>-1.4533965244865832E-2</v>
      </c>
      <c r="E1131" s="293">
        <v>8.7272727272726947E-3</v>
      </c>
      <c r="F1131" s="266">
        <f t="shared" si="57"/>
        <v>1124</v>
      </c>
      <c r="G1131" s="230">
        <f t="shared" ca="1" si="56"/>
        <v>7.0599099961366554E-3</v>
      </c>
    </row>
    <row r="1132" spans="2:7" x14ac:dyDescent="0.25">
      <c r="B1132" s="348" t="s">
        <v>1239</v>
      </c>
      <c r="C1132" s="293">
        <v>158.25</v>
      </c>
      <c r="D1132" s="230">
        <f t="shared" si="55"/>
        <v>1.5399422521655382E-2</v>
      </c>
      <c r="E1132" s="293">
        <v>8.7261527932243066E-3</v>
      </c>
      <c r="F1132" s="266">
        <f t="shared" si="57"/>
        <v>1125</v>
      </c>
      <c r="G1132" s="230">
        <f t="shared" ca="1" si="56"/>
        <v>-3.8266048389674736E-3</v>
      </c>
    </row>
    <row r="1133" spans="2:7" x14ac:dyDescent="0.25">
      <c r="B1133" s="348" t="s">
        <v>1240</v>
      </c>
      <c r="C1133" s="293">
        <v>155.85</v>
      </c>
      <c r="D1133" s="230">
        <f t="shared" si="55"/>
        <v>-1.4096238867175037E-3</v>
      </c>
      <c r="E1133" s="293">
        <v>8.7173100871731357E-3</v>
      </c>
      <c r="F1133" s="266">
        <f t="shared" si="57"/>
        <v>1126</v>
      </c>
      <c r="G1133" s="230">
        <f t="shared" ca="1" si="56"/>
        <v>-7.0287629083878801E-4</v>
      </c>
    </row>
    <row r="1134" spans="2:7" x14ac:dyDescent="0.25">
      <c r="B1134" s="348" t="s">
        <v>1241</v>
      </c>
      <c r="C1134" s="293">
        <v>156.07</v>
      </c>
      <c r="D1134" s="230">
        <f t="shared" si="55"/>
        <v>1.5551795939614754E-2</v>
      </c>
      <c r="E1134" s="293">
        <v>8.7033053002152361E-3</v>
      </c>
      <c r="F1134" s="266">
        <f t="shared" si="57"/>
        <v>1127</v>
      </c>
      <c r="G1134" s="230">
        <f t="shared" ca="1" si="56"/>
        <v>2.737884763011094E-2</v>
      </c>
    </row>
    <row r="1135" spans="2:7" x14ac:dyDescent="0.25">
      <c r="B1135" s="348" t="s">
        <v>1242</v>
      </c>
      <c r="C1135" s="293">
        <v>153.68</v>
      </c>
      <c r="D1135" s="230">
        <f t="shared" si="55"/>
        <v>5.2083333333330373E-4</v>
      </c>
      <c r="E1135" s="293">
        <v>8.698752228164075E-3</v>
      </c>
      <c r="F1135" s="266">
        <f t="shared" si="57"/>
        <v>1128</v>
      </c>
      <c r="G1135" s="230">
        <f t="shared" ca="1" si="56"/>
        <v>-2.3765406294495049E-2</v>
      </c>
    </row>
    <row r="1136" spans="2:7" x14ac:dyDescent="0.25">
      <c r="B1136" s="348" t="s">
        <v>1243</v>
      </c>
      <c r="C1136" s="293">
        <v>153.6</v>
      </c>
      <c r="D1136" s="230">
        <f t="shared" si="55"/>
        <v>4.7391749062393407E-2</v>
      </c>
      <c r="E1136" s="293">
        <v>8.6920529801324253E-3</v>
      </c>
      <c r="F1136" s="266">
        <f t="shared" si="57"/>
        <v>1129</v>
      </c>
      <c r="G1136" s="230">
        <f t="shared" ca="1" si="56"/>
        <v>-9.5873854075654991E-3</v>
      </c>
    </row>
    <row r="1137" spans="2:7" x14ac:dyDescent="0.25">
      <c r="B1137" s="348">
        <v>44144</v>
      </c>
      <c r="C1137" s="293">
        <v>146.65</v>
      </c>
      <c r="D1137" s="230">
        <f t="shared" si="55"/>
        <v>3.0714084903008088E-2</v>
      </c>
      <c r="E1137" s="293">
        <v>8.6861736553462965E-3</v>
      </c>
      <c r="F1137" s="266">
        <f t="shared" si="57"/>
        <v>1130</v>
      </c>
      <c r="G1137" s="230">
        <f t="shared" ca="1" si="56"/>
        <v>-6.9061798669769626E-3</v>
      </c>
    </row>
    <row r="1138" spans="2:7" x14ac:dyDescent="0.25">
      <c r="B1138" s="348">
        <v>44113</v>
      </c>
      <c r="C1138" s="293">
        <v>142.28</v>
      </c>
      <c r="D1138" s="230">
        <f t="shared" si="55"/>
        <v>6.0100403026230875E-3</v>
      </c>
      <c r="E1138" s="293">
        <v>8.685052567423579E-3</v>
      </c>
      <c r="F1138" s="266">
        <f t="shared" si="57"/>
        <v>1131</v>
      </c>
      <c r="G1138" s="230">
        <f t="shared" ca="1" si="56"/>
        <v>2.8096154179223745E-2</v>
      </c>
    </row>
    <row r="1139" spans="2:7" x14ac:dyDescent="0.25">
      <c r="B1139" s="348">
        <v>44083</v>
      </c>
      <c r="C1139" s="293">
        <v>141.43</v>
      </c>
      <c r="D1139" s="230">
        <f t="shared" si="55"/>
        <v>1.0617214043036061E-3</v>
      </c>
      <c r="E1139" s="293">
        <v>8.6844962005327986E-3</v>
      </c>
      <c r="F1139" s="266">
        <f t="shared" si="57"/>
        <v>1132</v>
      </c>
      <c r="G1139" s="230">
        <f t="shared" ca="1" si="56"/>
        <v>5.3547970593851885E-2</v>
      </c>
    </row>
    <row r="1140" spans="2:7" x14ac:dyDescent="0.25">
      <c r="B1140" s="348">
        <v>44052</v>
      </c>
      <c r="C1140" s="293">
        <v>141.28</v>
      </c>
      <c r="D1140" s="230">
        <f t="shared" si="55"/>
        <v>1.363179796240499E-2</v>
      </c>
      <c r="E1140" s="293">
        <v>8.674518601607728E-3</v>
      </c>
      <c r="F1140" s="266">
        <f t="shared" si="57"/>
        <v>1133</v>
      </c>
      <c r="G1140" s="230">
        <f t="shared" ca="1" si="56"/>
        <v>4.1656256290217427E-3</v>
      </c>
    </row>
    <row r="1141" spans="2:7" x14ac:dyDescent="0.25">
      <c r="B1141" s="348">
        <v>44021</v>
      </c>
      <c r="C1141" s="293">
        <v>139.38</v>
      </c>
      <c r="D1141" s="230">
        <f t="shared" si="55"/>
        <v>1.0000000000000009E-2</v>
      </c>
      <c r="E1141" s="293">
        <v>8.6710930532156727E-3</v>
      </c>
      <c r="F1141" s="266">
        <f t="shared" si="57"/>
        <v>1134</v>
      </c>
      <c r="G1141" s="230">
        <f t="shared" ca="1" si="56"/>
        <v>3.6220374986861898E-4</v>
      </c>
    </row>
    <row r="1142" spans="2:7" x14ac:dyDescent="0.25">
      <c r="B1142" s="348">
        <v>43930</v>
      </c>
      <c r="C1142" s="293">
        <v>138</v>
      </c>
      <c r="D1142" s="230">
        <f t="shared" si="55"/>
        <v>-2.4252280279997263E-2</v>
      </c>
      <c r="E1142" s="293">
        <v>8.671083398285262E-3</v>
      </c>
      <c r="F1142" s="266">
        <f t="shared" si="57"/>
        <v>1135</v>
      </c>
      <c r="G1142" s="230">
        <f t="shared" ca="1" si="56"/>
        <v>3.0924600059828382E-2</v>
      </c>
    </row>
    <row r="1143" spans="2:7" x14ac:dyDescent="0.25">
      <c r="B1143" s="348">
        <v>43899</v>
      </c>
      <c r="C1143" s="293">
        <v>141.43</v>
      </c>
      <c r="D1143" s="230">
        <f t="shared" si="55"/>
        <v>3.3467299963463759E-2</v>
      </c>
      <c r="E1143" s="293">
        <v>8.6629788122325468E-3</v>
      </c>
      <c r="F1143" s="266">
        <f t="shared" si="57"/>
        <v>1136</v>
      </c>
      <c r="G1143" s="230">
        <f t="shared" ca="1" si="56"/>
        <v>6.0716791883881661E-3</v>
      </c>
    </row>
    <row r="1144" spans="2:7" x14ac:dyDescent="0.25">
      <c r="B1144" s="348">
        <v>43870</v>
      </c>
      <c r="C1144" s="293">
        <v>136.85</v>
      </c>
      <c r="D1144" s="230">
        <f t="shared" si="55"/>
        <v>7.7319587628865705E-3</v>
      </c>
      <c r="E1144" s="293">
        <v>8.6590796635328537E-3</v>
      </c>
      <c r="F1144" s="266">
        <f t="shared" si="57"/>
        <v>1137</v>
      </c>
      <c r="G1144" s="230">
        <f t="shared" ca="1" si="56"/>
        <v>-1.7023053675171824E-2</v>
      </c>
    </row>
    <row r="1145" spans="2:7" x14ac:dyDescent="0.25">
      <c r="B1145" s="348">
        <v>43839</v>
      </c>
      <c r="C1145" s="293">
        <v>135.80000000000001</v>
      </c>
      <c r="D1145" s="230">
        <f t="shared" si="55"/>
        <v>1.1057869517139274E-3</v>
      </c>
      <c r="E1145" s="293">
        <v>8.6563793752352236E-3</v>
      </c>
      <c r="F1145" s="266">
        <f t="shared" si="57"/>
        <v>1138</v>
      </c>
      <c r="G1145" s="230">
        <f t="shared" ca="1" si="56"/>
        <v>3.5101198972214468E-3</v>
      </c>
    </row>
    <row r="1146" spans="2:7" x14ac:dyDescent="0.25">
      <c r="B1146" s="348" t="s">
        <v>1244</v>
      </c>
      <c r="C1146" s="293">
        <v>135.65</v>
      </c>
      <c r="D1146" s="230">
        <f t="shared" si="55"/>
        <v>-2.7935014335073172E-3</v>
      </c>
      <c r="E1146" s="293">
        <v>8.6501901140683124E-3</v>
      </c>
      <c r="F1146" s="266">
        <f t="shared" si="57"/>
        <v>1139</v>
      </c>
      <c r="G1146" s="230">
        <f t="shared" ca="1" si="56"/>
        <v>-7.2224475805769545E-3</v>
      </c>
    </row>
    <row r="1147" spans="2:7" x14ac:dyDescent="0.25">
      <c r="B1147" s="348" t="s">
        <v>1245</v>
      </c>
      <c r="C1147" s="293">
        <v>136.03</v>
      </c>
      <c r="D1147" s="230">
        <f t="shared" si="55"/>
        <v>-1.1014833308856664E-3</v>
      </c>
      <c r="E1147" s="293">
        <v>8.6446434084594959E-3</v>
      </c>
      <c r="F1147" s="266">
        <f t="shared" si="57"/>
        <v>1140</v>
      </c>
      <c r="G1147" s="230">
        <f t="shared" ca="1" si="56"/>
        <v>2.7778363288368121E-2</v>
      </c>
    </row>
    <row r="1148" spans="2:7" x14ac:dyDescent="0.25">
      <c r="B1148" s="348" t="s">
        <v>1246</v>
      </c>
      <c r="C1148" s="293">
        <v>136.18</v>
      </c>
      <c r="D1148" s="230">
        <f t="shared" si="55"/>
        <v>1.1026979342791954E-3</v>
      </c>
      <c r="E1148" s="293">
        <v>8.638894221539628E-3</v>
      </c>
      <c r="F1148" s="266">
        <f t="shared" si="57"/>
        <v>1141</v>
      </c>
      <c r="G1148" s="230">
        <f t="shared" ca="1" si="56"/>
        <v>1.0449282130312256E-3</v>
      </c>
    </row>
    <row r="1149" spans="2:7" x14ac:dyDescent="0.25">
      <c r="B1149" s="348" t="s">
        <v>1247</v>
      </c>
      <c r="C1149" s="293">
        <v>136.03</v>
      </c>
      <c r="D1149" s="230">
        <f t="shared" si="55"/>
        <v>7.8535970956508105E-3</v>
      </c>
      <c r="E1149" s="293">
        <v>8.6374433167781817E-3</v>
      </c>
      <c r="F1149" s="266">
        <f t="shared" si="57"/>
        <v>1142</v>
      </c>
      <c r="G1149" s="230">
        <f t="shared" ca="1" si="56"/>
        <v>-2.4709971539821393E-2</v>
      </c>
    </row>
    <row r="1150" spans="2:7" x14ac:dyDescent="0.25">
      <c r="B1150" s="348" t="s">
        <v>1248</v>
      </c>
      <c r="C1150" s="293">
        <v>134.97</v>
      </c>
      <c r="D1150" s="230">
        <f t="shared" si="55"/>
        <v>-1.0121012101210081E-2</v>
      </c>
      <c r="E1150" s="293">
        <v>8.6145010768126085E-3</v>
      </c>
      <c r="F1150" s="266">
        <f t="shared" si="57"/>
        <v>1143</v>
      </c>
      <c r="G1150" s="230">
        <f t="shared" ca="1" si="56"/>
        <v>-1.0130692354165634E-2</v>
      </c>
    </row>
    <row r="1151" spans="2:7" x14ac:dyDescent="0.25">
      <c r="B1151" s="348" t="s">
        <v>1249</v>
      </c>
      <c r="C1151" s="293">
        <v>136.35</v>
      </c>
      <c r="D1151" s="230">
        <f t="shared" si="55"/>
        <v>-2.4143985952590485E-3</v>
      </c>
      <c r="E1151" s="293">
        <v>8.6137281292060219E-3</v>
      </c>
      <c r="F1151" s="266">
        <f t="shared" si="57"/>
        <v>1144</v>
      </c>
      <c r="G1151" s="230">
        <f t="shared" ca="1" si="56"/>
        <v>-1.4505388071846665E-2</v>
      </c>
    </row>
    <row r="1152" spans="2:7" x14ac:dyDescent="0.25">
      <c r="B1152" s="348" t="s">
        <v>1250</v>
      </c>
      <c r="C1152" s="293">
        <v>136.68</v>
      </c>
      <c r="D1152" s="230">
        <f t="shared" si="55"/>
        <v>-3.0634573304156865E-3</v>
      </c>
      <c r="E1152" s="293">
        <v>8.570139828597112E-3</v>
      </c>
      <c r="F1152" s="266">
        <f t="shared" si="57"/>
        <v>1145</v>
      </c>
      <c r="G1152" s="230">
        <f t="shared" ca="1" si="56"/>
        <v>1.2901868456930461E-2</v>
      </c>
    </row>
    <row r="1153" spans="2:7" x14ac:dyDescent="0.25">
      <c r="B1153" s="348" t="s">
        <v>1251</v>
      </c>
      <c r="C1153" s="293">
        <v>137.1</v>
      </c>
      <c r="D1153" s="230">
        <f t="shared" si="55"/>
        <v>-1.9874177866742948E-2</v>
      </c>
      <c r="E1153" s="293">
        <v>8.5589791472144849E-3</v>
      </c>
      <c r="F1153" s="266">
        <f t="shared" si="57"/>
        <v>1146</v>
      </c>
      <c r="G1153" s="230">
        <f t="shared" ca="1" si="56"/>
        <v>5.668254112722774E-3</v>
      </c>
    </row>
    <row r="1154" spans="2:7" x14ac:dyDescent="0.25">
      <c r="B1154" s="348" t="s">
        <v>1252</v>
      </c>
      <c r="C1154" s="293">
        <v>139.88</v>
      </c>
      <c r="D1154" s="230">
        <f t="shared" si="55"/>
        <v>-1.039971701450304E-2</v>
      </c>
      <c r="E1154" s="293">
        <v>8.5522296884545934E-3</v>
      </c>
      <c r="F1154" s="266">
        <f t="shared" si="57"/>
        <v>1147</v>
      </c>
      <c r="G1154" s="230">
        <f t="shared" ca="1" si="56"/>
        <v>2.0978737617886774E-2</v>
      </c>
    </row>
    <row r="1155" spans="2:7" x14ac:dyDescent="0.25">
      <c r="B1155" s="348" t="s">
        <v>1253</v>
      </c>
      <c r="C1155" s="293">
        <v>141.35</v>
      </c>
      <c r="D1155" s="230">
        <f t="shared" si="55"/>
        <v>2.6956089948215745E-3</v>
      </c>
      <c r="E1155" s="293">
        <v>8.4899939357185872E-3</v>
      </c>
      <c r="F1155" s="266">
        <f t="shared" si="57"/>
        <v>1148</v>
      </c>
      <c r="G1155" s="230">
        <f t="shared" ca="1" si="56"/>
        <v>2.0830041788409859E-2</v>
      </c>
    </row>
    <row r="1156" spans="2:7" x14ac:dyDescent="0.25">
      <c r="B1156" s="348" t="s">
        <v>1254</v>
      </c>
      <c r="C1156" s="293">
        <v>140.97</v>
      </c>
      <c r="D1156" s="230">
        <f t="shared" si="55"/>
        <v>1.9674502712477393E-2</v>
      </c>
      <c r="E1156" s="293">
        <v>8.4784254352763266E-3</v>
      </c>
      <c r="F1156" s="266">
        <f t="shared" si="57"/>
        <v>1149</v>
      </c>
      <c r="G1156" s="230">
        <f t="shared" ca="1" si="56"/>
        <v>5.9721485443250556E-3</v>
      </c>
    </row>
    <row r="1157" spans="2:7" x14ac:dyDescent="0.25">
      <c r="B1157" s="348" t="s">
        <v>1255</v>
      </c>
      <c r="C1157" s="293">
        <v>138.25</v>
      </c>
      <c r="D1157" s="230">
        <f t="shared" si="55"/>
        <v>-1.8050541516245744E-3</v>
      </c>
      <c r="E1157" s="293">
        <v>8.4515699431439995E-3</v>
      </c>
      <c r="F1157" s="266">
        <f t="shared" si="57"/>
        <v>1150</v>
      </c>
      <c r="G1157" s="230">
        <f t="shared" ca="1" si="56"/>
        <v>6.5869328947325227E-3</v>
      </c>
    </row>
    <row r="1158" spans="2:7" x14ac:dyDescent="0.25">
      <c r="B1158" s="348" t="s">
        <v>1256</v>
      </c>
      <c r="C1158" s="293">
        <v>138.5</v>
      </c>
      <c r="D1158" s="230">
        <f t="shared" si="55"/>
        <v>2.8964518464880129E-3</v>
      </c>
      <c r="E1158" s="293">
        <v>8.4502551020406713E-3</v>
      </c>
      <c r="F1158" s="266">
        <f t="shared" si="57"/>
        <v>1151</v>
      </c>
      <c r="G1158" s="230">
        <f t="shared" ca="1" si="56"/>
        <v>3.4958089801563112E-2</v>
      </c>
    </row>
    <row r="1159" spans="2:7" x14ac:dyDescent="0.25">
      <c r="B1159" s="348">
        <v>44173</v>
      </c>
      <c r="C1159" s="293">
        <v>138.1</v>
      </c>
      <c r="D1159" s="230">
        <f t="shared" si="55"/>
        <v>-1.2301530539264749E-2</v>
      </c>
      <c r="E1159" s="293">
        <v>8.4490628338351748E-3</v>
      </c>
      <c r="F1159" s="266">
        <f t="shared" si="57"/>
        <v>1152</v>
      </c>
      <c r="G1159" s="230">
        <f t="shared" ca="1" si="56"/>
        <v>-3.2455147873296328E-2</v>
      </c>
    </row>
    <row r="1160" spans="2:7" x14ac:dyDescent="0.25">
      <c r="B1160" s="348">
        <v>44143</v>
      </c>
      <c r="C1160" s="293">
        <v>139.82</v>
      </c>
      <c r="D1160" s="230">
        <f t="shared" si="55"/>
        <v>8.074981975486617E-3</v>
      </c>
      <c r="E1160" s="293">
        <v>8.4449021627188703E-3</v>
      </c>
      <c r="F1160" s="266">
        <f t="shared" si="57"/>
        <v>1153</v>
      </c>
      <c r="G1160" s="230">
        <f t="shared" ca="1" si="56"/>
        <v>-1.2189095332267037E-2</v>
      </c>
    </row>
    <row r="1161" spans="2:7" x14ac:dyDescent="0.25">
      <c r="B1161" s="348">
        <v>44112</v>
      </c>
      <c r="C1161" s="293">
        <v>138.69999999999999</v>
      </c>
      <c r="D1161" s="230">
        <f t="shared" ref="D1161:D1224" si="58">C1161/C1162-1</f>
        <v>0</v>
      </c>
      <c r="E1161" s="293">
        <v>8.4445655134841591E-3</v>
      </c>
      <c r="F1161" s="266">
        <f t="shared" si="57"/>
        <v>1154</v>
      </c>
      <c r="G1161" s="230">
        <f t="shared" ref="G1161:G1224" ca="1" si="59">_xlfn.NORM.INV(RAND(),$M$10,$M$11)</f>
        <v>2.4179558828730921E-2</v>
      </c>
    </row>
    <row r="1162" spans="2:7" x14ac:dyDescent="0.25">
      <c r="B1162" s="348">
        <v>44020</v>
      </c>
      <c r="C1162" s="293">
        <v>138.69999999999999</v>
      </c>
      <c r="D1162" s="230">
        <f t="shared" si="58"/>
        <v>-8.010298955800299E-3</v>
      </c>
      <c r="E1162" s="293">
        <v>8.437008437008231E-3</v>
      </c>
      <c r="F1162" s="266">
        <f t="shared" ref="F1162:F1225" si="60">F1161+1</f>
        <v>1155</v>
      </c>
      <c r="G1162" s="230">
        <f t="shared" ca="1" si="59"/>
        <v>1.7320356237521616E-2</v>
      </c>
    </row>
    <row r="1163" spans="2:7" x14ac:dyDescent="0.25">
      <c r="B1163" s="348">
        <v>43990</v>
      </c>
      <c r="C1163" s="293">
        <v>139.82</v>
      </c>
      <c r="D1163" s="230">
        <f t="shared" si="58"/>
        <v>5.1761322789360964E-3</v>
      </c>
      <c r="E1163" s="293">
        <v>8.430890783831968E-3</v>
      </c>
      <c r="F1163" s="266">
        <f t="shared" si="60"/>
        <v>1156</v>
      </c>
      <c r="G1163" s="230">
        <f t="shared" ca="1" si="59"/>
        <v>-9.4835620365065539E-3</v>
      </c>
    </row>
    <row r="1164" spans="2:7" x14ac:dyDescent="0.25">
      <c r="B1164" s="348">
        <v>43959</v>
      </c>
      <c r="C1164" s="293">
        <v>139.1</v>
      </c>
      <c r="D1164" s="230">
        <f t="shared" si="58"/>
        <v>-1.0175763182238673E-2</v>
      </c>
      <c r="E1164" s="293">
        <v>8.390981296438671E-3</v>
      </c>
      <c r="F1164" s="266">
        <f t="shared" si="60"/>
        <v>1157</v>
      </c>
      <c r="G1164" s="230">
        <f t="shared" ca="1" si="59"/>
        <v>1.6891826603875296E-2</v>
      </c>
    </row>
    <row r="1165" spans="2:7" x14ac:dyDescent="0.25">
      <c r="B1165" s="348">
        <v>43929</v>
      </c>
      <c r="C1165" s="293">
        <v>140.53</v>
      </c>
      <c r="D1165" s="230">
        <f t="shared" si="58"/>
        <v>-1.7758204290382329E-3</v>
      </c>
      <c r="E1165" s="293">
        <v>8.3762149799886387E-3</v>
      </c>
      <c r="F1165" s="266">
        <f t="shared" si="60"/>
        <v>1158</v>
      </c>
      <c r="G1165" s="230">
        <f t="shared" ca="1" si="59"/>
        <v>1.5957680194822368E-2</v>
      </c>
    </row>
    <row r="1166" spans="2:7" x14ac:dyDescent="0.25">
      <c r="B1166" s="348">
        <v>43898</v>
      </c>
      <c r="C1166" s="293">
        <v>140.78</v>
      </c>
      <c r="D1166" s="230">
        <f t="shared" si="58"/>
        <v>2.2068769132199684E-3</v>
      </c>
      <c r="E1166" s="293">
        <v>8.3432657926101328E-3</v>
      </c>
      <c r="F1166" s="266">
        <f t="shared" si="60"/>
        <v>1159</v>
      </c>
      <c r="G1166" s="230">
        <f t="shared" ca="1" si="59"/>
        <v>-2.7541807538888109E-2</v>
      </c>
    </row>
    <row r="1167" spans="2:7" x14ac:dyDescent="0.25">
      <c r="B1167" s="348" t="s">
        <v>1257</v>
      </c>
      <c r="C1167" s="293">
        <v>140.47</v>
      </c>
      <c r="D1167" s="230">
        <f t="shared" si="58"/>
        <v>-1.112284406898989E-2</v>
      </c>
      <c r="E1167" s="293">
        <v>8.3392226148411019E-3</v>
      </c>
      <c r="F1167" s="266">
        <f t="shared" si="60"/>
        <v>1160</v>
      </c>
      <c r="G1167" s="230">
        <f t="shared" ca="1" si="59"/>
        <v>-5.3647570458476195E-3</v>
      </c>
    </row>
    <row r="1168" spans="2:7" x14ac:dyDescent="0.25">
      <c r="B1168" s="348" t="s">
        <v>1258</v>
      </c>
      <c r="C1168" s="293">
        <v>142.05000000000001</v>
      </c>
      <c r="D1168" s="230">
        <f t="shared" si="58"/>
        <v>2.5631768953068734E-2</v>
      </c>
      <c r="E1168" s="293">
        <v>8.3368070029179453E-3</v>
      </c>
      <c r="F1168" s="266">
        <f t="shared" si="60"/>
        <v>1161</v>
      </c>
      <c r="G1168" s="230">
        <f t="shared" ca="1" si="59"/>
        <v>-2.4507155501989758E-2</v>
      </c>
    </row>
    <row r="1169" spans="2:7" x14ac:dyDescent="0.25">
      <c r="B1169" s="348" t="s">
        <v>1259</v>
      </c>
      <c r="C1169" s="293">
        <v>138.5</v>
      </c>
      <c r="D1169" s="230">
        <f t="shared" si="58"/>
        <v>5.663665408074392E-3</v>
      </c>
      <c r="E1169" s="293">
        <v>8.3309115567180569E-3</v>
      </c>
      <c r="F1169" s="266">
        <f t="shared" si="60"/>
        <v>1162</v>
      </c>
      <c r="G1169" s="230">
        <f t="shared" ca="1" si="59"/>
        <v>1.9030735525349424E-2</v>
      </c>
    </row>
    <row r="1170" spans="2:7" x14ac:dyDescent="0.25">
      <c r="B1170" s="348" t="s">
        <v>1260</v>
      </c>
      <c r="C1170" s="293">
        <v>137.72</v>
      </c>
      <c r="D1170" s="230">
        <f t="shared" si="58"/>
        <v>2.4473703786357159E-2</v>
      </c>
      <c r="E1170" s="293">
        <v>8.3300277667592848E-3</v>
      </c>
      <c r="F1170" s="266">
        <f t="shared" si="60"/>
        <v>1163</v>
      </c>
      <c r="G1170" s="230">
        <f t="shared" ca="1" si="59"/>
        <v>8.0816638115217901E-3</v>
      </c>
    </row>
    <row r="1171" spans="2:7" x14ac:dyDescent="0.25">
      <c r="B1171" s="348" t="s">
        <v>1261</v>
      </c>
      <c r="C1171" s="293">
        <v>134.43</v>
      </c>
      <c r="D1171" s="230">
        <f t="shared" si="58"/>
        <v>-6.2832643406267596E-3</v>
      </c>
      <c r="E1171" s="293">
        <v>8.3250083250083762E-3</v>
      </c>
      <c r="F1171" s="266">
        <f t="shared" si="60"/>
        <v>1164</v>
      </c>
      <c r="G1171" s="230">
        <f t="shared" ca="1" si="59"/>
        <v>-1.3947362002569466E-3</v>
      </c>
    </row>
    <row r="1172" spans="2:7" x14ac:dyDescent="0.25">
      <c r="B1172" s="348" t="s">
        <v>1262</v>
      </c>
      <c r="C1172" s="293">
        <v>135.28</v>
      </c>
      <c r="D1172" s="230">
        <f t="shared" si="58"/>
        <v>1.4853713428357063E-2</v>
      </c>
      <c r="E1172" s="293">
        <v>8.3231334149325154E-3</v>
      </c>
      <c r="F1172" s="266">
        <f t="shared" si="60"/>
        <v>1165</v>
      </c>
      <c r="G1172" s="230">
        <f t="shared" ca="1" si="59"/>
        <v>-3.5987377664873624E-4</v>
      </c>
    </row>
    <row r="1173" spans="2:7" x14ac:dyDescent="0.25">
      <c r="B1173" s="348" t="s">
        <v>1263</v>
      </c>
      <c r="C1173" s="293">
        <v>133.30000000000001</v>
      </c>
      <c r="D1173" s="230">
        <f t="shared" si="58"/>
        <v>2.2556390977443996E-3</v>
      </c>
      <c r="E1173" s="293">
        <v>8.293707840318465E-3</v>
      </c>
      <c r="F1173" s="266">
        <f t="shared" si="60"/>
        <v>1166</v>
      </c>
      <c r="G1173" s="230">
        <f t="shared" ca="1" si="59"/>
        <v>3.5143241105930069E-4</v>
      </c>
    </row>
    <row r="1174" spans="2:7" x14ac:dyDescent="0.25">
      <c r="B1174" s="348" t="s">
        <v>1264</v>
      </c>
      <c r="C1174" s="293">
        <v>133</v>
      </c>
      <c r="D1174" s="230">
        <f t="shared" si="58"/>
        <v>-1.9752358490566113E-2</v>
      </c>
      <c r="E1174" s="293">
        <v>8.2925692988586874E-3</v>
      </c>
      <c r="F1174" s="266">
        <f t="shared" si="60"/>
        <v>1167</v>
      </c>
      <c r="G1174" s="230">
        <f t="shared" ca="1" si="59"/>
        <v>-2.0270746907687355E-2</v>
      </c>
    </row>
    <row r="1175" spans="2:7" x14ac:dyDescent="0.25">
      <c r="B1175" s="348" t="s">
        <v>1265</v>
      </c>
      <c r="C1175" s="293">
        <v>135.68</v>
      </c>
      <c r="D1175" s="230">
        <f t="shared" si="58"/>
        <v>2.0679468242246202E-3</v>
      </c>
      <c r="E1175" s="293">
        <v>8.2909364989636192E-3</v>
      </c>
      <c r="F1175" s="266">
        <f t="shared" si="60"/>
        <v>1168</v>
      </c>
      <c r="G1175" s="230">
        <f t="shared" ca="1" si="59"/>
        <v>2.0265810453220075E-2</v>
      </c>
    </row>
    <row r="1176" spans="2:7" x14ac:dyDescent="0.25">
      <c r="B1176" s="348" t="s">
        <v>1266</v>
      </c>
      <c r="C1176" s="293">
        <v>135.4</v>
      </c>
      <c r="D1176" s="230">
        <f t="shared" si="58"/>
        <v>3.611876339149056E-2</v>
      </c>
      <c r="E1176" s="293">
        <v>8.2891697241473938E-3</v>
      </c>
      <c r="F1176" s="266">
        <f t="shared" si="60"/>
        <v>1169</v>
      </c>
      <c r="G1176" s="230">
        <f t="shared" ca="1" si="59"/>
        <v>2.1709222403213442E-2</v>
      </c>
    </row>
    <row r="1177" spans="2:7" x14ac:dyDescent="0.25">
      <c r="B1177" s="348" t="s">
        <v>1267</v>
      </c>
      <c r="C1177" s="293">
        <v>130.68</v>
      </c>
      <c r="D1177" s="230">
        <f t="shared" si="58"/>
        <v>-2.0618556701029744E-3</v>
      </c>
      <c r="E1177" s="293">
        <v>8.2827167310879357E-3</v>
      </c>
      <c r="F1177" s="266">
        <f t="shared" si="60"/>
        <v>1170</v>
      </c>
      <c r="G1177" s="230">
        <f t="shared" ca="1" si="59"/>
        <v>-2.4761946942903568E-2</v>
      </c>
    </row>
    <row r="1178" spans="2:7" x14ac:dyDescent="0.25">
      <c r="B1178" s="348" t="s">
        <v>1268</v>
      </c>
      <c r="C1178" s="293">
        <v>130.94999999999999</v>
      </c>
      <c r="D1178" s="230">
        <f t="shared" si="58"/>
        <v>-3.2729486984320877E-3</v>
      </c>
      <c r="E1178" s="293">
        <v>8.2784075929343004E-3</v>
      </c>
      <c r="F1178" s="266">
        <f t="shared" si="60"/>
        <v>1171</v>
      </c>
      <c r="G1178" s="230">
        <f t="shared" ca="1" si="59"/>
        <v>3.0014347057157005E-2</v>
      </c>
    </row>
    <row r="1179" spans="2:7" x14ac:dyDescent="0.25">
      <c r="B1179" s="348" t="s">
        <v>1269</v>
      </c>
      <c r="C1179" s="293">
        <v>131.38</v>
      </c>
      <c r="D1179" s="230">
        <f t="shared" si="58"/>
        <v>0.16782222222222209</v>
      </c>
      <c r="E1179" s="293">
        <v>8.2778114274175696E-3</v>
      </c>
      <c r="F1179" s="266">
        <f t="shared" si="60"/>
        <v>1172</v>
      </c>
      <c r="G1179" s="230">
        <f t="shared" ca="1" si="59"/>
        <v>1.2313054067021666E-2</v>
      </c>
    </row>
    <row r="1180" spans="2:7" x14ac:dyDescent="0.25">
      <c r="B1180" s="348" t="s">
        <v>1270</v>
      </c>
      <c r="C1180" s="293">
        <v>112.5</v>
      </c>
      <c r="D1180" s="230">
        <f t="shared" si="58"/>
        <v>-1.1423550087873435E-2</v>
      </c>
      <c r="E1180" s="293">
        <v>8.2459533747327729E-3</v>
      </c>
      <c r="F1180" s="266">
        <f t="shared" si="60"/>
        <v>1173</v>
      </c>
      <c r="G1180" s="230">
        <f t="shared" ca="1" si="59"/>
        <v>7.5026642574204713E-3</v>
      </c>
    </row>
    <row r="1181" spans="2:7" x14ac:dyDescent="0.25">
      <c r="B1181" s="348" t="s">
        <v>1271</v>
      </c>
      <c r="C1181" s="293">
        <v>113.8</v>
      </c>
      <c r="D1181" s="230">
        <f t="shared" si="58"/>
        <v>2.4763619990995078E-2</v>
      </c>
      <c r="E1181" s="293">
        <v>8.2268067333248762E-3</v>
      </c>
      <c r="F1181" s="266">
        <f t="shared" si="60"/>
        <v>1174</v>
      </c>
      <c r="G1181" s="230">
        <f t="shared" ca="1" si="59"/>
        <v>2.5769408970574607E-2</v>
      </c>
    </row>
    <row r="1182" spans="2:7" x14ac:dyDescent="0.25">
      <c r="B1182" s="348">
        <v>44111</v>
      </c>
      <c r="C1182" s="293">
        <v>111.05</v>
      </c>
      <c r="D1182" s="230">
        <f t="shared" si="58"/>
        <v>2.256317689530718E-3</v>
      </c>
      <c r="E1182" s="293">
        <v>8.2255343082113797E-3</v>
      </c>
      <c r="F1182" s="266">
        <f t="shared" si="60"/>
        <v>1175</v>
      </c>
      <c r="G1182" s="230">
        <f t="shared" ca="1" si="59"/>
        <v>-6.9249629995503572E-3</v>
      </c>
    </row>
    <row r="1183" spans="2:7" x14ac:dyDescent="0.25">
      <c r="B1183" s="348">
        <v>44081</v>
      </c>
      <c r="C1183" s="293">
        <v>110.8</v>
      </c>
      <c r="D1183" s="230">
        <f t="shared" si="58"/>
        <v>-6.7234424025101047E-3</v>
      </c>
      <c r="E1183" s="293">
        <v>8.2239881722416808E-3</v>
      </c>
      <c r="F1183" s="266">
        <f t="shared" si="60"/>
        <v>1176</v>
      </c>
      <c r="G1183" s="230">
        <f t="shared" ca="1" si="59"/>
        <v>2.988423560540187E-2</v>
      </c>
    </row>
    <row r="1184" spans="2:7" x14ac:dyDescent="0.25">
      <c r="B1184" s="348">
        <v>44050</v>
      </c>
      <c r="C1184" s="293">
        <v>111.55</v>
      </c>
      <c r="D1184" s="230">
        <f t="shared" si="58"/>
        <v>-8.003557136505135E-3</v>
      </c>
      <c r="E1184" s="293">
        <v>8.2191780821918581E-3</v>
      </c>
      <c r="F1184" s="266">
        <f t="shared" si="60"/>
        <v>1177</v>
      </c>
      <c r="G1184" s="230">
        <f t="shared" ca="1" si="59"/>
        <v>-1.2654083608917384E-2</v>
      </c>
    </row>
    <row r="1185" spans="2:7" x14ac:dyDescent="0.25">
      <c r="B1185" s="348">
        <v>44019</v>
      </c>
      <c r="C1185" s="293">
        <v>112.45</v>
      </c>
      <c r="D1185" s="230">
        <f t="shared" si="58"/>
        <v>1.0060181442558269E-2</v>
      </c>
      <c r="E1185" s="293">
        <v>8.2084957931458646E-3</v>
      </c>
      <c r="F1185" s="266">
        <f t="shared" si="60"/>
        <v>1178</v>
      </c>
      <c r="G1185" s="230">
        <f t="shared" ca="1" si="59"/>
        <v>-1.6093420462374379E-2</v>
      </c>
    </row>
    <row r="1186" spans="2:7" x14ac:dyDescent="0.25">
      <c r="B1186" s="348">
        <v>43989</v>
      </c>
      <c r="C1186" s="293">
        <v>111.33</v>
      </c>
      <c r="D1186" s="230">
        <f t="shared" si="58"/>
        <v>-9.5195729537367324E-3</v>
      </c>
      <c r="E1186" s="293">
        <v>8.1880212282030573E-3</v>
      </c>
      <c r="F1186" s="266">
        <f t="shared" si="60"/>
        <v>1179</v>
      </c>
      <c r="G1186" s="230">
        <f t="shared" ca="1" si="59"/>
        <v>3.0082189986198042E-2</v>
      </c>
    </row>
    <row r="1187" spans="2:7" x14ac:dyDescent="0.25">
      <c r="B1187" s="348">
        <v>43897</v>
      </c>
      <c r="C1187" s="293">
        <v>112.4</v>
      </c>
      <c r="D1187" s="230">
        <f t="shared" si="58"/>
        <v>2.67618198037467E-3</v>
      </c>
      <c r="E1187" s="293">
        <v>8.1851538244424038E-3</v>
      </c>
      <c r="F1187" s="266">
        <f t="shared" si="60"/>
        <v>1180</v>
      </c>
      <c r="G1187" s="230">
        <f t="shared" ca="1" si="59"/>
        <v>-1.3485080839772897E-2</v>
      </c>
    </row>
    <row r="1188" spans="2:7" x14ac:dyDescent="0.25">
      <c r="B1188" s="348">
        <v>43868</v>
      </c>
      <c r="C1188" s="293">
        <v>112.1</v>
      </c>
      <c r="D1188" s="230">
        <f t="shared" si="58"/>
        <v>2.3463891171368489E-2</v>
      </c>
      <c r="E1188" s="293">
        <v>8.1600421163463555E-3</v>
      </c>
      <c r="F1188" s="266">
        <f t="shared" si="60"/>
        <v>1181</v>
      </c>
      <c r="G1188" s="230">
        <f t="shared" ca="1" si="59"/>
        <v>-2.6571861664236259E-3</v>
      </c>
    </row>
    <row r="1189" spans="2:7" x14ac:dyDescent="0.25">
      <c r="B1189" s="348">
        <v>43837</v>
      </c>
      <c r="C1189" s="293">
        <v>109.53</v>
      </c>
      <c r="D1189" s="230">
        <f t="shared" si="58"/>
        <v>-2.7314941272875704E-3</v>
      </c>
      <c r="E1189" s="293">
        <v>8.1330763999092337E-3</v>
      </c>
      <c r="F1189" s="266">
        <f t="shared" si="60"/>
        <v>1182</v>
      </c>
      <c r="G1189" s="230">
        <f t="shared" ca="1" si="59"/>
        <v>3.2533968878878022E-2</v>
      </c>
    </row>
    <row r="1190" spans="2:7" x14ac:dyDescent="0.25">
      <c r="B1190" s="348" t="s">
        <v>1272</v>
      </c>
      <c r="C1190" s="293">
        <v>109.83</v>
      </c>
      <c r="D1190" s="230">
        <f t="shared" si="58"/>
        <v>-1.8206645425578039E-4</v>
      </c>
      <c r="E1190" s="293">
        <v>8.1120943952801561E-3</v>
      </c>
      <c r="F1190" s="266">
        <f t="shared" si="60"/>
        <v>1183</v>
      </c>
      <c r="G1190" s="230">
        <f t="shared" ca="1" si="59"/>
        <v>5.3830957207527667E-2</v>
      </c>
    </row>
    <row r="1191" spans="2:7" x14ac:dyDescent="0.25">
      <c r="B1191" s="348" t="s">
        <v>1273</v>
      </c>
      <c r="C1191" s="293">
        <v>109.85</v>
      </c>
      <c r="D1191" s="230">
        <f t="shared" si="58"/>
        <v>-2.5461320085166772E-2</v>
      </c>
      <c r="E1191" s="293">
        <v>8.1085065605188689E-3</v>
      </c>
      <c r="F1191" s="266">
        <f t="shared" si="60"/>
        <v>1184</v>
      </c>
      <c r="G1191" s="230">
        <f t="shared" ca="1" si="59"/>
        <v>4.2078786931708335E-2</v>
      </c>
    </row>
    <row r="1192" spans="2:7" x14ac:dyDescent="0.25">
      <c r="B1192" s="348" t="s">
        <v>1274</v>
      </c>
      <c r="C1192" s="293">
        <v>112.72</v>
      </c>
      <c r="D1192" s="230">
        <f t="shared" si="58"/>
        <v>3.3180568285976264E-2</v>
      </c>
      <c r="E1192" s="293">
        <v>8.1016679904686306E-3</v>
      </c>
      <c r="F1192" s="266">
        <f t="shared" si="60"/>
        <v>1185</v>
      </c>
      <c r="G1192" s="230">
        <f t="shared" ca="1" si="59"/>
        <v>-2.3534332567605197E-2</v>
      </c>
    </row>
    <row r="1193" spans="2:7" x14ac:dyDescent="0.25">
      <c r="B1193" s="348" t="s">
        <v>1275</v>
      </c>
      <c r="C1193" s="293">
        <v>109.1</v>
      </c>
      <c r="D1193" s="230">
        <f t="shared" si="58"/>
        <v>0</v>
      </c>
      <c r="E1193" s="293">
        <v>8.0943339662236102E-3</v>
      </c>
      <c r="F1193" s="266">
        <f t="shared" si="60"/>
        <v>1186</v>
      </c>
      <c r="G1193" s="230">
        <f t="shared" ca="1" si="59"/>
        <v>-4.7587663587824848E-3</v>
      </c>
    </row>
    <row r="1194" spans="2:7" x14ac:dyDescent="0.25">
      <c r="B1194" s="348" t="s">
        <v>1276</v>
      </c>
      <c r="C1194" s="293">
        <v>109.1</v>
      </c>
      <c r="D1194" s="230">
        <f t="shared" si="58"/>
        <v>-1.0879419764279308E-2</v>
      </c>
      <c r="E1194" s="293">
        <v>8.0851902977716605E-3</v>
      </c>
      <c r="F1194" s="266">
        <f t="shared" si="60"/>
        <v>1187</v>
      </c>
      <c r="G1194" s="230">
        <f t="shared" ca="1" si="59"/>
        <v>-1.6424127997825195E-3</v>
      </c>
    </row>
    <row r="1195" spans="2:7" x14ac:dyDescent="0.25">
      <c r="B1195" s="348" t="s">
        <v>1277</v>
      </c>
      <c r="C1195" s="293">
        <v>110.3</v>
      </c>
      <c r="D1195" s="230">
        <f t="shared" si="58"/>
        <v>1.1648170228377497E-2</v>
      </c>
      <c r="E1195" s="293">
        <v>8.0834209037263793E-3</v>
      </c>
      <c r="F1195" s="266">
        <f t="shared" si="60"/>
        <v>1188</v>
      </c>
      <c r="G1195" s="230">
        <f t="shared" ca="1" si="59"/>
        <v>3.0871328316282545E-2</v>
      </c>
    </row>
    <row r="1196" spans="2:7" x14ac:dyDescent="0.25">
      <c r="B1196" s="348" t="s">
        <v>1278</v>
      </c>
      <c r="C1196" s="293">
        <v>109.03</v>
      </c>
      <c r="D1196" s="230">
        <f t="shared" si="58"/>
        <v>-1.8013149599207412E-2</v>
      </c>
      <c r="E1196" s="293">
        <v>8.074981975486617E-3</v>
      </c>
      <c r="F1196" s="266">
        <f t="shared" si="60"/>
        <v>1189</v>
      </c>
      <c r="G1196" s="230">
        <f t="shared" ca="1" si="59"/>
        <v>1.5994669841474504E-2</v>
      </c>
    </row>
    <row r="1197" spans="2:7" x14ac:dyDescent="0.25">
      <c r="B1197" s="348" t="s">
        <v>1279</v>
      </c>
      <c r="C1197" s="293">
        <v>111.03</v>
      </c>
      <c r="D1197" s="230">
        <f t="shared" si="58"/>
        <v>1.7876787678767991E-2</v>
      </c>
      <c r="E1197" s="293">
        <v>8.057603291616644E-3</v>
      </c>
      <c r="F1197" s="266">
        <f t="shared" si="60"/>
        <v>1190</v>
      </c>
      <c r="G1197" s="230">
        <f t="shared" ca="1" si="59"/>
        <v>-5.4355394350531286E-3</v>
      </c>
    </row>
    <row r="1198" spans="2:7" x14ac:dyDescent="0.25">
      <c r="B1198" s="348" t="s">
        <v>1280</v>
      </c>
      <c r="C1198" s="293">
        <v>109.08</v>
      </c>
      <c r="D1198" s="230">
        <f t="shared" si="58"/>
        <v>1.6528925619834212E-3</v>
      </c>
      <c r="E1198" s="293">
        <v>8.0504025201260099E-3</v>
      </c>
      <c r="F1198" s="266">
        <f t="shared" si="60"/>
        <v>1191</v>
      </c>
      <c r="G1198" s="230">
        <f t="shared" ca="1" si="59"/>
        <v>-6.4778928580477872E-3</v>
      </c>
    </row>
    <row r="1199" spans="2:7" x14ac:dyDescent="0.25">
      <c r="B1199" s="348" t="s">
        <v>1281</v>
      </c>
      <c r="C1199" s="293">
        <v>108.9</v>
      </c>
      <c r="D1199" s="230">
        <f t="shared" si="58"/>
        <v>2.5423728813559254E-2</v>
      </c>
      <c r="E1199" s="293">
        <v>8.0189538910151459E-3</v>
      </c>
      <c r="F1199" s="266">
        <f t="shared" si="60"/>
        <v>1192</v>
      </c>
      <c r="G1199" s="230">
        <f t="shared" ca="1" si="59"/>
        <v>-8.8556420808523252E-3</v>
      </c>
    </row>
    <row r="1200" spans="2:7" x14ac:dyDescent="0.25">
      <c r="B1200" s="348" t="s">
        <v>1282</v>
      </c>
      <c r="C1200" s="293">
        <v>106.2</v>
      </c>
      <c r="D1200" s="230">
        <f t="shared" si="58"/>
        <v>-6.5481758652946587E-3</v>
      </c>
      <c r="E1200" s="293">
        <v>8.0097087378641074E-3</v>
      </c>
      <c r="F1200" s="266">
        <f t="shared" si="60"/>
        <v>1193</v>
      </c>
      <c r="G1200" s="230">
        <f t="shared" ca="1" si="59"/>
        <v>1.816076327913952E-2</v>
      </c>
    </row>
    <row r="1201" spans="2:7" x14ac:dyDescent="0.25">
      <c r="B1201" s="348" t="s">
        <v>1283</v>
      </c>
      <c r="C1201" s="293">
        <v>106.9</v>
      </c>
      <c r="D1201" s="230">
        <f t="shared" si="58"/>
        <v>2.8379028379028393E-2</v>
      </c>
      <c r="E1201" s="293">
        <v>8.0066261733848787E-3</v>
      </c>
      <c r="F1201" s="266">
        <f t="shared" si="60"/>
        <v>1194</v>
      </c>
      <c r="G1201" s="230">
        <f t="shared" ca="1" si="59"/>
        <v>2.7051991385536933E-2</v>
      </c>
    </row>
    <row r="1202" spans="2:7" x14ac:dyDescent="0.25">
      <c r="B1202" s="348">
        <v>44171</v>
      </c>
      <c r="C1202" s="293">
        <v>103.95</v>
      </c>
      <c r="D1202" s="230">
        <f t="shared" si="58"/>
        <v>-2.3485204321277542E-2</v>
      </c>
      <c r="E1202" s="293">
        <v>8.0042689434365322E-3</v>
      </c>
      <c r="F1202" s="266">
        <f t="shared" si="60"/>
        <v>1195</v>
      </c>
      <c r="G1202" s="230">
        <f t="shared" ca="1" si="59"/>
        <v>2.4858538385307263E-3</v>
      </c>
    </row>
    <row r="1203" spans="2:7" x14ac:dyDescent="0.25">
      <c r="B1203" s="348">
        <v>44141</v>
      </c>
      <c r="C1203" s="293">
        <v>106.45</v>
      </c>
      <c r="D1203" s="230">
        <f t="shared" si="58"/>
        <v>-1.8894009216589791E-2</v>
      </c>
      <c r="E1203" s="293">
        <v>7.9978187766971409E-3</v>
      </c>
      <c r="F1203" s="266">
        <f t="shared" si="60"/>
        <v>1196</v>
      </c>
      <c r="G1203" s="230">
        <f t="shared" ca="1" si="59"/>
        <v>1.2258556178329166E-2</v>
      </c>
    </row>
    <row r="1204" spans="2:7" x14ac:dyDescent="0.25">
      <c r="B1204" s="348">
        <v>44110</v>
      </c>
      <c r="C1204" s="293">
        <v>108.5</v>
      </c>
      <c r="D1204" s="230">
        <f t="shared" si="58"/>
        <v>-6.1372171842081213E-3</v>
      </c>
      <c r="E1204" s="293">
        <v>7.993791230112457E-3</v>
      </c>
      <c r="F1204" s="266">
        <f t="shared" si="60"/>
        <v>1197</v>
      </c>
      <c r="G1204" s="230">
        <f t="shared" ca="1" si="59"/>
        <v>2.5662417792312819E-2</v>
      </c>
    </row>
    <row r="1205" spans="2:7" x14ac:dyDescent="0.25">
      <c r="B1205" s="348">
        <v>44080</v>
      </c>
      <c r="C1205" s="293">
        <v>109.17</v>
      </c>
      <c r="D1205" s="230">
        <f t="shared" si="58"/>
        <v>-3.5771065182829909E-2</v>
      </c>
      <c r="E1205" s="293">
        <v>7.98110595325352E-3</v>
      </c>
      <c r="F1205" s="266">
        <f t="shared" si="60"/>
        <v>1198</v>
      </c>
      <c r="G1205" s="230">
        <f t="shared" ca="1" si="59"/>
        <v>-1.5951557971109802E-2</v>
      </c>
    </row>
    <row r="1206" spans="2:7" x14ac:dyDescent="0.25">
      <c r="B1206" s="348">
        <v>44049</v>
      </c>
      <c r="C1206" s="293">
        <v>113.22</v>
      </c>
      <c r="D1206" s="230">
        <f t="shared" si="58"/>
        <v>3.5106966538672513E-2</v>
      </c>
      <c r="E1206" s="293">
        <v>7.9778300302317806E-3</v>
      </c>
      <c r="F1206" s="266">
        <f t="shared" si="60"/>
        <v>1199</v>
      </c>
      <c r="G1206" s="230">
        <f t="shared" ca="1" si="59"/>
        <v>6.2744106086760941E-3</v>
      </c>
    </row>
    <row r="1207" spans="2:7" x14ac:dyDescent="0.25">
      <c r="B1207" s="348">
        <v>43957</v>
      </c>
      <c r="C1207" s="293">
        <v>109.38</v>
      </c>
      <c r="D1207" s="230">
        <f t="shared" si="58"/>
        <v>1.1653718091009901E-2</v>
      </c>
      <c r="E1207" s="293">
        <v>7.9756931257122243E-3</v>
      </c>
      <c r="F1207" s="266">
        <f t="shared" si="60"/>
        <v>1200</v>
      </c>
      <c r="G1207" s="230">
        <f t="shared" ca="1" si="59"/>
        <v>-2.2174257022799029E-2</v>
      </c>
    </row>
    <row r="1208" spans="2:7" x14ac:dyDescent="0.25">
      <c r="B1208" s="348">
        <v>43927</v>
      </c>
      <c r="C1208" s="293">
        <v>108.12</v>
      </c>
      <c r="D1208" s="230">
        <f t="shared" si="58"/>
        <v>2.3185388473549784E-2</v>
      </c>
      <c r="E1208" s="293">
        <v>7.9730488489613283E-3</v>
      </c>
      <c r="F1208" s="266">
        <f t="shared" si="60"/>
        <v>1201</v>
      </c>
      <c r="G1208" s="230">
        <f t="shared" ca="1" si="59"/>
        <v>-1.0539719773219202E-2</v>
      </c>
    </row>
    <row r="1209" spans="2:7" x14ac:dyDescent="0.25">
      <c r="B1209" s="348">
        <v>43896</v>
      </c>
      <c r="C1209" s="293">
        <v>105.67</v>
      </c>
      <c r="D1209" s="230">
        <f t="shared" si="58"/>
        <v>-2.0848776871756902E-2</v>
      </c>
      <c r="E1209" s="293">
        <v>7.9713033080908158E-3</v>
      </c>
      <c r="F1209" s="266">
        <f t="shared" si="60"/>
        <v>1202</v>
      </c>
      <c r="G1209" s="230">
        <f t="shared" ca="1" si="59"/>
        <v>1.2193562996633139E-2</v>
      </c>
    </row>
    <row r="1210" spans="2:7" x14ac:dyDescent="0.25">
      <c r="B1210" s="348">
        <v>43867</v>
      </c>
      <c r="C1210" s="293">
        <v>107.92</v>
      </c>
      <c r="D1210" s="230">
        <f t="shared" si="58"/>
        <v>3.626894820050186E-3</v>
      </c>
      <c r="E1210" s="293">
        <v>7.9702444208287204E-3</v>
      </c>
      <c r="F1210" s="266">
        <f t="shared" si="60"/>
        <v>1203</v>
      </c>
      <c r="G1210" s="230">
        <f t="shared" ca="1" si="59"/>
        <v>3.8092966310328567E-2</v>
      </c>
    </row>
    <row r="1211" spans="2:7" x14ac:dyDescent="0.25">
      <c r="B1211" s="348">
        <v>43836</v>
      </c>
      <c r="C1211" s="293">
        <v>107.53</v>
      </c>
      <c r="D1211" s="230">
        <f t="shared" si="58"/>
        <v>1.0620300751879697E-2</v>
      </c>
      <c r="E1211" s="293">
        <v>7.9432624113475736E-3</v>
      </c>
      <c r="F1211" s="266">
        <f t="shared" si="60"/>
        <v>1204</v>
      </c>
      <c r="G1211" s="230">
        <f t="shared" ca="1" si="59"/>
        <v>1.2568055144429295E-2</v>
      </c>
    </row>
    <row r="1212" spans="2:7" x14ac:dyDescent="0.25">
      <c r="B1212" s="348" t="s">
        <v>1284</v>
      </c>
      <c r="C1212" s="293">
        <v>106.4</v>
      </c>
      <c r="D1212" s="230">
        <f t="shared" si="58"/>
        <v>6.7522825323567792E-2</v>
      </c>
      <c r="E1212" s="293">
        <v>7.9373368146213874E-3</v>
      </c>
      <c r="F1212" s="266">
        <f t="shared" si="60"/>
        <v>1205</v>
      </c>
      <c r="G1212" s="230">
        <f t="shared" ca="1" si="59"/>
        <v>-3.0961412458844974E-3</v>
      </c>
    </row>
    <row r="1213" spans="2:7" x14ac:dyDescent="0.25">
      <c r="B1213" s="348" t="s">
        <v>1285</v>
      </c>
      <c r="C1213" s="293">
        <v>99.67</v>
      </c>
      <c r="D1213" s="230">
        <f t="shared" si="58"/>
        <v>-9.4414629298350539E-3</v>
      </c>
      <c r="E1213" s="293">
        <v>7.9290855121374459E-3</v>
      </c>
      <c r="F1213" s="266">
        <f t="shared" si="60"/>
        <v>1206</v>
      </c>
      <c r="G1213" s="230">
        <f t="shared" ca="1" si="59"/>
        <v>-1.4992106887251201E-2</v>
      </c>
    </row>
    <row r="1214" spans="2:7" x14ac:dyDescent="0.25">
      <c r="B1214" s="348" t="s">
        <v>1286</v>
      </c>
      <c r="C1214" s="293">
        <v>100.62</v>
      </c>
      <c r="D1214" s="230">
        <f t="shared" si="58"/>
        <v>6.5889830508474523E-2</v>
      </c>
      <c r="E1214" s="293">
        <v>7.9197465681097867E-3</v>
      </c>
      <c r="F1214" s="266">
        <f t="shared" si="60"/>
        <v>1207</v>
      </c>
      <c r="G1214" s="230">
        <f t="shared" ca="1" si="59"/>
        <v>-2.2101971863934512E-2</v>
      </c>
    </row>
    <row r="1215" spans="2:7" x14ac:dyDescent="0.25">
      <c r="B1215" s="348" t="s">
        <v>1287</v>
      </c>
      <c r="C1215" s="293">
        <v>94.4</v>
      </c>
      <c r="D1215" s="230">
        <f t="shared" si="58"/>
        <v>-1.0582010582009804E-3</v>
      </c>
      <c r="E1215" s="293">
        <v>7.9155672823221224E-3</v>
      </c>
      <c r="F1215" s="266">
        <f t="shared" si="60"/>
        <v>1208</v>
      </c>
      <c r="G1215" s="230">
        <f t="shared" ca="1" si="59"/>
        <v>2.5092864338737871E-2</v>
      </c>
    </row>
    <row r="1216" spans="2:7" x14ac:dyDescent="0.25">
      <c r="B1216" s="348" t="s">
        <v>1288</v>
      </c>
      <c r="C1216" s="293">
        <v>94.5</v>
      </c>
      <c r="D1216" s="230">
        <f t="shared" si="58"/>
        <v>-5.2882072977256112E-4</v>
      </c>
      <c r="E1216" s="293">
        <v>7.9123016399240687E-3</v>
      </c>
      <c r="F1216" s="266">
        <f t="shared" si="60"/>
        <v>1209</v>
      </c>
      <c r="G1216" s="230">
        <f t="shared" ca="1" si="59"/>
        <v>1.1324456187082277E-2</v>
      </c>
    </row>
    <row r="1217" spans="2:7" x14ac:dyDescent="0.25">
      <c r="B1217" s="348" t="s">
        <v>1289</v>
      </c>
      <c r="C1217" s="293">
        <v>94.55</v>
      </c>
      <c r="D1217" s="230">
        <f t="shared" si="58"/>
        <v>2.2493781767059629E-2</v>
      </c>
      <c r="E1217" s="293">
        <v>7.9103493737640029E-3</v>
      </c>
      <c r="F1217" s="266">
        <f t="shared" si="60"/>
        <v>1210</v>
      </c>
      <c r="G1217" s="230">
        <f t="shared" ca="1" si="59"/>
        <v>-2.2083663379210063E-2</v>
      </c>
    </row>
    <row r="1218" spans="2:7" x14ac:dyDescent="0.25">
      <c r="B1218" s="348" t="s">
        <v>1290</v>
      </c>
      <c r="C1218" s="293">
        <v>92.47</v>
      </c>
      <c r="D1218" s="230">
        <f t="shared" si="58"/>
        <v>2.9284164859002537E-3</v>
      </c>
      <c r="E1218" s="293">
        <v>7.909162098668876E-3</v>
      </c>
      <c r="F1218" s="266">
        <f t="shared" si="60"/>
        <v>1211</v>
      </c>
      <c r="G1218" s="230">
        <f t="shared" ca="1" si="59"/>
        <v>1.2016643279997923E-2</v>
      </c>
    </row>
    <row r="1219" spans="2:7" x14ac:dyDescent="0.25">
      <c r="B1219" s="348" t="s">
        <v>1291</v>
      </c>
      <c r="C1219" s="293">
        <v>92.2</v>
      </c>
      <c r="D1219" s="230">
        <f t="shared" si="58"/>
        <v>1.2074643249176731E-2</v>
      </c>
      <c r="E1219" s="293">
        <v>7.9086115992970107E-3</v>
      </c>
      <c r="F1219" s="266">
        <f t="shared" si="60"/>
        <v>1212</v>
      </c>
      <c r="G1219" s="230">
        <f t="shared" ca="1" si="59"/>
        <v>-1.4286576858463852E-3</v>
      </c>
    </row>
    <row r="1220" spans="2:7" x14ac:dyDescent="0.25">
      <c r="B1220" s="348" t="s">
        <v>1292</v>
      </c>
      <c r="C1220" s="293">
        <v>91.1</v>
      </c>
      <c r="D1220" s="230">
        <f t="shared" si="58"/>
        <v>-8.705114254624724E-3</v>
      </c>
      <c r="E1220" s="293">
        <v>7.8867028493894153E-3</v>
      </c>
      <c r="F1220" s="266">
        <f t="shared" si="60"/>
        <v>1213</v>
      </c>
      <c r="G1220" s="230">
        <f t="shared" ca="1" si="59"/>
        <v>-3.4205913950797112E-2</v>
      </c>
    </row>
    <row r="1221" spans="2:7" x14ac:dyDescent="0.25">
      <c r="B1221" s="348" t="s">
        <v>1293</v>
      </c>
      <c r="C1221" s="293">
        <v>91.9</v>
      </c>
      <c r="D1221" s="230">
        <f t="shared" si="58"/>
        <v>-1.1827956989247213E-2</v>
      </c>
      <c r="E1221" s="293">
        <v>7.8820610129906044E-3</v>
      </c>
      <c r="F1221" s="266">
        <f t="shared" si="60"/>
        <v>1214</v>
      </c>
      <c r="G1221" s="230">
        <f t="shared" ca="1" si="59"/>
        <v>-1.9666958447559051E-3</v>
      </c>
    </row>
    <row r="1222" spans="2:7" x14ac:dyDescent="0.25">
      <c r="B1222" s="348" t="s">
        <v>1294</v>
      </c>
      <c r="C1222" s="293">
        <v>93</v>
      </c>
      <c r="D1222" s="230">
        <f t="shared" si="58"/>
        <v>-1.9504480759093279E-2</v>
      </c>
      <c r="E1222" s="293">
        <v>7.8714859437751805E-3</v>
      </c>
      <c r="F1222" s="266">
        <f t="shared" si="60"/>
        <v>1215</v>
      </c>
      <c r="G1222" s="230">
        <f t="shared" ca="1" si="59"/>
        <v>2.2383458885827053E-2</v>
      </c>
    </row>
    <row r="1223" spans="2:7" x14ac:dyDescent="0.25">
      <c r="B1223" s="348" t="s">
        <v>1295</v>
      </c>
      <c r="C1223" s="293">
        <v>94.85</v>
      </c>
      <c r="D1223" s="230">
        <f t="shared" si="58"/>
        <v>1.4113118785416434E-2</v>
      </c>
      <c r="E1223" s="293">
        <v>7.8626654435853816E-3</v>
      </c>
      <c r="F1223" s="266">
        <f t="shared" si="60"/>
        <v>1216</v>
      </c>
      <c r="G1223" s="230">
        <f t="shared" ca="1" si="59"/>
        <v>-1.2770760345999803E-2</v>
      </c>
    </row>
    <row r="1224" spans="2:7" x14ac:dyDescent="0.25">
      <c r="B1224" s="348">
        <v>44170</v>
      </c>
      <c r="C1224" s="293">
        <v>93.53</v>
      </c>
      <c r="D1224" s="230">
        <f t="shared" si="58"/>
        <v>1.2777476989713099E-2</v>
      </c>
      <c r="E1224" s="293">
        <v>7.8626112145665505E-3</v>
      </c>
      <c r="F1224" s="266">
        <f t="shared" si="60"/>
        <v>1217</v>
      </c>
      <c r="G1224" s="230">
        <f t="shared" ca="1" si="59"/>
        <v>-2.0438268036604874E-2</v>
      </c>
    </row>
    <row r="1225" spans="2:7" x14ac:dyDescent="0.25">
      <c r="B1225" s="348">
        <v>44140</v>
      </c>
      <c r="C1225" s="293">
        <v>92.35</v>
      </c>
      <c r="D1225" s="230">
        <f t="shared" ref="D1225:D1288" si="61">C1225/C1226-1</f>
        <v>3.8043478260869623E-3</v>
      </c>
      <c r="E1225" s="293">
        <v>7.8549848942597311E-3</v>
      </c>
      <c r="F1225" s="266">
        <f t="shared" si="60"/>
        <v>1218</v>
      </c>
      <c r="G1225" s="230">
        <f t="shared" ref="G1225:G1288" ca="1" si="62">_xlfn.NORM.INV(RAND(),$M$10,$M$11)</f>
        <v>-7.0688363253361992E-3</v>
      </c>
    </row>
    <row r="1226" spans="2:7" x14ac:dyDescent="0.25">
      <c r="B1226" s="348">
        <v>44048</v>
      </c>
      <c r="C1226" s="293">
        <v>92</v>
      </c>
      <c r="D1226" s="230">
        <f t="shared" si="61"/>
        <v>-5.4318305268874489E-4</v>
      </c>
      <c r="E1226" s="293">
        <v>7.8549344029414936E-3</v>
      </c>
      <c r="F1226" s="266">
        <f t="shared" ref="F1226:F1289" si="63">F1225+1</f>
        <v>1219</v>
      </c>
      <c r="G1226" s="230">
        <f t="shared" ca="1" si="62"/>
        <v>-5.3056537056563428E-2</v>
      </c>
    </row>
    <row r="1227" spans="2:7" x14ac:dyDescent="0.25">
      <c r="B1227" s="348">
        <v>44017</v>
      </c>
      <c r="C1227" s="293">
        <v>92.05</v>
      </c>
      <c r="D1227" s="230">
        <f t="shared" si="61"/>
        <v>-1.5823799850315456E-2</v>
      </c>
      <c r="E1227" s="293">
        <v>7.8535970956508105E-3</v>
      </c>
      <c r="F1227" s="266">
        <f t="shared" si="63"/>
        <v>1220</v>
      </c>
      <c r="G1227" s="230">
        <f t="shared" ca="1" si="62"/>
        <v>-1.0180971776080662E-2</v>
      </c>
    </row>
    <row r="1228" spans="2:7" x14ac:dyDescent="0.25">
      <c r="B1228" s="348">
        <v>43987</v>
      </c>
      <c r="C1228" s="293">
        <v>93.53</v>
      </c>
      <c r="D1228" s="230">
        <f t="shared" si="61"/>
        <v>1.5526601520087002E-2</v>
      </c>
      <c r="E1228" s="293">
        <v>7.8431372549019329E-3</v>
      </c>
      <c r="F1228" s="266">
        <f t="shared" si="63"/>
        <v>1221</v>
      </c>
      <c r="G1228" s="230">
        <f t="shared" ca="1" si="62"/>
        <v>9.7792134282932534E-3</v>
      </c>
    </row>
    <row r="1229" spans="2:7" x14ac:dyDescent="0.25">
      <c r="B1229" s="348">
        <v>43956</v>
      </c>
      <c r="C1229" s="293">
        <v>92.1</v>
      </c>
      <c r="D1229" s="230">
        <f t="shared" si="61"/>
        <v>-3.0832368725665638E-2</v>
      </c>
      <c r="E1229" s="293">
        <v>7.8412153883851143E-3</v>
      </c>
      <c r="F1229" s="266">
        <f t="shared" si="63"/>
        <v>1222</v>
      </c>
      <c r="G1229" s="230">
        <f t="shared" ca="1" si="62"/>
        <v>1.2527688695616887E-2</v>
      </c>
    </row>
    <row r="1230" spans="2:7" x14ac:dyDescent="0.25">
      <c r="B1230" s="348">
        <v>43926</v>
      </c>
      <c r="C1230" s="293">
        <v>95.03</v>
      </c>
      <c r="D1230" s="230">
        <f t="shared" si="61"/>
        <v>-4.6087776264794877E-3</v>
      </c>
      <c r="E1230" s="293">
        <v>7.8091106290671952E-3</v>
      </c>
      <c r="F1230" s="266">
        <f t="shared" si="63"/>
        <v>1223</v>
      </c>
      <c r="G1230" s="230">
        <f t="shared" ca="1" si="62"/>
        <v>6.1558610470071372E-3</v>
      </c>
    </row>
    <row r="1231" spans="2:7" x14ac:dyDescent="0.25">
      <c r="B1231" s="348" t="s">
        <v>1296</v>
      </c>
      <c r="C1231" s="293">
        <v>95.47</v>
      </c>
      <c r="D1231" s="230">
        <f t="shared" si="61"/>
        <v>5.6902468725783306E-2</v>
      </c>
      <c r="E1231" s="293">
        <v>7.7755240027046479E-3</v>
      </c>
      <c r="F1231" s="266">
        <f t="shared" si="63"/>
        <v>1224</v>
      </c>
      <c r="G1231" s="230">
        <f t="shared" ca="1" si="62"/>
        <v>3.2768641841599964E-2</v>
      </c>
    </row>
    <row r="1232" spans="2:7" x14ac:dyDescent="0.25">
      <c r="B1232" s="348" t="s">
        <v>1297</v>
      </c>
      <c r="C1232" s="293">
        <v>90.33</v>
      </c>
      <c r="D1232" s="230">
        <f t="shared" si="61"/>
        <v>5.3422370617697279E-3</v>
      </c>
      <c r="E1232" s="293">
        <v>7.7745383867833251E-3</v>
      </c>
      <c r="F1232" s="266">
        <f t="shared" si="63"/>
        <v>1225</v>
      </c>
      <c r="G1232" s="230">
        <f t="shared" ca="1" si="62"/>
        <v>-1.3362582203878204E-2</v>
      </c>
    </row>
    <row r="1233" spans="2:7" x14ac:dyDescent="0.25">
      <c r="B1233" s="348" t="s">
        <v>1298</v>
      </c>
      <c r="C1233" s="293">
        <v>89.85</v>
      </c>
      <c r="D1233" s="230">
        <f t="shared" si="61"/>
        <v>-1.2962759529825396E-2</v>
      </c>
      <c r="E1233" s="293">
        <v>7.7660110943014171E-3</v>
      </c>
      <c r="F1233" s="266">
        <f t="shared" si="63"/>
        <v>1226</v>
      </c>
      <c r="G1233" s="230">
        <f t="shared" ca="1" si="62"/>
        <v>-1.3131848660689331E-2</v>
      </c>
    </row>
    <row r="1234" spans="2:7" x14ac:dyDescent="0.25">
      <c r="B1234" s="348" t="s">
        <v>1299</v>
      </c>
      <c r="C1234" s="293">
        <v>91.03</v>
      </c>
      <c r="D1234" s="230">
        <f t="shared" si="61"/>
        <v>2.4189918991899262E-2</v>
      </c>
      <c r="E1234" s="293">
        <v>7.7319587628865705E-3</v>
      </c>
      <c r="F1234" s="266">
        <f t="shared" si="63"/>
        <v>1227</v>
      </c>
      <c r="G1234" s="230">
        <f t="shared" ca="1" si="62"/>
        <v>-1.1243003182876502E-2</v>
      </c>
    </row>
    <row r="1235" spans="2:7" x14ac:dyDescent="0.25">
      <c r="B1235" s="348" t="s">
        <v>1300</v>
      </c>
      <c r="C1235" s="293">
        <v>88.88</v>
      </c>
      <c r="D1235" s="230">
        <f t="shared" si="61"/>
        <v>-1.7357656163626389E-2</v>
      </c>
      <c r="E1235" s="293">
        <v>7.7319587628865705E-3</v>
      </c>
      <c r="F1235" s="266">
        <f t="shared" si="63"/>
        <v>1228</v>
      </c>
      <c r="G1235" s="230">
        <f t="shared" ca="1" si="62"/>
        <v>-9.5424580288324583E-4</v>
      </c>
    </row>
    <row r="1236" spans="2:7" x14ac:dyDescent="0.25">
      <c r="B1236" s="348" t="s">
        <v>1301</v>
      </c>
      <c r="C1236" s="293">
        <v>90.45</v>
      </c>
      <c r="D1236" s="230">
        <f t="shared" si="61"/>
        <v>1.3104838709677491E-2</v>
      </c>
      <c r="E1236" s="293">
        <v>7.7298616761594108E-3</v>
      </c>
      <c r="F1236" s="266">
        <f t="shared" si="63"/>
        <v>1229</v>
      </c>
      <c r="G1236" s="230">
        <f t="shared" ca="1" si="62"/>
        <v>-4.0376580003544667E-2</v>
      </c>
    </row>
    <row r="1237" spans="2:7" x14ac:dyDescent="0.25">
      <c r="B1237" s="348" t="s">
        <v>1302</v>
      </c>
      <c r="C1237" s="293">
        <v>89.28</v>
      </c>
      <c r="D1237" s="230">
        <f t="shared" si="61"/>
        <v>2.8080422329552768E-3</v>
      </c>
      <c r="E1237" s="293">
        <v>7.698113207547097E-3</v>
      </c>
      <c r="F1237" s="266">
        <f t="shared" si="63"/>
        <v>1230</v>
      </c>
      <c r="G1237" s="230">
        <f t="shared" ca="1" si="62"/>
        <v>-1.7889253707659987E-2</v>
      </c>
    </row>
    <row r="1238" spans="2:7" x14ac:dyDescent="0.25">
      <c r="B1238" s="348" t="s">
        <v>1303</v>
      </c>
      <c r="C1238" s="293">
        <v>89.03</v>
      </c>
      <c r="D1238" s="230">
        <f t="shared" si="61"/>
        <v>-1.6786305908337851E-2</v>
      </c>
      <c r="E1238" s="293">
        <v>7.6865109269028675E-3</v>
      </c>
      <c r="F1238" s="266">
        <f t="shared" si="63"/>
        <v>1231</v>
      </c>
      <c r="G1238" s="230">
        <f t="shared" ca="1" si="62"/>
        <v>-2.3134757893725007E-3</v>
      </c>
    </row>
    <row r="1239" spans="2:7" x14ac:dyDescent="0.25">
      <c r="B1239" s="348" t="s">
        <v>1304</v>
      </c>
      <c r="C1239" s="293">
        <v>90.55</v>
      </c>
      <c r="D1239" s="230">
        <f t="shared" si="61"/>
        <v>-3.1550802139037493E-2</v>
      </c>
      <c r="E1239" s="293">
        <v>7.6841194863948026E-3</v>
      </c>
      <c r="F1239" s="266">
        <f t="shared" si="63"/>
        <v>1232</v>
      </c>
      <c r="G1239" s="230">
        <f t="shared" ca="1" si="62"/>
        <v>-2.6355309397654123E-3</v>
      </c>
    </row>
    <row r="1240" spans="2:7" x14ac:dyDescent="0.25">
      <c r="B1240" s="348" t="s">
        <v>1305</v>
      </c>
      <c r="C1240" s="293">
        <v>93.5</v>
      </c>
      <c r="D1240" s="230">
        <f t="shared" si="61"/>
        <v>-4.4718909710391719E-3</v>
      </c>
      <c r="E1240" s="293">
        <v>7.6714080230142478E-3</v>
      </c>
      <c r="F1240" s="266">
        <f t="shared" si="63"/>
        <v>1233</v>
      </c>
      <c r="G1240" s="230">
        <f t="shared" ca="1" si="62"/>
        <v>-2.9250659893416651E-2</v>
      </c>
    </row>
    <row r="1241" spans="2:7" x14ac:dyDescent="0.25">
      <c r="B1241" s="348" t="s">
        <v>1306</v>
      </c>
      <c r="C1241" s="293">
        <v>93.92</v>
      </c>
      <c r="D1241" s="230">
        <f t="shared" si="61"/>
        <v>6.8610634648369473E-3</v>
      </c>
      <c r="E1241" s="293">
        <v>7.6710373740076498E-3</v>
      </c>
      <c r="F1241" s="266">
        <f t="shared" si="63"/>
        <v>1234</v>
      </c>
      <c r="G1241" s="230">
        <f t="shared" ca="1" si="62"/>
        <v>-1.9580811021056736E-2</v>
      </c>
    </row>
    <row r="1242" spans="2:7" x14ac:dyDescent="0.25">
      <c r="B1242" s="348" t="s">
        <v>1307</v>
      </c>
      <c r="C1242" s="293">
        <v>93.28</v>
      </c>
      <c r="D1242" s="230">
        <f t="shared" si="61"/>
        <v>-1.3953488372092981E-2</v>
      </c>
      <c r="E1242" s="293">
        <v>7.6693227091633176E-3</v>
      </c>
      <c r="F1242" s="266">
        <f t="shared" si="63"/>
        <v>1235</v>
      </c>
      <c r="G1242" s="230">
        <f t="shared" ca="1" si="62"/>
        <v>-1.0111997186862853E-3</v>
      </c>
    </row>
    <row r="1243" spans="2:7" x14ac:dyDescent="0.25">
      <c r="B1243" s="348" t="s">
        <v>1308</v>
      </c>
      <c r="C1243" s="293">
        <v>94.6</v>
      </c>
      <c r="D1243" s="230">
        <f t="shared" si="61"/>
        <v>-3.812913065582102E-2</v>
      </c>
      <c r="E1243" s="293">
        <v>7.6692854470632454E-3</v>
      </c>
      <c r="F1243" s="266">
        <f t="shared" si="63"/>
        <v>1236</v>
      </c>
      <c r="G1243" s="230">
        <f t="shared" ca="1" si="62"/>
        <v>8.8023938036080069E-3</v>
      </c>
    </row>
    <row r="1244" spans="2:7" x14ac:dyDescent="0.25">
      <c r="B1244" s="348">
        <v>44078</v>
      </c>
      <c r="C1244" s="293">
        <v>98.35</v>
      </c>
      <c r="D1244" s="230">
        <f t="shared" si="61"/>
        <v>1.9699326075686807E-2</v>
      </c>
      <c r="E1244" s="293">
        <v>7.6635343490558672E-3</v>
      </c>
      <c r="F1244" s="266">
        <f t="shared" si="63"/>
        <v>1237</v>
      </c>
      <c r="G1244" s="230">
        <f t="shared" ca="1" si="62"/>
        <v>-9.8014171355288743E-3</v>
      </c>
    </row>
    <row r="1245" spans="2:7" x14ac:dyDescent="0.25">
      <c r="B1245" s="348">
        <v>44047</v>
      </c>
      <c r="C1245" s="293">
        <v>96.45</v>
      </c>
      <c r="D1245" s="230">
        <f t="shared" si="61"/>
        <v>5.2110474205315782E-3</v>
      </c>
      <c r="E1245" s="293">
        <v>7.6577007753422244E-3</v>
      </c>
      <c r="F1245" s="266">
        <f t="shared" si="63"/>
        <v>1238</v>
      </c>
      <c r="G1245" s="230">
        <f t="shared" ca="1" si="62"/>
        <v>-1.4501042329964126E-2</v>
      </c>
    </row>
    <row r="1246" spans="2:7" x14ac:dyDescent="0.25">
      <c r="B1246" s="348">
        <v>44016</v>
      </c>
      <c r="C1246" s="293">
        <v>95.95</v>
      </c>
      <c r="D1246" s="230">
        <f t="shared" si="61"/>
        <v>6.6111111111111232E-2</v>
      </c>
      <c r="E1246" s="293">
        <v>7.6434492410377697E-3</v>
      </c>
      <c r="F1246" s="266">
        <f t="shared" si="63"/>
        <v>1239</v>
      </c>
      <c r="G1246" s="230">
        <f t="shared" ca="1" si="62"/>
        <v>-2.5602995658612314E-2</v>
      </c>
    </row>
    <row r="1247" spans="2:7" x14ac:dyDescent="0.25">
      <c r="B1247" s="348">
        <v>43894</v>
      </c>
      <c r="C1247" s="293">
        <v>90</v>
      </c>
      <c r="D1247" s="230">
        <f t="shared" si="61"/>
        <v>-5.0131926121372072E-2</v>
      </c>
      <c r="E1247" s="293">
        <v>7.642073086008061E-3</v>
      </c>
      <c r="F1247" s="266">
        <f t="shared" si="63"/>
        <v>1240</v>
      </c>
      <c r="G1247" s="230">
        <f t="shared" ca="1" si="62"/>
        <v>-2.0410117683282956E-2</v>
      </c>
    </row>
    <row r="1248" spans="2:7" x14ac:dyDescent="0.25">
      <c r="B1248" s="348">
        <v>43834</v>
      </c>
      <c r="C1248" s="293">
        <v>94.75</v>
      </c>
      <c r="D1248" s="230">
        <f t="shared" si="61"/>
        <v>-3.6603965429588103E-2</v>
      </c>
      <c r="E1248" s="293">
        <v>7.6412918108419436E-3</v>
      </c>
      <c r="F1248" s="266">
        <f t="shared" si="63"/>
        <v>1241</v>
      </c>
      <c r="G1248" s="230">
        <f t="shared" ca="1" si="62"/>
        <v>-1.6612273628218168E-3</v>
      </c>
    </row>
    <row r="1249" spans="2:7" x14ac:dyDescent="0.25">
      <c r="B1249" s="348" t="s">
        <v>1309</v>
      </c>
      <c r="C1249" s="293">
        <v>98.35</v>
      </c>
      <c r="D1249" s="230">
        <f t="shared" si="61"/>
        <v>6.8092962641181476E-2</v>
      </c>
      <c r="E1249" s="293">
        <v>7.6328004125838511E-3</v>
      </c>
      <c r="F1249" s="266">
        <f t="shared" si="63"/>
        <v>1242</v>
      </c>
      <c r="G1249" s="230">
        <f t="shared" ca="1" si="62"/>
        <v>-5.8807925705172204E-3</v>
      </c>
    </row>
    <row r="1250" spans="2:7" x14ac:dyDescent="0.25">
      <c r="B1250" s="348" t="s">
        <v>1310</v>
      </c>
      <c r="C1250" s="293">
        <v>92.08</v>
      </c>
      <c r="D1250" s="230">
        <f t="shared" si="61"/>
        <v>3.5967302452315497E-3</v>
      </c>
      <c r="E1250" s="293">
        <v>7.6275045537341768E-3</v>
      </c>
      <c r="F1250" s="266">
        <f t="shared" si="63"/>
        <v>1243</v>
      </c>
      <c r="G1250" s="230">
        <f t="shared" ca="1" si="62"/>
        <v>1.3616713161086725E-2</v>
      </c>
    </row>
    <row r="1251" spans="2:7" x14ac:dyDescent="0.25">
      <c r="B1251" s="348" t="s">
        <v>1311</v>
      </c>
      <c r="C1251" s="293">
        <v>91.75</v>
      </c>
      <c r="D1251" s="230">
        <f t="shared" si="61"/>
        <v>4.9288061336254518E-3</v>
      </c>
      <c r="E1251" s="293">
        <v>7.6103500761035558E-3</v>
      </c>
      <c r="F1251" s="266">
        <f t="shared" si="63"/>
        <v>1244</v>
      </c>
      <c r="G1251" s="230">
        <f t="shared" ca="1" si="62"/>
        <v>1.3508941130667777E-2</v>
      </c>
    </row>
    <row r="1252" spans="2:7" x14ac:dyDescent="0.25">
      <c r="B1252" s="348" t="s">
        <v>1312</v>
      </c>
      <c r="C1252" s="293">
        <v>91.3</v>
      </c>
      <c r="D1252" s="230">
        <f t="shared" si="61"/>
        <v>4.5459750372151664E-2</v>
      </c>
      <c r="E1252" s="293">
        <v>7.5873827791985704E-3</v>
      </c>
      <c r="F1252" s="266">
        <f t="shared" si="63"/>
        <v>1245</v>
      </c>
      <c r="G1252" s="230">
        <f t="shared" ca="1" si="62"/>
        <v>5.2086957108582821E-3</v>
      </c>
    </row>
    <row r="1253" spans="2:7" x14ac:dyDescent="0.25">
      <c r="B1253" s="348" t="s">
        <v>1313</v>
      </c>
      <c r="C1253" s="293">
        <v>87.33</v>
      </c>
      <c r="D1253" s="230">
        <f t="shared" si="61"/>
        <v>-9.5270500170125949E-3</v>
      </c>
      <c r="E1253" s="293">
        <v>7.5868106215348785E-3</v>
      </c>
      <c r="F1253" s="266">
        <f t="shared" si="63"/>
        <v>1246</v>
      </c>
      <c r="G1253" s="230">
        <f t="shared" ca="1" si="62"/>
        <v>-3.5947497129650322E-4</v>
      </c>
    </row>
    <row r="1254" spans="2:7" x14ac:dyDescent="0.25">
      <c r="B1254" s="348" t="s">
        <v>1314</v>
      </c>
      <c r="C1254" s="293">
        <v>88.17</v>
      </c>
      <c r="D1254" s="230">
        <f t="shared" si="61"/>
        <v>3.6318758815232721E-2</v>
      </c>
      <c r="E1254" s="293">
        <v>7.5774971297359883E-3</v>
      </c>
      <c r="F1254" s="266">
        <f t="shared" si="63"/>
        <v>1247</v>
      </c>
      <c r="G1254" s="230">
        <f t="shared" ca="1" si="62"/>
        <v>1.5029246766287745E-2</v>
      </c>
    </row>
    <row r="1255" spans="2:7" x14ac:dyDescent="0.25">
      <c r="B1255" s="348" t="s">
        <v>1315</v>
      </c>
      <c r="C1255" s="293">
        <v>85.08</v>
      </c>
      <c r="D1255" s="230">
        <f t="shared" si="61"/>
        <v>-5.0446428571428559E-2</v>
      </c>
      <c r="E1255" s="293">
        <v>7.5733502806907271E-3</v>
      </c>
      <c r="F1255" s="266">
        <f t="shared" si="63"/>
        <v>1248</v>
      </c>
      <c r="G1255" s="230">
        <f t="shared" ca="1" si="62"/>
        <v>-1.0367669352900699E-2</v>
      </c>
    </row>
    <row r="1256" spans="2:7" x14ac:dyDescent="0.25">
      <c r="B1256" s="348" t="s">
        <v>1316</v>
      </c>
      <c r="C1256" s="293">
        <v>89.6</v>
      </c>
      <c r="D1256" s="230">
        <f t="shared" si="61"/>
        <v>0.10385610447209559</v>
      </c>
      <c r="E1256" s="293">
        <v>7.5707702435812152E-3</v>
      </c>
      <c r="F1256" s="266">
        <f t="shared" si="63"/>
        <v>1249</v>
      </c>
      <c r="G1256" s="230">
        <f t="shared" ca="1" si="62"/>
        <v>2.1585149059339143E-2</v>
      </c>
    </row>
    <row r="1257" spans="2:7" x14ac:dyDescent="0.25">
      <c r="B1257" s="348" t="s">
        <v>1317</v>
      </c>
      <c r="C1257" s="293">
        <v>81.17</v>
      </c>
      <c r="D1257" s="230">
        <f t="shared" si="61"/>
        <v>-4.4721666470519006E-2</v>
      </c>
      <c r="E1257" s="293">
        <v>7.5598488030239608E-3</v>
      </c>
      <c r="F1257" s="266">
        <f t="shared" si="63"/>
        <v>1250</v>
      </c>
      <c r="G1257" s="230">
        <f t="shared" ca="1" si="62"/>
        <v>8.9567228143917488E-3</v>
      </c>
    </row>
    <row r="1258" spans="2:7" x14ac:dyDescent="0.25">
      <c r="B1258" s="348" t="s">
        <v>1318</v>
      </c>
      <c r="C1258" s="293">
        <v>84.97</v>
      </c>
      <c r="D1258" s="230">
        <f t="shared" si="61"/>
        <v>-1.8255343731946816E-2</v>
      </c>
      <c r="E1258" s="293">
        <v>7.5566750629723067E-3</v>
      </c>
      <c r="F1258" s="266">
        <f t="shared" si="63"/>
        <v>1251</v>
      </c>
      <c r="G1258" s="230">
        <f t="shared" ca="1" si="62"/>
        <v>4.272442381065035E-2</v>
      </c>
    </row>
    <row r="1259" spans="2:7" x14ac:dyDescent="0.25">
      <c r="B1259" s="348" t="s">
        <v>1319</v>
      </c>
      <c r="C1259" s="293">
        <v>86.55</v>
      </c>
      <c r="D1259" s="230">
        <f t="shared" si="61"/>
        <v>-3.7049399198931909E-2</v>
      </c>
      <c r="E1259" s="293">
        <v>7.5542965061379252E-3</v>
      </c>
      <c r="F1259" s="266">
        <f t="shared" si="63"/>
        <v>1252</v>
      </c>
      <c r="G1259" s="230">
        <f t="shared" ca="1" si="62"/>
        <v>3.5969457407727216E-2</v>
      </c>
    </row>
    <row r="1260" spans="2:7" x14ac:dyDescent="0.25">
      <c r="B1260" s="348" t="s">
        <v>1320</v>
      </c>
      <c r="C1260" s="293">
        <v>89.88</v>
      </c>
      <c r="D1260" s="230">
        <f t="shared" si="61"/>
        <v>-8.9361702127659592E-2</v>
      </c>
      <c r="E1260" s="293">
        <v>7.5465075465075415E-3</v>
      </c>
      <c r="F1260" s="266">
        <f t="shared" si="63"/>
        <v>1253</v>
      </c>
      <c r="G1260" s="230">
        <f t="shared" ca="1" si="62"/>
        <v>3.9830710329952039E-4</v>
      </c>
    </row>
    <row r="1261" spans="2:7" x14ac:dyDescent="0.25">
      <c r="B1261" s="348" t="s">
        <v>1321</v>
      </c>
      <c r="C1261" s="293">
        <v>98.7</v>
      </c>
      <c r="D1261" s="230">
        <f t="shared" si="61"/>
        <v>-8.5384229030637249E-3</v>
      </c>
      <c r="E1261" s="293">
        <v>7.544322897020006E-3</v>
      </c>
      <c r="F1261" s="266">
        <f t="shared" si="63"/>
        <v>1254</v>
      </c>
      <c r="G1261" s="230">
        <f t="shared" ca="1" si="62"/>
        <v>-2.6353419243565879E-2</v>
      </c>
    </row>
    <row r="1262" spans="2:7" x14ac:dyDescent="0.25">
      <c r="B1262" s="348">
        <v>44168</v>
      </c>
      <c r="C1262" s="293">
        <v>99.55</v>
      </c>
      <c r="D1262" s="230">
        <f t="shared" si="61"/>
        <v>-6.5696855936180243E-2</v>
      </c>
      <c r="E1262" s="293">
        <v>7.5344661750560427E-3</v>
      </c>
      <c r="F1262" s="266">
        <f t="shared" si="63"/>
        <v>1255</v>
      </c>
      <c r="G1262" s="230">
        <f t="shared" ca="1" si="62"/>
        <v>1.2626911096493039E-2</v>
      </c>
    </row>
    <row r="1263" spans="2:7" x14ac:dyDescent="0.25">
      <c r="B1263" s="348">
        <v>44138</v>
      </c>
      <c r="C1263" s="293">
        <v>106.55</v>
      </c>
      <c r="D1263" s="230">
        <f t="shared" si="61"/>
        <v>-6.0634328358210032E-3</v>
      </c>
      <c r="E1263" s="293">
        <v>7.5321829635714987E-3</v>
      </c>
      <c r="F1263" s="266">
        <f t="shared" si="63"/>
        <v>1256</v>
      </c>
      <c r="G1263" s="230">
        <f t="shared" ca="1" si="62"/>
        <v>9.3330801477167838E-3</v>
      </c>
    </row>
    <row r="1264" spans="2:7" x14ac:dyDescent="0.25">
      <c r="B1264" s="348">
        <v>44077</v>
      </c>
      <c r="C1264" s="293">
        <v>107.2</v>
      </c>
      <c r="D1264" s="230">
        <f t="shared" si="61"/>
        <v>-4.09733404902487E-2</v>
      </c>
      <c r="E1264" s="293">
        <v>7.5073441410073993E-3</v>
      </c>
      <c r="F1264" s="266">
        <f t="shared" si="63"/>
        <v>1257</v>
      </c>
      <c r="G1264" s="230">
        <f t="shared" ca="1" si="62"/>
        <v>-7.5848036645569591E-3</v>
      </c>
    </row>
    <row r="1265" spans="2:7" x14ac:dyDescent="0.25">
      <c r="B1265" s="348">
        <v>43985</v>
      </c>
      <c r="C1265" s="293">
        <v>111.78</v>
      </c>
      <c r="D1265" s="230">
        <f t="shared" si="61"/>
        <v>-2.6730518067043962E-2</v>
      </c>
      <c r="E1265" s="293">
        <v>7.4991848712095965E-3</v>
      </c>
      <c r="F1265" s="266">
        <f t="shared" si="63"/>
        <v>1258</v>
      </c>
      <c r="G1265" s="230">
        <f t="shared" ca="1" si="62"/>
        <v>-1.9428614245636799E-2</v>
      </c>
    </row>
    <row r="1266" spans="2:7" x14ac:dyDescent="0.25">
      <c r="B1266" s="348">
        <v>43954</v>
      </c>
      <c r="C1266" s="293">
        <v>114.85</v>
      </c>
      <c r="D1266" s="230">
        <f t="shared" si="61"/>
        <v>3.7580842510049894E-3</v>
      </c>
      <c r="E1266" s="293">
        <v>7.4883929908642344E-3</v>
      </c>
      <c r="F1266" s="266">
        <f t="shared" si="63"/>
        <v>1259</v>
      </c>
      <c r="G1266" s="230">
        <f t="shared" ca="1" si="62"/>
        <v>-5.4417315445874264E-3</v>
      </c>
    </row>
    <row r="1267" spans="2:7" x14ac:dyDescent="0.25">
      <c r="B1267" s="348">
        <v>43924</v>
      </c>
      <c r="C1267" s="293">
        <v>114.42</v>
      </c>
      <c r="D1267" s="230">
        <f t="shared" si="61"/>
        <v>2.297720160929817E-2</v>
      </c>
      <c r="E1267" s="293">
        <v>7.4653394952006735E-3</v>
      </c>
      <c r="F1267" s="266">
        <f t="shared" si="63"/>
        <v>1260</v>
      </c>
      <c r="G1267" s="230">
        <f t="shared" ca="1" si="62"/>
        <v>9.0375437837000028E-3</v>
      </c>
    </row>
    <row r="1268" spans="2:7" x14ac:dyDescent="0.25">
      <c r="B1268" s="348">
        <v>43893</v>
      </c>
      <c r="C1268" s="293">
        <v>111.85</v>
      </c>
      <c r="D1268" s="230">
        <f t="shared" si="61"/>
        <v>1.3134057971014412E-2</v>
      </c>
      <c r="E1268" s="293">
        <v>7.4634194245311036E-3</v>
      </c>
      <c r="F1268" s="266">
        <f t="shared" si="63"/>
        <v>1261</v>
      </c>
      <c r="G1268" s="230">
        <f t="shared" ca="1" si="62"/>
        <v>-3.7947246070046632E-2</v>
      </c>
    </row>
    <row r="1269" spans="2:7" x14ac:dyDescent="0.25">
      <c r="B1269" s="348">
        <v>43864</v>
      </c>
      <c r="C1269" s="293">
        <v>110.4</v>
      </c>
      <c r="D1269" s="230">
        <f t="shared" si="61"/>
        <v>-2.8901734104045396E-3</v>
      </c>
      <c r="E1269" s="293">
        <v>7.4587107085775095E-3</v>
      </c>
      <c r="F1269" s="266">
        <f t="shared" si="63"/>
        <v>1262</v>
      </c>
      <c r="G1269" s="230">
        <f t="shared" ca="1" si="62"/>
        <v>3.1823840197807901E-2</v>
      </c>
    </row>
    <row r="1270" spans="2:7" x14ac:dyDescent="0.25">
      <c r="B1270" s="348" t="s">
        <v>1322</v>
      </c>
      <c r="C1270" s="293">
        <v>110.72</v>
      </c>
      <c r="D1270" s="230">
        <f t="shared" si="61"/>
        <v>-4.3868739205526808E-2</v>
      </c>
      <c r="E1270" s="293">
        <v>7.4586628324946336E-3</v>
      </c>
      <c r="F1270" s="266">
        <f t="shared" si="63"/>
        <v>1263</v>
      </c>
      <c r="G1270" s="230">
        <f t="shared" ca="1" si="62"/>
        <v>1.9577377179950881E-2</v>
      </c>
    </row>
    <row r="1271" spans="2:7" x14ac:dyDescent="0.25">
      <c r="B1271" s="348" t="s">
        <v>1323</v>
      </c>
      <c r="C1271" s="293">
        <v>115.8</v>
      </c>
      <c r="D1271" s="230">
        <f t="shared" si="61"/>
        <v>-3.4597749062109218E-2</v>
      </c>
      <c r="E1271" s="293">
        <v>7.4544012688344541E-3</v>
      </c>
      <c r="F1271" s="266">
        <f t="shared" si="63"/>
        <v>1264</v>
      </c>
      <c r="G1271" s="230">
        <f t="shared" ca="1" si="62"/>
        <v>3.5975063862712459E-2</v>
      </c>
    </row>
    <row r="1272" spans="2:7" x14ac:dyDescent="0.25">
      <c r="B1272" s="348" t="s">
        <v>1324</v>
      </c>
      <c r="C1272" s="293">
        <v>119.95</v>
      </c>
      <c r="D1272" s="230">
        <f t="shared" si="61"/>
        <v>-1.7206063088897938E-2</v>
      </c>
      <c r="E1272" s="293">
        <v>7.4420379734756459E-3</v>
      </c>
      <c r="F1272" s="266">
        <f t="shared" si="63"/>
        <v>1265</v>
      </c>
      <c r="G1272" s="230">
        <f t="shared" ca="1" si="62"/>
        <v>9.5537713972743514E-3</v>
      </c>
    </row>
    <row r="1273" spans="2:7" x14ac:dyDescent="0.25">
      <c r="B1273" s="348" t="s">
        <v>1325</v>
      </c>
      <c r="C1273" s="293">
        <v>122.05</v>
      </c>
      <c r="D1273" s="230">
        <f t="shared" si="61"/>
        <v>-4.0950040950038513E-4</v>
      </c>
      <c r="E1273" s="293">
        <v>7.4176639303729086E-3</v>
      </c>
      <c r="F1273" s="266">
        <f t="shared" si="63"/>
        <v>1266</v>
      </c>
      <c r="G1273" s="230">
        <f t="shared" ca="1" si="62"/>
        <v>-4.3155199825988975E-3</v>
      </c>
    </row>
    <row r="1274" spans="2:7" x14ac:dyDescent="0.25">
      <c r="B1274" s="348" t="s">
        <v>1326</v>
      </c>
      <c r="C1274" s="293">
        <v>122.1</v>
      </c>
      <c r="D1274" s="230">
        <f t="shared" si="61"/>
        <v>-6.1050061050060833E-3</v>
      </c>
      <c r="E1274" s="293">
        <v>7.4045206547155296E-3</v>
      </c>
      <c r="F1274" s="266">
        <f t="shared" si="63"/>
        <v>1267</v>
      </c>
      <c r="G1274" s="230">
        <f t="shared" ca="1" si="62"/>
        <v>8.5548484902034181E-3</v>
      </c>
    </row>
    <row r="1275" spans="2:7" x14ac:dyDescent="0.25">
      <c r="B1275" s="348" t="s">
        <v>1327</v>
      </c>
      <c r="C1275" s="293">
        <v>122.85</v>
      </c>
      <c r="D1275" s="230">
        <f t="shared" si="61"/>
        <v>-7.6736672051695987E-3</v>
      </c>
      <c r="E1275" s="293">
        <v>7.3919947434704092E-3</v>
      </c>
      <c r="F1275" s="266">
        <f t="shared" si="63"/>
        <v>1268</v>
      </c>
      <c r="G1275" s="230">
        <f t="shared" ca="1" si="62"/>
        <v>-2.2657424607828498E-2</v>
      </c>
    </row>
    <row r="1276" spans="2:7" x14ac:dyDescent="0.25">
      <c r="B1276" s="348" t="s">
        <v>1328</v>
      </c>
      <c r="C1276" s="293">
        <v>123.8</v>
      </c>
      <c r="D1276" s="230">
        <f t="shared" si="61"/>
        <v>1.4504630009014141E-2</v>
      </c>
      <c r="E1276" s="293">
        <v>7.3828920570264689E-3</v>
      </c>
      <c r="F1276" s="266">
        <f t="shared" si="63"/>
        <v>1269</v>
      </c>
      <c r="G1276" s="230">
        <f t="shared" ca="1" si="62"/>
        <v>2.5753327803149088E-2</v>
      </c>
    </row>
    <row r="1277" spans="2:7" x14ac:dyDescent="0.25">
      <c r="B1277" s="348" t="s">
        <v>1329</v>
      </c>
      <c r="C1277" s="293">
        <v>122.03</v>
      </c>
      <c r="D1277" s="230">
        <f t="shared" si="61"/>
        <v>1.0664479081212708E-3</v>
      </c>
      <c r="E1277" s="293">
        <v>7.3754522682993873E-3</v>
      </c>
      <c r="F1277" s="266">
        <f t="shared" si="63"/>
        <v>1270</v>
      </c>
      <c r="G1277" s="230">
        <f t="shared" ca="1" si="62"/>
        <v>2.8166964342517316E-2</v>
      </c>
    </row>
    <row r="1278" spans="2:7" x14ac:dyDescent="0.25">
      <c r="B1278" s="348" t="s">
        <v>1330</v>
      </c>
      <c r="C1278" s="293">
        <v>121.9</v>
      </c>
      <c r="D1278" s="230">
        <f t="shared" si="61"/>
        <v>3.7052284890901621E-3</v>
      </c>
      <c r="E1278" s="293">
        <v>7.3642832263520752E-3</v>
      </c>
      <c r="F1278" s="266">
        <f t="shared" si="63"/>
        <v>1271</v>
      </c>
      <c r="G1278" s="230">
        <f t="shared" ca="1" si="62"/>
        <v>-3.0328058691294249E-2</v>
      </c>
    </row>
    <row r="1279" spans="2:7" x14ac:dyDescent="0.25">
      <c r="B1279" s="348" t="s">
        <v>1331</v>
      </c>
      <c r="C1279" s="293">
        <v>121.45</v>
      </c>
      <c r="D1279" s="230">
        <f t="shared" si="61"/>
        <v>-3.5280603872660521E-3</v>
      </c>
      <c r="E1279" s="293">
        <v>7.3597056117755688E-3</v>
      </c>
      <c r="F1279" s="266">
        <f t="shared" si="63"/>
        <v>1272</v>
      </c>
      <c r="G1279" s="230">
        <f t="shared" ca="1" si="62"/>
        <v>-4.40471219186788E-3</v>
      </c>
    </row>
    <row r="1280" spans="2:7" x14ac:dyDescent="0.25">
      <c r="B1280" s="348" t="s">
        <v>1332</v>
      </c>
      <c r="C1280" s="293">
        <v>121.88</v>
      </c>
      <c r="D1280" s="230">
        <f t="shared" si="61"/>
        <v>-2.7818687612501947E-3</v>
      </c>
      <c r="E1280" s="293">
        <v>7.3400908773155749E-3</v>
      </c>
      <c r="F1280" s="266">
        <f t="shared" si="63"/>
        <v>1273</v>
      </c>
      <c r="G1280" s="230">
        <f t="shared" ca="1" si="62"/>
        <v>1.3699615202785627E-3</v>
      </c>
    </row>
    <row r="1281" spans="2:7" x14ac:dyDescent="0.25">
      <c r="B1281" s="348">
        <v>44167</v>
      </c>
      <c r="C1281" s="293">
        <v>122.22</v>
      </c>
      <c r="D1281" s="230">
        <f t="shared" si="61"/>
        <v>1.3264798540872036E-2</v>
      </c>
      <c r="E1281" s="293">
        <v>7.3112964679229453E-3</v>
      </c>
      <c r="F1281" s="266">
        <f t="shared" si="63"/>
        <v>1274</v>
      </c>
      <c r="G1281" s="230">
        <f t="shared" ca="1" si="62"/>
        <v>1.756836715845727E-3</v>
      </c>
    </row>
    <row r="1282" spans="2:7" x14ac:dyDescent="0.25">
      <c r="B1282" s="348">
        <v>44137</v>
      </c>
      <c r="C1282" s="293">
        <v>120.62</v>
      </c>
      <c r="D1282" s="230">
        <f t="shared" si="61"/>
        <v>1.411374014113731E-3</v>
      </c>
      <c r="E1282" s="293">
        <v>7.3055028462998273E-3</v>
      </c>
      <c r="F1282" s="266">
        <f t="shared" si="63"/>
        <v>1275</v>
      </c>
      <c r="G1282" s="230">
        <f t="shared" ca="1" si="62"/>
        <v>2.3402446491795993E-2</v>
      </c>
    </row>
    <row r="1283" spans="2:7" x14ac:dyDescent="0.25">
      <c r="B1283" s="348">
        <v>44106</v>
      </c>
      <c r="C1283" s="293">
        <v>120.45</v>
      </c>
      <c r="D1283" s="230">
        <f t="shared" si="61"/>
        <v>-1.2462080839550693E-2</v>
      </c>
      <c r="E1283" s="293">
        <v>7.3022589230873347E-3</v>
      </c>
      <c r="F1283" s="266">
        <f t="shared" si="63"/>
        <v>1276</v>
      </c>
      <c r="G1283" s="230">
        <f t="shared" ca="1" si="62"/>
        <v>1.4006151300438665E-2</v>
      </c>
    </row>
    <row r="1284" spans="2:7" x14ac:dyDescent="0.25">
      <c r="B1284" s="348">
        <v>44014</v>
      </c>
      <c r="C1284" s="293">
        <v>121.97</v>
      </c>
      <c r="D1284" s="230">
        <f t="shared" si="61"/>
        <v>1.1491422473939306E-3</v>
      </c>
      <c r="E1284" s="293">
        <v>7.2670136502013261E-3</v>
      </c>
      <c r="F1284" s="266">
        <f t="shared" si="63"/>
        <v>1277</v>
      </c>
      <c r="G1284" s="230">
        <f t="shared" ca="1" si="62"/>
        <v>-1.6023188427828232E-2</v>
      </c>
    </row>
    <row r="1285" spans="2:7" x14ac:dyDescent="0.25">
      <c r="B1285" s="348">
        <v>43984</v>
      </c>
      <c r="C1285" s="293">
        <v>121.83</v>
      </c>
      <c r="D1285" s="230">
        <f t="shared" si="61"/>
        <v>5.8619550858651781E-3</v>
      </c>
      <c r="E1285" s="293">
        <v>7.2624664631324443E-3</v>
      </c>
      <c r="F1285" s="266">
        <f t="shared" si="63"/>
        <v>1278</v>
      </c>
      <c r="G1285" s="230">
        <f t="shared" ca="1" si="62"/>
        <v>-3.1921064724706467E-2</v>
      </c>
    </row>
    <row r="1286" spans="2:7" x14ac:dyDescent="0.25">
      <c r="B1286" s="348">
        <v>43953</v>
      </c>
      <c r="C1286" s="293">
        <v>121.12</v>
      </c>
      <c r="D1286" s="230">
        <f t="shared" si="61"/>
        <v>8.3250083250083762E-3</v>
      </c>
      <c r="E1286" s="293">
        <v>7.2501294665976435E-3</v>
      </c>
      <c r="F1286" s="266">
        <f t="shared" si="63"/>
        <v>1279</v>
      </c>
      <c r="G1286" s="230">
        <f t="shared" ca="1" si="62"/>
        <v>-7.6907395788197094E-3</v>
      </c>
    </row>
    <row r="1287" spans="2:7" x14ac:dyDescent="0.25">
      <c r="B1287" s="348">
        <v>43923</v>
      </c>
      <c r="C1287" s="293">
        <v>120.12</v>
      </c>
      <c r="D1287" s="230">
        <f t="shared" si="61"/>
        <v>1.196293176074148E-2</v>
      </c>
      <c r="E1287" s="293">
        <v>7.2490032620513567E-3</v>
      </c>
      <c r="F1287" s="266">
        <f t="shared" si="63"/>
        <v>1280</v>
      </c>
      <c r="G1287" s="230">
        <f t="shared" ca="1" si="62"/>
        <v>-2.2560598735250494E-2</v>
      </c>
    </row>
    <row r="1288" spans="2:7" x14ac:dyDescent="0.25">
      <c r="B1288" s="348">
        <v>43892</v>
      </c>
      <c r="C1288" s="293">
        <v>118.7</v>
      </c>
      <c r="D1288" s="230">
        <f t="shared" si="61"/>
        <v>2.5337837837837718E-3</v>
      </c>
      <c r="E1288" s="293">
        <v>7.2433057214409402E-3</v>
      </c>
      <c r="F1288" s="266">
        <f t="shared" si="63"/>
        <v>1281</v>
      </c>
      <c r="G1288" s="230">
        <f t="shared" ca="1" si="62"/>
        <v>-2.1327012733828053E-2</v>
      </c>
    </row>
    <row r="1289" spans="2:7" x14ac:dyDescent="0.25">
      <c r="B1289" s="348">
        <v>43832</v>
      </c>
      <c r="C1289" s="293">
        <v>118.4</v>
      </c>
      <c r="D1289" s="230">
        <f t="shared" ref="D1289:D1352" si="64">C1289/C1290-1</f>
        <v>0</v>
      </c>
      <c r="E1289" s="293">
        <v>7.1975218658890672E-3</v>
      </c>
      <c r="F1289" s="266">
        <f t="shared" si="63"/>
        <v>1282</v>
      </c>
      <c r="G1289" s="230">
        <f t="shared" ref="G1289:G1352" ca="1" si="65">_xlfn.NORM.INV(RAND(),$M$10,$M$11)</f>
        <v>1.67189308521856E-2</v>
      </c>
    </row>
    <row r="1290" spans="2:7" x14ac:dyDescent="0.25">
      <c r="B1290" s="348" t="s">
        <v>1333</v>
      </c>
      <c r="C1290" s="293">
        <v>118.4</v>
      </c>
      <c r="D1290" s="230">
        <f t="shared" si="64"/>
        <v>-1.6202742002492609E-2</v>
      </c>
      <c r="E1290" s="293">
        <v>7.1949536763256106E-3</v>
      </c>
      <c r="F1290" s="266">
        <f t="shared" ref="F1290:F1353" si="66">F1289+1</f>
        <v>1283</v>
      </c>
      <c r="G1290" s="230">
        <f t="shared" ca="1" si="65"/>
        <v>-2.2017276054795344E-2</v>
      </c>
    </row>
    <row r="1291" spans="2:7" x14ac:dyDescent="0.25">
      <c r="B1291" s="348" t="s">
        <v>1334</v>
      </c>
      <c r="C1291" s="293">
        <v>120.35</v>
      </c>
      <c r="D1291" s="230">
        <f t="shared" si="64"/>
        <v>-2.4558275247203776E-2</v>
      </c>
      <c r="E1291" s="293">
        <v>7.1837584591358805E-3</v>
      </c>
      <c r="F1291" s="266">
        <f t="shared" si="66"/>
        <v>1284</v>
      </c>
      <c r="G1291" s="230">
        <f t="shared" ca="1" si="65"/>
        <v>2.8072370437325113E-3</v>
      </c>
    </row>
    <row r="1292" spans="2:7" x14ac:dyDescent="0.25">
      <c r="B1292" s="348" t="s">
        <v>1335</v>
      </c>
      <c r="C1292" s="293">
        <v>123.38</v>
      </c>
      <c r="D1292" s="230">
        <f t="shared" si="64"/>
        <v>1.1062853396705652E-2</v>
      </c>
      <c r="E1292" s="293">
        <v>7.1798793440394082E-3</v>
      </c>
      <c r="F1292" s="266">
        <f t="shared" si="66"/>
        <v>1285</v>
      </c>
      <c r="G1292" s="230">
        <f t="shared" ca="1" si="65"/>
        <v>-1.5565902940401081E-2</v>
      </c>
    </row>
    <row r="1293" spans="2:7" x14ac:dyDescent="0.25">
      <c r="B1293" s="348" t="s">
        <v>1336</v>
      </c>
      <c r="C1293" s="293">
        <v>122.03</v>
      </c>
      <c r="D1293" s="230">
        <f t="shared" si="64"/>
        <v>-5.2172495312627909E-3</v>
      </c>
      <c r="E1293" s="293">
        <v>7.173718105486282E-3</v>
      </c>
      <c r="F1293" s="266">
        <f t="shared" si="66"/>
        <v>1286</v>
      </c>
      <c r="G1293" s="230">
        <f t="shared" ca="1" si="65"/>
        <v>4.3758407889142132E-3</v>
      </c>
    </row>
    <row r="1294" spans="2:7" x14ac:dyDescent="0.25">
      <c r="B1294" s="348" t="s">
        <v>1337</v>
      </c>
      <c r="C1294" s="293">
        <v>122.67</v>
      </c>
      <c r="D1294" s="230">
        <f t="shared" si="64"/>
        <v>-9.1276252019385495E-3</v>
      </c>
      <c r="E1294" s="293">
        <v>7.1732664606052321E-3</v>
      </c>
      <c r="F1294" s="266">
        <f t="shared" si="66"/>
        <v>1287</v>
      </c>
      <c r="G1294" s="230">
        <f t="shared" ca="1" si="65"/>
        <v>-1.1364572358403761E-2</v>
      </c>
    </row>
    <row r="1295" spans="2:7" x14ac:dyDescent="0.25">
      <c r="B1295" s="348" t="s">
        <v>1338</v>
      </c>
      <c r="C1295" s="293">
        <v>123.8</v>
      </c>
      <c r="D1295" s="230">
        <f t="shared" si="64"/>
        <v>-4.4229995979091496E-3</v>
      </c>
      <c r="E1295" s="293">
        <v>7.1718116619894356E-3</v>
      </c>
      <c r="F1295" s="266">
        <f t="shared" si="66"/>
        <v>1288</v>
      </c>
      <c r="G1295" s="230">
        <f t="shared" ca="1" si="65"/>
        <v>7.9139297166494066E-3</v>
      </c>
    </row>
    <row r="1296" spans="2:7" x14ac:dyDescent="0.25">
      <c r="B1296" s="348" t="s">
        <v>1339</v>
      </c>
      <c r="C1296" s="293">
        <v>124.35</v>
      </c>
      <c r="D1296" s="230">
        <f t="shared" si="64"/>
        <v>1.1633582818092902E-2</v>
      </c>
      <c r="E1296" s="293">
        <v>7.1545973121918127E-3</v>
      </c>
      <c r="F1296" s="266">
        <f t="shared" si="66"/>
        <v>1289</v>
      </c>
      <c r="G1296" s="230">
        <f t="shared" ca="1" si="65"/>
        <v>-1.6267301188030111E-3</v>
      </c>
    </row>
    <row r="1297" spans="2:7" x14ac:dyDescent="0.25">
      <c r="B1297" s="348" t="s">
        <v>1340</v>
      </c>
      <c r="C1297" s="293">
        <v>122.92</v>
      </c>
      <c r="D1297" s="230">
        <f t="shared" si="64"/>
        <v>-5.0991501416429719E-3</v>
      </c>
      <c r="E1297" s="293">
        <v>7.1461152501139935E-3</v>
      </c>
      <c r="F1297" s="266">
        <f t="shared" si="66"/>
        <v>1290</v>
      </c>
      <c r="G1297" s="230">
        <f t="shared" ca="1" si="65"/>
        <v>-1.1326537421212651E-2</v>
      </c>
    </row>
    <row r="1298" spans="2:7" x14ac:dyDescent="0.25">
      <c r="B1298" s="348" t="s">
        <v>1341</v>
      </c>
      <c r="C1298" s="293">
        <v>123.55</v>
      </c>
      <c r="D1298" s="230">
        <f t="shared" si="64"/>
        <v>-3.6290322580645462E-3</v>
      </c>
      <c r="E1298" s="293">
        <v>7.1286522869817848E-3</v>
      </c>
      <c r="F1298" s="266">
        <f t="shared" si="66"/>
        <v>1291</v>
      </c>
      <c r="G1298" s="230">
        <f t="shared" ca="1" si="65"/>
        <v>1.219834351733751E-2</v>
      </c>
    </row>
    <row r="1299" spans="2:7" x14ac:dyDescent="0.25">
      <c r="B1299" s="348" t="s">
        <v>1342</v>
      </c>
      <c r="C1299" s="293">
        <v>124</v>
      </c>
      <c r="D1299" s="230">
        <f t="shared" si="64"/>
        <v>-1.2345679012345623E-2</v>
      </c>
      <c r="E1299" s="293">
        <v>7.1099958176494837E-3</v>
      </c>
      <c r="F1299" s="266">
        <f t="shared" si="66"/>
        <v>1292</v>
      </c>
      <c r="G1299" s="230">
        <f t="shared" ca="1" si="65"/>
        <v>-1.0102159942758402E-2</v>
      </c>
    </row>
    <row r="1300" spans="2:7" x14ac:dyDescent="0.25">
      <c r="B1300" s="348" t="s">
        <v>1343</v>
      </c>
      <c r="C1300" s="293">
        <v>125.55</v>
      </c>
      <c r="D1300" s="230">
        <f t="shared" si="64"/>
        <v>2.6353617632965953E-3</v>
      </c>
      <c r="E1300" s="293">
        <v>7.1007100710072102E-3</v>
      </c>
      <c r="F1300" s="266">
        <f t="shared" si="66"/>
        <v>1293</v>
      </c>
      <c r="G1300" s="230">
        <f t="shared" ca="1" si="65"/>
        <v>-2.6028091844767023E-3</v>
      </c>
    </row>
    <row r="1301" spans="2:7" x14ac:dyDescent="0.25">
      <c r="B1301" s="348" t="s">
        <v>1344</v>
      </c>
      <c r="C1301" s="293">
        <v>125.22</v>
      </c>
      <c r="D1301" s="230">
        <f t="shared" si="64"/>
        <v>8.8623912342893352E-3</v>
      </c>
      <c r="E1301" s="293">
        <v>7.0979335130278987E-3</v>
      </c>
      <c r="F1301" s="266">
        <f t="shared" si="66"/>
        <v>1294</v>
      </c>
      <c r="G1301" s="230">
        <f t="shared" ca="1" si="65"/>
        <v>1.1495911392800073E-2</v>
      </c>
    </row>
    <row r="1302" spans="2:7" x14ac:dyDescent="0.25">
      <c r="B1302" s="348" t="s">
        <v>1345</v>
      </c>
      <c r="C1302" s="293">
        <v>124.12</v>
      </c>
      <c r="D1302" s="230">
        <f t="shared" si="64"/>
        <v>-3.4836702954898824E-2</v>
      </c>
      <c r="E1302" s="293">
        <v>7.0962248084018853E-3</v>
      </c>
      <c r="F1302" s="266">
        <f t="shared" si="66"/>
        <v>1295</v>
      </c>
      <c r="G1302" s="230">
        <f t="shared" ca="1" si="65"/>
        <v>1.1971465966882106E-2</v>
      </c>
    </row>
    <row r="1303" spans="2:7" x14ac:dyDescent="0.25">
      <c r="B1303" s="348" t="s">
        <v>1346</v>
      </c>
      <c r="C1303" s="293">
        <v>128.6</v>
      </c>
      <c r="D1303" s="230">
        <f t="shared" si="64"/>
        <v>9.4191522762949731E-3</v>
      </c>
      <c r="E1303" s="293">
        <v>7.0961718020541298E-3</v>
      </c>
      <c r="F1303" s="266">
        <f t="shared" si="66"/>
        <v>1296</v>
      </c>
      <c r="G1303" s="230">
        <f t="shared" ca="1" si="65"/>
        <v>-1.4511566619920827E-2</v>
      </c>
    </row>
    <row r="1304" spans="2:7" x14ac:dyDescent="0.25">
      <c r="B1304" s="348" t="s">
        <v>1347</v>
      </c>
      <c r="C1304" s="293">
        <v>127.4</v>
      </c>
      <c r="D1304" s="230">
        <f t="shared" si="64"/>
        <v>1.2074992055926437E-2</v>
      </c>
      <c r="E1304" s="293">
        <v>7.0906746884400462E-3</v>
      </c>
      <c r="F1304" s="266">
        <f t="shared" si="66"/>
        <v>1297</v>
      </c>
      <c r="G1304" s="230">
        <f t="shared" ca="1" si="65"/>
        <v>-6.152453578847375E-3</v>
      </c>
    </row>
    <row r="1305" spans="2:7" x14ac:dyDescent="0.25">
      <c r="B1305" s="348">
        <v>44105</v>
      </c>
      <c r="C1305" s="293">
        <v>125.88</v>
      </c>
      <c r="D1305" s="230">
        <f t="shared" si="64"/>
        <v>-7.4903414018765435E-3</v>
      </c>
      <c r="E1305" s="293">
        <v>7.0899470899470352E-3</v>
      </c>
      <c r="F1305" s="266">
        <f t="shared" si="66"/>
        <v>1298</v>
      </c>
      <c r="G1305" s="230">
        <f t="shared" ca="1" si="65"/>
        <v>-1.9618064757689971E-2</v>
      </c>
    </row>
    <row r="1306" spans="2:7" x14ac:dyDescent="0.25">
      <c r="B1306" s="348">
        <v>44075</v>
      </c>
      <c r="C1306" s="293">
        <v>126.83</v>
      </c>
      <c r="D1306" s="230">
        <f t="shared" si="64"/>
        <v>-4.4740973312402676E-3</v>
      </c>
      <c r="E1306" s="293">
        <v>7.0847295356628592E-3</v>
      </c>
      <c r="F1306" s="266">
        <f t="shared" si="66"/>
        <v>1299</v>
      </c>
      <c r="G1306" s="230">
        <f t="shared" ca="1" si="65"/>
        <v>-1.0383855086189218E-2</v>
      </c>
    </row>
    <row r="1307" spans="2:7" x14ac:dyDescent="0.25">
      <c r="B1307" s="348">
        <v>44044</v>
      </c>
      <c r="C1307" s="293">
        <v>127.4</v>
      </c>
      <c r="D1307" s="230">
        <f t="shared" si="64"/>
        <v>-1.5673981191222097E-3</v>
      </c>
      <c r="E1307" s="293">
        <v>7.0598617443742295E-3</v>
      </c>
      <c r="F1307" s="266">
        <f t="shared" si="66"/>
        <v>1300</v>
      </c>
      <c r="G1307" s="230">
        <f t="shared" ca="1" si="65"/>
        <v>-1.131546883406011E-2</v>
      </c>
    </row>
    <row r="1308" spans="2:7" x14ac:dyDescent="0.25">
      <c r="B1308" s="348">
        <v>44013</v>
      </c>
      <c r="C1308" s="293">
        <v>127.6</v>
      </c>
      <c r="D1308" s="230">
        <f t="shared" si="64"/>
        <v>1.2055837563451854E-2</v>
      </c>
      <c r="E1308" s="293">
        <v>7.0555361508906067E-3</v>
      </c>
      <c r="F1308" s="266">
        <f t="shared" si="66"/>
        <v>1301</v>
      </c>
      <c r="G1308" s="230">
        <f t="shared" ca="1" si="65"/>
        <v>7.2958084914521229E-3</v>
      </c>
    </row>
    <row r="1309" spans="2:7" x14ac:dyDescent="0.25">
      <c r="B1309" s="348">
        <v>43983</v>
      </c>
      <c r="C1309" s="293">
        <v>126.08</v>
      </c>
      <c r="D1309" s="230">
        <f t="shared" si="64"/>
        <v>4.2214257268020638E-3</v>
      </c>
      <c r="E1309" s="293">
        <v>7.0506454816285924E-3</v>
      </c>
      <c r="F1309" s="266">
        <f t="shared" si="66"/>
        <v>1302</v>
      </c>
      <c r="G1309" s="230">
        <f t="shared" ca="1" si="65"/>
        <v>-8.5848893567410847E-3</v>
      </c>
    </row>
    <row r="1310" spans="2:7" x14ac:dyDescent="0.25">
      <c r="B1310" s="348">
        <v>43891</v>
      </c>
      <c r="C1310" s="293">
        <v>125.55</v>
      </c>
      <c r="D1310" s="230">
        <f t="shared" si="64"/>
        <v>1.1276681433749491E-2</v>
      </c>
      <c r="E1310" s="293">
        <v>7.0475084984660263E-3</v>
      </c>
      <c r="F1310" s="266">
        <f t="shared" si="66"/>
        <v>1303</v>
      </c>
      <c r="G1310" s="230">
        <f t="shared" ca="1" si="65"/>
        <v>5.9287910315102667E-3</v>
      </c>
    </row>
    <row r="1311" spans="2:7" x14ac:dyDescent="0.25">
      <c r="B1311" s="348">
        <v>43862</v>
      </c>
      <c r="C1311" s="293">
        <v>124.15</v>
      </c>
      <c r="D1311" s="230">
        <f t="shared" si="64"/>
        <v>2.422285022204429E-3</v>
      </c>
      <c r="E1311" s="293">
        <v>7.0466975178797853E-3</v>
      </c>
      <c r="F1311" s="266">
        <f t="shared" si="66"/>
        <v>1304</v>
      </c>
      <c r="G1311" s="230">
        <f t="shared" ca="1" si="65"/>
        <v>-4.6326416985390095E-3</v>
      </c>
    </row>
    <row r="1312" spans="2:7" x14ac:dyDescent="0.25">
      <c r="B1312" s="348">
        <v>43831</v>
      </c>
      <c r="C1312" s="293">
        <v>123.85</v>
      </c>
      <c r="D1312" s="230">
        <f t="shared" si="64"/>
        <v>7.7298616761594108E-3</v>
      </c>
      <c r="E1312" s="293">
        <v>7.0464118411210919E-3</v>
      </c>
      <c r="F1312" s="266">
        <f t="shared" si="66"/>
        <v>1305</v>
      </c>
      <c r="G1312" s="230">
        <f t="shared" ca="1" si="65"/>
        <v>2.6796328532731513E-2</v>
      </c>
    </row>
    <row r="1313" spans="2:7" x14ac:dyDescent="0.25">
      <c r="B1313" s="348" t="s">
        <v>1348</v>
      </c>
      <c r="C1313" s="293">
        <v>122.9</v>
      </c>
      <c r="D1313" s="230">
        <f t="shared" si="64"/>
        <v>-1.2613481160118845E-2</v>
      </c>
      <c r="E1313" s="293">
        <v>7.0439640514938784E-3</v>
      </c>
      <c r="F1313" s="266">
        <f t="shared" si="66"/>
        <v>1306</v>
      </c>
      <c r="G1313" s="230">
        <f t="shared" ca="1" si="65"/>
        <v>7.6355962671207801E-3</v>
      </c>
    </row>
    <row r="1314" spans="2:7" x14ac:dyDescent="0.25">
      <c r="B1314" s="348" t="s">
        <v>1349</v>
      </c>
      <c r="C1314" s="293">
        <v>124.47</v>
      </c>
      <c r="D1314" s="230">
        <f t="shared" si="64"/>
        <v>5.5744062045564036E-3</v>
      </c>
      <c r="E1314" s="293">
        <v>7.0348593028140005E-3</v>
      </c>
      <c r="F1314" s="266">
        <f t="shared" si="66"/>
        <v>1307</v>
      </c>
      <c r="G1314" s="230">
        <f t="shared" ca="1" si="65"/>
        <v>3.0125247735708328E-2</v>
      </c>
    </row>
    <row r="1315" spans="2:7" x14ac:dyDescent="0.25">
      <c r="B1315" s="348" t="s">
        <v>1350</v>
      </c>
      <c r="C1315" s="293">
        <v>123.78</v>
      </c>
      <c r="D1315" s="230">
        <f t="shared" si="64"/>
        <v>-1.0946863763483861E-2</v>
      </c>
      <c r="E1315" s="293">
        <v>7.0231444533122023E-3</v>
      </c>
      <c r="F1315" s="266">
        <f t="shared" si="66"/>
        <v>1308</v>
      </c>
      <c r="G1315" s="230">
        <f t="shared" ca="1" si="65"/>
        <v>1.7394729592973807E-2</v>
      </c>
    </row>
    <row r="1316" spans="2:7" x14ac:dyDescent="0.25">
      <c r="B1316" s="348" t="s">
        <v>1351</v>
      </c>
      <c r="C1316" s="293">
        <v>125.15</v>
      </c>
      <c r="D1316" s="230">
        <f t="shared" si="64"/>
        <v>-7.6910878528385629E-3</v>
      </c>
      <c r="E1316" s="293">
        <v>6.97536360937967E-3</v>
      </c>
      <c r="F1316" s="266">
        <f t="shared" si="66"/>
        <v>1309</v>
      </c>
      <c r="G1316" s="230">
        <f t="shared" ca="1" si="65"/>
        <v>1.5813161028376703E-2</v>
      </c>
    </row>
    <row r="1317" spans="2:7" x14ac:dyDescent="0.25">
      <c r="B1317" s="348" t="s">
        <v>1352</v>
      </c>
      <c r="C1317" s="293">
        <v>126.12</v>
      </c>
      <c r="D1317" s="230">
        <f t="shared" si="64"/>
        <v>-6.3031831074692457E-3</v>
      </c>
      <c r="E1317" s="293">
        <v>6.953580154106298E-3</v>
      </c>
      <c r="F1317" s="266">
        <f t="shared" si="66"/>
        <v>1310</v>
      </c>
      <c r="G1317" s="230">
        <f t="shared" ca="1" si="65"/>
        <v>-9.2943675649725093E-3</v>
      </c>
    </row>
    <row r="1318" spans="2:7" x14ac:dyDescent="0.25">
      <c r="B1318" s="348" t="s">
        <v>1353</v>
      </c>
      <c r="C1318" s="293">
        <v>126.92</v>
      </c>
      <c r="D1318" s="230">
        <f t="shared" si="64"/>
        <v>8.1016679904686306E-3</v>
      </c>
      <c r="E1318" s="293">
        <v>6.9502363080344853E-3</v>
      </c>
      <c r="F1318" s="266">
        <f t="shared" si="66"/>
        <v>1311</v>
      </c>
      <c r="G1318" s="230">
        <f t="shared" ca="1" si="65"/>
        <v>1.2801320434906553E-2</v>
      </c>
    </row>
    <row r="1319" spans="2:7" x14ac:dyDescent="0.25">
      <c r="B1319" s="348" t="s">
        <v>1354</v>
      </c>
      <c r="C1319" s="293">
        <v>125.9</v>
      </c>
      <c r="D1319" s="230">
        <f t="shared" si="64"/>
        <v>1.043338683788142E-2</v>
      </c>
      <c r="E1319" s="293">
        <v>6.9469835466178242E-3</v>
      </c>
      <c r="F1319" s="266">
        <f t="shared" si="66"/>
        <v>1312</v>
      </c>
      <c r="G1319" s="230">
        <f t="shared" ca="1" si="65"/>
        <v>-5.4722397879011439E-3</v>
      </c>
    </row>
    <row r="1320" spans="2:7" x14ac:dyDescent="0.25">
      <c r="B1320" s="348" t="s">
        <v>1355</v>
      </c>
      <c r="C1320" s="293">
        <v>124.6</v>
      </c>
      <c r="D1320" s="230">
        <f t="shared" si="64"/>
        <v>3.6246476037051778E-3</v>
      </c>
      <c r="E1320" s="293">
        <v>6.9204152249133788E-3</v>
      </c>
      <c r="F1320" s="266">
        <f t="shared" si="66"/>
        <v>1313</v>
      </c>
      <c r="G1320" s="230">
        <f t="shared" ca="1" si="65"/>
        <v>-6.2061103742018075E-3</v>
      </c>
    </row>
    <row r="1321" spans="2:7" x14ac:dyDescent="0.25">
      <c r="B1321" s="348" t="s">
        <v>1356</v>
      </c>
      <c r="C1321" s="293">
        <v>124.15</v>
      </c>
      <c r="D1321" s="230">
        <f t="shared" si="64"/>
        <v>1.446314757313294E-2</v>
      </c>
      <c r="E1321" s="293">
        <v>6.9176319176320611E-3</v>
      </c>
      <c r="F1321" s="266">
        <f t="shared" si="66"/>
        <v>1314</v>
      </c>
      <c r="G1321" s="230">
        <f t="shared" ca="1" si="65"/>
        <v>3.6687512806060439E-2</v>
      </c>
    </row>
    <row r="1322" spans="2:7" x14ac:dyDescent="0.25">
      <c r="B1322" s="348" t="s">
        <v>1357</v>
      </c>
      <c r="C1322" s="293">
        <v>122.38</v>
      </c>
      <c r="D1322" s="230">
        <f t="shared" si="64"/>
        <v>6.5800296101332645E-3</v>
      </c>
      <c r="E1322" s="293">
        <v>6.9138480309089978E-3</v>
      </c>
      <c r="F1322" s="266">
        <f t="shared" si="66"/>
        <v>1315</v>
      </c>
      <c r="G1322" s="230">
        <f t="shared" ca="1" si="65"/>
        <v>-2.3625009391947116E-2</v>
      </c>
    </row>
    <row r="1323" spans="2:7" x14ac:dyDescent="0.25">
      <c r="B1323" s="348" t="s">
        <v>1358</v>
      </c>
      <c r="C1323" s="293">
        <v>121.58</v>
      </c>
      <c r="D1323" s="230">
        <f t="shared" si="64"/>
        <v>-2.7887139107611869E-3</v>
      </c>
      <c r="E1323" s="293">
        <v>6.8985907164680338E-3</v>
      </c>
      <c r="F1323" s="266">
        <f t="shared" si="66"/>
        <v>1316</v>
      </c>
      <c r="G1323" s="230">
        <f t="shared" ca="1" si="65"/>
        <v>-1.9424964544019732E-3</v>
      </c>
    </row>
    <row r="1324" spans="2:7" x14ac:dyDescent="0.25">
      <c r="B1324" s="348" t="s">
        <v>1359</v>
      </c>
      <c r="C1324" s="293">
        <v>121.92</v>
      </c>
      <c r="D1324" s="230">
        <f t="shared" si="64"/>
        <v>1.8376211159371936E-2</v>
      </c>
      <c r="E1324" s="293">
        <v>6.8984122090332001E-3</v>
      </c>
      <c r="F1324" s="266">
        <f t="shared" si="66"/>
        <v>1317</v>
      </c>
      <c r="G1324" s="230">
        <f t="shared" ca="1" si="65"/>
        <v>2.0995382283031667E-2</v>
      </c>
    </row>
    <row r="1325" spans="2:7" x14ac:dyDescent="0.25">
      <c r="B1325" s="348">
        <v>43811</v>
      </c>
      <c r="C1325" s="293">
        <v>119.72</v>
      </c>
      <c r="D1325" s="230">
        <f t="shared" si="64"/>
        <v>-2.5826876614180039E-3</v>
      </c>
      <c r="E1325" s="293">
        <v>6.895581198986811E-3</v>
      </c>
      <c r="F1325" s="266">
        <f t="shared" si="66"/>
        <v>1318</v>
      </c>
      <c r="G1325" s="230">
        <f t="shared" ca="1" si="65"/>
        <v>7.2883657041114712E-3</v>
      </c>
    </row>
    <row r="1326" spans="2:7" x14ac:dyDescent="0.25">
      <c r="B1326" s="348">
        <v>43781</v>
      </c>
      <c r="C1326" s="293">
        <v>120.03</v>
      </c>
      <c r="D1326" s="230">
        <f t="shared" si="64"/>
        <v>7.9778300302317806E-3</v>
      </c>
      <c r="E1326" s="293">
        <v>6.8946497517925476E-3</v>
      </c>
      <c r="F1326" s="266">
        <f t="shared" si="66"/>
        <v>1319</v>
      </c>
      <c r="G1326" s="230">
        <f t="shared" ca="1" si="65"/>
        <v>-8.8056355528331742E-3</v>
      </c>
    </row>
    <row r="1327" spans="2:7" x14ac:dyDescent="0.25">
      <c r="B1327" s="348">
        <v>43750</v>
      </c>
      <c r="C1327" s="293">
        <v>119.08</v>
      </c>
      <c r="D1327" s="230">
        <f t="shared" si="64"/>
        <v>-9.3178036605657821E-3</v>
      </c>
      <c r="E1327" s="293">
        <v>6.8845146901970189E-3</v>
      </c>
      <c r="F1327" s="266">
        <f t="shared" si="66"/>
        <v>1320</v>
      </c>
      <c r="G1327" s="230">
        <f t="shared" ca="1" si="65"/>
        <v>1.5039389541694533E-2</v>
      </c>
    </row>
    <row r="1328" spans="2:7" x14ac:dyDescent="0.25">
      <c r="B1328" s="348">
        <v>43720</v>
      </c>
      <c r="C1328" s="293">
        <v>120.2</v>
      </c>
      <c r="D1328" s="230">
        <f t="shared" si="64"/>
        <v>-2.4896265560165887E-3</v>
      </c>
      <c r="E1328" s="293">
        <v>6.8699731903485439E-3</v>
      </c>
      <c r="F1328" s="266">
        <f t="shared" si="66"/>
        <v>1321</v>
      </c>
      <c r="G1328" s="230">
        <f t="shared" ca="1" si="65"/>
        <v>-9.8590386491194358E-3</v>
      </c>
    </row>
    <row r="1329" spans="2:7" x14ac:dyDescent="0.25">
      <c r="B1329" s="348">
        <v>43628</v>
      </c>
      <c r="C1329" s="293">
        <v>120.5</v>
      </c>
      <c r="D1329" s="230">
        <f t="shared" si="64"/>
        <v>-1.1079195732457858E-2</v>
      </c>
      <c r="E1329" s="293">
        <v>6.8696463404291919E-3</v>
      </c>
      <c r="F1329" s="266">
        <f t="shared" si="66"/>
        <v>1322</v>
      </c>
      <c r="G1329" s="230">
        <f t="shared" ca="1" si="65"/>
        <v>-1.3317943503036883E-3</v>
      </c>
    </row>
    <row r="1330" spans="2:7" x14ac:dyDescent="0.25">
      <c r="B1330" s="348">
        <v>43597</v>
      </c>
      <c r="C1330" s="293">
        <v>121.85</v>
      </c>
      <c r="D1330" s="230">
        <f t="shared" si="64"/>
        <v>6.1932287365813465E-3</v>
      </c>
      <c r="E1330" s="293">
        <v>6.8665598535135874E-3</v>
      </c>
      <c r="F1330" s="266">
        <f t="shared" si="66"/>
        <v>1323</v>
      </c>
      <c r="G1330" s="230">
        <f t="shared" ca="1" si="65"/>
        <v>2.2457651317502846E-2</v>
      </c>
    </row>
    <row r="1331" spans="2:7" x14ac:dyDescent="0.25">
      <c r="B1331" s="348">
        <v>43567</v>
      </c>
      <c r="C1331" s="293">
        <v>121.1</v>
      </c>
      <c r="D1331" s="230">
        <f t="shared" si="64"/>
        <v>2.2804054054053946E-2</v>
      </c>
      <c r="E1331" s="293">
        <v>6.8610634648369473E-3</v>
      </c>
      <c r="F1331" s="266">
        <f t="shared" si="66"/>
        <v>1324</v>
      </c>
      <c r="G1331" s="230">
        <f t="shared" ca="1" si="65"/>
        <v>4.4215766884527948E-3</v>
      </c>
    </row>
    <row r="1332" spans="2:7" x14ac:dyDescent="0.25">
      <c r="B1332" s="348">
        <v>43536</v>
      </c>
      <c r="C1332" s="293">
        <v>118.4</v>
      </c>
      <c r="D1332" s="230">
        <f t="shared" si="64"/>
        <v>-7.5440067057837012E-3</v>
      </c>
      <c r="E1332" s="293">
        <v>6.8513262210041503E-3</v>
      </c>
      <c r="F1332" s="266">
        <f t="shared" si="66"/>
        <v>1325</v>
      </c>
      <c r="G1332" s="230">
        <f t="shared" ca="1" si="65"/>
        <v>-1.3270830738057625E-2</v>
      </c>
    </row>
    <row r="1333" spans="2:7" x14ac:dyDescent="0.25">
      <c r="B1333" s="348">
        <v>43508</v>
      </c>
      <c r="C1333" s="293">
        <v>119.3</v>
      </c>
      <c r="D1333" s="230">
        <f t="shared" si="64"/>
        <v>3.786285233487563E-3</v>
      </c>
      <c r="E1333" s="293">
        <v>6.8503814416938091E-3</v>
      </c>
      <c r="F1333" s="266">
        <f t="shared" si="66"/>
        <v>1326</v>
      </c>
      <c r="G1333" s="230">
        <f t="shared" ca="1" si="65"/>
        <v>1.3527009052914832E-2</v>
      </c>
    </row>
    <row r="1334" spans="2:7" x14ac:dyDescent="0.25">
      <c r="B1334" s="348" t="s">
        <v>1360</v>
      </c>
      <c r="C1334" s="293">
        <v>118.85</v>
      </c>
      <c r="D1334" s="230">
        <f t="shared" si="64"/>
        <v>-8.7572977481235048E-3</v>
      </c>
      <c r="E1334" s="293">
        <v>6.8362045392398318E-3</v>
      </c>
      <c r="F1334" s="266">
        <f t="shared" si="66"/>
        <v>1327</v>
      </c>
      <c r="G1334" s="230">
        <f t="shared" ca="1" si="65"/>
        <v>-1.7701113068074668E-2</v>
      </c>
    </row>
    <row r="1335" spans="2:7" x14ac:dyDescent="0.25">
      <c r="B1335" s="348" t="s">
        <v>1361</v>
      </c>
      <c r="C1335" s="293">
        <v>119.9</v>
      </c>
      <c r="D1335" s="230">
        <f t="shared" si="64"/>
        <v>-1.0830625676914174E-3</v>
      </c>
      <c r="E1335" s="293">
        <v>6.8243858052774442E-3</v>
      </c>
      <c r="F1335" s="266">
        <f t="shared" si="66"/>
        <v>1328</v>
      </c>
      <c r="G1335" s="230">
        <f t="shared" ca="1" si="65"/>
        <v>1.2840289378045471E-3</v>
      </c>
    </row>
    <row r="1336" spans="2:7" x14ac:dyDescent="0.25">
      <c r="B1336" s="348" t="s">
        <v>1362</v>
      </c>
      <c r="C1336" s="293">
        <v>120.03</v>
      </c>
      <c r="D1336" s="230">
        <f t="shared" si="64"/>
        <v>1.0523657181343626E-2</v>
      </c>
      <c r="E1336" s="293">
        <v>6.7795296943400363E-3</v>
      </c>
      <c r="F1336" s="266">
        <f t="shared" si="66"/>
        <v>1329</v>
      </c>
      <c r="G1336" s="230">
        <f t="shared" ca="1" si="65"/>
        <v>1.1106642238311761E-2</v>
      </c>
    </row>
    <row r="1337" spans="2:7" x14ac:dyDescent="0.25">
      <c r="B1337" s="348" t="s">
        <v>1363</v>
      </c>
      <c r="C1337" s="293">
        <v>118.78</v>
      </c>
      <c r="D1337" s="230">
        <f t="shared" si="64"/>
        <v>-2.2386831275720165E-2</v>
      </c>
      <c r="E1337" s="293">
        <v>6.7582297798125524E-3</v>
      </c>
      <c r="F1337" s="266">
        <f t="shared" si="66"/>
        <v>1330</v>
      </c>
      <c r="G1337" s="230">
        <f t="shared" ca="1" si="65"/>
        <v>1.3796482635919515E-2</v>
      </c>
    </row>
    <row r="1338" spans="2:7" x14ac:dyDescent="0.25">
      <c r="B1338" s="348" t="s">
        <v>1364</v>
      </c>
      <c r="C1338" s="293">
        <v>121.5</v>
      </c>
      <c r="D1338" s="230">
        <f t="shared" si="64"/>
        <v>-4.1135335252984184E-4</v>
      </c>
      <c r="E1338" s="293">
        <v>6.7533766883440816E-3</v>
      </c>
      <c r="F1338" s="266">
        <f t="shared" si="66"/>
        <v>1331</v>
      </c>
      <c r="G1338" s="230">
        <f t="shared" ca="1" si="65"/>
        <v>-7.2812694857785094E-3</v>
      </c>
    </row>
    <row r="1339" spans="2:7" x14ac:dyDescent="0.25">
      <c r="B1339" s="348" t="s">
        <v>1365</v>
      </c>
      <c r="C1339" s="293">
        <v>121.55</v>
      </c>
      <c r="D1339" s="230">
        <f t="shared" si="64"/>
        <v>-1.8015834545160758E-2</v>
      </c>
      <c r="E1339" s="293">
        <v>6.7446043165468872E-3</v>
      </c>
      <c r="F1339" s="266">
        <f t="shared" si="66"/>
        <v>1332</v>
      </c>
      <c r="G1339" s="230">
        <f t="shared" ca="1" si="65"/>
        <v>-1.067335550898435E-2</v>
      </c>
    </row>
    <row r="1340" spans="2:7" x14ac:dyDescent="0.25">
      <c r="B1340" s="348" t="s">
        <v>1366</v>
      </c>
      <c r="C1340" s="293">
        <v>123.78</v>
      </c>
      <c r="D1340" s="230">
        <f t="shared" si="64"/>
        <v>-5.3836882282041199E-3</v>
      </c>
      <c r="E1340" s="293">
        <v>6.7391121219779748E-3</v>
      </c>
      <c r="F1340" s="266">
        <f t="shared" si="66"/>
        <v>1333</v>
      </c>
      <c r="G1340" s="230">
        <f t="shared" ca="1" si="65"/>
        <v>-6.5973514859051802E-3</v>
      </c>
    </row>
    <row r="1341" spans="2:7" x14ac:dyDescent="0.25">
      <c r="B1341" s="348" t="s">
        <v>1367</v>
      </c>
      <c r="C1341" s="293">
        <v>124.45</v>
      </c>
      <c r="D1341" s="230">
        <f t="shared" si="64"/>
        <v>-5.990415335463295E-3</v>
      </c>
      <c r="E1341" s="293">
        <v>6.7332382310985039E-3</v>
      </c>
      <c r="F1341" s="266">
        <f t="shared" si="66"/>
        <v>1334</v>
      </c>
      <c r="G1341" s="230">
        <f t="shared" ca="1" si="65"/>
        <v>-2.6746323187966124E-2</v>
      </c>
    </row>
    <row r="1342" spans="2:7" x14ac:dyDescent="0.25">
      <c r="B1342" s="348" t="s">
        <v>1368</v>
      </c>
      <c r="C1342" s="293">
        <v>125.2</v>
      </c>
      <c r="D1342" s="230">
        <f t="shared" si="64"/>
        <v>3.8486209108403724E-3</v>
      </c>
      <c r="E1342" s="293">
        <v>6.7330814153210294E-3</v>
      </c>
      <c r="F1342" s="266">
        <f t="shared" si="66"/>
        <v>1335</v>
      </c>
      <c r="G1342" s="230">
        <f t="shared" ca="1" si="65"/>
        <v>-4.014650098636266E-2</v>
      </c>
    </row>
    <row r="1343" spans="2:7" x14ac:dyDescent="0.25">
      <c r="B1343" s="348" t="s">
        <v>1369</v>
      </c>
      <c r="C1343" s="293">
        <v>124.72</v>
      </c>
      <c r="D1343" s="230">
        <f t="shared" si="64"/>
        <v>-1.2353500158378217E-2</v>
      </c>
      <c r="E1343" s="293">
        <v>6.7235097472109207E-3</v>
      </c>
      <c r="F1343" s="266">
        <f t="shared" si="66"/>
        <v>1336</v>
      </c>
      <c r="G1343" s="230">
        <f t="shared" ca="1" si="65"/>
        <v>3.7242441757300654E-2</v>
      </c>
    </row>
    <row r="1344" spans="2:7" x14ac:dyDescent="0.25">
      <c r="B1344" s="348" t="s">
        <v>1370</v>
      </c>
      <c r="C1344" s="293">
        <v>126.28</v>
      </c>
      <c r="D1344" s="230">
        <f t="shared" si="64"/>
        <v>-7.9126444057597833E-4</v>
      </c>
      <c r="E1344" s="293">
        <v>6.7226890756302282E-3</v>
      </c>
      <c r="F1344" s="266">
        <f t="shared" si="66"/>
        <v>1337</v>
      </c>
      <c r="G1344" s="230">
        <f t="shared" ca="1" si="65"/>
        <v>-2.5776988735999326E-3</v>
      </c>
    </row>
    <row r="1345" spans="2:7" x14ac:dyDescent="0.25">
      <c r="B1345" s="348" t="s">
        <v>1371</v>
      </c>
      <c r="C1345" s="293">
        <v>126.38</v>
      </c>
      <c r="D1345" s="230">
        <f t="shared" si="64"/>
        <v>-1.3433425523509124E-3</v>
      </c>
      <c r="E1345" s="293">
        <v>6.7215363511659021E-3</v>
      </c>
      <c r="F1345" s="266">
        <f t="shared" si="66"/>
        <v>1338</v>
      </c>
      <c r="G1345" s="230">
        <f t="shared" ca="1" si="65"/>
        <v>2.2212993279185494E-2</v>
      </c>
    </row>
    <row r="1346" spans="2:7" x14ac:dyDescent="0.25">
      <c r="B1346" s="348" t="s">
        <v>1372</v>
      </c>
      <c r="C1346" s="293">
        <v>126.55</v>
      </c>
      <c r="D1346" s="230">
        <f t="shared" si="64"/>
        <v>-1.302448915925758E-2</v>
      </c>
      <c r="E1346" s="293">
        <v>6.7208502657081226E-3</v>
      </c>
      <c r="F1346" s="266">
        <f t="shared" si="66"/>
        <v>1339</v>
      </c>
      <c r="G1346" s="230">
        <f t="shared" ca="1" si="65"/>
        <v>1.1563348133027956E-2</v>
      </c>
    </row>
    <row r="1347" spans="2:7" x14ac:dyDescent="0.25">
      <c r="B1347" s="348">
        <v>43780</v>
      </c>
      <c r="C1347" s="293">
        <v>128.22</v>
      </c>
      <c r="D1347" s="230">
        <f t="shared" si="64"/>
        <v>1.5600624024969534E-4</v>
      </c>
      <c r="E1347" s="293">
        <v>6.7204301075267647E-3</v>
      </c>
      <c r="F1347" s="266">
        <f t="shared" si="66"/>
        <v>1340</v>
      </c>
      <c r="G1347" s="230">
        <f t="shared" ca="1" si="65"/>
        <v>6.1610224965003828E-3</v>
      </c>
    </row>
    <row r="1348" spans="2:7" x14ac:dyDescent="0.25">
      <c r="B1348" s="348">
        <v>43688</v>
      </c>
      <c r="C1348" s="293">
        <v>128.19999999999999</v>
      </c>
      <c r="D1348" s="230">
        <f t="shared" si="64"/>
        <v>-1.2478816823293881E-2</v>
      </c>
      <c r="E1348" s="293">
        <v>6.6930618401206399E-3</v>
      </c>
      <c r="F1348" s="266">
        <f t="shared" si="66"/>
        <v>1341</v>
      </c>
      <c r="G1348" s="230">
        <f t="shared" ca="1" si="65"/>
        <v>1.5618233117133052E-2</v>
      </c>
    </row>
    <row r="1349" spans="2:7" x14ac:dyDescent="0.25">
      <c r="B1349" s="348">
        <v>43657</v>
      </c>
      <c r="C1349" s="293">
        <v>129.82</v>
      </c>
      <c r="D1349" s="230">
        <f t="shared" si="64"/>
        <v>1.0823016429183152E-2</v>
      </c>
      <c r="E1349" s="293">
        <v>6.6832656270474633E-3</v>
      </c>
      <c r="F1349" s="266">
        <f t="shared" si="66"/>
        <v>1342</v>
      </c>
      <c r="G1349" s="230">
        <f t="shared" ca="1" si="65"/>
        <v>5.9556440926889582E-4</v>
      </c>
    </row>
    <row r="1350" spans="2:7" x14ac:dyDescent="0.25">
      <c r="B1350" s="348">
        <v>43627</v>
      </c>
      <c r="C1350" s="293">
        <v>128.43</v>
      </c>
      <c r="D1350" s="230">
        <f t="shared" si="64"/>
        <v>-6.3442940038683782E-3</v>
      </c>
      <c r="E1350" s="293">
        <v>6.6728025770823596E-3</v>
      </c>
      <c r="F1350" s="266">
        <f t="shared" si="66"/>
        <v>1343</v>
      </c>
      <c r="G1350" s="230">
        <f t="shared" ca="1" si="65"/>
        <v>-1.9650982457359203E-2</v>
      </c>
    </row>
    <row r="1351" spans="2:7" x14ac:dyDescent="0.25">
      <c r="B1351" s="348">
        <v>43596</v>
      </c>
      <c r="C1351" s="293">
        <v>129.25</v>
      </c>
      <c r="D1351" s="230">
        <f t="shared" si="64"/>
        <v>7.4045206547155296E-3</v>
      </c>
      <c r="E1351" s="293">
        <v>6.657070888808958E-3</v>
      </c>
      <c r="F1351" s="266">
        <f t="shared" si="66"/>
        <v>1344</v>
      </c>
      <c r="G1351" s="230">
        <f t="shared" ca="1" si="65"/>
        <v>4.9508160792925256E-2</v>
      </c>
    </row>
    <row r="1352" spans="2:7" x14ac:dyDescent="0.25">
      <c r="B1352" s="348">
        <v>43566</v>
      </c>
      <c r="C1352" s="293">
        <v>128.30000000000001</v>
      </c>
      <c r="D1352" s="230">
        <f t="shared" si="64"/>
        <v>-7.7339520494973391E-3</v>
      </c>
      <c r="E1352" s="293">
        <v>6.6501240694789576E-3</v>
      </c>
      <c r="F1352" s="266">
        <f t="shared" si="66"/>
        <v>1345</v>
      </c>
      <c r="G1352" s="230">
        <f t="shared" ca="1" si="65"/>
        <v>-1.8696939379688839E-2</v>
      </c>
    </row>
    <row r="1353" spans="2:7" x14ac:dyDescent="0.25">
      <c r="B1353" s="348">
        <v>43476</v>
      </c>
      <c r="C1353" s="293">
        <v>129.30000000000001</v>
      </c>
      <c r="D1353" s="230">
        <f t="shared" ref="D1353:D1416" si="67">C1353/C1354-1</f>
        <v>-2.6995757809487042E-3</v>
      </c>
      <c r="E1353" s="293">
        <v>6.6490886163017571E-3</v>
      </c>
      <c r="F1353" s="266">
        <f t="shared" si="66"/>
        <v>1346</v>
      </c>
      <c r="G1353" s="230">
        <f t="shared" ref="G1353:G1416" ca="1" si="68">_xlfn.NORM.INV(RAND(),$M$10,$M$11)</f>
        <v>3.4828319382891799E-4</v>
      </c>
    </row>
    <row r="1354" spans="2:7" x14ac:dyDescent="0.25">
      <c r="B1354" s="348" t="s">
        <v>1373</v>
      </c>
      <c r="C1354" s="293">
        <v>129.65</v>
      </c>
      <c r="D1354" s="230">
        <f t="shared" si="67"/>
        <v>1.7820693986497105E-2</v>
      </c>
      <c r="E1354" s="293">
        <v>6.635989343666715E-3</v>
      </c>
      <c r="F1354" s="266">
        <f t="shared" ref="F1354:F1417" si="69">F1353+1</f>
        <v>1347</v>
      </c>
      <c r="G1354" s="230">
        <f t="shared" ca="1" si="68"/>
        <v>-9.9748368334962138E-3</v>
      </c>
    </row>
    <row r="1355" spans="2:7" x14ac:dyDescent="0.25">
      <c r="B1355" s="348" t="s">
        <v>1374</v>
      </c>
      <c r="C1355" s="293">
        <v>127.38</v>
      </c>
      <c r="D1355" s="230">
        <f t="shared" si="67"/>
        <v>-1.7241379310344307E-3</v>
      </c>
      <c r="E1355" s="293">
        <v>6.628448584736546E-3</v>
      </c>
      <c r="F1355" s="266">
        <f t="shared" si="69"/>
        <v>1348</v>
      </c>
      <c r="G1355" s="230">
        <f t="shared" ca="1" si="68"/>
        <v>-1.9582934775927291E-2</v>
      </c>
    </row>
    <row r="1356" spans="2:7" x14ac:dyDescent="0.25">
      <c r="B1356" s="348" t="s">
        <v>1375</v>
      </c>
      <c r="C1356" s="293">
        <v>127.6</v>
      </c>
      <c r="D1356" s="230">
        <f t="shared" si="67"/>
        <v>6.0711188204682909E-3</v>
      </c>
      <c r="E1356" s="293">
        <v>6.6139000325273756E-3</v>
      </c>
      <c r="F1356" s="266">
        <f t="shared" si="69"/>
        <v>1349</v>
      </c>
      <c r="G1356" s="230">
        <f t="shared" ca="1" si="68"/>
        <v>-2.9914055402231104E-2</v>
      </c>
    </row>
    <row r="1357" spans="2:7" x14ac:dyDescent="0.25">
      <c r="B1357" s="348" t="s">
        <v>1376</v>
      </c>
      <c r="C1357" s="293">
        <v>126.83</v>
      </c>
      <c r="D1357" s="230">
        <f t="shared" si="67"/>
        <v>2.6086956521738092E-3</v>
      </c>
      <c r="E1357" s="293">
        <v>6.6131621187801581E-3</v>
      </c>
      <c r="F1357" s="266">
        <f t="shared" si="69"/>
        <v>1350</v>
      </c>
      <c r="G1357" s="230">
        <f t="shared" ca="1" si="68"/>
        <v>-1.9009228791483992E-2</v>
      </c>
    </row>
    <row r="1358" spans="2:7" x14ac:dyDescent="0.25">
      <c r="B1358" s="348" t="s">
        <v>1377</v>
      </c>
      <c r="C1358" s="293">
        <v>126.5</v>
      </c>
      <c r="D1358" s="230">
        <f t="shared" si="67"/>
        <v>1.3621794871794934E-2</v>
      </c>
      <c r="E1358" s="293">
        <v>6.5982404692082053E-3</v>
      </c>
      <c r="F1358" s="266">
        <f t="shared" si="69"/>
        <v>1351</v>
      </c>
      <c r="G1358" s="230">
        <f t="shared" ca="1" si="68"/>
        <v>-1.6135641271171876E-2</v>
      </c>
    </row>
    <row r="1359" spans="2:7" x14ac:dyDescent="0.25">
      <c r="B1359" s="348" t="s">
        <v>1378</v>
      </c>
      <c r="C1359" s="293">
        <v>124.8</v>
      </c>
      <c r="D1359" s="230">
        <f t="shared" si="67"/>
        <v>-1.8636470865770249E-2</v>
      </c>
      <c r="E1359" s="293">
        <v>6.5831727681437968E-3</v>
      </c>
      <c r="F1359" s="266">
        <f t="shared" si="69"/>
        <v>1352</v>
      </c>
      <c r="G1359" s="230">
        <f t="shared" ca="1" si="68"/>
        <v>-1.5801127176159023E-2</v>
      </c>
    </row>
    <row r="1360" spans="2:7" x14ac:dyDescent="0.25">
      <c r="B1360" s="348" t="s">
        <v>1379</v>
      </c>
      <c r="C1360" s="293">
        <v>127.17</v>
      </c>
      <c r="D1360" s="230">
        <f t="shared" si="67"/>
        <v>3.0761949834359203E-3</v>
      </c>
      <c r="E1360" s="293">
        <v>6.5800296101332645E-3</v>
      </c>
      <c r="F1360" s="266">
        <f t="shared" si="69"/>
        <v>1353</v>
      </c>
      <c r="G1360" s="230">
        <f t="shared" ca="1" si="68"/>
        <v>5.6303579620854798E-3</v>
      </c>
    </row>
    <row r="1361" spans="2:7" x14ac:dyDescent="0.25">
      <c r="B1361" s="348" t="s">
        <v>1380</v>
      </c>
      <c r="C1361" s="293">
        <v>126.78</v>
      </c>
      <c r="D1361" s="230">
        <f t="shared" si="67"/>
        <v>1.8722378465247047E-2</v>
      </c>
      <c r="E1361" s="293">
        <v>6.5586419753085323E-3</v>
      </c>
      <c r="F1361" s="266">
        <f t="shared" si="69"/>
        <v>1354</v>
      </c>
      <c r="G1361" s="230">
        <f t="shared" ca="1" si="68"/>
        <v>-8.2256579515148278E-3</v>
      </c>
    </row>
    <row r="1362" spans="2:7" x14ac:dyDescent="0.25">
      <c r="B1362" s="348" t="s">
        <v>1381</v>
      </c>
      <c r="C1362" s="293">
        <v>124.45</v>
      </c>
      <c r="D1362" s="230">
        <f t="shared" si="67"/>
        <v>4.2769528728212602E-3</v>
      </c>
      <c r="E1362" s="293">
        <v>6.547155105221858E-3</v>
      </c>
      <c r="F1362" s="266">
        <f t="shared" si="69"/>
        <v>1355</v>
      </c>
      <c r="G1362" s="230">
        <f t="shared" ca="1" si="68"/>
        <v>8.057280619874407E-3</v>
      </c>
    </row>
    <row r="1363" spans="2:7" x14ac:dyDescent="0.25">
      <c r="B1363" s="348" t="s">
        <v>1382</v>
      </c>
      <c r="C1363" s="293">
        <v>123.92</v>
      </c>
      <c r="D1363" s="230">
        <f t="shared" si="67"/>
        <v>-4.2587384491763469E-3</v>
      </c>
      <c r="E1363" s="293">
        <v>6.5424548428387741E-3</v>
      </c>
      <c r="F1363" s="266">
        <f t="shared" si="69"/>
        <v>1356</v>
      </c>
      <c r="G1363" s="230">
        <f t="shared" ca="1" si="68"/>
        <v>5.1596062649957664E-3</v>
      </c>
    </row>
    <row r="1364" spans="2:7" x14ac:dyDescent="0.25">
      <c r="B1364" s="348" t="s">
        <v>1383</v>
      </c>
      <c r="C1364" s="293">
        <v>124.45</v>
      </c>
      <c r="D1364" s="230">
        <f t="shared" si="67"/>
        <v>2.1505376344086002E-2</v>
      </c>
      <c r="E1364" s="293">
        <v>6.5377660314369646E-3</v>
      </c>
      <c r="F1364" s="266">
        <f t="shared" si="69"/>
        <v>1357</v>
      </c>
      <c r="G1364" s="230">
        <f t="shared" ca="1" si="68"/>
        <v>-7.3032610205304559E-3</v>
      </c>
    </row>
    <row r="1365" spans="2:7" x14ac:dyDescent="0.25">
      <c r="B1365" s="348" t="s">
        <v>1384</v>
      </c>
      <c r="C1365" s="293">
        <v>121.83</v>
      </c>
      <c r="D1365" s="230">
        <f t="shared" si="67"/>
        <v>9.0371344068351789E-4</v>
      </c>
      <c r="E1365" s="293">
        <v>6.5229870062097906E-3</v>
      </c>
      <c r="F1365" s="266">
        <f t="shared" si="69"/>
        <v>1358</v>
      </c>
      <c r="G1365" s="230">
        <f t="shared" ca="1" si="68"/>
        <v>-1.6964559992098274E-4</v>
      </c>
    </row>
    <row r="1366" spans="2:7" x14ac:dyDescent="0.25">
      <c r="B1366" s="348" t="s">
        <v>1385</v>
      </c>
      <c r="C1366" s="293">
        <v>121.72</v>
      </c>
      <c r="D1366" s="230">
        <f t="shared" si="67"/>
        <v>1.67056465085198E-2</v>
      </c>
      <c r="E1366" s="293">
        <v>6.5092340296699636E-3</v>
      </c>
      <c r="F1366" s="266">
        <f t="shared" si="69"/>
        <v>1359</v>
      </c>
      <c r="G1366" s="230">
        <f t="shared" ca="1" si="68"/>
        <v>-7.7123936220839136E-3</v>
      </c>
    </row>
    <row r="1367" spans="2:7" x14ac:dyDescent="0.25">
      <c r="B1367" s="348">
        <v>43779</v>
      </c>
      <c r="C1367" s="293">
        <v>119.72</v>
      </c>
      <c r="D1367" s="230">
        <f t="shared" si="67"/>
        <v>1.0033444816053283E-3</v>
      </c>
      <c r="E1367" s="293">
        <v>6.5030417453324496E-3</v>
      </c>
      <c r="F1367" s="266">
        <f t="shared" si="69"/>
        <v>1360</v>
      </c>
      <c r="G1367" s="230">
        <f t="shared" ca="1" si="68"/>
        <v>1.3404101971069813E-2</v>
      </c>
    </row>
    <row r="1368" spans="2:7" x14ac:dyDescent="0.25">
      <c r="B1368" s="348">
        <v>43748</v>
      </c>
      <c r="C1368" s="293">
        <v>119.6</v>
      </c>
      <c r="D1368" s="230">
        <f t="shared" si="67"/>
        <v>6.0565275908479599E-3</v>
      </c>
      <c r="E1368" s="293">
        <v>6.4794816414686096E-3</v>
      </c>
      <c r="F1368" s="266">
        <f t="shared" si="69"/>
        <v>1361</v>
      </c>
      <c r="G1368" s="230">
        <f t="shared" ca="1" si="68"/>
        <v>-9.4293946274185917E-3</v>
      </c>
    </row>
    <row r="1369" spans="2:7" x14ac:dyDescent="0.25">
      <c r="B1369" s="348">
        <v>43718</v>
      </c>
      <c r="C1369" s="293">
        <v>118.88</v>
      </c>
      <c r="D1369" s="230">
        <f t="shared" si="67"/>
        <v>2.9528389437272207E-3</v>
      </c>
      <c r="E1369" s="293">
        <v>6.4772727272726094E-3</v>
      </c>
      <c r="F1369" s="266">
        <f t="shared" si="69"/>
        <v>1362</v>
      </c>
      <c r="G1369" s="230">
        <f t="shared" ca="1" si="68"/>
        <v>-2.0904184615411978E-3</v>
      </c>
    </row>
    <row r="1370" spans="2:7" x14ac:dyDescent="0.25">
      <c r="B1370" s="348">
        <v>43656</v>
      </c>
      <c r="C1370" s="293">
        <v>118.53</v>
      </c>
      <c r="D1370" s="230">
        <f t="shared" si="67"/>
        <v>-2.6924694993688547E-3</v>
      </c>
      <c r="E1370" s="293">
        <v>6.4446831364124435E-3</v>
      </c>
      <c r="F1370" s="266">
        <f t="shared" si="69"/>
        <v>1363</v>
      </c>
      <c r="G1370" s="230">
        <f t="shared" ca="1" si="68"/>
        <v>2.0640527726638901E-2</v>
      </c>
    </row>
    <row r="1371" spans="2:7" x14ac:dyDescent="0.25">
      <c r="B1371" s="348">
        <v>43565</v>
      </c>
      <c r="C1371" s="293">
        <v>118.85</v>
      </c>
      <c r="D1371" s="230">
        <f t="shared" si="67"/>
        <v>7.8867028493894153E-3</v>
      </c>
      <c r="E1371" s="293">
        <v>6.424581005586516E-3</v>
      </c>
      <c r="F1371" s="266">
        <f t="shared" si="69"/>
        <v>1364</v>
      </c>
      <c r="G1371" s="230">
        <f t="shared" ca="1" si="68"/>
        <v>-1.6001288935019245E-2</v>
      </c>
    </row>
    <row r="1372" spans="2:7" x14ac:dyDescent="0.25">
      <c r="B1372" s="348">
        <v>43534</v>
      </c>
      <c r="C1372" s="293">
        <v>117.92</v>
      </c>
      <c r="D1372" s="230">
        <f t="shared" si="67"/>
        <v>1.0021413276231295E-2</v>
      </c>
      <c r="E1372" s="293">
        <v>6.4180929095354333E-3</v>
      </c>
      <c r="F1372" s="266">
        <f t="shared" si="69"/>
        <v>1365</v>
      </c>
      <c r="G1372" s="230">
        <f t="shared" ca="1" si="68"/>
        <v>1.748332239940064E-2</v>
      </c>
    </row>
    <row r="1373" spans="2:7" x14ac:dyDescent="0.25">
      <c r="B1373" s="348">
        <v>43475</v>
      </c>
      <c r="C1373" s="293">
        <v>116.75</v>
      </c>
      <c r="D1373" s="230">
        <f t="shared" si="67"/>
        <v>-2.6271893244370403E-2</v>
      </c>
      <c r="E1373" s="293">
        <v>6.3999999999999613E-3</v>
      </c>
      <c r="F1373" s="266">
        <f t="shared" si="69"/>
        <v>1366</v>
      </c>
      <c r="G1373" s="230">
        <f t="shared" ca="1" si="68"/>
        <v>1.5127136868994168E-2</v>
      </c>
    </row>
    <row r="1374" spans="2:7" x14ac:dyDescent="0.25">
      <c r="B1374" s="348" t="s">
        <v>1386</v>
      </c>
      <c r="C1374" s="293">
        <v>119.9</v>
      </c>
      <c r="D1374" s="230">
        <f t="shared" si="67"/>
        <v>1.3524936601859716E-2</v>
      </c>
      <c r="E1374" s="293">
        <v>6.382978723404209E-3</v>
      </c>
      <c r="F1374" s="266">
        <f t="shared" si="69"/>
        <v>1367</v>
      </c>
      <c r="G1374" s="230">
        <f t="shared" ca="1" si="68"/>
        <v>-1.0161861874693838E-2</v>
      </c>
    </row>
    <row r="1375" spans="2:7" x14ac:dyDescent="0.25">
      <c r="B1375" s="348" t="s">
        <v>1387</v>
      </c>
      <c r="C1375" s="293">
        <v>118.3</v>
      </c>
      <c r="D1375" s="230">
        <f t="shared" si="67"/>
        <v>-2.108814846056517E-3</v>
      </c>
      <c r="E1375" s="293">
        <v>6.379418531687886E-3</v>
      </c>
      <c r="F1375" s="266">
        <f t="shared" si="69"/>
        <v>1368</v>
      </c>
      <c r="G1375" s="230">
        <f t="shared" ca="1" si="68"/>
        <v>-7.4651695282693439E-3</v>
      </c>
    </row>
    <row r="1376" spans="2:7" x14ac:dyDescent="0.25">
      <c r="B1376" s="348" t="s">
        <v>1388</v>
      </c>
      <c r="C1376" s="293">
        <v>118.55</v>
      </c>
      <c r="D1376" s="230">
        <f t="shared" si="67"/>
        <v>-7.1189279731993516E-3</v>
      </c>
      <c r="E1376" s="293">
        <v>6.3767285233218285E-3</v>
      </c>
      <c r="F1376" s="266">
        <f t="shared" si="69"/>
        <v>1369</v>
      </c>
      <c r="G1376" s="230">
        <f t="shared" ca="1" si="68"/>
        <v>2.5127080746996211E-2</v>
      </c>
    </row>
    <row r="1377" spans="2:7" x14ac:dyDescent="0.25">
      <c r="B1377" s="348" t="s">
        <v>1389</v>
      </c>
      <c r="C1377" s="293">
        <v>119.4</v>
      </c>
      <c r="D1377" s="230">
        <f t="shared" si="67"/>
        <v>-7.8936435396758098E-3</v>
      </c>
      <c r="E1377" s="293">
        <v>6.37543383129624E-3</v>
      </c>
      <c r="F1377" s="266">
        <f t="shared" si="69"/>
        <v>1370</v>
      </c>
      <c r="G1377" s="230">
        <f t="shared" ca="1" si="68"/>
        <v>-2.4534679249306877E-2</v>
      </c>
    </row>
    <row r="1378" spans="2:7" x14ac:dyDescent="0.25">
      <c r="B1378" s="348" t="s">
        <v>1390</v>
      </c>
      <c r="C1378" s="293">
        <v>120.35</v>
      </c>
      <c r="D1378" s="230">
        <f t="shared" si="67"/>
        <v>5.6822929723405746E-3</v>
      </c>
      <c r="E1378" s="293">
        <v>6.3711176002123615E-3</v>
      </c>
      <c r="F1378" s="266">
        <f t="shared" si="69"/>
        <v>1371</v>
      </c>
      <c r="G1378" s="230">
        <f t="shared" ca="1" si="68"/>
        <v>-9.4819126088285573E-3</v>
      </c>
    </row>
    <row r="1379" spans="2:7" x14ac:dyDescent="0.25">
      <c r="B1379" s="348" t="s">
        <v>1391</v>
      </c>
      <c r="C1379" s="293">
        <v>119.67</v>
      </c>
      <c r="D1379" s="230">
        <f t="shared" si="67"/>
        <v>-2.6835813613076298E-2</v>
      </c>
      <c r="E1379" s="293">
        <v>6.369130636913134E-3</v>
      </c>
      <c r="F1379" s="266">
        <f t="shared" si="69"/>
        <v>1372</v>
      </c>
      <c r="G1379" s="230">
        <f t="shared" ca="1" si="68"/>
        <v>-2.5876787123500181E-2</v>
      </c>
    </row>
    <row r="1380" spans="2:7" x14ac:dyDescent="0.25">
      <c r="B1380" s="348" t="s">
        <v>1392</v>
      </c>
      <c r="C1380" s="293">
        <v>122.97</v>
      </c>
      <c r="D1380" s="230">
        <f t="shared" si="67"/>
        <v>1.8385093167701871E-2</v>
      </c>
      <c r="E1380" s="293">
        <v>6.3619621630672807E-3</v>
      </c>
      <c r="F1380" s="266">
        <f t="shared" si="69"/>
        <v>1373</v>
      </c>
      <c r="G1380" s="230">
        <f t="shared" ca="1" si="68"/>
        <v>2.0929896300243313E-2</v>
      </c>
    </row>
    <row r="1381" spans="2:7" x14ac:dyDescent="0.25">
      <c r="B1381" s="348" t="s">
        <v>1393</v>
      </c>
      <c r="C1381" s="293">
        <v>120.75</v>
      </c>
      <c r="D1381" s="230">
        <f t="shared" si="67"/>
        <v>-1.1461318051576019E-2</v>
      </c>
      <c r="E1381" s="293">
        <v>6.3608326908248802E-3</v>
      </c>
      <c r="F1381" s="266">
        <f t="shared" si="69"/>
        <v>1374</v>
      </c>
      <c r="G1381" s="230">
        <f t="shared" ca="1" si="68"/>
        <v>-3.2478223222387726E-3</v>
      </c>
    </row>
    <row r="1382" spans="2:7" x14ac:dyDescent="0.25">
      <c r="B1382" s="348" t="s">
        <v>1394</v>
      </c>
      <c r="C1382" s="293">
        <v>122.15</v>
      </c>
      <c r="D1382" s="230">
        <f t="shared" si="67"/>
        <v>5.7339449541293774E-4</v>
      </c>
      <c r="E1382" s="293">
        <v>6.3597819503329323E-3</v>
      </c>
      <c r="F1382" s="266">
        <f t="shared" si="69"/>
        <v>1375</v>
      </c>
      <c r="G1382" s="230">
        <f t="shared" ca="1" si="68"/>
        <v>2.4275982570718955E-3</v>
      </c>
    </row>
    <row r="1383" spans="2:7" x14ac:dyDescent="0.25">
      <c r="B1383" s="348" t="s">
        <v>1395</v>
      </c>
      <c r="C1383" s="293">
        <v>122.08</v>
      </c>
      <c r="D1383" s="230">
        <f t="shared" si="67"/>
        <v>-1.1898016997167082E-2</v>
      </c>
      <c r="E1383" s="293">
        <v>6.3560852293247372E-3</v>
      </c>
      <c r="F1383" s="266">
        <f t="shared" si="69"/>
        <v>1376</v>
      </c>
      <c r="G1383" s="230">
        <f t="shared" ca="1" si="68"/>
        <v>1.5945520183828082E-2</v>
      </c>
    </row>
    <row r="1384" spans="2:7" x14ac:dyDescent="0.25">
      <c r="B1384" s="348" t="s">
        <v>1396</v>
      </c>
      <c r="C1384" s="293">
        <v>123.55</v>
      </c>
      <c r="D1384" s="230">
        <f t="shared" si="67"/>
        <v>7.173718105486282E-3</v>
      </c>
      <c r="E1384" s="293">
        <v>6.3519313304720715E-3</v>
      </c>
      <c r="F1384" s="266">
        <f t="shared" si="69"/>
        <v>1377</v>
      </c>
      <c r="G1384" s="230">
        <f t="shared" ca="1" si="68"/>
        <v>-6.0425287370178001E-2</v>
      </c>
    </row>
    <row r="1385" spans="2:7" x14ac:dyDescent="0.25">
      <c r="B1385" s="348" t="s">
        <v>1397</v>
      </c>
      <c r="C1385" s="293">
        <v>122.67</v>
      </c>
      <c r="D1385" s="230">
        <f t="shared" si="67"/>
        <v>3.1894013738960059E-3</v>
      </c>
      <c r="E1385" s="293">
        <v>6.3501367721767732E-3</v>
      </c>
      <c r="F1385" s="266">
        <f t="shared" si="69"/>
        <v>1378</v>
      </c>
      <c r="G1385" s="230">
        <f t="shared" ca="1" si="68"/>
        <v>-8.5029671298392454E-3</v>
      </c>
    </row>
    <row r="1386" spans="2:7" x14ac:dyDescent="0.25">
      <c r="B1386" s="348">
        <v>43808</v>
      </c>
      <c r="C1386" s="293">
        <v>122.28</v>
      </c>
      <c r="D1386" s="230">
        <f t="shared" si="67"/>
        <v>-1.4506769825918697E-2</v>
      </c>
      <c r="E1386" s="293">
        <v>6.3352826510720828E-3</v>
      </c>
      <c r="F1386" s="266">
        <f t="shared" si="69"/>
        <v>1379</v>
      </c>
      <c r="G1386" s="230">
        <f t="shared" ca="1" si="68"/>
        <v>-6.4689306020160207E-3</v>
      </c>
    </row>
    <row r="1387" spans="2:7" x14ac:dyDescent="0.25">
      <c r="B1387" s="348">
        <v>43778</v>
      </c>
      <c r="C1387" s="293">
        <v>124.08</v>
      </c>
      <c r="D1387" s="230">
        <f t="shared" si="67"/>
        <v>-2.9107981220657275E-2</v>
      </c>
      <c r="E1387" s="293">
        <v>6.3216323174180022E-3</v>
      </c>
      <c r="F1387" s="266">
        <f t="shared" si="69"/>
        <v>1380</v>
      </c>
      <c r="G1387" s="230">
        <f t="shared" ca="1" si="68"/>
        <v>-6.921637964076164E-3</v>
      </c>
    </row>
    <row r="1388" spans="2:7" x14ac:dyDescent="0.25">
      <c r="B1388" s="348">
        <v>43717</v>
      </c>
      <c r="C1388" s="293">
        <v>127.8</v>
      </c>
      <c r="D1388" s="230">
        <f t="shared" si="67"/>
        <v>1.4285714285714235E-2</v>
      </c>
      <c r="E1388" s="293">
        <v>6.3143901628448518E-3</v>
      </c>
      <c r="F1388" s="266">
        <f t="shared" si="69"/>
        <v>1381</v>
      </c>
      <c r="G1388" s="230">
        <f t="shared" ca="1" si="68"/>
        <v>1.6171689013960395E-2</v>
      </c>
    </row>
    <row r="1389" spans="2:7" x14ac:dyDescent="0.25">
      <c r="B1389" s="348">
        <v>43625</v>
      </c>
      <c r="C1389" s="293">
        <v>126</v>
      </c>
      <c r="D1389" s="230">
        <f t="shared" si="67"/>
        <v>-1.4084507042253502E-2</v>
      </c>
      <c r="E1389" s="293">
        <v>6.3004703167983678E-3</v>
      </c>
      <c r="F1389" s="266">
        <f t="shared" si="69"/>
        <v>1382</v>
      </c>
      <c r="G1389" s="230">
        <f t="shared" ca="1" si="68"/>
        <v>1.4366157884671098E-2</v>
      </c>
    </row>
    <row r="1390" spans="2:7" x14ac:dyDescent="0.25">
      <c r="B1390" s="348">
        <v>43594</v>
      </c>
      <c r="C1390" s="293">
        <v>127.8</v>
      </c>
      <c r="D1390" s="230">
        <f t="shared" si="67"/>
        <v>-1.7964539561040604E-3</v>
      </c>
      <c r="E1390" s="293">
        <v>6.2916020789640648E-3</v>
      </c>
      <c r="F1390" s="266">
        <f t="shared" si="69"/>
        <v>1383</v>
      </c>
      <c r="G1390" s="230">
        <f t="shared" ca="1" si="68"/>
        <v>-2.2176120374516578E-2</v>
      </c>
    </row>
    <row r="1391" spans="2:7" x14ac:dyDescent="0.25">
      <c r="B1391" s="348">
        <v>43564</v>
      </c>
      <c r="C1391" s="293">
        <v>128.03</v>
      </c>
      <c r="D1391" s="230">
        <f t="shared" si="67"/>
        <v>9.4614838760544995E-3</v>
      </c>
      <c r="E1391" s="293">
        <v>6.2857142857142279E-3</v>
      </c>
      <c r="F1391" s="266">
        <f t="shared" si="69"/>
        <v>1384</v>
      </c>
      <c r="G1391" s="230">
        <f t="shared" ca="1" si="68"/>
        <v>-2.0865660339945219E-2</v>
      </c>
    </row>
    <row r="1392" spans="2:7" x14ac:dyDescent="0.25">
      <c r="B1392" s="348">
        <v>43533</v>
      </c>
      <c r="C1392" s="293">
        <v>126.83</v>
      </c>
      <c r="D1392" s="230">
        <f t="shared" si="67"/>
        <v>-2.9088050314465264E-3</v>
      </c>
      <c r="E1392" s="293">
        <v>6.2823935919584795E-3</v>
      </c>
      <c r="F1392" s="266">
        <f t="shared" si="69"/>
        <v>1385</v>
      </c>
      <c r="G1392" s="230">
        <f t="shared" ca="1" si="68"/>
        <v>-1.8012596554925084E-2</v>
      </c>
    </row>
    <row r="1393" spans="2:7" x14ac:dyDescent="0.25">
      <c r="B1393" s="348" t="s">
        <v>1398</v>
      </c>
      <c r="C1393" s="293">
        <v>127.2</v>
      </c>
      <c r="D1393" s="230">
        <f t="shared" si="67"/>
        <v>2.2508038585209E-2</v>
      </c>
      <c r="E1393" s="293">
        <v>6.2746242521523055E-3</v>
      </c>
      <c r="F1393" s="266">
        <f t="shared" si="69"/>
        <v>1386</v>
      </c>
      <c r="G1393" s="230">
        <f t="shared" ca="1" si="68"/>
        <v>1.972718701580287E-3</v>
      </c>
    </row>
    <row r="1394" spans="2:7" x14ac:dyDescent="0.25">
      <c r="B1394" s="348" t="s">
        <v>1399</v>
      </c>
      <c r="C1394" s="293">
        <v>124.4</v>
      </c>
      <c r="D1394" s="230">
        <f t="shared" si="67"/>
        <v>-1.765366714812977E-3</v>
      </c>
      <c r="E1394" s="293">
        <v>6.2601626016258738E-3</v>
      </c>
      <c r="F1394" s="266">
        <f t="shared" si="69"/>
        <v>1387</v>
      </c>
      <c r="G1394" s="230">
        <f t="shared" ca="1" si="68"/>
        <v>-5.6273840897697894E-2</v>
      </c>
    </row>
    <row r="1395" spans="2:7" x14ac:dyDescent="0.25">
      <c r="B1395" s="348" t="s">
        <v>1400</v>
      </c>
      <c r="C1395" s="293">
        <v>124.62</v>
      </c>
      <c r="D1395" s="230">
        <f t="shared" si="67"/>
        <v>-3.4386245501798474E-3</v>
      </c>
      <c r="E1395" s="293">
        <v>6.2493990962406709E-3</v>
      </c>
      <c r="F1395" s="266">
        <f t="shared" si="69"/>
        <v>1388</v>
      </c>
      <c r="G1395" s="230">
        <f t="shared" ca="1" si="68"/>
        <v>1.0385112437710731E-2</v>
      </c>
    </row>
    <row r="1396" spans="2:7" x14ac:dyDescent="0.25">
      <c r="B1396" s="348" t="s">
        <v>1401</v>
      </c>
      <c r="C1396" s="293">
        <v>125.05</v>
      </c>
      <c r="D1396" s="230">
        <f t="shared" si="67"/>
        <v>4.0144520272982209E-3</v>
      </c>
      <c r="E1396" s="293">
        <v>6.2364704669619631E-3</v>
      </c>
      <c r="F1396" s="266">
        <f t="shared" si="69"/>
        <v>1389</v>
      </c>
      <c r="G1396" s="230">
        <f t="shared" ca="1" si="68"/>
        <v>5.2102111131203379E-3</v>
      </c>
    </row>
    <row r="1397" spans="2:7" x14ac:dyDescent="0.25">
      <c r="B1397" s="348" t="s">
        <v>1402</v>
      </c>
      <c r="C1397" s="293">
        <v>124.55</v>
      </c>
      <c r="D1397" s="230">
        <f t="shared" si="67"/>
        <v>-9.1487669053301746E-3</v>
      </c>
      <c r="E1397" s="293">
        <v>6.233690924905666E-3</v>
      </c>
      <c r="F1397" s="266">
        <f t="shared" si="69"/>
        <v>1390</v>
      </c>
      <c r="G1397" s="230">
        <f t="shared" ca="1" si="68"/>
        <v>-8.2578228099518518E-3</v>
      </c>
    </row>
    <row r="1398" spans="2:7" x14ac:dyDescent="0.25">
      <c r="B1398" s="348" t="s">
        <v>1403</v>
      </c>
      <c r="C1398" s="293">
        <v>125.7</v>
      </c>
      <c r="D1398" s="230">
        <f t="shared" si="67"/>
        <v>-2.6184241847179157E-3</v>
      </c>
      <c r="E1398" s="293">
        <v>6.2315395144443286E-3</v>
      </c>
      <c r="F1398" s="266">
        <f t="shared" si="69"/>
        <v>1391</v>
      </c>
      <c r="G1398" s="230">
        <f t="shared" ca="1" si="68"/>
        <v>8.1030703406064105E-4</v>
      </c>
    </row>
    <row r="1399" spans="2:7" x14ac:dyDescent="0.25">
      <c r="B1399" s="348" t="s">
        <v>1404</v>
      </c>
      <c r="C1399" s="293">
        <v>126.03</v>
      </c>
      <c r="D1399" s="230">
        <f t="shared" si="67"/>
        <v>-1.3470681458003231E-3</v>
      </c>
      <c r="E1399" s="293">
        <v>6.2271424335276215E-3</v>
      </c>
      <c r="F1399" s="266">
        <f t="shared" si="69"/>
        <v>1392</v>
      </c>
      <c r="G1399" s="230">
        <f t="shared" ca="1" si="68"/>
        <v>-7.4616501616636237E-3</v>
      </c>
    </row>
    <row r="1400" spans="2:7" x14ac:dyDescent="0.25">
      <c r="B1400" s="348" t="s">
        <v>1405</v>
      </c>
      <c r="C1400" s="293">
        <v>126.2</v>
      </c>
      <c r="D1400" s="230">
        <f t="shared" si="67"/>
        <v>-3.5530990919857564E-3</v>
      </c>
      <c r="E1400" s="293">
        <v>6.2267136222120545E-3</v>
      </c>
      <c r="F1400" s="266">
        <f t="shared" si="69"/>
        <v>1393</v>
      </c>
      <c r="G1400" s="230">
        <f t="shared" ca="1" si="68"/>
        <v>3.0986004031602218E-2</v>
      </c>
    </row>
    <row r="1401" spans="2:7" x14ac:dyDescent="0.25">
      <c r="B1401" s="348" t="s">
        <v>1406</v>
      </c>
      <c r="C1401" s="293">
        <v>126.65</v>
      </c>
      <c r="D1401" s="230">
        <f t="shared" si="67"/>
        <v>4.7600158667195913E-3</v>
      </c>
      <c r="E1401" s="293">
        <v>6.2260536398466293E-3</v>
      </c>
      <c r="F1401" s="266">
        <f t="shared" si="69"/>
        <v>1394</v>
      </c>
      <c r="G1401" s="230">
        <f t="shared" ca="1" si="68"/>
        <v>8.6119069492084435E-3</v>
      </c>
    </row>
    <row r="1402" spans="2:7" x14ac:dyDescent="0.25">
      <c r="B1402" s="348" t="s">
        <v>1407</v>
      </c>
      <c r="C1402" s="293">
        <v>126.05</v>
      </c>
      <c r="D1402" s="230">
        <f t="shared" si="67"/>
        <v>1.1637239165328994E-2</v>
      </c>
      <c r="E1402" s="293">
        <v>6.2139871200994623E-3</v>
      </c>
      <c r="F1402" s="266">
        <f t="shared" si="69"/>
        <v>1395</v>
      </c>
      <c r="G1402" s="230">
        <f t="shared" ca="1" si="68"/>
        <v>-2.0557724847914322E-2</v>
      </c>
    </row>
    <row r="1403" spans="2:7" x14ac:dyDescent="0.25">
      <c r="B1403" s="348" t="s">
        <v>1408</v>
      </c>
      <c r="C1403" s="293">
        <v>124.6</v>
      </c>
      <c r="D1403" s="230">
        <f t="shared" si="67"/>
        <v>-7.4085875886242825E-3</v>
      </c>
      <c r="E1403" s="293">
        <v>6.2139769452449478E-3</v>
      </c>
      <c r="F1403" s="266">
        <f t="shared" si="69"/>
        <v>1396</v>
      </c>
      <c r="G1403" s="230">
        <f t="shared" ca="1" si="68"/>
        <v>-1.3054027359144622E-4</v>
      </c>
    </row>
    <row r="1404" spans="2:7" x14ac:dyDescent="0.25">
      <c r="B1404" s="348" t="s">
        <v>1409</v>
      </c>
      <c r="C1404" s="293">
        <v>125.53</v>
      </c>
      <c r="D1404" s="230">
        <f t="shared" si="67"/>
        <v>-2.8781431334622853E-2</v>
      </c>
      <c r="E1404" s="293">
        <v>6.2082390698163792E-3</v>
      </c>
      <c r="F1404" s="266">
        <f t="shared" si="69"/>
        <v>1397</v>
      </c>
      <c r="G1404" s="230">
        <f t="shared" ca="1" si="68"/>
        <v>2.2172551917395998E-2</v>
      </c>
    </row>
    <row r="1405" spans="2:7" x14ac:dyDescent="0.25">
      <c r="B1405" s="348" t="s">
        <v>1410</v>
      </c>
      <c r="C1405" s="293">
        <v>129.25</v>
      </c>
      <c r="D1405" s="230">
        <f t="shared" si="67"/>
        <v>-1.8975332068311146E-2</v>
      </c>
      <c r="E1405" s="293">
        <v>6.1932287365813465E-3</v>
      </c>
      <c r="F1405" s="266">
        <f t="shared" si="69"/>
        <v>1398</v>
      </c>
      <c r="G1405" s="230">
        <f t="shared" ca="1" si="68"/>
        <v>1.0383390643200431E-2</v>
      </c>
    </row>
    <row r="1406" spans="2:7" x14ac:dyDescent="0.25">
      <c r="B1406" s="348">
        <v>43716</v>
      </c>
      <c r="C1406" s="293">
        <v>131.75</v>
      </c>
      <c r="D1406" s="230">
        <f t="shared" si="67"/>
        <v>-8.5039133052378091E-3</v>
      </c>
      <c r="E1406" s="293">
        <v>6.1919504643963563E-3</v>
      </c>
      <c r="F1406" s="266">
        <f t="shared" si="69"/>
        <v>1399</v>
      </c>
      <c r="G1406" s="230">
        <f t="shared" ca="1" si="68"/>
        <v>3.53673917987588E-2</v>
      </c>
    </row>
    <row r="1407" spans="2:7" x14ac:dyDescent="0.25">
      <c r="B1407" s="348">
        <v>43685</v>
      </c>
      <c r="C1407" s="293">
        <v>132.88</v>
      </c>
      <c r="D1407" s="230">
        <f t="shared" si="67"/>
        <v>1.218769043266299E-2</v>
      </c>
      <c r="E1407" s="293">
        <v>6.1819252281425374E-3</v>
      </c>
      <c r="F1407" s="266">
        <f t="shared" si="69"/>
        <v>1400</v>
      </c>
      <c r="G1407" s="230">
        <f t="shared" ca="1" si="68"/>
        <v>2.280511039028478E-2</v>
      </c>
    </row>
    <row r="1408" spans="2:7" x14ac:dyDescent="0.25">
      <c r="B1408" s="348">
        <v>43654</v>
      </c>
      <c r="C1408" s="293">
        <v>131.28</v>
      </c>
      <c r="D1408" s="230">
        <f t="shared" si="67"/>
        <v>1.4136732329084634E-2</v>
      </c>
      <c r="E1408" s="293">
        <v>6.1595318755776063E-3</v>
      </c>
      <c r="F1408" s="266">
        <f t="shared" si="69"/>
        <v>1401</v>
      </c>
      <c r="G1408" s="230">
        <f t="shared" ca="1" si="68"/>
        <v>1.4762560766980728E-2</v>
      </c>
    </row>
    <row r="1409" spans="2:7" x14ac:dyDescent="0.25">
      <c r="B1409" s="348">
        <v>43624</v>
      </c>
      <c r="C1409" s="293">
        <v>129.44999999999999</v>
      </c>
      <c r="D1409" s="230">
        <f t="shared" si="67"/>
        <v>-1.1832061068702382E-2</v>
      </c>
      <c r="E1409" s="293">
        <v>6.1550298134256387E-3</v>
      </c>
      <c r="F1409" s="266">
        <f t="shared" si="69"/>
        <v>1402</v>
      </c>
      <c r="G1409" s="230">
        <f t="shared" ca="1" si="68"/>
        <v>1.7189277734328275E-2</v>
      </c>
    </row>
    <row r="1410" spans="2:7" x14ac:dyDescent="0.25">
      <c r="B1410" s="348">
        <v>43593</v>
      </c>
      <c r="C1410" s="293">
        <v>131</v>
      </c>
      <c r="D1410" s="230">
        <f t="shared" si="67"/>
        <v>-6.2206038537399033E-3</v>
      </c>
      <c r="E1410" s="293">
        <v>6.1542174490163415E-3</v>
      </c>
      <c r="F1410" s="266">
        <f t="shared" si="69"/>
        <v>1403</v>
      </c>
      <c r="G1410" s="230">
        <f t="shared" ca="1" si="68"/>
        <v>-2.541737577371643E-2</v>
      </c>
    </row>
    <row r="1411" spans="2:7" x14ac:dyDescent="0.25">
      <c r="B1411" s="348">
        <v>43504</v>
      </c>
      <c r="C1411" s="293">
        <v>131.82</v>
      </c>
      <c r="D1411" s="230">
        <f t="shared" si="67"/>
        <v>-2.5000000000000022E-2</v>
      </c>
      <c r="E1411" s="293">
        <v>6.1538461538461764E-3</v>
      </c>
      <c r="F1411" s="266">
        <f t="shared" si="69"/>
        <v>1404</v>
      </c>
      <c r="G1411" s="230">
        <f t="shared" ca="1" si="68"/>
        <v>3.5660245987071569E-3</v>
      </c>
    </row>
    <row r="1412" spans="2:7" x14ac:dyDescent="0.25">
      <c r="B1412" s="348">
        <v>43473</v>
      </c>
      <c r="C1412" s="293">
        <v>135.19999999999999</v>
      </c>
      <c r="D1412" s="230">
        <f t="shared" si="67"/>
        <v>1.9223520542781536E-2</v>
      </c>
      <c r="E1412" s="293">
        <v>6.1466249441215481E-3</v>
      </c>
      <c r="F1412" s="266">
        <f t="shared" si="69"/>
        <v>1405</v>
      </c>
      <c r="G1412" s="230">
        <f t="shared" ca="1" si="68"/>
        <v>-1.0255310020173334E-2</v>
      </c>
    </row>
    <row r="1413" spans="2:7" x14ac:dyDescent="0.25">
      <c r="B1413" s="348" t="s">
        <v>1411</v>
      </c>
      <c r="C1413" s="293">
        <v>132.65</v>
      </c>
      <c r="D1413" s="230">
        <f t="shared" si="67"/>
        <v>1.1437285550895959E-2</v>
      </c>
      <c r="E1413" s="293">
        <v>6.1397779229261928E-3</v>
      </c>
      <c r="F1413" s="266">
        <f t="shared" si="69"/>
        <v>1406</v>
      </c>
      <c r="G1413" s="230">
        <f t="shared" ca="1" si="68"/>
        <v>-4.336537415300149E-4</v>
      </c>
    </row>
    <row r="1414" spans="2:7" x14ac:dyDescent="0.25">
      <c r="B1414" s="348" t="s">
        <v>1412</v>
      </c>
      <c r="C1414" s="293">
        <v>131.15</v>
      </c>
      <c r="D1414" s="230">
        <f t="shared" si="67"/>
        <v>-3.8109756097548519E-4</v>
      </c>
      <c r="E1414" s="293">
        <v>6.1364752086401353E-3</v>
      </c>
      <c r="F1414" s="266">
        <f t="shared" si="69"/>
        <v>1407</v>
      </c>
      <c r="G1414" s="230">
        <f t="shared" ca="1" si="68"/>
        <v>-1.8220001117135301E-2</v>
      </c>
    </row>
    <row r="1415" spans="2:7" x14ac:dyDescent="0.25">
      <c r="B1415" s="348" t="s">
        <v>1413</v>
      </c>
      <c r="C1415" s="293">
        <v>131.19999999999999</v>
      </c>
      <c r="D1415" s="230">
        <f t="shared" si="67"/>
        <v>-4.5523520485586388E-3</v>
      </c>
      <c r="E1415" s="293">
        <v>6.1248527679622633E-3</v>
      </c>
      <c r="F1415" s="266">
        <f t="shared" si="69"/>
        <v>1408</v>
      </c>
      <c r="G1415" s="230">
        <f t="shared" ca="1" si="68"/>
        <v>1.4698564188711303E-3</v>
      </c>
    </row>
    <row r="1416" spans="2:7" x14ac:dyDescent="0.25">
      <c r="B1416" s="348" t="s">
        <v>1414</v>
      </c>
      <c r="C1416" s="293">
        <v>131.80000000000001</v>
      </c>
      <c r="D1416" s="230">
        <f t="shared" si="67"/>
        <v>5.1860890787065461E-3</v>
      </c>
      <c r="E1416" s="293">
        <v>6.1045402518120628E-3</v>
      </c>
      <c r="F1416" s="266">
        <f t="shared" si="69"/>
        <v>1409</v>
      </c>
      <c r="G1416" s="230">
        <f t="shared" ca="1" si="68"/>
        <v>1.9567324385886455E-3</v>
      </c>
    </row>
    <row r="1417" spans="2:7" x14ac:dyDescent="0.25">
      <c r="B1417" s="348" t="s">
        <v>1415</v>
      </c>
      <c r="C1417" s="293">
        <v>131.12</v>
      </c>
      <c r="D1417" s="230">
        <f t="shared" ref="D1417:D1480" si="70">C1417/C1418-1</f>
        <v>-7.418622255866647E-3</v>
      </c>
      <c r="E1417" s="293">
        <v>6.1016949152543631E-3</v>
      </c>
      <c r="F1417" s="266">
        <f t="shared" si="69"/>
        <v>1410</v>
      </c>
      <c r="G1417" s="230">
        <f t="shared" ref="G1417:G1480" ca="1" si="71">_xlfn.NORM.INV(RAND(),$M$10,$M$11)</f>
        <v>1.1311992059869767E-2</v>
      </c>
    </row>
    <row r="1418" spans="2:7" x14ac:dyDescent="0.25">
      <c r="B1418" s="348" t="s">
        <v>1416</v>
      </c>
      <c r="C1418" s="293">
        <v>132.1</v>
      </c>
      <c r="D1418" s="230">
        <f t="shared" si="70"/>
        <v>-1.1342155009451682E-3</v>
      </c>
      <c r="E1418" s="293">
        <v>6.0964988677931764E-3</v>
      </c>
      <c r="F1418" s="266">
        <f t="shared" ref="F1418:F1481" si="72">F1417+1</f>
        <v>1411</v>
      </c>
      <c r="G1418" s="230">
        <f t="shared" ca="1" si="71"/>
        <v>-1.8230796086598618E-2</v>
      </c>
    </row>
    <row r="1419" spans="2:7" x14ac:dyDescent="0.25">
      <c r="B1419" s="348" t="s">
        <v>1417</v>
      </c>
      <c r="C1419" s="293">
        <v>132.25</v>
      </c>
      <c r="D1419" s="230">
        <f t="shared" si="70"/>
        <v>-1.1329305135951984E-3</v>
      </c>
      <c r="E1419" s="293">
        <v>6.0923369823893125E-3</v>
      </c>
      <c r="F1419" s="266">
        <f t="shared" si="72"/>
        <v>1412</v>
      </c>
      <c r="G1419" s="230">
        <f t="shared" ca="1" si="71"/>
        <v>-3.4234062764062958E-3</v>
      </c>
    </row>
    <row r="1420" spans="2:7" x14ac:dyDescent="0.25">
      <c r="B1420" s="348" t="s">
        <v>1418</v>
      </c>
      <c r="C1420" s="293">
        <v>132.4</v>
      </c>
      <c r="D1420" s="230">
        <f t="shared" si="70"/>
        <v>3.7778617302608453E-4</v>
      </c>
      <c r="E1420" s="293">
        <v>6.0858424087124607E-3</v>
      </c>
      <c r="F1420" s="266">
        <f t="shared" si="72"/>
        <v>1413</v>
      </c>
      <c r="G1420" s="230">
        <f t="shared" ca="1" si="71"/>
        <v>-8.6907764189117827E-3</v>
      </c>
    </row>
    <row r="1421" spans="2:7" x14ac:dyDescent="0.25">
      <c r="B1421" s="348" t="s">
        <v>1419</v>
      </c>
      <c r="C1421" s="293">
        <v>132.35</v>
      </c>
      <c r="D1421" s="230">
        <f t="shared" si="70"/>
        <v>-1.6350798959494761E-2</v>
      </c>
      <c r="E1421" s="293">
        <v>6.0711188204682909E-3</v>
      </c>
      <c r="F1421" s="266">
        <f t="shared" si="72"/>
        <v>1414</v>
      </c>
      <c r="G1421" s="230">
        <f t="shared" ca="1" si="71"/>
        <v>-7.9470618688489321E-3</v>
      </c>
    </row>
    <row r="1422" spans="2:7" x14ac:dyDescent="0.25">
      <c r="B1422" s="348" t="s">
        <v>1420</v>
      </c>
      <c r="C1422" s="293">
        <v>134.55000000000001</v>
      </c>
      <c r="D1422" s="230">
        <f t="shared" si="70"/>
        <v>3.6594761171032442E-2</v>
      </c>
      <c r="E1422" s="293">
        <v>6.0692271218587557E-3</v>
      </c>
      <c r="F1422" s="266">
        <f t="shared" si="72"/>
        <v>1415</v>
      </c>
      <c r="G1422" s="230">
        <f t="shared" ca="1" si="71"/>
        <v>2.5467748740755957E-3</v>
      </c>
    </row>
    <row r="1423" spans="2:7" x14ac:dyDescent="0.25">
      <c r="B1423" s="348" t="s">
        <v>1421</v>
      </c>
      <c r="C1423" s="293">
        <v>129.80000000000001</v>
      </c>
      <c r="D1423" s="230">
        <f t="shared" si="70"/>
        <v>-1.5384615384614886E-3</v>
      </c>
      <c r="E1423" s="293">
        <v>6.0565275908479599E-3</v>
      </c>
      <c r="F1423" s="266">
        <f t="shared" si="72"/>
        <v>1416</v>
      </c>
      <c r="G1423" s="230">
        <f t="shared" ca="1" si="71"/>
        <v>9.5198276264820362E-3</v>
      </c>
    </row>
    <row r="1424" spans="2:7" x14ac:dyDescent="0.25">
      <c r="B1424" s="348" t="s">
        <v>1422</v>
      </c>
      <c r="C1424" s="293">
        <v>130</v>
      </c>
      <c r="D1424" s="230">
        <f t="shared" si="70"/>
        <v>3.8476337052717469E-4</v>
      </c>
      <c r="E1424" s="293">
        <v>6.0299083453931868E-3</v>
      </c>
      <c r="F1424" s="266">
        <f t="shared" si="72"/>
        <v>1417</v>
      </c>
      <c r="G1424" s="230">
        <f t="shared" ca="1" si="71"/>
        <v>2.7050630541773389E-2</v>
      </c>
    </row>
    <row r="1425" spans="2:7" x14ac:dyDescent="0.25">
      <c r="B1425" s="348" t="s">
        <v>1423</v>
      </c>
      <c r="C1425" s="293">
        <v>129.94999999999999</v>
      </c>
      <c r="D1425" s="230">
        <f t="shared" si="70"/>
        <v>3.7074225689348594E-3</v>
      </c>
      <c r="E1425" s="293">
        <v>6.0203446128295202E-3</v>
      </c>
      <c r="F1425" s="266">
        <f t="shared" si="72"/>
        <v>1418</v>
      </c>
      <c r="G1425" s="230">
        <f t="shared" ca="1" si="71"/>
        <v>-2.9974552748298952E-2</v>
      </c>
    </row>
    <row r="1426" spans="2:7" x14ac:dyDescent="0.25">
      <c r="B1426" s="348">
        <v>43806</v>
      </c>
      <c r="C1426" s="293">
        <v>129.47</v>
      </c>
      <c r="D1426" s="230">
        <f t="shared" si="70"/>
        <v>-3.2939946220495897E-2</v>
      </c>
      <c r="E1426" s="293">
        <v>6.013363028953389E-3</v>
      </c>
      <c r="F1426" s="266">
        <f t="shared" si="72"/>
        <v>1419</v>
      </c>
      <c r="G1426" s="230">
        <f t="shared" ca="1" si="71"/>
        <v>-5.8659570605718338E-3</v>
      </c>
    </row>
    <row r="1427" spans="2:7" x14ac:dyDescent="0.25">
      <c r="B1427" s="348">
        <v>43776</v>
      </c>
      <c r="C1427" s="293">
        <v>133.88</v>
      </c>
      <c r="D1427" s="230">
        <f t="shared" si="70"/>
        <v>3.0718513523637636E-3</v>
      </c>
      <c r="E1427" s="293">
        <v>6.0100403026230875E-3</v>
      </c>
      <c r="F1427" s="266">
        <f t="shared" si="72"/>
        <v>1420</v>
      </c>
      <c r="G1427" s="230">
        <f t="shared" ca="1" si="71"/>
        <v>1.5659849469716127E-2</v>
      </c>
    </row>
    <row r="1428" spans="2:7" x14ac:dyDescent="0.25">
      <c r="B1428" s="348">
        <v>43745</v>
      </c>
      <c r="C1428" s="293">
        <v>133.47</v>
      </c>
      <c r="D1428" s="230">
        <f t="shared" si="70"/>
        <v>5.4237288135592365E-3</v>
      </c>
      <c r="E1428" s="293">
        <v>5.9933189231675676E-3</v>
      </c>
      <c r="F1428" s="266">
        <f t="shared" si="72"/>
        <v>1421</v>
      </c>
      <c r="G1428" s="230">
        <f t="shared" ca="1" si="71"/>
        <v>3.0141578705108842E-2</v>
      </c>
    </row>
    <row r="1429" spans="2:7" x14ac:dyDescent="0.25">
      <c r="B1429" s="348">
        <v>43715</v>
      </c>
      <c r="C1429" s="293">
        <v>132.75</v>
      </c>
      <c r="D1429" s="230">
        <f t="shared" si="70"/>
        <v>-5.2454102660171031E-3</v>
      </c>
      <c r="E1429" s="293">
        <v>5.9816278572955017E-3</v>
      </c>
      <c r="F1429" s="266">
        <f t="shared" si="72"/>
        <v>1422</v>
      </c>
      <c r="G1429" s="230">
        <f t="shared" ca="1" si="71"/>
        <v>-3.9001044199022485E-2</v>
      </c>
    </row>
    <row r="1430" spans="2:7" x14ac:dyDescent="0.25">
      <c r="B1430" s="348">
        <v>43684</v>
      </c>
      <c r="C1430" s="293">
        <v>133.44999999999999</v>
      </c>
      <c r="D1430" s="230">
        <f t="shared" si="70"/>
        <v>-1.8244684764217034E-2</v>
      </c>
      <c r="E1430" s="293">
        <v>5.9733496706999567E-3</v>
      </c>
      <c r="F1430" s="266">
        <f t="shared" si="72"/>
        <v>1423</v>
      </c>
      <c r="G1430" s="230">
        <f t="shared" ca="1" si="71"/>
        <v>-6.6469289347867045E-3</v>
      </c>
    </row>
    <row r="1431" spans="2:7" x14ac:dyDescent="0.25">
      <c r="B1431" s="348">
        <v>43592</v>
      </c>
      <c r="C1431" s="293">
        <v>135.93</v>
      </c>
      <c r="D1431" s="230">
        <f t="shared" si="70"/>
        <v>-4.2274360600295879E-2</v>
      </c>
      <c r="E1431" s="293">
        <v>5.9498956158665628E-3</v>
      </c>
      <c r="F1431" s="266">
        <f t="shared" si="72"/>
        <v>1424</v>
      </c>
      <c r="G1431" s="230">
        <f t="shared" ca="1" si="71"/>
        <v>6.1720820606784438E-4</v>
      </c>
    </row>
    <row r="1432" spans="2:7" x14ac:dyDescent="0.25">
      <c r="B1432" s="348">
        <v>43562</v>
      </c>
      <c r="C1432" s="293">
        <v>141.93</v>
      </c>
      <c r="D1432" s="230">
        <f t="shared" si="70"/>
        <v>3.5353178250725481E-3</v>
      </c>
      <c r="E1432" s="293">
        <v>5.9477756286265837E-3</v>
      </c>
      <c r="F1432" s="266">
        <f t="shared" si="72"/>
        <v>1425</v>
      </c>
      <c r="G1432" s="230">
        <f t="shared" ca="1" si="71"/>
        <v>-6.5376541761528826E-3</v>
      </c>
    </row>
    <row r="1433" spans="2:7" x14ac:dyDescent="0.25">
      <c r="B1433" s="348">
        <v>43531</v>
      </c>
      <c r="C1433" s="293">
        <v>141.43</v>
      </c>
      <c r="D1433" s="230">
        <f t="shared" si="70"/>
        <v>-4.8550520686743148E-3</v>
      </c>
      <c r="E1433" s="293">
        <v>5.9391239792132566E-3</v>
      </c>
      <c r="F1433" s="266">
        <f t="shared" si="72"/>
        <v>1426</v>
      </c>
      <c r="G1433" s="230">
        <f t="shared" ca="1" si="71"/>
        <v>3.0112086621796721E-2</v>
      </c>
    </row>
    <row r="1434" spans="2:7" x14ac:dyDescent="0.25">
      <c r="B1434" s="348">
        <v>43503</v>
      </c>
      <c r="C1434" s="293">
        <v>142.12</v>
      </c>
      <c r="D1434" s="230">
        <f t="shared" si="70"/>
        <v>7.9432624113475736E-3</v>
      </c>
      <c r="E1434" s="293">
        <v>5.9219380888291262E-3</v>
      </c>
      <c r="F1434" s="266">
        <f t="shared" si="72"/>
        <v>1427</v>
      </c>
      <c r="G1434" s="230">
        <f t="shared" ca="1" si="71"/>
        <v>2.5953610587221509E-2</v>
      </c>
    </row>
    <row r="1435" spans="2:7" x14ac:dyDescent="0.25">
      <c r="B1435" s="348">
        <v>43472</v>
      </c>
      <c r="C1435" s="293">
        <v>141</v>
      </c>
      <c r="D1435" s="230">
        <f t="shared" si="70"/>
        <v>5.3475935828877219E-3</v>
      </c>
      <c r="E1435" s="293">
        <v>5.9200587923080583E-3</v>
      </c>
      <c r="F1435" s="266">
        <f t="shared" si="72"/>
        <v>1428</v>
      </c>
      <c r="G1435" s="230">
        <f t="shared" ca="1" si="71"/>
        <v>1.3010043787492927E-2</v>
      </c>
    </row>
    <row r="1436" spans="2:7" x14ac:dyDescent="0.25">
      <c r="B1436" s="348" t="s">
        <v>1424</v>
      </c>
      <c r="C1436" s="293">
        <v>140.25</v>
      </c>
      <c r="D1436" s="230">
        <f t="shared" si="70"/>
        <v>-5.6717476072315476E-3</v>
      </c>
      <c r="E1436" s="293">
        <v>5.9088351153628871E-3</v>
      </c>
      <c r="F1436" s="266">
        <f t="shared" si="72"/>
        <v>1429</v>
      </c>
      <c r="G1436" s="230">
        <f t="shared" ca="1" si="71"/>
        <v>9.6887359719450127E-3</v>
      </c>
    </row>
    <row r="1437" spans="2:7" x14ac:dyDescent="0.25">
      <c r="B1437" s="348" t="s">
        <v>1425</v>
      </c>
      <c r="C1437" s="293">
        <v>141.05000000000001</v>
      </c>
      <c r="D1437" s="230">
        <f t="shared" si="70"/>
        <v>-1.4118962745509056E-2</v>
      </c>
      <c r="E1437" s="293">
        <v>5.9030536950845924E-3</v>
      </c>
      <c r="F1437" s="266">
        <f t="shared" si="72"/>
        <v>1430</v>
      </c>
      <c r="G1437" s="230">
        <f t="shared" ca="1" si="71"/>
        <v>4.589396380141126E-2</v>
      </c>
    </row>
    <row r="1438" spans="2:7" x14ac:dyDescent="0.25">
      <c r="B1438" s="348" t="s">
        <v>1426</v>
      </c>
      <c r="C1438" s="293">
        <v>143.07</v>
      </c>
      <c r="D1438" s="230">
        <f t="shared" si="70"/>
        <v>2.9442691903258655E-3</v>
      </c>
      <c r="E1438" s="293">
        <v>5.9019758788811938E-3</v>
      </c>
      <c r="F1438" s="266">
        <f t="shared" si="72"/>
        <v>1431</v>
      </c>
      <c r="G1438" s="230">
        <f t="shared" ca="1" si="71"/>
        <v>-3.2661545260356151E-3</v>
      </c>
    </row>
    <row r="1439" spans="2:7" x14ac:dyDescent="0.25">
      <c r="B1439" s="348" t="s">
        <v>1427</v>
      </c>
      <c r="C1439" s="293">
        <v>142.65</v>
      </c>
      <c r="D1439" s="230">
        <f t="shared" si="70"/>
        <v>4.9313138429025738E-3</v>
      </c>
      <c r="E1439" s="293">
        <v>5.9001512859304661E-3</v>
      </c>
      <c r="F1439" s="266">
        <f t="shared" si="72"/>
        <v>1432</v>
      </c>
      <c r="G1439" s="230">
        <f t="shared" ca="1" si="71"/>
        <v>2.7205823918369024E-2</v>
      </c>
    </row>
    <row r="1440" spans="2:7" x14ac:dyDescent="0.25">
      <c r="B1440" s="348" t="s">
        <v>1428</v>
      </c>
      <c r="C1440" s="293">
        <v>141.94999999999999</v>
      </c>
      <c r="D1440" s="230">
        <f t="shared" si="70"/>
        <v>-6.8565031833766055E-3</v>
      </c>
      <c r="E1440" s="293">
        <v>5.8941058941059943E-3</v>
      </c>
      <c r="F1440" s="266">
        <f t="shared" si="72"/>
        <v>1433</v>
      </c>
      <c r="G1440" s="230">
        <f t="shared" ca="1" si="71"/>
        <v>-1.5324329257064514E-3</v>
      </c>
    </row>
    <row r="1441" spans="2:7" x14ac:dyDescent="0.25">
      <c r="B1441" s="348" t="s">
        <v>1429</v>
      </c>
      <c r="C1441" s="293">
        <v>142.93</v>
      </c>
      <c r="D1441" s="230">
        <f t="shared" si="70"/>
        <v>-3.7638530703282269E-3</v>
      </c>
      <c r="E1441" s="293">
        <v>5.8877271343009685E-3</v>
      </c>
      <c r="F1441" s="266">
        <f t="shared" si="72"/>
        <v>1434</v>
      </c>
      <c r="G1441" s="230">
        <f t="shared" ca="1" si="71"/>
        <v>4.1193691233824686E-3</v>
      </c>
    </row>
    <row r="1442" spans="2:7" x14ac:dyDescent="0.25">
      <c r="B1442" s="348" t="s">
        <v>1430</v>
      </c>
      <c r="C1442" s="293">
        <v>143.47</v>
      </c>
      <c r="D1442" s="230">
        <f t="shared" si="70"/>
        <v>-2.4212745698156901E-2</v>
      </c>
      <c r="E1442" s="293">
        <v>5.8723997213099288E-3</v>
      </c>
      <c r="F1442" s="266">
        <f t="shared" si="72"/>
        <v>1435</v>
      </c>
      <c r="G1442" s="230">
        <f t="shared" ca="1" si="71"/>
        <v>3.3923775563696412E-2</v>
      </c>
    </row>
    <row r="1443" spans="2:7" x14ac:dyDescent="0.25">
      <c r="B1443" s="348" t="s">
        <v>1431</v>
      </c>
      <c r="C1443" s="293">
        <v>147.03</v>
      </c>
      <c r="D1443" s="230">
        <f t="shared" si="70"/>
        <v>-1.3221476510067109E-2</v>
      </c>
      <c r="E1443" s="293">
        <v>5.8619550858651781E-3</v>
      </c>
      <c r="F1443" s="266">
        <f t="shared" si="72"/>
        <v>1436</v>
      </c>
      <c r="G1443" s="230">
        <f t="shared" ca="1" si="71"/>
        <v>1.7111794068324644E-2</v>
      </c>
    </row>
    <row r="1444" spans="2:7" x14ac:dyDescent="0.25">
      <c r="B1444" s="348" t="s">
        <v>1432</v>
      </c>
      <c r="C1444" s="293">
        <v>149</v>
      </c>
      <c r="D1444" s="230">
        <f t="shared" si="70"/>
        <v>-3.8109246506652372E-3</v>
      </c>
      <c r="E1444" s="293">
        <v>5.854976730220729E-3</v>
      </c>
      <c r="F1444" s="266">
        <f t="shared" si="72"/>
        <v>1437</v>
      </c>
      <c r="G1444" s="230">
        <f t="shared" ca="1" si="71"/>
        <v>2.9886757310881015E-2</v>
      </c>
    </row>
    <row r="1445" spans="2:7" x14ac:dyDescent="0.25">
      <c r="B1445" s="348" t="s">
        <v>1433</v>
      </c>
      <c r="C1445" s="293">
        <v>149.57</v>
      </c>
      <c r="D1445" s="230">
        <f t="shared" si="70"/>
        <v>1.1378848728245128E-3</v>
      </c>
      <c r="E1445" s="293">
        <v>5.839849549638787E-3</v>
      </c>
      <c r="F1445" s="266">
        <f t="shared" si="72"/>
        <v>1438</v>
      </c>
      <c r="G1445" s="230">
        <f t="shared" ca="1" si="71"/>
        <v>5.8209995339514172E-3</v>
      </c>
    </row>
    <row r="1446" spans="2:7" x14ac:dyDescent="0.25">
      <c r="B1446" s="348" t="s">
        <v>1434</v>
      </c>
      <c r="C1446" s="293">
        <v>149.4</v>
      </c>
      <c r="D1446" s="230">
        <f t="shared" si="70"/>
        <v>1.3404825737266535E-3</v>
      </c>
      <c r="E1446" s="293">
        <v>5.8390454430059524E-3</v>
      </c>
      <c r="F1446" s="266">
        <f t="shared" si="72"/>
        <v>1439</v>
      </c>
      <c r="G1446" s="230">
        <f t="shared" ca="1" si="71"/>
        <v>-3.6207468013871702E-2</v>
      </c>
    </row>
    <row r="1447" spans="2:7" x14ac:dyDescent="0.25">
      <c r="B1447" s="348" t="s">
        <v>1435</v>
      </c>
      <c r="C1447" s="293">
        <v>149.19999999999999</v>
      </c>
      <c r="D1447" s="230">
        <f t="shared" si="70"/>
        <v>1.3422818791946067E-3</v>
      </c>
      <c r="E1447" s="293">
        <v>5.8317683107640406E-3</v>
      </c>
      <c r="F1447" s="266">
        <f t="shared" si="72"/>
        <v>1440</v>
      </c>
      <c r="G1447" s="230">
        <f t="shared" ca="1" si="71"/>
        <v>-4.4963660062577036E-2</v>
      </c>
    </row>
    <row r="1448" spans="2:7" x14ac:dyDescent="0.25">
      <c r="B1448" s="348">
        <v>43805</v>
      </c>
      <c r="C1448" s="293">
        <v>149</v>
      </c>
      <c r="D1448" s="230">
        <f t="shared" si="70"/>
        <v>1.0077258985556892E-3</v>
      </c>
      <c r="E1448" s="293">
        <v>5.8261129369585607E-3</v>
      </c>
      <c r="F1448" s="266">
        <f t="shared" si="72"/>
        <v>1441</v>
      </c>
      <c r="G1448" s="230">
        <f t="shared" ca="1" si="71"/>
        <v>-2.4759132714582043E-2</v>
      </c>
    </row>
    <row r="1449" spans="2:7" x14ac:dyDescent="0.25">
      <c r="B1449" s="348">
        <v>43775</v>
      </c>
      <c r="C1449" s="293">
        <v>148.85</v>
      </c>
      <c r="D1449" s="230">
        <f t="shared" si="70"/>
        <v>2.0195220464489516E-3</v>
      </c>
      <c r="E1449" s="293">
        <v>5.8168761220827037E-3</v>
      </c>
      <c r="F1449" s="266">
        <f t="shared" si="72"/>
        <v>1442</v>
      </c>
      <c r="G1449" s="230">
        <f t="shared" ca="1" si="71"/>
        <v>3.3034004539121448E-2</v>
      </c>
    </row>
    <row r="1450" spans="2:7" x14ac:dyDescent="0.25">
      <c r="B1450" s="348">
        <v>43744</v>
      </c>
      <c r="C1450" s="293">
        <v>148.55000000000001</v>
      </c>
      <c r="D1450" s="230">
        <f t="shared" si="70"/>
        <v>6.9138480309089978E-3</v>
      </c>
      <c r="E1450" s="293">
        <v>5.8119421573374908E-3</v>
      </c>
      <c r="F1450" s="266">
        <f t="shared" si="72"/>
        <v>1443</v>
      </c>
      <c r="G1450" s="230">
        <f t="shared" ca="1" si="71"/>
        <v>2.2078926291644041E-2</v>
      </c>
    </row>
    <row r="1451" spans="2:7" x14ac:dyDescent="0.25">
      <c r="B1451" s="348">
        <v>43652</v>
      </c>
      <c r="C1451" s="293">
        <v>147.53</v>
      </c>
      <c r="D1451" s="230">
        <f t="shared" si="70"/>
        <v>1.221269296741001E-2</v>
      </c>
      <c r="E1451" s="293">
        <v>5.8014410030877706E-3</v>
      </c>
      <c r="F1451" s="266">
        <f t="shared" si="72"/>
        <v>1444</v>
      </c>
      <c r="G1451" s="230">
        <f t="shared" ca="1" si="71"/>
        <v>1.9215814437481375E-2</v>
      </c>
    </row>
    <row r="1452" spans="2:7" x14ac:dyDescent="0.25">
      <c r="B1452" s="348">
        <v>43622</v>
      </c>
      <c r="C1452" s="293">
        <v>145.75</v>
      </c>
      <c r="D1452" s="230">
        <f t="shared" si="70"/>
        <v>-7.6933551198257177E-3</v>
      </c>
      <c r="E1452" s="293">
        <v>5.791872388910102E-3</v>
      </c>
      <c r="F1452" s="266">
        <f t="shared" si="72"/>
        <v>1445</v>
      </c>
      <c r="G1452" s="230">
        <f t="shared" ca="1" si="71"/>
        <v>2.4411734418535426E-2</v>
      </c>
    </row>
    <row r="1453" spans="2:7" x14ac:dyDescent="0.25">
      <c r="B1453" s="348">
        <v>43561</v>
      </c>
      <c r="C1453" s="293">
        <v>146.88</v>
      </c>
      <c r="D1453" s="230">
        <f t="shared" si="70"/>
        <v>8.4449021627188703E-3</v>
      </c>
      <c r="E1453" s="293">
        <v>5.7803468208093012E-3</v>
      </c>
      <c r="F1453" s="266">
        <f t="shared" si="72"/>
        <v>1446</v>
      </c>
      <c r="G1453" s="230">
        <f t="shared" ca="1" si="71"/>
        <v>-3.3627921566329662E-2</v>
      </c>
    </row>
    <row r="1454" spans="2:7" x14ac:dyDescent="0.25">
      <c r="B1454" s="348">
        <v>43530</v>
      </c>
      <c r="C1454" s="293">
        <v>145.65</v>
      </c>
      <c r="D1454" s="230">
        <f t="shared" si="70"/>
        <v>1.7108938547486074E-2</v>
      </c>
      <c r="E1454" s="293">
        <v>5.7760663507109289E-3</v>
      </c>
      <c r="F1454" s="266">
        <f t="shared" si="72"/>
        <v>1447</v>
      </c>
      <c r="G1454" s="230">
        <f t="shared" ca="1" si="71"/>
        <v>1.0231684034068936E-2</v>
      </c>
    </row>
    <row r="1455" spans="2:7" x14ac:dyDescent="0.25">
      <c r="B1455" s="348" t="s">
        <v>1436</v>
      </c>
      <c r="C1455" s="293">
        <v>143.19999999999999</v>
      </c>
      <c r="D1455" s="230">
        <f t="shared" si="70"/>
        <v>-5.5555555555556468E-3</v>
      </c>
      <c r="E1455" s="293">
        <v>5.7706626954578955E-3</v>
      </c>
      <c r="F1455" s="266">
        <f t="shared" si="72"/>
        <v>1448</v>
      </c>
      <c r="G1455" s="230">
        <f t="shared" ca="1" si="71"/>
        <v>-2.1599307616892487E-2</v>
      </c>
    </row>
    <row r="1456" spans="2:7" x14ac:dyDescent="0.25">
      <c r="B1456" s="348" t="s">
        <v>1437</v>
      </c>
      <c r="C1456" s="293">
        <v>144</v>
      </c>
      <c r="D1456" s="230">
        <f t="shared" si="70"/>
        <v>8.0504025201260099E-3</v>
      </c>
      <c r="E1456" s="293">
        <v>5.7649667405763605E-3</v>
      </c>
      <c r="F1456" s="266">
        <f t="shared" si="72"/>
        <v>1449</v>
      </c>
      <c r="G1456" s="230">
        <f t="shared" ca="1" si="71"/>
        <v>-6.8842629052342907E-3</v>
      </c>
    </row>
    <row r="1457" spans="2:7" x14ac:dyDescent="0.25">
      <c r="B1457" s="348" t="s">
        <v>1438</v>
      </c>
      <c r="C1457" s="293">
        <v>142.85</v>
      </c>
      <c r="D1457" s="230">
        <f t="shared" si="70"/>
        <v>9.7547183148369854E-3</v>
      </c>
      <c r="E1457" s="293">
        <v>5.7437283554353513E-3</v>
      </c>
      <c r="F1457" s="266">
        <f t="shared" si="72"/>
        <v>1450</v>
      </c>
      <c r="G1457" s="230">
        <f t="shared" ca="1" si="71"/>
        <v>6.9889912615703088E-3</v>
      </c>
    </row>
    <row r="1458" spans="2:7" x14ac:dyDescent="0.25">
      <c r="B1458" s="348" t="s">
        <v>1439</v>
      </c>
      <c r="C1458" s="293">
        <v>141.47</v>
      </c>
      <c r="D1458" s="230">
        <f t="shared" si="70"/>
        <v>8.698752228164075E-3</v>
      </c>
      <c r="E1458" s="293">
        <v>5.7388249072809483E-3</v>
      </c>
      <c r="F1458" s="266">
        <f t="shared" si="72"/>
        <v>1451</v>
      </c>
      <c r="G1458" s="230">
        <f t="shared" ca="1" si="71"/>
        <v>5.9383723647574429E-3</v>
      </c>
    </row>
    <row r="1459" spans="2:7" x14ac:dyDescent="0.25">
      <c r="B1459" s="348" t="s">
        <v>1440</v>
      </c>
      <c r="C1459" s="293">
        <v>140.25</v>
      </c>
      <c r="D1459" s="230">
        <f t="shared" si="70"/>
        <v>-8.483563096500446E-3</v>
      </c>
      <c r="E1459" s="293">
        <v>5.7320997586485234E-3</v>
      </c>
      <c r="F1459" s="266">
        <f t="shared" si="72"/>
        <v>1452</v>
      </c>
      <c r="G1459" s="230">
        <f t="shared" ca="1" si="71"/>
        <v>2.5970572890775832E-2</v>
      </c>
    </row>
    <row r="1460" spans="2:7" x14ac:dyDescent="0.25">
      <c r="B1460" s="348" t="s">
        <v>1441</v>
      </c>
      <c r="C1460" s="293">
        <v>141.44999999999999</v>
      </c>
      <c r="D1460" s="230">
        <f t="shared" si="70"/>
        <v>2.4805102763996167E-3</v>
      </c>
      <c r="E1460" s="293">
        <v>5.7283950617283974E-3</v>
      </c>
      <c r="F1460" s="266">
        <f t="shared" si="72"/>
        <v>1453</v>
      </c>
      <c r="G1460" s="230">
        <f t="shared" ca="1" si="71"/>
        <v>-4.9670592242414303E-3</v>
      </c>
    </row>
    <row r="1461" spans="2:7" x14ac:dyDescent="0.25">
      <c r="B1461" s="348" t="s">
        <v>1442</v>
      </c>
      <c r="C1461" s="293">
        <v>141.1</v>
      </c>
      <c r="D1461" s="230">
        <f t="shared" si="70"/>
        <v>-3.1790886612506064E-3</v>
      </c>
      <c r="E1461" s="293">
        <v>5.7096247960848334E-3</v>
      </c>
      <c r="F1461" s="266">
        <f t="shared" si="72"/>
        <v>1454</v>
      </c>
      <c r="G1461" s="230">
        <f t="shared" ca="1" si="71"/>
        <v>-2.0637982265085987E-2</v>
      </c>
    </row>
    <row r="1462" spans="2:7" x14ac:dyDescent="0.25">
      <c r="B1462" s="348" t="s">
        <v>1443</v>
      </c>
      <c r="C1462" s="293">
        <v>141.55000000000001</v>
      </c>
      <c r="D1462" s="230">
        <f t="shared" si="70"/>
        <v>-1.3245033112582627E-2</v>
      </c>
      <c r="E1462" s="293">
        <v>5.7095343680708677E-3</v>
      </c>
      <c r="F1462" s="266">
        <f t="shared" si="72"/>
        <v>1455</v>
      </c>
      <c r="G1462" s="230">
        <f t="shared" ca="1" si="71"/>
        <v>3.8267804950132697E-2</v>
      </c>
    </row>
    <row r="1463" spans="2:7" x14ac:dyDescent="0.25">
      <c r="B1463" s="348" t="s">
        <v>1444</v>
      </c>
      <c r="C1463" s="293">
        <v>143.44999999999999</v>
      </c>
      <c r="D1463" s="230">
        <f t="shared" si="70"/>
        <v>-1.150771775082704E-2</v>
      </c>
      <c r="E1463" s="293">
        <v>5.6822929723405746E-3</v>
      </c>
      <c r="F1463" s="266">
        <f t="shared" si="72"/>
        <v>1456</v>
      </c>
      <c r="G1463" s="230">
        <f t="shared" ca="1" si="71"/>
        <v>-1.946516836781069E-2</v>
      </c>
    </row>
    <row r="1464" spans="2:7" x14ac:dyDescent="0.25">
      <c r="B1464" s="348" t="s">
        <v>1445</v>
      </c>
      <c r="C1464" s="293">
        <v>145.12</v>
      </c>
      <c r="D1464" s="230">
        <f t="shared" si="70"/>
        <v>1.3407821229050487E-2</v>
      </c>
      <c r="E1464" s="293">
        <v>5.6776104665514637E-3</v>
      </c>
      <c r="F1464" s="266">
        <f t="shared" si="72"/>
        <v>1457</v>
      </c>
      <c r="G1464" s="230">
        <f t="shared" ca="1" si="71"/>
        <v>2.6253402496091341E-4</v>
      </c>
    </row>
    <row r="1465" spans="2:7" x14ac:dyDescent="0.25">
      <c r="B1465" s="348" t="s">
        <v>1446</v>
      </c>
      <c r="C1465" s="293">
        <v>143.19999999999999</v>
      </c>
      <c r="D1465" s="230">
        <f t="shared" si="70"/>
        <v>3.6445192038125906E-3</v>
      </c>
      <c r="E1465" s="293">
        <v>5.6747404844290639E-3</v>
      </c>
      <c r="F1465" s="266">
        <f t="shared" si="72"/>
        <v>1458</v>
      </c>
      <c r="G1465" s="230">
        <f t="shared" ca="1" si="71"/>
        <v>2.8845983765228851E-2</v>
      </c>
    </row>
    <row r="1466" spans="2:7" x14ac:dyDescent="0.25">
      <c r="B1466" s="348" t="s">
        <v>1447</v>
      </c>
      <c r="C1466" s="293">
        <v>142.68</v>
      </c>
      <c r="D1466" s="230">
        <f t="shared" si="70"/>
        <v>8.3392226148411019E-3</v>
      </c>
      <c r="E1466" s="293">
        <v>5.6684910086004514E-3</v>
      </c>
      <c r="F1466" s="266">
        <f t="shared" si="72"/>
        <v>1459</v>
      </c>
      <c r="G1466" s="230">
        <f t="shared" ca="1" si="71"/>
        <v>1.5152160855848954E-2</v>
      </c>
    </row>
    <row r="1467" spans="2:7" x14ac:dyDescent="0.25">
      <c r="B1467" s="348" t="s">
        <v>1448</v>
      </c>
      <c r="C1467" s="293">
        <v>141.5</v>
      </c>
      <c r="D1467" s="230">
        <f t="shared" si="70"/>
        <v>-5.6219255094870357E-3</v>
      </c>
      <c r="E1467" s="293">
        <v>5.6646156851254403E-3</v>
      </c>
      <c r="F1467" s="266">
        <f t="shared" si="72"/>
        <v>1460</v>
      </c>
      <c r="G1467" s="230">
        <f t="shared" ca="1" si="71"/>
        <v>2.4687059856590594E-2</v>
      </c>
    </row>
    <row r="1468" spans="2:7" x14ac:dyDescent="0.25">
      <c r="B1468" s="348" t="s">
        <v>1449</v>
      </c>
      <c r="C1468" s="293">
        <v>142.30000000000001</v>
      </c>
      <c r="D1468" s="230">
        <f t="shared" si="70"/>
        <v>-1.5565548253199557E-2</v>
      </c>
      <c r="E1468" s="293">
        <v>5.663665408074392E-3</v>
      </c>
      <c r="F1468" s="266">
        <f t="shared" si="72"/>
        <v>1461</v>
      </c>
      <c r="G1468" s="230">
        <f t="shared" ca="1" si="71"/>
        <v>6.8386869341002625E-3</v>
      </c>
    </row>
    <row r="1469" spans="2:7" x14ac:dyDescent="0.25">
      <c r="B1469" s="348" t="s">
        <v>1450</v>
      </c>
      <c r="C1469" s="293">
        <v>144.55000000000001</v>
      </c>
      <c r="D1469" s="230">
        <f t="shared" si="70"/>
        <v>-4.3394406943104702E-3</v>
      </c>
      <c r="E1469" s="293">
        <v>5.6617126680820196E-3</v>
      </c>
      <c r="F1469" s="266">
        <f t="shared" si="72"/>
        <v>1462</v>
      </c>
      <c r="G1469" s="230">
        <f t="shared" ca="1" si="71"/>
        <v>2.0712857261614502E-2</v>
      </c>
    </row>
    <row r="1470" spans="2:7" x14ac:dyDescent="0.25">
      <c r="B1470" s="348">
        <v>43743</v>
      </c>
      <c r="C1470" s="293">
        <v>145.18</v>
      </c>
      <c r="D1470" s="230">
        <f t="shared" si="70"/>
        <v>-2.4050024050024099E-3</v>
      </c>
      <c r="E1470" s="293">
        <v>5.6534752244763453E-3</v>
      </c>
      <c r="F1470" s="266">
        <f t="shared" si="72"/>
        <v>1463</v>
      </c>
      <c r="G1470" s="230">
        <f t="shared" ca="1" si="71"/>
        <v>1.6358015364761017E-3</v>
      </c>
    </row>
    <row r="1471" spans="2:7" x14ac:dyDescent="0.25">
      <c r="B1471" s="348">
        <v>43713</v>
      </c>
      <c r="C1471" s="293">
        <v>145.53</v>
      </c>
      <c r="D1471" s="230">
        <f t="shared" si="70"/>
        <v>6.8761603520584025E-4</v>
      </c>
      <c r="E1471" s="293">
        <v>5.6488776572025667E-3</v>
      </c>
      <c r="F1471" s="266">
        <f t="shared" si="72"/>
        <v>1464</v>
      </c>
      <c r="G1471" s="230">
        <f t="shared" ca="1" si="71"/>
        <v>-1.8751566140483872E-2</v>
      </c>
    </row>
    <row r="1472" spans="2:7" x14ac:dyDescent="0.25">
      <c r="B1472" s="348">
        <v>43682</v>
      </c>
      <c r="C1472" s="293">
        <v>145.43</v>
      </c>
      <c r="D1472" s="230">
        <f t="shared" si="70"/>
        <v>-1.0208943034097917E-2</v>
      </c>
      <c r="E1472" s="293">
        <v>5.6440233823826791E-3</v>
      </c>
      <c r="F1472" s="266">
        <f t="shared" si="72"/>
        <v>1465</v>
      </c>
      <c r="G1472" s="230">
        <f t="shared" ca="1" si="71"/>
        <v>9.2109996331272096E-3</v>
      </c>
    </row>
    <row r="1473" spans="2:7" x14ac:dyDescent="0.25">
      <c r="B1473" s="348">
        <v>43651</v>
      </c>
      <c r="C1473" s="293">
        <v>146.93</v>
      </c>
      <c r="D1473" s="230">
        <f t="shared" si="70"/>
        <v>1.0314240528089158E-2</v>
      </c>
      <c r="E1473" s="293">
        <v>5.6419640134188764E-3</v>
      </c>
      <c r="F1473" s="266">
        <f t="shared" si="72"/>
        <v>1466</v>
      </c>
      <c r="G1473" s="230">
        <f t="shared" ca="1" si="71"/>
        <v>-5.1197493409676172E-2</v>
      </c>
    </row>
    <row r="1474" spans="2:7" x14ac:dyDescent="0.25">
      <c r="B1474" s="348">
        <v>43621</v>
      </c>
      <c r="C1474" s="293">
        <v>145.43</v>
      </c>
      <c r="D1474" s="230">
        <f t="shared" si="70"/>
        <v>-1.3750429700920552E-4</v>
      </c>
      <c r="E1474" s="293">
        <v>5.6354450058297978E-3</v>
      </c>
      <c r="F1474" s="266">
        <f t="shared" si="72"/>
        <v>1467</v>
      </c>
      <c r="G1474" s="230">
        <f t="shared" ca="1" si="71"/>
        <v>-6.4831279915199521E-3</v>
      </c>
    </row>
    <row r="1475" spans="2:7" x14ac:dyDescent="0.25">
      <c r="B1475" s="348">
        <v>43529</v>
      </c>
      <c r="C1475" s="293">
        <v>145.44999999999999</v>
      </c>
      <c r="D1475" s="230">
        <f t="shared" si="70"/>
        <v>-9.3311537937611488E-3</v>
      </c>
      <c r="E1475" s="293">
        <v>5.6312443233423881E-3</v>
      </c>
      <c r="F1475" s="266">
        <f t="shared" si="72"/>
        <v>1468</v>
      </c>
      <c r="G1475" s="230">
        <f t="shared" ca="1" si="71"/>
        <v>-4.6204430320043706E-3</v>
      </c>
    </row>
    <row r="1476" spans="2:7" x14ac:dyDescent="0.25">
      <c r="B1476" s="348">
        <v>43501</v>
      </c>
      <c r="C1476" s="293">
        <v>146.82</v>
      </c>
      <c r="D1476" s="230">
        <f t="shared" si="70"/>
        <v>-1.6479099678456621E-2</v>
      </c>
      <c r="E1476" s="293">
        <v>5.6216931216932498E-3</v>
      </c>
      <c r="F1476" s="266">
        <f t="shared" si="72"/>
        <v>1469</v>
      </c>
      <c r="G1476" s="230">
        <f t="shared" ca="1" si="71"/>
        <v>4.6543763304510138E-3</v>
      </c>
    </row>
    <row r="1477" spans="2:7" x14ac:dyDescent="0.25">
      <c r="B1477" s="348" t="s">
        <v>1451</v>
      </c>
      <c r="C1477" s="293">
        <v>149.28</v>
      </c>
      <c r="D1477" s="230">
        <f t="shared" si="70"/>
        <v>1.2754409769335062E-2</v>
      </c>
      <c r="E1477" s="293">
        <v>5.6174238691240053E-3</v>
      </c>
      <c r="F1477" s="266">
        <f t="shared" si="72"/>
        <v>1470</v>
      </c>
      <c r="G1477" s="230">
        <f t="shared" ca="1" si="71"/>
        <v>-2.9881423642037976E-2</v>
      </c>
    </row>
    <row r="1478" spans="2:7" x14ac:dyDescent="0.25">
      <c r="B1478" s="348" t="s">
        <v>1452</v>
      </c>
      <c r="C1478" s="293">
        <v>147.4</v>
      </c>
      <c r="D1478" s="230">
        <f t="shared" si="70"/>
        <v>-1.3550135501354532E-3</v>
      </c>
      <c r="E1478" s="293">
        <v>5.6072670180553619E-3</v>
      </c>
      <c r="F1478" s="266">
        <f t="shared" si="72"/>
        <v>1471</v>
      </c>
      <c r="G1478" s="230">
        <f t="shared" ca="1" si="71"/>
        <v>-4.648728072438834E-2</v>
      </c>
    </row>
    <row r="1479" spans="2:7" x14ac:dyDescent="0.25">
      <c r="B1479" s="348" t="s">
        <v>1453</v>
      </c>
      <c r="C1479" s="293">
        <v>147.6</v>
      </c>
      <c r="D1479" s="230">
        <f t="shared" si="70"/>
        <v>7.3022589230873347E-3</v>
      </c>
      <c r="E1479" s="293">
        <v>5.6026538886839727E-3</v>
      </c>
      <c r="F1479" s="266">
        <f t="shared" si="72"/>
        <v>1472</v>
      </c>
      <c r="G1479" s="230">
        <f t="shared" ca="1" si="71"/>
        <v>1.2664490056947083E-2</v>
      </c>
    </row>
    <row r="1480" spans="2:7" x14ac:dyDescent="0.25">
      <c r="B1480" s="348" t="s">
        <v>1454</v>
      </c>
      <c r="C1480" s="293">
        <v>146.53</v>
      </c>
      <c r="D1480" s="230">
        <f t="shared" si="70"/>
        <v>6.7330814153210294E-3</v>
      </c>
      <c r="E1480" s="293">
        <v>5.5968348933705947E-3</v>
      </c>
      <c r="F1480" s="266">
        <f t="shared" si="72"/>
        <v>1473</v>
      </c>
      <c r="G1480" s="230">
        <f t="shared" ca="1" si="71"/>
        <v>4.3804276997938226E-4</v>
      </c>
    </row>
    <row r="1481" spans="2:7" x14ac:dyDescent="0.25">
      <c r="B1481" s="348" t="s">
        <v>1455</v>
      </c>
      <c r="C1481" s="293">
        <v>145.55000000000001</v>
      </c>
      <c r="D1481" s="230">
        <f t="shared" ref="D1481:D1544" si="73">C1481/C1482-1</f>
        <v>9.9222869830697391E-3</v>
      </c>
      <c r="E1481" s="293">
        <v>5.5963623644630367E-3</v>
      </c>
      <c r="F1481" s="266">
        <f t="shared" si="72"/>
        <v>1474</v>
      </c>
      <c r="G1481" s="230">
        <f t="shared" ref="G1481:G1544" ca="1" si="74">_xlfn.NORM.INV(RAND(),$M$10,$M$11)</f>
        <v>6.4610613728007856E-3</v>
      </c>
    </row>
    <row r="1482" spans="2:7" x14ac:dyDescent="0.25">
      <c r="B1482" s="348" t="s">
        <v>1456</v>
      </c>
      <c r="C1482" s="293">
        <v>144.12</v>
      </c>
      <c r="D1482" s="230">
        <f t="shared" si="73"/>
        <v>1.2078651685393238E-2</v>
      </c>
      <c r="E1482" s="293">
        <v>5.5938937682977752E-3</v>
      </c>
      <c r="F1482" s="266">
        <f t="shared" ref="F1482:F1545" si="75">F1481+1</f>
        <v>1475</v>
      </c>
      <c r="G1482" s="230">
        <f t="shared" ca="1" si="74"/>
        <v>2.8249452761533379E-2</v>
      </c>
    </row>
    <row r="1483" spans="2:7" x14ac:dyDescent="0.25">
      <c r="B1483" s="348" t="s">
        <v>1457</v>
      </c>
      <c r="C1483" s="293">
        <v>142.4</v>
      </c>
      <c r="D1483" s="230">
        <f t="shared" si="73"/>
        <v>1.3883944464222253E-2</v>
      </c>
      <c r="E1483" s="293">
        <v>5.587449728302607E-3</v>
      </c>
      <c r="F1483" s="266">
        <f t="shared" si="75"/>
        <v>1476</v>
      </c>
      <c r="G1483" s="230">
        <f t="shared" ca="1" si="74"/>
        <v>2.2686771273975607E-2</v>
      </c>
    </row>
    <row r="1484" spans="2:7" x14ac:dyDescent="0.25">
      <c r="B1484" s="348" t="s">
        <v>1458</v>
      </c>
      <c r="C1484" s="293">
        <v>140.44999999999999</v>
      </c>
      <c r="D1484" s="230">
        <f t="shared" si="73"/>
        <v>-2.3635731664928827E-2</v>
      </c>
      <c r="E1484" s="293">
        <v>5.5865921787709993E-3</v>
      </c>
      <c r="F1484" s="266">
        <f t="shared" si="75"/>
        <v>1477</v>
      </c>
      <c r="G1484" s="230">
        <f t="shared" ca="1" si="74"/>
        <v>-4.9518533352703266E-2</v>
      </c>
    </row>
    <row r="1485" spans="2:7" x14ac:dyDescent="0.25">
      <c r="B1485" s="348" t="s">
        <v>1459</v>
      </c>
      <c r="C1485" s="293">
        <v>143.85</v>
      </c>
      <c r="D1485" s="230">
        <f t="shared" si="73"/>
        <v>1.5172900494001551E-2</v>
      </c>
      <c r="E1485" s="293">
        <v>5.5774278215221518E-3</v>
      </c>
      <c r="F1485" s="266">
        <f t="shared" si="75"/>
        <v>1478</v>
      </c>
      <c r="G1485" s="230">
        <f t="shared" ca="1" si="74"/>
        <v>1.3798684927428181E-2</v>
      </c>
    </row>
    <row r="1486" spans="2:7" x14ac:dyDescent="0.25">
      <c r="B1486" s="348">
        <v>43803</v>
      </c>
      <c r="C1486" s="293">
        <v>141.69999999999999</v>
      </c>
      <c r="D1486" s="230">
        <f t="shared" si="73"/>
        <v>7.4653394952006735E-3</v>
      </c>
      <c r="E1486" s="293">
        <v>5.5764809470233434E-3</v>
      </c>
      <c r="F1486" s="266">
        <f t="shared" si="75"/>
        <v>1479</v>
      </c>
      <c r="G1486" s="230">
        <f t="shared" ca="1" si="74"/>
        <v>6.6035238023137545E-3</v>
      </c>
    </row>
    <row r="1487" spans="2:7" x14ac:dyDescent="0.25">
      <c r="B1487" s="348">
        <v>43773</v>
      </c>
      <c r="C1487" s="293">
        <v>140.65</v>
      </c>
      <c r="D1487" s="230">
        <f t="shared" si="73"/>
        <v>1.067615658363108E-3</v>
      </c>
      <c r="E1487" s="293">
        <v>5.5744062045564036E-3</v>
      </c>
      <c r="F1487" s="266">
        <f t="shared" si="75"/>
        <v>1480</v>
      </c>
      <c r="G1487" s="230">
        <f t="shared" ca="1" si="74"/>
        <v>-6.6885271219662224E-3</v>
      </c>
    </row>
    <row r="1488" spans="2:7" x14ac:dyDescent="0.25">
      <c r="B1488" s="348">
        <v>43742</v>
      </c>
      <c r="C1488" s="293">
        <v>140.5</v>
      </c>
      <c r="D1488" s="230">
        <f t="shared" si="73"/>
        <v>2.6296566837107349E-2</v>
      </c>
      <c r="E1488" s="293">
        <v>5.5580591858195305E-3</v>
      </c>
      <c r="F1488" s="266">
        <f t="shared" si="75"/>
        <v>1481</v>
      </c>
      <c r="G1488" s="230">
        <f t="shared" ca="1" si="74"/>
        <v>-1.136503668268065E-2</v>
      </c>
    </row>
    <row r="1489" spans="2:7" x14ac:dyDescent="0.25">
      <c r="B1489" s="348">
        <v>43712</v>
      </c>
      <c r="C1489" s="293">
        <v>136.9</v>
      </c>
      <c r="D1489" s="230">
        <f t="shared" si="73"/>
        <v>3.8301099734546984E-2</v>
      </c>
      <c r="E1489" s="293">
        <v>5.5332537702073026E-3</v>
      </c>
      <c r="F1489" s="266">
        <f t="shared" si="75"/>
        <v>1482</v>
      </c>
      <c r="G1489" s="230">
        <f t="shared" ca="1" si="74"/>
        <v>9.7731754614145683E-3</v>
      </c>
    </row>
    <row r="1490" spans="2:7" x14ac:dyDescent="0.25">
      <c r="B1490" s="348">
        <v>43681</v>
      </c>
      <c r="C1490" s="293">
        <v>131.85</v>
      </c>
      <c r="D1490" s="230">
        <f t="shared" si="73"/>
        <v>6.1045402518120628E-3</v>
      </c>
      <c r="E1490" s="293">
        <v>5.5316533497233866E-3</v>
      </c>
      <c r="F1490" s="266">
        <f t="shared" si="75"/>
        <v>1483</v>
      </c>
      <c r="G1490" s="230">
        <f t="shared" ca="1" si="74"/>
        <v>1.0248511008299217E-2</v>
      </c>
    </row>
    <row r="1491" spans="2:7" x14ac:dyDescent="0.25">
      <c r="B1491" s="348">
        <v>43589</v>
      </c>
      <c r="C1491" s="293">
        <v>131.05000000000001</v>
      </c>
      <c r="D1491" s="230">
        <f t="shared" si="73"/>
        <v>1.1734733266424824E-2</v>
      </c>
      <c r="E1491" s="293">
        <v>5.5205047318611644E-3</v>
      </c>
      <c r="F1491" s="266">
        <f t="shared" si="75"/>
        <v>1484</v>
      </c>
      <c r="G1491" s="230">
        <f t="shared" ca="1" si="74"/>
        <v>-2.883497117486538E-2</v>
      </c>
    </row>
    <row r="1492" spans="2:7" x14ac:dyDescent="0.25">
      <c r="B1492" s="348">
        <v>43559</v>
      </c>
      <c r="C1492" s="293">
        <v>129.53</v>
      </c>
      <c r="D1492" s="230">
        <f t="shared" si="73"/>
        <v>-9.8608775416602068E-3</v>
      </c>
      <c r="E1492" s="293">
        <v>5.5204140310523009E-3</v>
      </c>
      <c r="F1492" s="266">
        <f t="shared" si="75"/>
        <v>1485</v>
      </c>
      <c r="G1492" s="230">
        <f t="shared" ca="1" si="74"/>
        <v>-3.7634706033281888E-2</v>
      </c>
    </row>
    <row r="1493" spans="2:7" x14ac:dyDescent="0.25">
      <c r="B1493" s="348">
        <v>43528</v>
      </c>
      <c r="C1493" s="293">
        <v>130.82</v>
      </c>
      <c r="D1493" s="230">
        <f t="shared" si="73"/>
        <v>0</v>
      </c>
      <c r="E1493" s="293">
        <v>5.5176419340785543E-3</v>
      </c>
      <c r="F1493" s="266">
        <f t="shared" si="75"/>
        <v>1486</v>
      </c>
      <c r="G1493" s="230">
        <f t="shared" ca="1" si="74"/>
        <v>-5.4040975315817665E-3</v>
      </c>
    </row>
    <row r="1494" spans="2:7" x14ac:dyDescent="0.25">
      <c r="B1494" s="348">
        <v>43500</v>
      </c>
      <c r="C1494" s="293">
        <v>130.82</v>
      </c>
      <c r="D1494" s="230">
        <f t="shared" si="73"/>
        <v>0</v>
      </c>
      <c r="E1494" s="293">
        <v>5.5169105301031696E-3</v>
      </c>
      <c r="F1494" s="266">
        <f t="shared" si="75"/>
        <v>1487</v>
      </c>
      <c r="G1494" s="230">
        <f t="shared" ca="1" si="74"/>
        <v>-1.9979307233506751E-3</v>
      </c>
    </row>
    <row r="1495" spans="2:7" x14ac:dyDescent="0.25">
      <c r="B1495" s="348">
        <v>43469</v>
      </c>
      <c r="C1495" s="293">
        <v>130.82</v>
      </c>
      <c r="D1495" s="230">
        <f t="shared" si="73"/>
        <v>2.684458398744094E-2</v>
      </c>
      <c r="E1495" s="293">
        <v>5.5156276115659875E-3</v>
      </c>
      <c r="F1495" s="266">
        <f t="shared" si="75"/>
        <v>1488</v>
      </c>
      <c r="G1495" s="230">
        <f t="shared" ca="1" si="74"/>
        <v>-1.6582536542128117E-3</v>
      </c>
    </row>
    <row r="1496" spans="2:7" x14ac:dyDescent="0.25">
      <c r="B1496" s="348" t="s">
        <v>1460</v>
      </c>
      <c r="C1496" s="293">
        <v>127.4</v>
      </c>
      <c r="D1496" s="230">
        <f t="shared" si="73"/>
        <v>1.570105197048477E-4</v>
      </c>
      <c r="E1496" s="293">
        <v>5.5124731383724423E-3</v>
      </c>
      <c r="F1496" s="266">
        <f t="shared" si="75"/>
        <v>1489</v>
      </c>
      <c r="G1496" s="230">
        <f t="shared" ca="1" si="74"/>
        <v>5.1730381757934454E-3</v>
      </c>
    </row>
    <row r="1497" spans="2:7" x14ac:dyDescent="0.25">
      <c r="B1497" s="348" t="s">
        <v>1461</v>
      </c>
      <c r="C1497" s="293">
        <v>127.38</v>
      </c>
      <c r="D1497" s="230">
        <f t="shared" si="73"/>
        <v>7.856693903205425E-4</v>
      </c>
      <c r="E1497" s="293">
        <v>5.5071781595670277E-3</v>
      </c>
      <c r="F1497" s="266">
        <f t="shared" si="75"/>
        <v>1490</v>
      </c>
      <c r="G1497" s="230">
        <f t="shared" ca="1" si="74"/>
        <v>1.9978570678380533E-2</v>
      </c>
    </row>
    <row r="1498" spans="2:7" x14ac:dyDescent="0.25">
      <c r="B1498" s="348" t="s">
        <v>1462</v>
      </c>
      <c r="C1498" s="293">
        <v>127.28</v>
      </c>
      <c r="D1498" s="230">
        <f t="shared" si="73"/>
        <v>-1.725490196078372E-3</v>
      </c>
      <c r="E1498" s="293">
        <v>5.5063236685881645E-3</v>
      </c>
      <c r="F1498" s="266">
        <f t="shared" si="75"/>
        <v>1491</v>
      </c>
      <c r="G1498" s="230">
        <f t="shared" ca="1" si="74"/>
        <v>-3.3751273026717717E-3</v>
      </c>
    </row>
    <row r="1499" spans="2:7" x14ac:dyDescent="0.25">
      <c r="B1499" s="348" t="s">
        <v>1463</v>
      </c>
      <c r="C1499" s="293">
        <v>127.5</v>
      </c>
      <c r="D1499" s="230">
        <f t="shared" si="73"/>
        <v>-5.8479532163743242E-3</v>
      </c>
      <c r="E1499" s="293">
        <v>5.4844606946984342E-3</v>
      </c>
      <c r="F1499" s="266">
        <f t="shared" si="75"/>
        <v>1492</v>
      </c>
      <c r="G1499" s="230">
        <f t="shared" ca="1" si="74"/>
        <v>-1.1543534887253019E-2</v>
      </c>
    </row>
    <row r="1500" spans="2:7" x14ac:dyDescent="0.25">
      <c r="B1500" s="348" t="s">
        <v>1464</v>
      </c>
      <c r="C1500" s="293">
        <v>128.25</v>
      </c>
      <c r="D1500" s="230">
        <f t="shared" si="73"/>
        <v>-1.5581823764200142E-2</v>
      </c>
      <c r="E1500" s="293">
        <v>5.4570918047036621E-3</v>
      </c>
      <c r="F1500" s="266">
        <f t="shared" si="75"/>
        <v>1493</v>
      </c>
      <c r="G1500" s="230">
        <f t="shared" ca="1" si="74"/>
        <v>9.6275541695540687E-3</v>
      </c>
    </row>
    <row r="1501" spans="2:7" x14ac:dyDescent="0.25">
      <c r="B1501" s="348" t="s">
        <v>1465</v>
      </c>
      <c r="C1501" s="293">
        <v>130.28</v>
      </c>
      <c r="D1501" s="230">
        <f t="shared" si="73"/>
        <v>-3.8232145588010802E-3</v>
      </c>
      <c r="E1501" s="293">
        <v>5.4429028815368152E-3</v>
      </c>
      <c r="F1501" s="266">
        <f t="shared" si="75"/>
        <v>1494</v>
      </c>
      <c r="G1501" s="230">
        <f t="shared" ca="1" si="74"/>
        <v>1.0185330351960044E-2</v>
      </c>
    </row>
    <row r="1502" spans="2:7" x14ac:dyDescent="0.25">
      <c r="B1502" s="348" t="s">
        <v>1466</v>
      </c>
      <c r="C1502" s="293">
        <v>130.78</v>
      </c>
      <c r="D1502" s="230">
        <f t="shared" si="73"/>
        <v>1.6003729024238744E-2</v>
      </c>
      <c r="E1502" s="293">
        <v>5.4237288135592365E-3</v>
      </c>
      <c r="F1502" s="266">
        <f t="shared" si="75"/>
        <v>1495</v>
      </c>
      <c r="G1502" s="230">
        <f t="shared" ca="1" si="74"/>
        <v>-1.3404307348934089E-2</v>
      </c>
    </row>
    <row r="1503" spans="2:7" x14ac:dyDescent="0.25">
      <c r="B1503" s="348" t="s">
        <v>1467</v>
      </c>
      <c r="C1503" s="293">
        <v>128.72</v>
      </c>
      <c r="D1503" s="230">
        <f t="shared" si="73"/>
        <v>-6.2111801242248355E-4</v>
      </c>
      <c r="E1503" s="293">
        <v>5.4033191817830506E-3</v>
      </c>
      <c r="F1503" s="266">
        <f t="shared" si="75"/>
        <v>1496</v>
      </c>
      <c r="G1503" s="230">
        <f t="shared" ca="1" si="74"/>
        <v>1.456519618439067E-2</v>
      </c>
    </row>
    <row r="1504" spans="2:7" x14ac:dyDescent="0.25">
      <c r="B1504" s="348" t="s">
        <v>1468</v>
      </c>
      <c r="C1504" s="293">
        <v>128.80000000000001</v>
      </c>
      <c r="D1504" s="230">
        <f t="shared" si="73"/>
        <v>-2.2168235651381596E-2</v>
      </c>
      <c r="E1504" s="293">
        <v>5.3877236867423406E-3</v>
      </c>
      <c r="F1504" s="266">
        <f t="shared" si="75"/>
        <v>1497</v>
      </c>
      <c r="G1504" s="230">
        <f t="shared" ca="1" si="74"/>
        <v>1.0951798198566419E-2</v>
      </c>
    </row>
    <row r="1505" spans="2:7" x14ac:dyDescent="0.25">
      <c r="B1505" s="348" t="s">
        <v>1469</v>
      </c>
      <c r="C1505" s="293">
        <v>131.72</v>
      </c>
      <c r="D1505" s="230">
        <f t="shared" si="73"/>
        <v>2.5617067663318505E-2</v>
      </c>
      <c r="E1505" s="293">
        <v>5.3673884878771005E-3</v>
      </c>
      <c r="F1505" s="266">
        <f t="shared" si="75"/>
        <v>1498</v>
      </c>
      <c r="G1505" s="230">
        <f t="shared" ca="1" si="74"/>
        <v>-2.227458961656642E-2</v>
      </c>
    </row>
    <row r="1506" spans="2:7" x14ac:dyDescent="0.25">
      <c r="B1506" s="348" t="s">
        <v>1470</v>
      </c>
      <c r="C1506" s="293">
        <v>128.43</v>
      </c>
      <c r="D1506" s="230">
        <f t="shared" si="73"/>
        <v>-4.0325707638618757E-3</v>
      </c>
      <c r="E1506" s="293">
        <v>5.3628888094388039E-3</v>
      </c>
      <c r="F1506" s="266">
        <f t="shared" si="75"/>
        <v>1499</v>
      </c>
      <c r="G1506" s="230">
        <f t="shared" ca="1" si="74"/>
        <v>2.586041711423253E-2</v>
      </c>
    </row>
    <row r="1507" spans="2:7" x14ac:dyDescent="0.25">
      <c r="B1507" s="348" t="s">
        <v>1471</v>
      </c>
      <c r="C1507" s="293">
        <v>128.94999999999999</v>
      </c>
      <c r="D1507" s="230">
        <f t="shared" si="73"/>
        <v>-1.3238445056626968E-2</v>
      </c>
      <c r="E1507" s="293">
        <v>5.3624260355031872E-3</v>
      </c>
      <c r="F1507" s="266">
        <f t="shared" si="75"/>
        <v>1500</v>
      </c>
      <c r="G1507" s="230">
        <f t="shared" ca="1" si="74"/>
        <v>-2.2774817093903867E-2</v>
      </c>
    </row>
    <row r="1508" spans="2:7" x14ac:dyDescent="0.25">
      <c r="B1508" s="348">
        <v>43802</v>
      </c>
      <c r="C1508" s="293">
        <v>130.68</v>
      </c>
      <c r="D1508" s="230">
        <f t="shared" si="73"/>
        <v>6.1595318755776063E-3</v>
      </c>
      <c r="E1508" s="293">
        <v>5.3475935828877219E-3</v>
      </c>
      <c r="F1508" s="266">
        <f t="shared" si="75"/>
        <v>1501</v>
      </c>
      <c r="G1508" s="230">
        <f t="shared" ca="1" si="74"/>
        <v>1.358558971721722E-2</v>
      </c>
    </row>
    <row r="1509" spans="2:7" x14ac:dyDescent="0.25">
      <c r="B1509" s="348">
        <v>43772</v>
      </c>
      <c r="C1509" s="293">
        <v>129.88</v>
      </c>
      <c r="D1509" s="230">
        <f t="shared" si="73"/>
        <v>7.993791230112457E-3</v>
      </c>
      <c r="E1509" s="293">
        <v>5.3422370617697279E-3</v>
      </c>
      <c r="F1509" s="266">
        <f t="shared" si="75"/>
        <v>1502</v>
      </c>
      <c r="G1509" s="230">
        <f t="shared" ca="1" si="74"/>
        <v>-4.9775122543163474E-3</v>
      </c>
    </row>
    <row r="1510" spans="2:7" x14ac:dyDescent="0.25">
      <c r="B1510" s="348">
        <v>43680</v>
      </c>
      <c r="C1510" s="293">
        <v>128.85</v>
      </c>
      <c r="D1510" s="230">
        <f t="shared" si="73"/>
        <v>-4.1508591832180364E-2</v>
      </c>
      <c r="E1510" s="293">
        <v>5.3338803979896543E-3</v>
      </c>
      <c r="F1510" s="266">
        <f t="shared" si="75"/>
        <v>1503</v>
      </c>
      <c r="G1510" s="230">
        <f t="shared" ca="1" si="74"/>
        <v>-8.4613378024245792E-3</v>
      </c>
    </row>
    <row r="1511" spans="2:7" x14ac:dyDescent="0.25">
      <c r="B1511" s="348">
        <v>43649</v>
      </c>
      <c r="C1511" s="293">
        <v>134.43</v>
      </c>
      <c r="D1511" s="230">
        <f t="shared" si="73"/>
        <v>-3.0925605536332168E-2</v>
      </c>
      <c r="E1511" s="293">
        <v>5.3254437869820759E-3</v>
      </c>
      <c r="F1511" s="266">
        <f t="shared" si="75"/>
        <v>1504</v>
      </c>
      <c r="G1511" s="230">
        <f t="shared" ca="1" si="74"/>
        <v>3.898173999921966E-3</v>
      </c>
    </row>
    <row r="1512" spans="2:7" x14ac:dyDescent="0.25">
      <c r="B1512" s="348">
        <v>43619</v>
      </c>
      <c r="C1512" s="293">
        <v>138.72</v>
      </c>
      <c r="D1512" s="230">
        <f t="shared" si="73"/>
        <v>1.7381738173817496E-2</v>
      </c>
      <c r="E1512" s="293">
        <v>5.3240036507455901E-3</v>
      </c>
      <c r="F1512" s="266">
        <f t="shared" si="75"/>
        <v>1505</v>
      </c>
      <c r="G1512" s="230">
        <f t="shared" ca="1" si="74"/>
        <v>-1.0393752363887449E-2</v>
      </c>
    </row>
    <row r="1513" spans="2:7" x14ac:dyDescent="0.25">
      <c r="B1513" s="348">
        <v>43588</v>
      </c>
      <c r="C1513" s="293">
        <v>136.35</v>
      </c>
      <c r="D1513" s="230">
        <f t="shared" si="73"/>
        <v>-3.2223720633117958E-2</v>
      </c>
      <c r="E1513" s="293">
        <v>5.30244530244528E-3</v>
      </c>
      <c r="F1513" s="266">
        <f t="shared" si="75"/>
        <v>1506</v>
      </c>
      <c r="G1513" s="230">
        <f t="shared" ca="1" si="74"/>
        <v>2.5038100933012071E-2</v>
      </c>
    </row>
    <row r="1514" spans="2:7" x14ac:dyDescent="0.25">
      <c r="B1514" s="348">
        <v>43468</v>
      </c>
      <c r="C1514" s="293">
        <v>140.88999999999999</v>
      </c>
      <c r="D1514" s="230">
        <f t="shared" si="73"/>
        <v>1.8432846609801823E-2</v>
      </c>
      <c r="E1514" s="293">
        <v>5.2840158520475189E-3</v>
      </c>
      <c r="F1514" s="266">
        <f t="shared" si="75"/>
        <v>1507</v>
      </c>
      <c r="G1514" s="230">
        <f t="shared" ca="1" si="74"/>
        <v>-5.7615415608512684E-3</v>
      </c>
    </row>
    <row r="1515" spans="2:7" x14ac:dyDescent="0.25">
      <c r="B1515" s="348" t="s">
        <v>1472</v>
      </c>
      <c r="C1515" s="293">
        <v>138.34</v>
      </c>
      <c r="D1515" s="230">
        <f t="shared" si="73"/>
        <v>-1.4672364672364657E-2</v>
      </c>
      <c r="E1515" s="293">
        <v>5.2827843380982564E-3</v>
      </c>
      <c r="F1515" s="266">
        <f t="shared" si="75"/>
        <v>1508</v>
      </c>
      <c r="G1515" s="230">
        <f t="shared" ca="1" si="74"/>
        <v>-7.2482222090297643E-3</v>
      </c>
    </row>
    <row r="1516" spans="2:7" x14ac:dyDescent="0.25">
      <c r="B1516" s="348" t="s">
        <v>1473</v>
      </c>
      <c r="C1516" s="293">
        <v>140.4</v>
      </c>
      <c r="D1516" s="230">
        <f t="shared" si="73"/>
        <v>-3.4188622136616886E-2</v>
      </c>
      <c r="E1516" s="293">
        <v>5.2820410603946488E-3</v>
      </c>
      <c r="F1516" s="266">
        <f t="shared" si="75"/>
        <v>1509</v>
      </c>
      <c r="G1516" s="230">
        <f t="shared" ca="1" si="74"/>
        <v>1.3548245940878761E-2</v>
      </c>
    </row>
    <row r="1517" spans="2:7" x14ac:dyDescent="0.25">
      <c r="B1517" s="348" t="s">
        <v>1474</v>
      </c>
      <c r="C1517" s="293">
        <v>145.37</v>
      </c>
      <c r="D1517" s="230">
        <f t="shared" si="73"/>
        <v>5.8119421573374908E-3</v>
      </c>
      <c r="E1517" s="293">
        <v>5.2646972799064162E-3</v>
      </c>
      <c r="F1517" s="266">
        <f t="shared" si="75"/>
        <v>1510</v>
      </c>
      <c r="G1517" s="230">
        <f t="shared" ca="1" si="74"/>
        <v>6.3097486556640539E-3</v>
      </c>
    </row>
    <row r="1518" spans="2:7" x14ac:dyDescent="0.25">
      <c r="B1518" s="348" t="s">
        <v>1475</v>
      </c>
      <c r="C1518" s="293">
        <v>144.53</v>
      </c>
      <c r="D1518" s="230">
        <f t="shared" si="73"/>
        <v>1.7601915088361508E-2</v>
      </c>
      <c r="E1518" s="293">
        <v>5.2547965293903154E-3</v>
      </c>
      <c r="F1518" s="266">
        <f t="shared" si="75"/>
        <v>1511</v>
      </c>
      <c r="G1518" s="230">
        <f t="shared" ca="1" si="74"/>
        <v>1.0480971625232611E-2</v>
      </c>
    </row>
    <row r="1519" spans="2:7" x14ac:dyDescent="0.25">
      <c r="B1519" s="348" t="s">
        <v>1476</v>
      </c>
      <c r="C1519" s="293">
        <v>142.03</v>
      </c>
      <c r="D1519" s="230">
        <f t="shared" si="73"/>
        <v>1.1177559447529406E-2</v>
      </c>
      <c r="E1519" s="293">
        <v>5.246924522281704E-3</v>
      </c>
      <c r="F1519" s="266">
        <f t="shared" si="75"/>
        <v>1512</v>
      </c>
      <c r="G1519" s="230">
        <f t="shared" ca="1" si="74"/>
        <v>-8.2011332305240397E-4</v>
      </c>
    </row>
    <row r="1520" spans="2:7" x14ac:dyDescent="0.25">
      <c r="B1520" s="348" t="s">
        <v>1477</v>
      </c>
      <c r="C1520" s="293">
        <v>140.46</v>
      </c>
      <c r="D1520" s="230">
        <f t="shared" si="73"/>
        <v>6.3767285233218285E-3</v>
      </c>
      <c r="E1520" s="293">
        <v>5.2461039962969913E-3</v>
      </c>
      <c r="F1520" s="266">
        <f t="shared" si="75"/>
        <v>1513</v>
      </c>
      <c r="G1520" s="230">
        <f t="shared" ca="1" si="74"/>
        <v>-2.9674966969197338E-2</v>
      </c>
    </row>
    <row r="1521" spans="2:7" x14ac:dyDescent="0.25">
      <c r="B1521" s="348" t="s">
        <v>1478</v>
      </c>
      <c r="C1521" s="293">
        <v>139.57</v>
      </c>
      <c r="D1521" s="230">
        <f t="shared" si="73"/>
        <v>2.4066329151074983E-2</v>
      </c>
      <c r="E1521" s="293">
        <v>5.2183858746159828E-3</v>
      </c>
      <c r="F1521" s="266">
        <f t="shared" si="75"/>
        <v>1514</v>
      </c>
      <c r="G1521" s="230">
        <f t="shared" ca="1" si="74"/>
        <v>3.3953107137234266E-3</v>
      </c>
    </row>
    <row r="1522" spans="2:7" x14ac:dyDescent="0.25">
      <c r="B1522" s="348" t="s">
        <v>1479</v>
      </c>
      <c r="C1522" s="293">
        <v>136.29</v>
      </c>
      <c r="D1522" s="230">
        <f t="shared" si="73"/>
        <v>-3.2374866879659181E-2</v>
      </c>
      <c r="E1522" s="293">
        <v>5.2110474205315782E-3</v>
      </c>
      <c r="F1522" s="266">
        <f t="shared" si="75"/>
        <v>1515</v>
      </c>
      <c r="G1522" s="230">
        <f t="shared" ca="1" si="74"/>
        <v>2.2678003588617712E-2</v>
      </c>
    </row>
    <row r="1523" spans="2:7" x14ac:dyDescent="0.25">
      <c r="B1523" s="348" t="s">
        <v>1480</v>
      </c>
      <c r="C1523" s="293">
        <v>140.85</v>
      </c>
      <c r="D1523" s="230">
        <f t="shared" si="73"/>
        <v>-1.3471355643789318E-3</v>
      </c>
      <c r="E1523" s="293">
        <v>5.2093382211075845E-3</v>
      </c>
      <c r="F1523" s="266">
        <f t="shared" si="75"/>
        <v>1516</v>
      </c>
      <c r="G1523" s="230">
        <f t="shared" ca="1" si="74"/>
        <v>1.5960323898304291E-2</v>
      </c>
    </row>
    <row r="1524" spans="2:7" x14ac:dyDescent="0.25">
      <c r="B1524" s="348" t="s">
        <v>1481</v>
      </c>
      <c r="C1524" s="293">
        <v>141.04</v>
      </c>
      <c r="D1524" s="230">
        <f t="shared" si="73"/>
        <v>2.7015498364850732E-3</v>
      </c>
      <c r="E1524" s="293">
        <v>5.1945181255526052E-3</v>
      </c>
      <c r="F1524" s="266">
        <f t="shared" si="75"/>
        <v>1517</v>
      </c>
      <c r="G1524" s="230">
        <f t="shared" ca="1" si="74"/>
        <v>1.9883604656571734E-2</v>
      </c>
    </row>
    <row r="1525" spans="2:7" x14ac:dyDescent="0.25">
      <c r="B1525" s="348" t="s">
        <v>1482</v>
      </c>
      <c r="C1525" s="293">
        <v>140.66</v>
      </c>
      <c r="D1525" s="230">
        <f t="shared" si="73"/>
        <v>-6.217323724742041E-3</v>
      </c>
      <c r="E1525" s="293">
        <v>5.1860890787065461E-3</v>
      </c>
      <c r="F1525" s="266">
        <f t="shared" si="75"/>
        <v>1518</v>
      </c>
      <c r="G1525" s="230">
        <f t="shared" ca="1" si="74"/>
        <v>-1.2090495336835138E-2</v>
      </c>
    </row>
    <row r="1526" spans="2:7" x14ac:dyDescent="0.25">
      <c r="B1526" s="348" t="s">
        <v>1483</v>
      </c>
      <c r="C1526" s="293">
        <v>141.54</v>
      </c>
      <c r="D1526" s="230">
        <f t="shared" si="73"/>
        <v>6.5424548428387741E-3</v>
      </c>
      <c r="E1526" s="293">
        <v>5.1805653354792813E-3</v>
      </c>
      <c r="F1526" s="266">
        <f t="shared" si="75"/>
        <v>1519</v>
      </c>
      <c r="G1526" s="230">
        <f t="shared" ca="1" si="74"/>
        <v>3.8943485083729357E-2</v>
      </c>
    </row>
    <row r="1527" spans="2:7" x14ac:dyDescent="0.25">
      <c r="B1527" s="348">
        <v>43801</v>
      </c>
      <c r="C1527" s="293">
        <v>140.62</v>
      </c>
      <c r="D1527" s="230">
        <f t="shared" si="73"/>
        <v>5.2183858746159828E-3</v>
      </c>
      <c r="E1527" s="293">
        <v>5.1804215791355634E-3</v>
      </c>
      <c r="F1527" s="266">
        <f t="shared" si="75"/>
        <v>1520</v>
      </c>
      <c r="G1527" s="230">
        <f t="shared" ca="1" si="74"/>
        <v>-2.3216734986397224E-2</v>
      </c>
    </row>
    <row r="1528" spans="2:7" x14ac:dyDescent="0.25">
      <c r="B1528" s="348">
        <v>43771</v>
      </c>
      <c r="C1528" s="293">
        <v>139.88999999999999</v>
      </c>
      <c r="D1528" s="230">
        <f t="shared" si="73"/>
        <v>9.3016599885520357E-4</v>
      </c>
      <c r="E1528" s="293">
        <v>5.1761322789360964E-3</v>
      </c>
      <c r="F1528" s="266">
        <f t="shared" si="75"/>
        <v>1521</v>
      </c>
      <c r="G1528" s="230">
        <f t="shared" ca="1" si="74"/>
        <v>3.3118078416825214E-3</v>
      </c>
    </row>
    <row r="1529" spans="2:7" x14ac:dyDescent="0.25">
      <c r="B1529" s="348">
        <v>43679</v>
      </c>
      <c r="C1529" s="293">
        <v>139.76</v>
      </c>
      <c r="D1529" s="230">
        <f t="shared" si="73"/>
        <v>-2.4268379728765721E-3</v>
      </c>
      <c r="E1529" s="293">
        <v>5.1734903220050921E-3</v>
      </c>
      <c r="F1529" s="266">
        <f t="shared" si="75"/>
        <v>1522</v>
      </c>
      <c r="G1529" s="230">
        <f t="shared" ca="1" si="74"/>
        <v>3.3985245011229188E-2</v>
      </c>
    </row>
    <row r="1530" spans="2:7" x14ac:dyDescent="0.25">
      <c r="B1530" s="348">
        <v>43648</v>
      </c>
      <c r="C1530" s="293">
        <v>140.1</v>
      </c>
      <c r="D1530" s="230">
        <f t="shared" si="73"/>
        <v>3.7973776599555809E-3</v>
      </c>
      <c r="E1530" s="293">
        <v>5.1688490696073508E-3</v>
      </c>
      <c r="F1530" s="266">
        <f t="shared" si="75"/>
        <v>1523</v>
      </c>
      <c r="G1530" s="230">
        <f t="shared" ca="1" si="74"/>
        <v>-8.924839139963012E-3</v>
      </c>
    </row>
    <row r="1531" spans="2:7" x14ac:dyDescent="0.25">
      <c r="B1531" s="348">
        <v>43618</v>
      </c>
      <c r="C1531" s="293">
        <v>139.57</v>
      </c>
      <c r="D1531" s="230">
        <f t="shared" si="73"/>
        <v>1.0132445538105328E-2</v>
      </c>
      <c r="E1531" s="293">
        <v>5.150372482295662E-3</v>
      </c>
      <c r="F1531" s="266">
        <f t="shared" si="75"/>
        <v>1524</v>
      </c>
      <c r="G1531" s="230">
        <f t="shared" ca="1" si="74"/>
        <v>1.255736563418728E-2</v>
      </c>
    </row>
    <row r="1532" spans="2:7" x14ac:dyDescent="0.25">
      <c r="B1532" s="348">
        <v>43587</v>
      </c>
      <c r="C1532" s="293">
        <v>138.16999999999999</v>
      </c>
      <c r="D1532" s="230">
        <f t="shared" si="73"/>
        <v>-7.5420198247379E-3</v>
      </c>
      <c r="E1532" s="293">
        <v>5.1272091668284059E-3</v>
      </c>
      <c r="F1532" s="266">
        <f t="shared" si="75"/>
        <v>1525</v>
      </c>
      <c r="G1532" s="230">
        <f t="shared" ca="1" si="74"/>
        <v>-1.8372362442243446E-2</v>
      </c>
    </row>
    <row r="1533" spans="2:7" x14ac:dyDescent="0.25">
      <c r="B1533" s="348">
        <v>43557</v>
      </c>
      <c r="C1533" s="293">
        <v>139.22</v>
      </c>
      <c r="D1533" s="230">
        <f t="shared" si="73"/>
        <v>-7.8949257159266484E-4</v>
      </c>
      <c r="E1533" s="293">
        <v>5.1182311393183078E-3</v>
      </c>
      <c r="F1533" s="266">
        <f t="shared" si="75"/>
        <v>1526</v>
      </c>
      <c r="G1533" s="230">
        <f t="shared" ca="1" si="74"/>
        <v>-1.0180290145317997E-2</v>
      </c>
    </row>
    <row r="1534" spans="2:7" x14ac:dyDescent="0.25">
      <c r="B1534" s="348">
        <v>43467</v>
      </c>
      <c r="C1534" s="293">
        <v>139.33000000000001</v>
      </c>
      <c r="D1534" s="230">
        <f t="shared" si="73"/>
        <v>6.3560852293247372E-3</v>
      </c>
      <c r="E1534" s="293">
        <v>5.1006213484188212E-3</v>
      </c>
      <c r="F1534" s="266">
        <f t="shared" si="75"/>
        <v>1527</v>
      </c>
      <c r="G1534" s="230">
        <f t="shared" ca="1" si="74"/>
        <v>1.8138510653596958E-2</v>
      </c>
    </row>
    <row r="1535" spans="2:7" x14ac:dyDescent="0.25">
      <c r="B1535" s="348" t="s">
        <v>1484</v>
      </c>
      <c r="C1535" s="293">
        <v>138.44999999999999</v>
      </c>
      <c r="D1535" s="230">
        <f t="shared" si="73"/>
        <v>1.637057700778155E-2</v>
      </c>
      <c r="E1535" s="293">
        <v>5.1004311704700989E-3</v>
      </c>
      <c r="F1535" s="266">
        <f t="shared" si="75"/>
        <v>1528</v>
      </c>
      <c r="G1535" s="230">
        <f t="shared" ca="1" si="74"/>
        <v>6.7893739893427939E-4</v>
      </c>
    </row>
    <row r="1536" spans="2:7" x14ac:dyDescent="0.25">
      <c r="B1536" s="348" t="s">
        <v>1485</v>
      </c>
      <c r="C1536" s="293">
        <v>136.22</v>
      </c>
      <c r="D1536" s="230">
        <f t="shared" si="73"/>
        <v>1.0684077756343724E-2</v>
      </c>
      <c r="E1536" s="293">
        <v>5.0842533410806467E-3</v>
      </c>
      <c r="F1536" s="266">
        <f t="shared" si="75"/>
        <v>1529</v>
      </c>
      <c r="G1536" s="230">
        <f t="shared" ca="1" si="74"/>
        <v>2.5707476193239848E-2</v>
      </c>
    </row>
    <row r="1537" spans="2:7" x14ac:dyDescent="0.25">
      <c r="B1537" s="348" t="s">
        <v>1486</v>
      </c>
      <c r="C1537" s="293">
        <v>134.78</v>
      </c>
      <c r="D1537" s="230">
        <f t="shared" si="73"/>
        <v>1.201381588827144E-2</v>
      </c>
      <c r="E1537" s="293">
        <v>5.0792360828930683E-3</v>
      </c>
      <c r="F1537" s="266">
        <f t="shared" si="75"/>
        <v>1530</v>
      </c>
      <c r="G1537" s="230">
        <f t="shared" ca="1" si="74"/>
        <v>-8.2721863119901273E-3</v>
      </c>
    </row>
    <row r="1538" spans="2:7" x14ac:dyDescent="0.25">
      <c r="B1538" s="348" t="s">
        <v>1487</v>
      </c>
      <c r="C1538" s="293">
        <v>133.18</v>
      </c>
      <c r="D1538" s="230">
        <f t="shared" si="73"/>
        <v>4.8287309491474861E-3</v>
      </c>
      <c r="E1538" s="293">
        <v>5.078485687904033E-3</v>
      </c>
      <c r="F1538" s="266">
        <f t="shared" si="75"/>
        <v>1531</v>
      </c>
      <c r="G1538" s="230">
        <f t="shared" ca="1" si="74"/>
        <v>2.9302785349165799E-3</v>
      </c>
    </row>
    <row r="1539" spans="2:7" x14ac:dyDescent="0.25">
      <c r="B1539" s="348" t="s">
        <v>1488</v>
      </c>
      <c r="C1539" s="293">
        <v>132.54</v>
      </c>
      <c r="D1539" s="230">
        <f t="shared" si="73"/>
        <v>4.7759836251990428E-3</v>
      </c>
      <c r="E1539" s="293">
        <v>5.0775130989033634E-3</v>
      </c>
      <c r="F1539" s="266">
        <f t="shared" si="75"/>
        <v>1532</v>
      </c>
      <c r="G1539" s="230">
        <f t="shared" ca="1" si="74"/>
        <v>-8.1971413951801055E-3</v>
      </c>
    </row>
    <row r="1540" spans="2:7" x14ac:dyDescent="0.25">
      <c r="B1540" s="348" t="s">
        <v>1489</v>
      </c>
      <c r="C1540" s="293">
        <v>131.91</v>
      </c>
      <c r="D1540" s="230">
        <f t="shared" si="73"/>
        <v>6.0684214518680335E-4</v>
      </c>
      <c r="E1540" s="293">
        <v>5.0577345166522569E-3</v>
      </c>
      <c r="F1540" s="266">
        <f t="shared" si="75"/>
        <v>1533</v>
      </c>
      <c r="G1540" s="230">
        <f t="shared" ca="1" si="74"/>
        <v>-4.6121344213146563E-3</v>
      </c>
    </row>
    <row r="1541" spans="2:7" x14ac:dyDescent="0.25">
      <c r="B1541" s="348" t="s">
        <v>1490</v>
      </c>
      <c r="C1541" s="293">
        <v>131.83000000000001</v>
      </c>
      <c r="D1541" s="230">
        <f t="shared" si="73"/>
        <v>1.4545174696013685E-2</v>
      </c>
      <c r="E1541" s="293">
        <v>5.0577345166522569E-3</v>
      </c>
      <c r="F1541" s="266">
        <f t="shared" si="75"/>
        <v>1534</v>
      </c>
      <c r="G1541" s="230">
        <f t="shared" ca="1" si="74"/>
        <v>1.8576990576292154E-2</v>
      </c>
    </row>
    <row r="1542" spans="2:7" x14ac:dyDescent="0.25">
      <c r="B1542" s="348" t="s">
        <v>1491</v>
      </c>
      <c r="C1542" s="293">
        <v>129.94</v>
      </c>
      <c r="D1542" s="230">
        <f t="shared" si="73"/>
        <v>2.5815110128680763E-2</v>
      </c>
      <c r="E1542" s="293">
        <v>5.0326188257223681E-3</v>
      </c>
      <c r="F1542" s="266">
        <f t="shared" si="75"/>
        <v>1535</v>
      </c>
      <c r="G1542" s="230">
        <f t="shared" ca="1" si="74"/>
        <v>1.1179545401344877E-2</v>
      </c>
    </row>
    <row r="1543" spans="2:7" x14ac:dyDescent="0.25">
      <c r="B1543" s="348" t="s">
        <v>1492</v>
      </c>
      <c r="C1543" s="293">
        <v>126.67</v>
      </c>
      <c r="D1543" s="230">
        <f t="shared" si="73"/>
        <v>-2.4189199599414568E-2</v>
      </c>
      <c r="E1543" s="293">
        <v>5.0293378038557268E-3</v>
      </c>
      <c r="F1543" s="266">
        <f t="shared" si="75"/>
        <v>1536</v>
      </c>
      <c r="G1543" s="230">
        <f t="shared" ca="1" si="74"/>
        <v>-2.7899129356727621E-2</v>
      </c>
    </row>
    <row r="1544" spans="2:7" x14ac:dyDescent="0.25">
      <c r="B1544" s="348" t="s">
        <v>1493</v>
      </c>
      <c r="C1544" s="293">
        <v>129.81</v>
      </c>
      <c r="D1544" s="230">
        <f t="shared" si="73"/>
        <v>3.204006996342823E-2</v>
      </c>
      <c r="E1544" s="293">
        <v>5.0277574107049361E-3</v>
      </c>
      <c r="F1544" s="266">
        <f t="shared" si="75"/>
        <v>1537</v>
      </c>
      <c r="G1544" s="230">
        <f t="shared" ca="1" si="74"/>
        <v>-6.8314894864192812E-3</v>
      </c>
    </row>
    <row r="1545" spans="2:7" x14ac:dyDescent="0.25">
      <c r="B1545" s="348" t="s">
        <v>1494</v>
      </c>
      <c r="C1545" s="293">
        <v>125.78</v>
      </c>
      <c r="D1545" s="230">
        <f t="shared" ref="D1545:D1608" si="76">C1545/C1546-1</f>
        <v>-3.4070200459550559E-3</v>
      </c>
      <c r="E1545" s="293">
        <v>5.0143266475644044E-3</v>
      </c>
      <c r="F1545" s="266">
        <f t="shared" si="75"/>
        <v>1538</v>
      </c>
      <c r="G1545" s="230">
        <f t="shared" ref="G1545:G1608" ca="1" si="77">_xlfn.NORM.INV(RAND(),$M$10,$M$11)</f>
        <v>-9.6666704074524438E-3</v>
      </c>
    </row>
    <row r="1546" spans="2:7" x14ac:dyDescent="0.25">
      <c r="B1546" s="348" t="s">
        <v>1495</v>
      </c>
      <c r="C1546" s="293">
        <v>126.21</v>
      </c>
      <c r="D1546" s="230">
        <f t="shared" si="76"/>
        <v>2.0538529958761265E-2</v>
      </c>
      <c r="E1546" s="293">
        <v>5.0069769350733484E-3</v>
      </c>
      <c r="F1546" s="266">
        <f t="shared" ref="F1546:F1609" si="78">F1545+1</f>
        <v>1539</v>
      </c>
      <c r="G1546" s="230">
        <f t="shared" ca="1" si="77"/>
        <v>-1.1042580812238264E-2</v>
      </c>
    </row>
    <row r="1547" spans="2:7" x14ac:dyDescent="0.25">
      <c r="B1547" s="348" t="s">
        <v>1496</v>
      </c>
      <c r="C1547" s="293">
        <v>123.67</v>
      </c>
      <c r="D1547" s="230">
        <f t="shared" si="76"/>
        <v>5.5114751301083675E-2</v>
      </c>
      <c r="E1547" s="293">
        <v>4.9912191514926985E-3</v>
      </c>
      <c r="F1547" s="266">
        <f t="shared" si="78"/>
        <v>1540</v>
      </c>
      <c r="G1547" s="230">
        <f t="shared" ca="1" si="77"/>
        <v>9.6213933907358558E-3</v>
      </c>
    </row>
    <row r="1548" spans="2:7" x14ac:dyDescent="0.25">
      <c r="B1548" s="348" t="s">
        <v>1497</v>
      </c>
      <c r="C1548" s="293">
        <v>117.21</v>
      </c>
      <c r="D1548" s="230">
        <f t="shared" si="76"/>
        <v>-4.9083238682459895E-2</v>
      </c>
      <c r="E1548" s="293">
        <v>4.9875311720699589E-3</v>
      </c>
      <c r="F1548" s="266">
        <f t="shared" si="78"/>
        <v>1541</v>
      </c>
      <c r="G1548" s="230">
        <f t="shared" ca="1" si="77"/>
        <v>1.1990607681320096E-2</v>
      </c>
    </row>
    <row r="1549" spans="2:7" x14ac:dyDescent="0.25">
      <c r="B1549" s="348">
        <v>43770</v>
      </c>
      <c r="C1549" s="293">
        <v>123.26</v>
      </c>
      <c r="D1549" s="230">
        <f t="shared" si="76"/>
        <v>9.0045841519319492E-3</v>
      </c>
      <c r="E1549" s="293">
        <v>4.9875311720697368E-3</v>
      </c>
      <c r="F1549" s="266">
        <f t="shared" si="78"/>
        <v>1542</v>
      </c>
      <c r="G1549" s="230">
        <f t="shared" ca="1" si="77"/>
        <v>2.7353880220092129E-2</v>
      </c>
    </row>
    <row r="1550" spans="2:7" x14ac:dyDescent="0.25">
      <c r="B1550" s="348">
        <v>43739</v>
      </c>
      <c r="C1550" s="293">
        <v>122.16</v>
      </c>
      <c r="D1550" s="230">
        <f t="shared" si="76"/>
        <v>-9.8881504295671441E-3</v>
      </c>
      <c r="E1550" s="293">
        <v>4.9851250301518046E-3</v>
      </c>
      <c r="F1550" s="266">
        <f t="shared" si="78"/>
        <v>1543</v>
      </c>
      <c r="G1550" s="230">
        <f t="shared" ca="1" si="77"/>
        <v>-2.4768076255331561E-2</v>
      </c>
    </row>
    <row r="1551" spans="2:7" x14ac:dyDescent="0.25">
      <c r="B1551" s="348">
        <v>43709</v>
      </c>
      <c r="C1551" s="293">
        <v>123.38</v>
      </c>
      <c r="D1551" s="230">
        <f t="shared" si="76"/>
        <v>1.0648754914809988E-2</v>
      </c>
      <c r="E1551" s="293">
        <v>4.9788774894388155E-3</v>
      </c>
      <c r="F1551" s="266">
        <f t="shared" si="78"/>
        <v>1544</v>
      </c>
      <c r="G1551" s="230">
        <f t="shared" ca="1" si="77"/>
        <v>-2.8680265615473309E-3</v>
      </c>
    </row>
    <row r="1552" spans="2:7" x14ac:dyDescent="0.25">
      <c r="B1552" s="348">
        <v>43678</v>
      </c>
      <c r="C1552" s="293">
        <v>122.08</v>
      </c>
      <c r="D1552" s="230">
        <f t="shared" si="76"/>
        <v>4.029936672423684E-3</v>
      </c>
      <c r="E1552" s="293">
        <v>4.9742994528270135E-3</v>
      </c>
      <c r="F1552" s="266">
        <f t="shared" si="78"/>
        <v>1545</v>
      </c>
      <c r="G1552" s="230">
        <f t="shared" ca="1" si="77"/>
        <v>-4.4296688484173029E-2</v>
      </c>
    </row>
    <row r="1553" spans="2:7" x14ac:dyDescent="0.25">
      <c r="B1553" s="348">
        <v>43647</v>
      </c>
      <c r="C1553" s="293">
        <v>121.59</v>
      </c>
      <c r="D1553" s="230">
        <f t="shared" si="76"/>
        <v>-6.5751623243193169E-4</v>
      </c>
      <c r="E1553" s="293">
        <v>4.972650422675251E-3</v>
      </c>
      <c r="F1553" s="266">
        <f t="shared" si="78"/>
        <v>1546</v>
      </c>
      <c r="G1553" s="230">
        <f t="shared" ca="1" si="77"/>
        <v>-2.9595639566747231E-4</v>
      </c>
    </row>
    <row r="1554" spans="2:7" x14ac:dyDescent="0.25">
      <c r="B1554" s="348">
        <v>43556</v>
      </c>
      <c r="C1554" s="293">
        <v>121.67</v>
      </c>
      <c r="D1554" s="230">
        <f t="shared" si="76"/>
        <v>-3.1951499262657945E-3</v>
      </c>
      <c r="E1554" s="293">
        <v>4.9688230709274972E-3</v>
      </c>
      <c r="F1554" s="266">
        <f t="shared" si="78"/>
        <v>1547</v>
      </c>
      <c r="G1554" s="230">
        <f t="shared" ca="1" si="77"/>
        <v>9.5162526174632257E-3</v>
      </c>
    </row>
    <row r="1555" spans="2:7" x14ac:dyDescent="0.25">
      <c r="B1555" s="348">
        <v>43525</v>
      </c>
      <c r="C1555" s="293">
        <v>122.06</v>
      </c>
      <c r="D1555" s="230">
        <f t="shared" si="76"/>
        <v>-1.6382699868933148E-4</v>
      </c>
      <c r="E1555" s="293">
        <v>4.9638989169675796E-3</v>
      </c>
      <c r="F1555" s="266">
        <f t="shared" si="78"/>
        <v>1548</v>
      </c>
      <c r="G1555" s="230">
        <f t="shared" ca="1" si="77"/>
        <v>-1.7848312107067089E-2</v>
      </c>
    </row>
    <row r="1556" spans="2:7" x14ac:dyDescent="0.25">
      <c r="B1556" s="348">
        <v>43497</v>
      </c>
      <c r="C1556" s="293">
        <v>122.08</v>
      </c>
      <c r="D1556" s="230">
        <f t="shared" si="76"/>
        <v>-3.3472120173074771E-3</v>
      </c>
      <c r="E1556" s="293">
        <v>4.9549103161232733E-3</v>
      </c>
      <c r="F1556" s="266">
        <f t="shared" si="78"/>
        <v>1549</v>
      </c>
      <c r="G1556" s="230">
        <f t="shared" ca="1" si="77"/>
        <v>-1.2088741911994796E-2</v>
      </c>
    </row>
    <row r="1557" spans="2:7" x14ac:dyDescent="0.25">
      <c r="B1557" s="348">
        <v>43466</v>
      </c>
      <c r="C1557" s="293">
        <v>122.49</v>
      </c>
      <c r="D1557" s="230">
        <f t="shared" si="76"/>
        <v>-1.2734746514064588E-2</v>
      </c>
      <c r="E1557" s="293">
        <v>4.948124501197082E-3</v>
      </c>
      <c r="F1557" s="266">
        <f t="shared" si="78"/>
        <v>1550</v>
      </c>
      <c r="G1557" s="230">
        <f t="shared" ca="1" si="77"/>
        <v>4.5630832100347699E-3</v>
      </c>
    </row>
    <row r="1558" spans="2:7" x14ac:dyDescent="0.25">
      <c r="B1558" s="348" t="s">
        <v>1498</v>
      </c>
      <c r="C1558" s="293">
        <v>124.07</v>
      </c>
      <c r="D1558" s="230">
        <f t="shared" si="76"/>
        <v>2.4238506907974244E-3</v>
      </c>
      <c r="E1558" s="293">
        <v>4.9478470179193934E-3</v>
      </c>
      <c r="F1558" s="266">
        <f t="shared" si="78"/>
        <v>1551</v>
      </c>
      <c r="G1558" s="230">
        <f t="shared" ca="1" si="77"/>
        <v>3.4654120685606846E-2</v>
      </c>
    </row>
    <row r="1559" spans="2:7" x14ac:dyDescent="0.25">
      <c r="B1559" s="348" t="s">
        <v>1499</v>
      </c>
      <c r="C1559" s="293">
        <v>123.77</v>
      </c>
      <c r="D1559" s="230">
        <f t="shared" si="76"/>
        <v>7.98110595325352E-3</v>
      </c>
      <c r="E1559" s="293">
        <v>4.9313138429025738E-3</v>
      </c>
      <c r="F1559" s="266">
        <f t="shared" si="78"/>
        <v>1552</v>
      </c>
      <c r="G1559" s="230">
        <f t="shared" ca="1" si="77"/>
        <v>-1.2604811350649822E-2</v>
      </c>
    </row>
    <row r="1560" spans="2:7" x14ac:dyDescent="0.25">
      <c r="B1560" s="348" t="s">
        <v>1500</v>
      </c>
      <c r="C1560" s="293">
        <v>122.79</v>
      </c>
      <c r="D1560" s="230">
        <f t="shared" si="76"/>
        <v>3.9244542555800788E-3</v>
      </c>
      <c r="E1560" s="293">
        <v>4.9288061336254518E-3</v>
      </c>
      <c r="F1560" s="266">
        <f t="shared" si="78"/>
        <v>1553</v>
      </c>
      <c r="G1560" s="230">
        <f t="shared" ca="1" si="77"/>
        <v>5.0170398462730935E-2</v>
      </c>
    </row>
    <row r="1561" spans="2:7" x14ac:dyDescent="0.25">
      <c r="B1561" s="348" t="s">
        <v>1501</v>
      </c>
      <c r="C1561" s="293">
        <v>122.31</v>
      </c>
      <c r="D1561" s="230">
        <f t="shared" si="76"/>
        <v>-1.6325197943025671E-3</v>
      </c>
      <c r="E1561" s="293">
        <v>4.9132947976879837E-3</v>
      </c>
      <c r="F1561" s="266">
        <f t="shared" si="78"/>
        <v>1554</v>
      </c>
      <c r="G1561" s="230">
        <f t="shared" ca="1" si="77"/>
        <v>-2.4781746098069351E-3</v>
      </c>
    </row>
    <row r="1562" spans="2:7" x14ac:dyDescent="0.25">
      <c r="B1562" s="348" t="s">
        <v>1502</v>
      </c>
      <c r="C1562" s="293">
        <v>122.51</v>
      </c>
      <c r="D1562" s="230">
        <f t="shared" si="76"/>
        <v>1.4239589369980932E-2</v>
      </c>
      <c r="E1562" s="293">
        <v>4.8918360691379004E-3</v>
      </c>
      <c r="F1562" s="266">
        <f t="shared" si="78"/>
        <v>1555</v>
      </c>
      <c r="G1562" s="230">
        <f t="shared" ca="1" si="77"/>
        <v>4.4610099197362361E-3</v>
      </c>
    </row>
    <row r="1563" spans="2:7" x14ac:dyDescent="0.25">
      <c r="B1563" s="348" t="s">
        <v>1503</v>
      </c>
      <c r="C1563" s="293">
        <v>120.79</v>
      </c>
      <c r="D1563" s="230">
        <f t="shared" si="76"/>
        <v>-3.3448027526606361E-2</v>
      </c>
      <c r="E1563" s="293">
        <v>4.8587913756454881E-3</v>
      </c>
      <c r="F1563" s="266">
        <f t="shared" si="78"/>
        <v>1556</v>
      </c>
      <c r="G1563" s="230">
        <f t="shared" ca="1" si="77"/>
        <v>7.1055941115969736E-3</v>
      </c>
    </row>
    <row r="1564" spans="2:7" x14ac:dyDescent="0.25">
      <c r="B1564" s="348" t="s">
        <v>1504</v>
      </c>
      <c r="C1564" s="293">
        <v>124.97</v>
      </c>
      <c r="D1564" s="230">
        <f t="shared" si="76"/>
        <v>-2.1837820914214157E-2</v>
      </c>
      <c r="E1564" s="293">
        <v>4.8513625103221436E-3</v>
      </c>
      <c r="F1564" s="266">
        <f t="shared" si="78"/>
        <v>1557</v>
      </c>
      <c r="G1564" s="230">
        <f t="shared" ca="1" si="77"/>
        <v>2.8200995861013753E-2</v>
      </c>
    </row>
    <row r="1565" spans="2:7" x14ac:dyDescent="0.25">
      <c r="B1565" s="348" t="s">
        <v>1505</v>
      </c>
      <c r="C1565" s="293">
        <v>127.76</v>
      </c>
      <c r="D1565" s="230">
        <f t="shared" si="76"/>
        <v>1.6873607131486779E-2</v>
      </c>
      <c r="E1565" s="293">
        <v>4.8287309491474861E-3</v>
      </c>
      <c r="F1565" s="266">
        <f t="shared" si="78"/>
        <v>1558</v>
      </c>
      <c r="G1565" s="230">
        <f t="shared" ca="1" si="77"/>
        <v>1.8854164288901257E-2</v>
      </c>
    </row>
    <row r="1566" spans="2:7" x14ac:dyDescent="0.25">
      <c r="B1566" s="348" t="s">
        <v>1506</v>
      </c>
      <c r="C1566" s="293">
        <v>125.64</v>
      </c>
      <c r="D1566" s="230">
        <f t="shared" si="76"/>
        <v>-1.3427561837455748E-2</v>
      </c>
      <c r="E1566" s="293">
        <v>4.8282265552459513E-3</v>
      </c>
      <c r="F1566" s="266">
        <f t="shared" si="78"/>
        <v>1559</v>
      </c>
      <c r="G1566" s="230">
        <f t="shared" ca="1" si="77"/>
        <v>-3.5274832172227507E-3</v>
      </c>
    </row>
    <row r="1567" spans="2:7" x14ac:dyDescent="0.25">
      <c r="B1567" s="348" t="s">
        <v>1507</v>
      </c>
      <c r="C1567" s="293">
        <v>127.35</v>
      </c>
      <c r="D1567" s="230">
        <f t="shared" si="76"/>
        <v>1.9534064526459005E-2</v>
      </c>
      <c r="E1567" s="293">
        <v>4.8262548262547611E-3</v>
      </c>
      <c r="F1567" s="266">
        <f t="shared" si="78"/>
        <v>1560</v>
      </c>
      <c r="G1567" s="230">
        <f t="shared" ca="1" si="77"/>
        <v>3.436949748406254E-3</v>
      </c>
    </row>
    <row r="1568" spans="2:7" x14ac:dyDescent="0.25">
      <c r="B1568" s="348" t="s">
        <v>1508</v>
      </c>
      <c r="C1568" s="293">
        <v>124.91</v>
      </c>
      <c r="D1568" s="230">
        <f t="shared" si="76"/>
        <v>-1.6379242460036192E-2</v>
      </c>
      <c r="E1568" s="293">
        <v>4.8164756684936361E-3</v>
      </c>
      <c r="F1568" s="266">
        <f t="shared" si="78"/>
        <v>1561</v>
      </c>
      <c r="G1568" s="230">
        <f t="shared" ca="1" si="77"/>
        <v>1.3225803142095923E-2</v>
      </c>
    </row>
    <row r="1569" spans="2:7" x14ac:dyDescent="0.25">
      <c r="B1569" s="348" t="s">
        <v>1509</v>
      </c>
      <c r="C1569" s="293">
        <v>126.99</v>
      </c>
      <c r="D1569" s="230">
        <f t="shared" si="76"/>
        <v>2.6015997414559289E-2</v>
      </c>
      <c r="E1569" s="293">
        <v>4.8156586578294025E-3</v>
      </c>
      <c r="F1569" s="266">
        <f t="shared" si="78"/>
        <v>1562</v>
      </c>
      <c r="G1569" s="230">
        <f t="shared" ca="1" si="77"/>
        <v>-4.1635815321734498E-3</v>
      </c>
    </row>
    <row r="1570" spans="2:7" x14ac:dyDescent="0.25">
      <c r="B1570" s="348">
        <v>43446</v>
      </c>
      <c r="C1570" s="293">
        <v>123.77</v>
      </c>
      <c r="D1570" s="230">
        <f t="shared" si="76"/>
        <v>6.2601626016258738E-3</v>
      </c>
      <c r="E1570" s="293">
        <v>4.7866805411032054E-3</v>
      </c>
      <c r="F1570" s="266">
        <f t="shared" si="78"/>
        <v>1563</v>
      </c>
      <c r="G1570" s="230">
        <f t="shared" ca="1" si="77"/>
        <v>2.4293439728100531E-2</v>
      </c>
    </row>
    <row r="1571" spans="2:7" x14ac:dyDescent="0.25">
      <c r="B1571" s="348">
        <v>43416</v>
      </c>
      <c r="C1571" s="293">
        <v>123</v>
      </c>
      <c r="D1571" s="230">
        <f t="shared" si="76"/>
        <v>4.3275904303095025E-3</v>
      </c>
      <c r="E1571" s="293">
        <v>4.7860069552043694E-3</v>
      </c>
      <c r="F1571" s="266">
        <f t="shared" si="78"/>
        <v>1564</v>
      </c>
      <c r="G1571" s="230">
        <f t="shared" ca="1" si="77"/>
        <v>-1.5410997350590998E-2</v>
      </c>
    </row>
    <row r="1572" spans="2:7" x14ac:dyDescent="0.25">
      <c r="B1572" s="348">
        <v>43385</v>
      </c>
      <c r="C1572" s="293">
        <v>122.47</v>
      </c>
      <c r="D1572" s="230">
        <f t="shared" si="76"/>
        <v>-2.0161612929034289E-2</v>
      </c>
      <c r="E1572" s="293">
        <v>4.7767162852700995E-3</v>
      </c>
      <c r="F1572" s="266">
        <f t="shared" si="78"/>
        <v>1565</v>
      </c>
      <c r="G1572" s="230">
        <f t="shared" ca="1" si="77"/>
        <v>3.5457947766375411E-2</v>
      </c>
    </row>
    <row r="1573" spans="2:7" x14ac:dyDescent="0.25">
      <c r="B1573" s="348">
        <v>43293</v>
      </c>
      <c r="C1573" s="293">
        <v>124.99</v>
      </c>
      <c r="D1573" s="230">
        <f t="shared" si="76"/>
        <v>4.9851250301518046E-3</v>
      </c>
      <c r="E1573" s="293">
        <v>4.7759836251990428E-3</v>
      </c>
      <c r="F1573" s="266">
        <f t="shared" si="78"/>
        <v>1566</v>
      </c>
      <c r="G1573" s="230">
        <f t="shared" ca="1" si="77"/>
        <v>4.1841595164220299E-2</v>
      </c>
    </row>
    <row r="1574" spans="2:7" x14ac:dyDescent="0.25">
      <c r="B1574" s="348">
        <v>43263</v>
      </c>
      <c r="C1574" s="293">
        <v>124.37</v>
      </c>
      <c r="D1574" s="230">
        <f t="shared" si="76"/>
        <v>-1.4266465879369084E-2</v>
      </c>
      <c r="E1574" s="293">
        <v>4.7723205408629621E-3</v>
      </c>
      <c r="F1574" s="266">
        <f t="shared" si="78"/>
        <v>1567</v>
      </c>
      <c r="G1574" s="230">
        <f t="shared" ca="1" si="77"/>
        <v>9.563745002576788E-3</v>
      </c>
    </row>
    <row r="1575" spans="2:7" x14ac:dyDescent="0.25">
      <c r="B1575" s="348">
        <v>43232</v>
      </c>
      <c r="C1575" s="293">
        <v>126.17</v>
      </c>
      <c r="D1575" s="230">
        <f t="shared" si="76"/>
        <v>4.458243770400383E-3</v>
      </c>
      <c r="E1575" s="293">
        <v>4.7600158667195913E-3</v>
      </c>
      <c r="F1575" s="266">
        <f t="shared" si="78"/>
        <v>1568</v>
      </c>
      <c r="G1575" s="230">
        <f t="shared" ca="1" si="77"/>
        <v>-1.8615651048280724E-2</v>
      </c>
    </row>
    <row r="1576" spans="2:7" x14ac:dyDescent="0.25">
      <c r="B1576" s="348">
        <v>43202</v>
      </c>
      <c r="C1576" s="293">
        <v>125.61</v>
      </c>
      <c r="D1576" s="230">
        <f t="shared" si="76"/>
        <v>2.0472824762368891E-2</v>
      </c>
      <c r="E1576" s="293">
        <v>4.7558655675332684E-3</v>
      </c>
      <c r="F1576" s="266">
        <f t="shared" si="78"/>
        <v>1569</v>
      </c>
      <c r="G1576" s="230">
        <f t="shared" ca="1" si="77"/>
        <v>2.8776677595546384E-3</v>
      </c>
    </row>
    <row r="1577" spans="2:7" x14ac:dyDescent="0.25">
      <c r="B1577" s="348">
        <v>43171</v>
      </c>
      <c r="C1577" s="293">
        <v>123.09</v>
      </c>
      <c r="D1577" s="230">
        <f t="shared" si="76"/>
        <v>1.1089206505667804E-2</v>
      </c>
      <c r="E1577" s="293">
        <v>4.7529458362214339E-3</v>
      </c>
      <c r="F1577" s="266">
        <f t="shared" si="78"/>
        <v>1570</v>
      </c>
      <c r="G1577" s="230">
        <f t="shared" ca="1" si="77"/>
        <v>1.9984044124850796E-2</v>
      </c>
    </row>
    <row r="1578" spans="2:7" x14ac:dyDescent="0.25">
      <c r="B1578" s="348" t="s">
        <v>1510</v>
      </c>
      <c r="C1578" s="293">
        <v>121.74</v>
      </c>
      <c r="D1578" s="230">
        <f t="shared" si="76"/>
        <v>3.0908629011770605E-2</v>
      </c>
      <c r="E1578" s="293">
        <v>4.7503537497473047E-3</v>
      </c>
      <c r="F1578" s="266">
        <f t="shared" si="78"/>
        <v>1571</v>
      </c>
      <c r="G1578" s="230">
        <f t="shared" ca="1" si="77"/>
        <v>8.9753157069139451E-3</v>
      </c>
    </row>
    <row r="1579" spans="2:7" x14ac:dyDescent="0.25">
      <c r="B1579" s="348" t="s">
        <v>1511</v>
      </c>
      <c r="C1579" s="293">
        <v>118.09</v>
      </c>
      <c r="D1579" s="230">
        <f t="shared" si="76"/>
        <v>1.486765211412866E-2</v>
      </c>
      <c r="E1579" s="293">
        <v>4.7402725656724432E-3</v>
      </c>
      <c r="F1579" s="266">
        <f t="shared" si="78"/>
        <v>1572</v>
      </c>
      <c r="G1579" s="230">
        <f t="shared" ca="1" si="77"/>
        <v>1.9999775533484802E-2</v>
      </c>
    </row>
    <row r="1580" spans="2:7" x14ac:dyDescent="0.25">
      <c r="B1580" s="348" t="s">
        <v>1512</v>
      </c>
      <c r="C1580" s="293">
        <v>116.36</v>
      </c>
      <c r="D1580" s="230">
        <f t="shared" si="76"/>
        <v>-5.6400615279439403E-3</v>
      </c>
      <c r="E1580" s="293">
        <v>4.7326076668243733E-3</v>
      </c>
      <c r="F1580" s="266">
        <f t="shared" si="78"/>
        <v>1573</v>
      </c>
      <c r="G1580" s="230">
        <f t="shared" ca="1" si="77"/>
        <v>-6.4208980950954345E-3</v>
      </c>
    </row>
    <row r="1581" spans="2:7" x14ac:dyDescent="0.25">
      <c r="B1581" s="348" t="s">
        <v>1513</v>
      </c>
      <c r="C1581" s="293">
        <v>117.02</v>
      </c>
      <c r="D1581" s="230">
        <f t="shared" si="76"/>
        <v>-2.0097136158097495E-2</v>
      </c>
      <c r="E1581" s="293">
        <v>4.7296892773753818E-3</v>
      </c>
      <c r="F1581" s="266">
        <f t="shared" si="78"/>
        <v>1574</v>
      </c>
      <c r="G1581" s="230">
        <f t="shared" ca="1" si="77"/>
        <v>5.137472234273909E-3</v>
      </c>
    </row>
    <row r="1582" spans="2:7" x14ac:dyDescent="0.25">
      <c r="B1582" s="348" t="s">
        <v>1514</v>
      </c>
      <c r="C1582" s="293">
        <v>119.42</v>
      </c>
      <c r="D1582" s="230">
        <f t="shared" si="76"/>
        <v>3.6992011114970413E-2</v>
      </c>
      <c r="E1582" s="293">
        <v>4.7270367967373605E-3</v>
      </c>
      <c r="F1582" s="266">
        <f t="shared" si="78"/>
        <v>1575</v>
      </c>
      <c r="G1582" s="230">
        <f t="shared" ca="1" si="77"/>
        <v>2.0253062397200407E-2</v>
      </c>
    </row>
    <row r="1583" spans="2:7" x14ac:dyDescent="0.25">
      <c r="B1583" s="348" t="s">
        <v>1515</v>
      </c>
      <c r="C1583" s="293">
        <v>115.16</v>
      </c>
      <c r="D1583" s="230">
        <f t="shared" si="76"/>
        <v>-2.249384602325788E-2</v>
      </c>
      <c r="E1583" s="293">
        <v>4.7226595055098741E-3</v>
      </c>
      <c r="F1583" s="266">
        <f t="shared" si="78"/>
        <v>1576</v>
      </c>
      <c r="G1583" s="230">
        <f t="shared" ca="1" si="77"/>
        <v>5.7309978498205358E-3</v>
      </c>
    </row>
    <row r="1584" spans="2:7" x14ac:dyDescent="0.25">
      <c r="B1584" s="348" t="s">
        <v>1516</v>
      </c>
      <c r="C1584" s="293">
        <v>117.81</v>
      </c>
      <c r="D1584" s="230">
        <f t="shared" si="76"/>
        <v>-2.2242509751846606E-2</v>
      </c>
      <c r="E1584" s="293">
        <v>4.7212230215827322E-3</v>
      </c>
      <c r="F1584" s="266">
        <f t="shared" si="78"/>
        <v>1577</v>
      </c>
      <c r="G1584" s="230">
        <f t="shared" ca="1" si="77"/>
        <v>3.3012732583957365E-2</v>
      </c>
    </row>
    <row r="1585" spans="2:7" x14ac:dyDescent="0.25">
      <c r="B1585" s="348" t="s">
        <v>1517</v>
      </c>
      <c r="C1585" s="293">
        <v>120.49</v>
      </c>
      <c r="D1585" s="230">
        <f t="shared" si="76"/>
        <v>-3.4689953533087681E-2</v>
      </c>
      <c r="E1585" s="293">
        <v>4.6925166707829646E-3</v>
      </c>
      <c r="F1585" s="266">
        <f t="shared" si="78"/>
        <v>1578</v>
      </c>
      <c r="G1585" s="230">
        <f t="shared" ca="1" si="77"/>
        <v>-1.9234072184229296E-2</v>
      </c>
    </row>
    <row r="1586" spans="2:7" x14ac:dyDescent="0.25">
      <c r="B1586" s="348" t="s">
        <v>1518</v>
      </c>
      <c r="C1586" s="293">
        <v>124.82</v>
      </c>
      <c r="D1586" s="230">
        <f t="shared" si="76"/>
        <v>2.03547780593476E-2</v>
      </c>
      <c r="E1586" s="293">
        <v>4.6898928024501352E-3</v>
      </c>
      <c r="F1586" s="266">
        <f t="shared" si="78"/>
        <v>1579</v>
      </c>
      <c r="G1586" s="230">
        <f t="shared" ca="1" si="77"/>
        <v>5.8394686819253821E-3</v>
      </c>
    </row>
    <row r="1587" spans="2:7" x14ac:dyDescent="0.25">
      <c r="B1587" s="348" t="s">
        <v>1519</v>
      </c>
      <c r="C1587" s="293">
        <v>122.33</v>
      </c>
      <c r="D1587" s="230">
        <f t="shared" si="76"/>
        <v>9.4900148539363016E-3</v>
      </c>
      <c r="E1587" s="293">
        <v>4.6861924686192324E-3</v>
      </c>
      <c r="F1587" s="266">
        <f t="shared" si="78"/>
        <v>1580</v>
      </c>
      <c r="G1587" s="230">
        <f t="shared" ca="1" si="77"/>
        <v>9.4839309492852925E-3</v>
      </c>
    </row>
    <row r="1588" spans="2:7" x14ac:dyDescent="0.25">
      <c r="B1588" s="348" t="s">
        <v>1520</v>
      </c>
      <c r="C1588" s="293">
        <v>121.18</v>
      </c>
      <c r="D1588" s="230">
        <f t="shared" si="76"/>
        <v>-4.3546134253552582E-3</v>
      </c>
      <c r="E1588" s="293">
        <v>4.6821959499003807E-3</v>
      </c>
      <c r="F1588" s="266">
        <f t="shared" si="78"/>
        <v>1581</v>
      </c>
      <c r="G1588" s="230">
        <f t="shared" ca="1" si="77"/>
        <v>6.1997651479244967E-3</v>
      </c>
    </row>
    <row r="1589" spans="2:7" x14ac:dyDescent="0.25">
      <c r="B1589" s="348" t="s">
        <v>1521</v>
      </c>
      <c r="C1589" s="293">
        <v>121.71</v>
      </c>
      <c r="D1589" s="230">
        <f t="shared" si="76"/>
        <v>-4.905567819475154E-3</v>
      </c>
      <c r="E1589" s="293">
        <v>4.6797608881297137E-3</v>
      </c>
      <c r="F1589" s="266">
        <f t="shared" si="78"/>
        <v>1582</v>
      </c>
      <c r="G1589" s="230">
        <f t="shared" ca="1" si="77"/>
        <v>-9.062814119812454E-3</v>
      </c>
    </row>
    <row r="1590" spans="2:7" x14ac:dyDescent="0.25">
      <c r="B1590" s="348" t="s">
        <v>1522</v>
      </c>
      <c r="C1590" s="293">
        <v>122.31</v>
      </c>
      <c r="D1590" s="230">
        <f t="shared" si="76"/>
        <v>8.6590796635328537E-3</v>
      </c>
      <c r="E1590" s="293">
        <v>4.6717719019409021E-3</v>
      </c>
      <c r="F1590" s="266">
        <f t="shared" si="78"/>
        <v>1583</v>
      </c>
      <c r="G1590" s="230">
        <f t="shared" ca="1" si="77"/>
        <v>3.2334874594680325E-2</v>
      </c>
    </row>
    <row r="1591" spans="2:7" x14ac:dyDescent="0.25">
      <c r="B1591" s="348">
        <v>43445</v>
      </c>
      <c r="C1591" s="293">
        <v>121.26</v>
      </c>
      <c r="D1591" s="230">
        <f t="shared" si="76"/>
        <v>-4.5969463142340183E-3</v>
      </c>
      <c r="E1591" s="293">
        <v>4.669377918361306E-3</v>
      </c>
      <c r="F1591" s="266">
        <f t="shared" si="78"/>
        <v>1584</v>
      </c>
      <c r="G1591" s="230">
        <f t="shared" ca="1" si="77"/>
        <v>2.7749004511331846E-2</v>
      </c>
    </row>
    <row r="1592" spans="2:7" x14ac:dyDescent="0.25">
      <c r="B1592" s="348">
        <v>43354</v>
      </c>
      <c r="C1592" s="293">
        <v>121.82</v>
      </c>
      <c r="D1592" s="230">
        <f t="shared" si="76"/>
        <v>-1.5572494057864983E-3</v>
      </c>
      <c r="E1592" s="293">
        <v>4.6689778573025809E-3</v>
      </c>
      <c r="F1592" s="266">
        <f t="shared" si="78"/>
        <v>1585</v>
      </c>
      <c r="G1592" s="230">
        <f t="shared" ca="1" si="77"/>
        <v>-1.3844173080798021E-2</v>
      </c>
    </row>
    <row r="1593" spans="2:7" x14ac:dyDescent="0.25">
      <c r="B1593" s="348">
        <v>43292</v>
      </c>
      <c r="C1593" s="293">
        <v>122.01</v>
      </c>
      <c r="D1593" s="230">
        <f t="shared" si="76"/>
        <v>1.3952724885095691E-3</v>
      </c>
      <c r="E1593" s="293">
        <v>4.6626700923018127E-3</v>
      </c>
      <c r="F1593" s="266">
        <f t="shared" si="78"/>
        <v>1586</v>
      </c>
      <c r="G1593" s="230">
        <f t="shared" ca="1" si="77"/>
        <v>3.2162258370555342E-2</v>
      </c>
    </row>
    <row r="1594" spans="2:7" x14ac:dyDescent="0.25">
      <c r="B1594" s="348">
        <v>43262</v>
      </c>
      <c r="C1594" s="293">
        <v>121.84</v>
      </c>
      <c r="D1594" s="230">
        <f t="shared" si="76"/>
        <v>2.468323185782495E-3</v>
      </c>
      <c r="E1594" s="293">
        <v>4.6546974446661782E-3</v>
      </c>
      <c r="F1594" s="266">
        <f t="shared" si="78"/>
        <v>1587</v>
      </c>
      <c r="G1594" s="230">
        <f t="shared" ca="1" si="77"/>
        <v>-1.2469502019649973E-2</v>
      </c>
    </row>
    <row r="1595" spans="2:7" x14ac:dyDescent="0.25">
      <c r="B1595" s="348">
        <v>43231</v>
      </c>
      <c r="C1595" s="293">
        <v>121.54</v>
      </c>
      <c r="D1595" s="230">
        <f t="shared" si="76"/>
        <v>1.7922948073701761E-2</v>
      </c>
      <c r="E1595" s="293">
        <v>4.6410891089108119E-3</v>
      </c>
      <c r="F1595" s="266">
        <f t="shared" si="78"/>
        <v>1588</v>
      </c>
      <c r="G1595" s="230">
        <f t="shared" ca="1" si="77"/>
        <v>1.4536575221438153E-3</v>
      </c>
    </row>
    <row r="1596" spans="2:7" x14ac:dyDescent="0.25">
      <c r="B1596" s="348">
        <v>43142</v>
      </c>
      <c r="C1596" s="293">
        <v>119.4</v>
      </c>
      <c r="D1596" s="230">
        <f t="shared" si="76"/>
        <v>-3.4136871056463347E-2</v>
      </c>
      <c r="E1596" s="293">
        <v>4.6301792710434775E-3</v>
      </c>
      <c r="F1596" s="266">
        <f t="shared" si="78"/>
        <v>1589</v>
      </c>
      <c r="G1596" s="230">
        <f t="shared" ca="1" si="77"/>
        <v>-6.8014781766871117E-3</v>
      </c>
    </row>
    <row r="1597" spans="2:7" x14ac:dyDescent="0.25">
      <c r="B1597" s="348">
        <v>43111</v>
      </c>
      <c r="C1597" s="293">
        <v>123.62</v>
      </c>
      <c r="D1597" s="230">
        <f t="shared" si="76"/>
        <v>-4.6698872785828627E-3</v>
      </c>
      <c r="E1597" s="293">
        <v>4.6251686259395353E-3</v>
      </c>
      <c r="F1597" s="266">
        <f t="shared" si="78"/>
        <v>1590</v>
      </c>
      <c r="G1597" s="230">
        <f t="shared" ca="1" si="77"/>
        <v>6.0711770862436187E-3</v>
      </c>
    </row>
    <row r="1598" spans="2:7" x14ac:dyDescent="0.25">
      <c r="B1598" s="348" t="s">
        <v>1523</v>
      </c>
      <c r="C1598" s="293">
        <v>124.2</v>
      </c>
      <c r="D1598" s="230">
        <f t="shared" si="76"/>
        <v>1.1318296555655083E-2</v>
      </c>
      <c r="E1598" s="293">
        <v>4.6105314244115903E-3</v>
      </c>
      <c r="F1598" s="266">
        <f t="shared" si="78"/>
        <v>1591</v>
      </c>
      <c r="G1598" s="230">
        <f t="shared" ca="1" si="77"/>
        <v>7.1573861707291391E-3</v>
      </c>
    </row>
    <row r="1599" spans="2:7" x14ac:dyDescent="0.25">
      <c r="B1599" s="348" t="s">
        <v>1524</v>
      </c>
      <c r="C1599" s="293">
        <v>122.81</v>
      </c>
      <c r="D1599" s="230">
        <f t="shared" si="76"/>
        <v>-6.0699255422467235E-3</v>
      </c>
      <c r="E1599" s="293">
        <v>4.6098982343218964E-3</v>
      </c>
      <c r="F1599" s="266">
        <f t="shared" si="78"/>
        <v>1592</v>
      </c>
      <c r="G1599" s="230">
        <f t="shared" ca="1" si="77"/>
        <v>-2.3771779361277001E-2</v>
      </c>
    </row>
    <row r="1600" spans="2:7" x14ac:dyDescent="0.25">
      <c r="B1600" s="348" t="s">
        <v>1525</v>
      </c>
      <c r="C1600" s="293">
        <v>123.56</v>
      </c>
      <c r="D1600" s="230">
        <f t="shared" si="76"/>
        <v>2.7782398935285446E-2</v>
      </c>
      <c r="E1600" s="293">
        <v>4.607008236772181E-3</v>
      </c>
      <c r="F1600" s="266">
        <f t="shared" si="78"/>
        <v>1593</v>
      </c>
      <c r="G1600" s="230">
        <f t="shared" ca="1" si="77"/>
        <v>9.8495659281161302E-3</v>
      </c>
    </row>
    <row r="1601" spans="2:7" x14ac:dyDescent="0.25">
      <c r="B1601" s="348" t="s">
        <v>1526</v>
      </c>
      <c r="C1601" s="293">
        <v>120.22</v>
      </c>
      <c r="D1601" s="230">
        <f t="shared" si="76"/>
        <v>6.3619621630672807E-3</v>
      </c>
      <c r="E1601" s="293">
        <v>4.5772409408773029E-3</v>
      </c>
      <c r="F1601" s="266">
        <f t="shared" si="78"/>
        <v>1594</v>
      </c>
      <c r="G1601" s="230">
        <f t="shared" ca="1" si="77"/>
        <v>-2.7227050590533632E-2</v>
      </c>
    </row>
    <row r="1602" spans="2:7" x14ac:dyDescent="0.25">
      <c r="B1602" s="348" t="s">
        <v>1527</v>
      </c>
      <c r="C1602" s="293">
        <v>119.46</v>
      </c>
      <c r="D1602" s="230">
        <f t="shared" si="76"/>
        <v>3.1606217616580334E-2</v>
      </c>
      <c r="E1602" s="293">
        <v>4.5676998368677779E-3</v>
      </c>
      <c r="F1602" s="266">
        <f t="shared" si="78"/>
        <v>1595</v>
      </c>
      <c r="G1602" s="230">
        <f t="shared" ca="1" si="77"/>
        <v>2.9424761771087407E-3</v>
      </c>
    </row>
    <row r="1603" spans="2:7" x14ac:dyDescent="0.25">
      <c r="B1603" s="348" t="s">
        <v>1528</v>
      </c>
      <c r="C1603" s="293">
        <v>115.8</v>
      </c>
      <c r="D1603" s="230">
        <f t="shared" si="76"/>
        <v>-9.4901216461051874E-4</v>
      </c>
      <c r="E1603" s="293">
        <v>4.5599812923844407E-3</v>
      </c>
      <c r="F1603" s="266">
        <f t="shared" si="78"/>
        <v>1596</v>
      </c>
      <c r="G1603" s="230">
        <f t="shared" ca="1" si="77"/>
        <v>1.4776562834282542E-2</v>
      </c>
    </row>
    <row r="1604" spans="2:7" x14ac:dyDescent="0.25">
      <c r="B1604" s="348" t="s">
        <v>1529</v>
      </c>
      <c r="C1604" s="293">
        <v>115.91</v>
      </c>
      <c r="D1604" s="230">
        <f t="shared" si="76"/>
        <v>-4.0718364644541927E-2</v>
      </c>
      <c r="E1604" s="293">
        <v>4.539762053850982E-3</v>
      </c>
      <c r="F1604" s="266">
        <f t="shared" si="78"/>
        <v>1597</v>
      </c>
      <c r="G1604" s="230">
        <f t="shared" ca="1" si="77"/>
        <v>2.2700050392166195E-2</v>
      </c>
    </row>
    <row r="1605" spans="2:7" x14ac:dyDescent="0.25">
      <c r="B1605" s="348" t="s">
        <v>1530</v>
      </c>
      <c r="C1605" s="293">
        <v>120.83</v>
      </c>
      <c r="D1605" s="230">
        <f t="shared" si="76"/>
        <v>-2.8882653903284927E-3</v>
      </c>
      <c r="E1605" s="293">
        <v>4.5180722891566827E-3</v>
      </c>
      <c r="F1605" s="266">
        <f t="shared" si="78"/>
        <v>1598</v>
      </c>
      <c r="G1605" s="230">
        <f t="shared" ca="1" si="77"/>
        <v>3.634727486044053E-2</v>
      </c>
    </row>
    <row r="1606" spans="2:7" x14ac:dyDescent="0.25">
      <c r="B1606" s="348" t="s">
        <v>1531</v>
      </c>
      <c r="C1606" s="293">
        <v>121.18</v>
      </c>
      <c r="D1606" s="230">
        <f t="shared" si="76"/>
        <v>0</v>
      </c>
      <c r="E1606" s="293">
        <v>4.5041143352100299E-3</v>
      </c>
      <c r="F1606" s="266">
        <f t="shared" si="78"/>
        <v>1599</v>
      </c>
      <c r="G1606" s="230">
        <f t="shared" ca="1" si="77"/>
        <v>8.2577229330135608E-3</v>
      </c>
    </row>
    <row r="1607" spans="2:7" x14ac:dyDescent="0.25">
      <c r="B1607" s="348" t="s">
        <v>1532</v>
      </c>
      <c r="C1607" s="293">
        <v>121.18</v>
      </c>
      <c r="D1607" s="230">
        <f t="shared" si="76"/>
        <v>1.2871949180875975E-2</v>
      </c>
      <c r="E1607" s="293">
        <v>4.5038500653784563E-3</v>
      </c>
      <c r="F1607" s="266">
        <f t="shared" si="78"/>
        <v>1600</v>
      </c>
      <c r="G1607" s="230">
        <f t="shared" ca="1" si="77"/>
        <v>-7.0352951388481366E-3</v>
      </c>
    </row>
    <row r="1608" spans="2:7" x14ac:dyDescent="0.25">
      <c r="B1608" s="348" t="s">
        <v>1533</v>
      </c>
      <c r="C1608" s="293">
        <v>119.64</v>
      </c>
      <c r="D1608" s="230">
        <f t="shared" si="76"/>
        <v>-2.8338056342723794E-3</v>
      </c>
      <c r="E1608" s="293">
        <v>4.4676909665468667E-3</v>
      </c>
      <c r="F1608" s="266">
        <f t="shared" si="78"/>
        <v>1601</v>
      </c>
      <c r="G1608" s="230">
        <f t="shared" ca="1" si="77"/>
        <v>5.9711376830180194E-3</v>
      </c>
    </row>
    <row r="1609" spans="2:7" x14ac:dyDescent="0.25">
      <c r="B1609" s="348" t="s">
        <v>1534</v>
      </c>
      <c r="C1609" s="293">
        <v>119.98</v>
      </c>
      <c r="D1609" s="230">
        <f t="shared" ref="D1609:D1672" si="79">C1609/C1610-1</f>
        <v>1.1550459489081844E-2</v>
      </c>
      <c r="E1609" s="293">
        <v>4.466586497165359E-3</v>
      </c>
      <c r="F1609" s="266">
        <f t="shared" si="78"/>
        <v>1602</v>
      </c>
      <c r="G1609" s="230">
        <f t="shared" ref="G1609:G1672" ca="1" si="80">_xlfn.NORM.INV(RAND(),$M$10,$M$11)</f>
        <v>-4.6278213554224179E-2</v>
      </c>
    </row>
    <row r="1610" spans="2:7" x14ac:dyDescent="0.25">
      <c r="B1610" s="348">
        <v>43444</v>
      </c>
      <c r="C1610" s="293">
        <v>118.61</v>
      </c>
      <c r="D1610" s="230">
        <f t="shared" si="79"/>
        <v>1.0392708067126666E-2</v>
      </c>
      <c r="E1610" s="293">
        <v>4.4631136781307923E-3</v>
      </c>
      <c r="F1610" s="266">
        <f t="shared" ref="F1610:F1673" si="81">F1609+1</f>
        <v>1603</v>
      </c>
      <c r="G1610" s="230">
        <f t="shared" ca="1" si="80"/>
        <v>4.6540940214917252E-3</v>
      </c>
    </row>
    <row r="1611" spans="2:7" x14ac:dyDescent="0.25">
      <c r="B1611" s="348">
        <v>43414</v>
      </c>
      <c r="C1611" s="293">
        <v>117.39</v>
      </c>
      <c r="D1611" s="230">
        <f t="shared" si="79"/>
        <v>-9.1998649561108037E-3</v>
      </c>
      <c r="E1611" s="293">
        <v>4.4613887086306647E-3</v>
      </c>
      <c r="F1611" s="266">
        <f t="shared" si="81"/>
        <v>1604</v>
      </c>
      <c r="G1611" s="230">
        <f t="shared" ca="1" si="80"/>
        <v>5.4656848211802429E-3</v>
      </c>
    </row>
    <row r="1612" spans="2:7" x14ac:dyDescent="0.25">
      <c r="B1612" s="348">
        <v>43383</v>
      </c>
      <c r="C1612" s="293">
        <v>118.48</v>
      </c>
      <c r="D1612" s="230">
        <f t="shared" si="79"/>
        <v>-1.7741668048416481E-2</v>
      </c>
      <c r="E1612" s="293">
        <v>4.458243770400383E-3</v>
      </c>
      <c r="F1612" s="266">
        <f t="shared" si="81"/>
        <v>1605</v>
      </c>
      <c r="G1612" s="230">
        <f t="shared" ca="1" si="80"/>
        <v>-3.1723930766281556E-3</v>
      </c>
    </row>
    <row r="1613" spans="2:7" x14ac:dyDescent="0.25">
      <c r="B1613" s="348">
        <v>43353</v>
      </c>
      <c r="C1613" s="293">
        <v>120.62</v>
      </c>
      <c r="D1613" s="230">
        <f t="shared" si="79"/>
        <v>1.3102637325718147E-2</v>
      </c>
      <c r="E1613" s="293">
        <v>4.4557606619985979E-3</v>
      </c>
      <c r="F1613" s="266">
        <f t="shared" si="81"/>
        <v>1606</v>
      </c>
      <c r="G1613" s="230">
        <f t="shared" ca="1" si="80"/>
        <v>-9.1864845214269762E-4</v>
      </c>
    </row>
    <row r="1614" spans="2:7" x14ac:dyDescent="0.25">
      <c r="B1614" s="348">
        <v>43322</v>
      </c>
      <c r="C1614" s="293">
        <v>119.06</v>
      </c>
      <c r="D1614" s="230">
        <f t="shared" si="79"/>
        <v>-2.4018362160832751E-2</v>
      </c>
      <c r="E1614" s="293">
        <v>4.43020923758497E-3</v>
      </c>
      <c r="F1614" s="266">
        <f t="shared" si="81"/>
        <v>1607</v>
      </c>
      <c r="G1614" s="230">
        <f t="shared" ca="1" si="80"/>
        <v>-2.9943607800395539E-2</v>
      </c>
    </row>
    <row r="1615" spans="2:7" x14ac:dyDescent="0.25">
      <c r="B1615" s="348">
        <v>43230</v>
      </c>
      <c r="C1615" s="293">
        <v>121.99</v>
      </c>
      <c r="D1615" s="230">
        <f t="shared" si="79"/>
        <v>-1.0645266950540799E-3</v>
      </c>
      <c r="E1615" s="293">
        <v>4.4227402561503038E-3</v>
      </c>
      <c r="F1615" s="266">
        <f t="shared" si="81"/>
        <v>1608</v>
      </c>
      <c r="G1615" s="230">
        <f t="shared" ca="1" si="80"/>
        <v>-4.1577520991138997E-2</v>
      </c>
    </row>
    <row r="1616" spans="2:7" x14ac:dyDescent="0.25">
      <c r="B1616" s="348">
        <v>43200</v>
      </c>
      <c r="C1616" s="293">
        <v>122.12</v>
      </c>
      <c r="D1616" s="230">
        <f t="shared" si="79"/>
        <v>-5.6184349808647838E-3</v>
      </c>
      <c r="E1616" s="293">
        <v>4.403296827368175E-3</v>
      </c>
      <c r="F1616" s="266">
        <f t="shared" si="81"/>
        <v>1609</v>
      </c>
      <c r="G1616" s="230">
        <f t="shared" ca="1" si="80"/>
        <v>-3.2853037744497458E-2</v>
      </c>
    </row>
    <row r="1617" spans="2:7" x14ac:dyDescent="0.25">
      <c r="B1617" s="348">
        <v>43169</v>
      </c>
      <c r="C1617" s="293">
        <v>122.81</v>
      </c>
      <c r="D1617" s="230">
        <f t="shared" si="79"/>
        <v>-8.076892011953829E-3</v>
      </c>
      <c r="E1617" s="293">
        <v>4.3999393111819884E-3</v>
      </c>
      <c r="F1617" s="266">
        <f t="shared" si="81"/>
        <v>1610</v>
      </c>
      <c r="G1617" s="230">
        <f t="shared" ca="1" si="80"/>
        <v>2.0958871622406346E-2</v>
      </c>
    </row>
    <row r="1618" spans="2:7" x14ac:dyDescent="0.25">
      <c r="B1618" s="348">
        <v>43110</v>
      </c>
      <c r="C1618" s="293">
        <v>123.81</v>
      </c>
      <c r="D1618" s="230">
        <f t="shared" si="79"/>
        <v>1.9012345679012332E-2</v>
      </c>
      <c r="E1618" s="293">
        <v>4.3891733723484538E-3</v>
      </c>
      <c r="F1618" s="266">
        <f t="shared" si="81"/>
        <v>1611</v>
      </c>
      <c r="G1618" s="230">
        <f t="shared" ca="1" si="80"/>
        <v>-1.5955881566764064E-2</v>
      </c>
    </row>
    <row r="1619" spans="2:7" x14ac:dyDescent="0.25">
      <c r="B1619" s="348" t="s">
        <v>1535</v>
      </c>
      <c r="C1619" s="293">
        <v>121.5</v>
      </c>
      <c r="D1619" s="230">
        <f t="shared" si="79"/>
        <v>1.5801354401805856E-2</v>
      </c>
      <c r="E1619" s="293">
        <v>4.3829612381864891E-3</v>
      </c>
      <c r="F1619" s="266">
        <f t="shared" si="81"/>
        <v>1612</v>
      </c>
      <c r="G1619" s="230">
        <f t="shared" ca="1" si="80"/>
        <v>-7.2678916177528041E-3</v>
      </c>
    </row>
    <row r="1620" spans="2:7" x14ac:dyDescent="0.25">
      <c r="B1620" s="348" t="s">
        <v>1536</v>
      </c>
      <c r="C1620" s="293">
        <v>119.61</v>
      </c>
      <c r="D1620" s="230">
        <f t="shared" si="79"/>
        <v>-9.1881055796860789E-4</v>
      </c>
      <c r="E1620" s="293">
        <v>4.3625787687833206E-3</v>
      </c>
      <c r="F1620" s="266">
        <f t="shared" si="81"/>
        <v>1613</v>
      </c>
      <c r="G1620" s="230">
        <f t="shared" ca="1" si="80"/>
        <v>9.4925841076106496E-3</v>
      </c>
    </row>
    <row r="1621" spans="2:7" x14ac:dyDescent="0.25">
      <c r="B1621" s="348" t="s">
        <v>1537</v>
      </c>
      <c r="C1621" s="293">
        <v>119.72</v>
      </c>
      <c r="D1621" s="230">
        <f t="shared" si="79"/>
        <v>-2.7536349606043342E-2</v>
      </c>
      <c r="E1621" s="293">
        <v>4.3607532210108157E-3</v>
      </c>
      <c r="F1621" s="266">
        <f t="shared" si="81"/>
        <v>1614</v>
      </c>
      <c r="G1621" s="230">
        <f t="shared" ca="1" si="80"/>
        <v>1.1141349163115091E-2</v>
      </c>
    </row>
    <row r="1622" spans="2:7" x14ac:dyDescent="0.25">
      <c r="B1622" s="348" t="s">
        <v>1538</v>
      </c>
      <c r="C1622" s="293">
        <v>123.11</v>
      </c>
      <c r="D1622" s="230">
        <f t="shared" si="79"/>
        <v>-1.322539275408785E-2</v>
      </c>
      <c r="E1622" s="293">
        <v>4.351464435146335E-3</v>
      </c>
      <c r="F1622" s="266">
        <f t="shared" si="81"/>
        <v>1615</v>
      </c>
      <c r="G1622" s="230">
        <f t="shared" ca="1" si="80"/>
        <v>5.2114706359656015E-3</v>
      </c>
    </row>
    <row r="1623" spans="2:7" x14ac:dyDescent="0.25">
      <c r="B1623" s="348" t="s">
        <v>1539</v>
      </c>
      <c r="C1623" s="293">
        <v>124.76</v>
      </c>
      <c r="D1623" s="230">
        <f t="shared" si="79"/>
        <v>-7.478122513921992E-3</v>
      </c>
      <c r="E1623" s="293">
        <v>4.3507817811014871E-3</v>
      </c>
      <c r="F1623" s="266">
        <f t="shared" si="81"/>
        <v>1616</v>
      </c>
      <c r="G1623" s="230">
        <f t="shared" ca="1" si="80"/>
        <v>1.1177530188314687E-2</v>
      </c>
    </row>
    <row r="1624" spans="2:7" x14ac:dyDescent="0.25">
      <c r="B1624" s="348" t="s">
        <v>1540</v>
      </c>
      <c r="C1624" s="293">
        <v>125.7</v>
      </c>
      <c r="D1624" s="230">
        <f t="shared" si="79"/>
        <v>7.5344661750560427E-3</v>
      </c>
      <c r="E1624" s="293">
        <v>4.3441773214196733E-3</v>
      </c>
      <c r="F1624" s="266">
        <f t="shared" si="81"/>
        <v>1617</v>
      </c>
      <c r="G1624" s="230">
        <f t="shared" ca="1" si="80"/>
        <v>1.1437167271992009E-2</v>
      </c>
    </row>
    <row r="1625" spans="2:7" x14ac:dyDescent="0.25">
      <c r="B1625" s="348" t="s">
        <v>1541</v>
      </c>
      <c r="C1625" s="293">
        <v>124.76</v>
      </c>
      <c r="D1625" s="230">
        <f t="shared" si="79"/>
        <v>4.009301579666058E-4</v>
      </c>
      <c r="E1625" s="293">
        <v>4.3440486533448119E-3</v>
      </c>
      <c r="F1625" s="266">
        <f t="shared" si="81"/>
        <v>1618</v>
      </c>
      <c r="G1625" s="230">
        <f t="shared" ca="1" si="80"/>
        <v>-3.1552102553272357E-2</v>
      </c>
    </row>
    <row r="1626" spans="2:7" x14ac:dyDescent="0.25">
      <c r="B1626" s="348" t="s">
        <v>1542</v>
      </c>
      <c r="C1626" s="293">
        <v>124.71</v>
      </c>
      <c r="D1626" s="230">
        <f t="shared" si="79"/>
        <v>8.0834209037263793E-3</v>
      </c>
      <c r="E1626" s="293">
        <v>4.3403562709105614E-3</v>
      </c>
      <c r="F1626" s="266">
        <f t="shared" si="81"/>
        <v>1619</v>
      </c>
      <c r="G1626" s="230">
        <f t="shared" ca="1" si="80"/>
        <v>-2.1571466655151736E-2</v>
      </c>
    </row>
    <row r="1627" spans="2:7" x14ac:dyDescent="0.25">
      <c r="B1627" s="348" t="s">
        <v>1543</v>
      </c>
      <c r="C1627" s="293">
        <v>123.71</v>
      </c>
      <c r="D1627" s="230">
        <f t="shared" si="79"/>
        <v>-9.6907049987893235E-4</v>
      </c>
      <c r="E1627" s="293">
        <v>4.3324491600353898E-3</v>
      </c>
      <c r="F1627" s="266">
        <f t="shared" si="81"/>
        <v>1620</v>
      </c>
      <c r="G1627" s="230">
        <f t="shared" ca="1" si="80"/>
        <v>-3.1193429776436944E-2</v>
      </c>
    </row>
    <row r="1628" spans="2:7" x14ac:dyDescent="0.25">
      <c r="B1628" s="348" t="s">
        <v>1544</v>
      </c>
      <c r="C1628" s="293">
        <v>123.83</v>
      </c>
      <c r="D1628" s="230">
        <f t="shared" si="79"/>
        <v>4.4613887086306647E-3</v>
      </c>
      <c r="E1628" s="293">
        <v>4.3297540699687165E-3</v>
      </c>
      <c r="F1628" s="266">
        <f t="shared" si="81"/>
        <v>1621</v>
      </c>
      <c r="G1628" s="230">
        <f t="shared" ca="1" si="80"/>
        <v>7.3134181409529398E-3</v>
      </c>
    </row>
    <row r="1629" spans="2:7" x14ac:dyDescent="0.25">
      <c r="B1629" s="348">
        <v>43443</v>
      </c>
      <c r="C1629" s="293">
        <v>123.28</v>
      </c>
      <c r="D1629" s="230">
        <f t="shared" si="79"/>
        <v>1.4817253868949498E-2</v>
      </c>
      <c r="E1629" s="293">
        <v>4.3294208197037776E-3</v>
      </c>
      <c r="F1629" s="266">
        <f t="shared" si="81"/>
        <v>1622</v>
      </c>
      <c r="G1629" s="230">
        <f t="shared" ca="1" si="80"/>
        <v>1.0464714459160121E-2</v>
      </c>
    </row>
    <row r="1630" spans="2:7" x14ac:dyDescent="0.25">
      <c r="B1630" s="348">
        <v>43413</v>
      </c>
      <c r="C1630" s="293">
        <v>121.48</v>
      </c>
      <c r="D1630" s="230">
        <f t="shared" si="79"/>
        <v>-3.2819166393173171E-3</v>
      </c>
      <c r="E1630" s="293">
        <v>4.3275904303095025E-3</v>
      </c>
      <c r="F1630" s="266">
        <f t="shared" si="81"/>
        <v>1623</v>
      </c>
      <c r="G1630" s="230">
        <f t="shared" ca="1" si="80"/>
        <v>5.2915960760050434E-3</v>
      </c>
    </row>
    <row r="1631" spans="2:7" x14ac:dyDescent="0.25">
      <c r="B1631" s="348">
        <v>43382</v>
      </c>
      <c r="C1631" s="293">
        <v>121.88</v>
      </c>
      <c r="D1631" s="230">
        <f t="shared" si="79"/>
        <v>9.8554533508532494E-4</v>
      </c>
      <c r="E1631" s="293">
        <v>4.3254933765881631E-3</v>
      </c>
      <c r="F1631" s="266">
        <f t="shared" si="81"/>
        <v>1624</v>
      </c>
      <c r="G1631" s="230">
        <f t="shared" ca="1" si="80"/>
        <v>1.3393825833335454E-2</v>
      </c>
    </row>
    <row r="1632" spans="2:7" x14ac:dyDescent="0.25">
      <c r="B1632" s="348">
        <v>43290</v>
      </c>
      <c r="C1632" s="293">
        <v>121.76</v>
      </c>
      <c r="D1632" s="230">
        <f t="shared" si="79"/>
        <v>1.0875882108758894E-2</v>
      </c>
      <c r="E1632" s="293">
        <v>4.3212478920742203E-3</v>
      </c>
      <c r="F1632" s="266">
        <f t="shared" si="81"/>
        <v>1625</v>
      </c>
      <c r="G1632" s="230">
        <f t="shared" ca="1" si="80"/>
        <v>1.7231751084517619E-2</v>
      </c>
    </row>
    <row r="1633" spans="2:7" x14ac:dyDescent="0.25">
      <c r="B1633" s="348">
        <v>43260</v>
      </c>
      <c r="C1633" s="293">
        <v>120.45</v>
      </c>
      <c r="D1633" s="230">
        <f t="shared" si="79"/>
        <v>7.3597056117755688E-3</v>
      </c>
      <c r="E1633" s="293">
        <v>4.3123014071719812E-3</v>
      </c>
      <c r="F1633" s="266">
        <f t="shared" si="81"/>
        <v>1626</v>
      </c>
      <c r="G1633" s="230">
        <f t="shared" ca="1" si="80"/>
        <v>1.3369246768249573E-2</v>
      </c>
    </row>
    <row r="1634" spans="2:7" x14ac:dyDescent="0.25">
      <c r="B1634" s="348">
        <v>43229</v>
      </c>
      <c r="C1634" s="293">
        <v>119.57</v>
      </c>
      <c r="D1634" s="230">
        <f t="shared" si="79"/>
        <v>1.7530422942728219E-2</v>
      </c>
      <c r="E1634" s="293">
        <v>4.3046840799649821E-3</v>
      </c>
      <c r="F1634" s="266">
        <f t="shared" si="81"/>
        <v>1627</v>
      </c>
      <c r="G1634" s="230">
        <f t="shared" ca="1" si="80"/>
        <v>5.3505931306142658E-3</v>
      </c>
    </row>
    <row r="1635" spans="2:7" x14ac:dyDescent="0.25">
      <c r="B1635" s="348">
        <v>43199</v>
      </c>
      <c r="C1635" s="293">
        <v>117.51</v>
      </c>
      <c r="D1635" s="230">
        <f t="shared" si="79"/>
        <v>1.6258756378102701E-2</v>
      </c>
      <c r="E1635" s="293">
        <v>4.3000477783086133E-3</v>
      </c>
      <c r="F1635" s="266">
        <f t="shared" si="81"/>
        <v>1628</v>
      </c>
      <c r="G1635" s="230">
        <f t="shared" ca="1" si="80"/>
        <v>-5.4318633842066278E-3</v>
      </c>
    </row>
    <row r="1636" spans="2:7" x14ac:dyDescent="0.25">
      <c r="B1636" s="348">
        <v>43168</v>
      </c>
      <c r="C1636" s="293">
        <v>115.63</v>
      </c>
      <c r="D1636" s="230">
        <f t="shared" si="79"/>
        <v>2.3546074178985466E-2</v>
      </c>
      <c r="E1636" s="293">
        <v>4.2910083869707183E-3</v>
      </c>
      <c r="F1636" s="266">
        <f t="shared" si="81"/>
        <v>1629</v>
      </c>
      <c r="G1636" s="230">
        <f t="shared" ca="1" si="80"/>
        <v>1.5660100337117396E-2</v>
      </c>
    </row>
    <row r="1637" spans="2:7" x14ac:dyDescent="0.25">
      <c r="B1637" s="348" t="s">
        <v>1545</v>
      </c>
      <c r="C1637" s="293">
        <v>112.97</v>
      </c>
      <c r="D1637" s="230">
        <f t="shared" si="79"/>
        <v>7.6710373740076498E-3</v>
      </c>
      <c r="E1637" s="293">
        <v>4.2769528728212602E-3</v>
      </c>
      <c r="F1637" s="266">
        <f t="shared" si="81"/>
        <v>1630</v>
      </c>
      <c r="G1637" s="230">
        <f t="shared" ca="1" si="80"/>
        <v>-4.3885779469531845E-3</v>
      </c>
    </row>
    <row r="1638" spans="2:7" x14ac:dyDescent="0.25">
      <c r="B1638" s="348" t="s">
        <v>1546</v>
      </c>
      <c r="C1638" s="293">
        <v>112.11</v>
      </c>
      <c r="D1638" s="230">
        <f t="shared" si="79"/>
        <v>7.4586628324946336E-3</v>
      </c>
      <c r="E1638" s="293">
        <v>4.2743345638236452E-3</v>
      </c>
      <c r="F1638" s="266">
        <f t="shared" si="81"/>
        <v>1631</v>
      </c>
      <c r="G1638" s="230">
        <f t="shared" ca="1" si="80"/>
        <v>2.1664108744781502E-2</v>
      </c>
    </row>
    <row r="1639" spans="2:7" x14ac:dyDescent="0.25">
      <c r="B1639" s="348" t="s">
        <v>1547</v>
      </c>
      <c r="C1639" s="293">
        <v>111.28</v>
      </c>
      <c r="D1639" s="230">
        <f t="shared" si="79"/>
        <v>3.8791159224178529E-3</v>
      </c>
      <c r="E1639" s="293">
        <v>4.2510298886844211E-3</v>
      </c>
      <c r="F1639" s="266">
        <f t="shared" si="81"/>
        <v>1632</v>
      </c>
      <c r="G1639" s="230">
        <f t="shared" ca="1" si="80"/>
        <v>-3.5055581256444819E-2</v>
      </c>
    </row>
    <row r="1640" spans="2:7" x14ac:dyDescent="0.25">
      <c r="B1640" s="348" t="s">
        <v>1548</v>
      </c>
      <c r="C1640" s="293">
        <v>110.85</v>
      </c>
      <c r="D1640" s="230">
        <f t="shared" si="79"/>
        <v>-8.1124932395892912E-4</v>
      </c>
      <c r="E1640" s="293">
        <v>4.2397379071110741E-3</v>
      </c>
      <c r="F1640" s="266">
        <f t="shared" si="81"/>
        <v>1633</v>
      </c>
      <c r="G1640" s="230">
        <f t="shared" ca="1" si="80"/>
        <v>6.5046660418105534E-3</v>
      </c>
    </row>
    <row r="1641" spans="2:7" x14ac:dyDescent="0.25">
      <c r="B1641" s="348" t="s">
        <v>1549</v>
      </c>
      <c r="C1641" s="293">
        <v>110.94</v>
      </c>
      <c r="D1641" s="230">
        <f t="shared" si="79"/>
        <v>1.2595837897042772E-2</v>
      </c>
      <c r="E1641" s="293">
        <v>4.2269988308301087E-3</v>
      </c>
      <c r="F1641" s="266">
        <f t="shared" si="81"/>
        <v>1634</v>
      </c>
      <c r="G1641" s="230">
        <f t="shared" ca="1" si="80"/>
        <v>-5.0955439457415368E-2</v>
      </c>
    </row>
    <row r="1642" spans="2:7" x14ac:dyDescent="0.25">
      <c r="B1642" s="348" t="s">
        <v>1550</v>
      </c>
      <c r="C1642" s="293">
        <v>109.56</v>
      </c>
      <c r="D1642" s="230">
        <f t="shared" si="79"/>
        <v>8.2827167310879357E-3</v>
      </c>
      <c r="E1642" s="293">
        <v>4.2255573364418098E-3</v>
      </c>
      <c r="F1642" s="266">
        <f t="shared" si="81"/>
        <v>1635</v>
      </c>
      <c r="G1642" s="230">
        <f t="shared" ca="1" si="80"/>
        <v>9.070679941975782E-3</v>
      </c>
    </row>
    <row r="1643" spans="2:7" x14ac:dyDescent="0.25">
      <c r="B1643" s="348" t="s">
        <v>1551</v>
      </c>
      <c r="C1643" s="293">
        <v>108.66</v>
      </c>
      <c r="D1643" s="230">
        <f t="shared" si="79"/>
        <v>2.7685492801772238E-3</v>
      </c>
      <c r="E1643" s="293">
        <v>4.2214257268020638E-3</v>
      </c>
      <c r="F1643" s="266">
        <f t="shared" si="81"/>
        <v>1636</v>
      </c>
      <c r="G1643" s="230">
        <f t="shared" ca="1" si="80"/>
        <v>1.2080526197940252E-2</v>
      </c>
    </row>
    <row r="1644" spans="2:7" x14ac:dyDescent="0.25">
      <c r="B1644" s="348" t="s">
        <v>1552</v>
      </c>
      <c r="C1644" s="293">
        <v>108.36</v>
      </c>
      <c r="D1644" s="230">
        <f t="shared" si="79"/>
        <v>1.3752455795677854E-2</v>
      </c>
      <c r="E1644" s="293">
        <v>4.1870202372644716E-3</v>
      </c>
      <c r="F1644" s="266">
        <f t="shared" si="81"/>
        <v>1637</v>
      </c>
      <c r="G1644" s="230">
        <f t="shared" ca="1" si="80"/>
        <v>-1.9398393511776767E-2</v>
      </c>
    </row>
    <row r="1645" spans="2:7" x14ac:dyDescent="0.25">
      <c r="B1645" s="348" t="s">
        <v>1553</v>
      </c>
      <c r="C1645" s="293">
        <v>106.89</v>
      </c>
      <c r="D1645" s="230">
        <f t="shared" si="79"/>
        <v>1.7806132165301802E-2</v>
      </c>
      <c r="E1645" s="293">
        <v>4.1855203619909354E-3</v>
      </c>
      <c r="F1645" s="266">
        <f t="shared" si="81"/>
        <v>1638</v>
      </c>
      <c r="G1645" s="230">
        <f t="shared" ca="1" si="80"/>
        <v>2.8483836642851489E-3</v>
      </c>
    </row>
    <row r="1646" spans="2:7" x14ac:dyDescent="0.25">
      <c r="B1646" s="348" t="s">
        <v>1554</v>
      </c>
      <c r="C1646" s="293">
        <v>105.02</v>
      </c>
      <c r="D1646" s="230">
        <f t="shared" si="79"/>
        <v>2.1948659223207656E-3</v>
      </c>
      <c r="E1646" s="293">
        <v>4.1582511583699855E-3</v>
      </c>
      <c r="F1646" s="266">
        <f t="shared" si="81"/>
        <v>1639</v>
      </c>
      <c r="G1646" s="230">
        <f t="shared" ca="1" si="80"/>
        <v>-1.3391777001918037E-2</v>
      </c>
    </row>
    <row r="1647" spans="2:7" x14ac:dyDescent="0.25">
      <c r="B1647" s="348" t="s">
        <v>1555</v>
      </c>
      <c r="C1647" s="293">
        <v>104.79</v>
      </c>
      <c r="D1647" s="230">
        <f t="shared" si="79"/>
        <v>-1.9646365422396839E-2</v>
      </c>
      <c r="E1647" s="293">
        <v>4.1562759767248547E-3</v>
      </c>
      <c r="F1647" s="266">
        <f t="shared" si="81"/>
        <v>1640</v>
      </c>
      <c r="G1647" s="230">
        <f t="shared" ca="1" si="80"/>
        <v>1.5475370559250103E-2</v>
      </c>
    </row>
    <row r="1648" spans="2:7" x14ac:dyDescent="0.25">
      <c r="B1648" s="348" t="s">
        <v>1556</v>
      </c>
      <c r="C1648" s="293">
        <v>106.89</v>
      </c>
      <c r="D1648" s="230">
        <f t="shared" si="79"/>
        <v>1.1353959693443105E-2</v>
      </c>
      <c r="E1648" s="293">
        <v>4.0816326530612734E-3</v>
      </c>
      <c r="F1648" s="266">
        <f t="shared" si="81"/>
        <v>1641</v>
      </c>
      <c r="G1648" s="230">
        <f t="shared" ca="1" si="80"/>
        <v>6.0776568651516254E-2</v>
      </c>
    </row>
    <row r="1649" spans="2:7" x14ac:dyDescent="0.25">
      <c r="B1649" s="348" t="s">
        <v>1557</v>
      </c>
      <c r="C1649" s="293">
        <v>105.69</v>
      </c>
      <c r="D1649" s="230">
        <f t="shared" si="79"/>
        <v>1.0710528832361232E-2</v>
      </c>
      <c r="E1649" s="293">
        <v>4.0808579292017644E-3</v>
      </c>
      <c r="F1649" s="266">
        <f t="shared" si="81"/>
        <v>1642</v>
      </c>
      <c r="G1649" s="230">
        <f t="shared" ca="1" si="80"/>
        <v>6.8925915065144137E-3</v>
      </c>
    </row>
    <row r="1650" spans="2:7" x14ac:dyDescent="0.25">
      <c r="B1650" s="348">
        <v>43381</v>
      </c>
      <c r="C1650" s="293">
        <v>104.57</v>
      </c>
      <c r="D1650" s="230">
        <f t="shared" si="79"/>
        <v>5.7410774088584304E-4</v>
      </c>
      <c r="E1650" s="293">
        <v>4.0616538221203147E-3</v>
      </c>
      <c r="F1650" s="266">
        <f t="shared" si="81"/>
        <v>1643</v>
      </c>
      <c r="G1650" s="230">
        <f t="shared" ca="1" si="80"/>
        <v>1.5395598474083703E-2</v>
      </c>
    </row>
    <row r="1651" spans="2:7" x14ac:dyDescent="0.25">
      <c r="B1651" s="348">
        <v>43351</v>
      </c>
      <c r="C1651" s="293">
        <v>104.51</v>
      </c>
      <c r="D1651" s="230">
        <f t="shared" si="79"/>
        <v>6.7024128686332674E-4</v>
      </c>
      <c r="E1651" s="293">
        <v>4.0479760119940256E-3</v>
      </c>
      <c r="F1651" s="266">
        <f t="shared" si="81"/>
        <v>1644</v>
      </c>
      <c r="G1651" s="230">
        <f t="shared" ca="1" si="80"/>
        <v>4.5079706563974555E-4</v>
      </c>
    </row>
    <row r="1652" spans="2:7" x14ac:dyDescent="0.25">
      <c r="B1652" s="348">
        <v>43320</v>
      </c>
      <c r="C1652" s="293">
        <v>104.44</v>
      </c>
      <c r="D1652" s="230">
        <f t="shared" si="79"/>
        <v>3.8446751249519018E-3</v>
      </c>
      <c r="E1652" s="293">
        <v>4.0429387982712228E-3</v>
      </c>
      <c r="F1652" s="266">
        <f t="shared" si="81"/>
        <v>1645</v>
      </c>
      <c r="G1652" s="230">
        <f t="shared" ca="1" si="80"/>
        <v>4.2527295879503768E-2</v>
      </c>
    </row>
    <row r="1653" spans="2:7" x14ac:dyDescent="0.25">
      <c r="B1653" s="348">
        <v>43289</v>
      </c>
      <c r="C1653" s="293">
        <v>104.04</v>
      </c>
      <c r="D1653" s="230">
        <f t="shared" si="79"/>
        <v>1.4438348252960864E-3</v>
      </c>
      <c r="E1653" s="293">
        <v>4.029936672423684E-3</v>
      </c>
      <c r="F1653" s="266">
        <f t="shared" si="81"/>
        <v>1646</v>
      </c>
      <c r="G1653" s="230">
        <f t="shared" ca="1" si="80"/>
        <v>-1.4891826304560905E-2</v>
      </c>
    </row>
    <row r="1654" spans="2:7" x14ac:dyDescent="0.25">
      <c r="B1654" s="348">
        <v>43259</v>
      </c>
      <c r="C1654" s="293">
        <v>103.89</v>
      </c>
      <c r="D1654" s="230">
        <f t="shared" si="79"/>
        <v>-3.4532374100719743E-3</v>
      </c>
      <c r="E1654" s="293">
        <v>4.0262767535494959E-3</v>
      </c>
      <c r="F1654" s="266">
        <f t="shared" si="81"/>
        <v>1647</v>
      </c>
      <c r="G1654" s="230">
        <f t="shared" ca="1" si="80"/>
        <v>2.9137479322167491E-3</v>
      </c>
    </row>
    <row r="1655" spans="2:7" x14ac:dyDescent="0.25">
      <c r="B1655" s="348">
        <v>43167</v>
      </c>
      <c r="C1655" s="293">
        <v>104.25</v>
      </c>
      <c r="D1655" s="230">
        <f t="shared" si="79"/>
        <v>-3.9174469711446003E-3</v>
      </c>
      <c r="E1655" s="293">
        <v>4.0252847516251133E-3</v>
      </c>
      <c r="F1655" s="266">
        <f t="shared" si="81"/>
        <v>1648</v>
      </c>
      <c r="G1655" s="230">
        <f t="shared" ca="1" si="80"/>
        <v>-1.264300162834623E-2</v>
      </c>
    </row>
    <row r="1656" spans="2:7" x14ac:dyDescent="0.25">
      <c r="B1656" s="348">
        <v>43139</v>
      </c>
      <c r="C1656" s="293">
        <v>104.66</v>
      </c>
      <c r="D1656" s="230">
        <f t="shared" si="79"/>
        <v>6.2493990962406709E-3</v>
      </c>
      <c r="E1656" s="293">
        <v>4.0144520272982209E-3</v>
      </c>
      <c r="F1656" s="266">
        <f t="shared" si="81"/>
        <v>1649</v>
      </c>
      <c r="G1656" s="230">
        <f t="shared" ca="1" si="80"/>
        <v>-5.4835429153714749E-3</v>
      </c>
    </row>
    <row r="1657" spans="2:7" x14ac:dyDescent="0.25">
      <c r="B1657" s="348">
        <v>43108</v>
      </c>
      <c r="C1657" s="293">
        <v>104.01</v>
      </c>
      <c r="D1657" s="230">
        <f t="shared" si="79"/>
        <v>3.4732272069464276E-3</v>
      </c>
      <c r="E1657" s="293">
        <v>4.013440358409559E-3</v>
      </c>
      <c r="F1657" s="266">
        <f t="shared" si="81"/>
        <v>1650</v>
      </c>
      <c r="G1657" s="230">
        <f t="shared" ca="1" si="80"/>
        <v>-1.7356610377615065E-3</v>
      </c>
    </row>
    <row r="1658" spans="2:7" x14ac:dyDescent="0.25">
      <c r="B1658" s="348" t="s">
        <v>1558</v>
      </c>
      <c r="C1658" s="293">
        <v>103.65</v>
      </c>
      <c r="D1658" s="230">
        <f t="shared" si="79"/>
        <v>1.191057307429455E-2</v>
      </c>
      <c r="E1658" s="293">
        <v>4.0071237756011957E-3</v>
      </c>
      <c r="F1658" s="266">
        <f t="shared" si="81"/>
        <v>1651</v>
      </c>
      <c r="G1658" s="230">
        <f t="shared" ca="1" si="80"/>
        <v>1.8252554864430899E-2</v>
      </c>
    </row>
    <row r="1659" spans="2:7" x14ac:dyDescent="0.25">
      <c r="B1659" s="348" t="s">
        <v>1559</v>
      </c>
      <c r="C1659" s="293">
        <v>102.43</v>
      </c>
      <c r="D1659" s="230">
        <f t="shared" si="79"/>
        <v>-4.9543423353408667E-3</v>
      </c>
      <c r="E1659" s="293">
        <v>4.0053404539386328E-3</v>
      </c>
      <c r="F1659" s="266">
        <f t="shared" si="81"/>
        <v>1652</v>
      </c>
      <c r="G1659" s="230">
        <f t="shared" ca="1" si="80"/>
        <v>5.3808721253075353E-3</v>
      </c>
    </row>
    <row r="1660" spans="2:7" x14ac:dyDescent="0.25">
      <c r="B1660" s="348" t="s">
        <v>1560</v>
      </c>
      <c r="C1660" s="293">
        <v>102.94</v>
      </c>
      <c r="D1660" s="230">
        <f t="shared" si="79"/>
        <v>1.1397131067007127E-2</v>
      </c>
      <c r="E1660" s="293">
        <v>4.0033516432362859E-3</v>
      </c>
      <c r="F1660" s="266">
        <f t="shared" si="81"/>
        <v>1653</v>
      </c>
      <c r="G1660" s="230">
        <f t="shared" ca="1" si="80"/>
        <v>5.6383270407714394E-3</v>
      </c>
    </row>
    <row r="1661" spans="2:7" x14ac:dyDescent="0.25">
      <c r="B1661" s="348" t="s">
        <v>1561</v>
      </c>
      <c r="C1661" s="293">
        <v>101.78</v>
      </c>
      <c r="D1661" s="230">
        <f t="shared" si="79"/>
        <v>-1.1940588292398857E-2</v>
      </c>
      <c r="E1661" s="293">
        <v>3.9958631064309635E-3</v>
      </c>
      <c r="F1661" s="266">
        <f t="shared" si="81"/>
        <v>1654</v>
      </c>
      <c r="G1661" s="230">
        <f t="shared" ca="1" si="80"/>
        <v>1.6242901572689684E-2</v>
      </c>
    </row>
    <row r="1662" spans="2:7" x14ac:dyDescent="0.25">
      <c r="B1662" s="348" t="s">
        <v>1562</v>
      </c>
      <c r="C1662" s="293">
        <v>103.01</v>
      </c>
      <c r="D1662" s="230">
        <f t="shared" si="79"/>
        <v>6.3501367721767732E-3</v>
      </c>
      <c r="E1662" s="293">
        <v>3.9869147413615913E-3</v>
      </c>
      <c r="F1662" s="266">
        <f t="shared" si="81"/>
        <v>1655</v>
      </c>
      <c r="G1662" s="230">
        <f t="shared" ca="1" si="80"/>
        <v>-3.806837355615602E-2</v>
      </c>
    </row>
    <row r="1663" spans="2:7" x14ac:dyDescent="0.25">
      <c r="B1663" s="348" t="s">
        <v>1563</v>
      </c>
      <c r="C1663" s="293">
        <v>102.36</v>
      </c>
      <c r="D1663" s="230">
        <f t="shared" si="79"/>
        <v>-1.2636249638275365E-2</v>
      </c>
      <c r="E1663" s="293">
        <v>3.960769520935381E-3</v>
      </c>
      <c r="F1663" s="266">
        <f t="shared" si="81"/>
        <v>1656</v>
      </c>
      <c r="G1663" s="230">
        <f t="shared" ca="1" si="80"/>
        <v>-1.0278496678573333E-2</v>
      </c>
    </row>
    <row r="1664" spans="2:7" x14ac:dyDescent="0.25">
      <c r="B1664" s="348" t="s">
        <v>1564</v>
      </c>
      <c r="C1664" s="293">
        <v>103.67</v>
      </c>
      <c r="D1664" s="230">
        <f t="shared" si="79"/>
        <v>-2.3087071240105561E-2</v>
      </c>
      <c r="E1664" s="293">
        <v>3.958675292073055E-3</v>
      </c>
      <c r="F1664" s="266">
        <f t="shared" si="81"/>
        <v>1657</v>
      </c>
      <c r="G1664" s="230">
        <f t="shared" ca="1" si="80"/>
        <v>-1.073118766308985E-2</v>
      </c>
    </row>
    <row r="1665" spans="2:7" x14ac:dyDescent="0.25">
      <c r="B1665" s="348" t="s">
        <v>1565</v>
      </c>
      <c r="C1665" s="293">
        <v>106.12</v>
      </c>
      <c r="D1665" s="230">
        <f t="shared" si="79"/>
        <v>-9.7975179621162534E-3</v>
      </c>
      <c r="E1665" s="293">
        <v>3.9514920288867827E-3</v>
      </c>
      <c r="F1665" s="266">
        <f t="shared" si="81"/>
        <v>1658</v>
      </c>
      <c r="G1665" s="230">
        <f t="shared" ca="1" si="80"/>
        <v>3.0693879755536307E-2</v>
      </c>
    </row>
    <row r="1666" spans="2:7" x14ac:dyDescent="0.25">
      <c r="B1666" s="348" t="s">
        <v>1566</v>
      </c>
      <c r="C1666" s="293">
        <v>107.17</v>
      </c>
      <c r="D1666" s="230">
        <f t="shared" si="79"/>
        <v>3.4644194756554558E-3</v>
      </c>
      <c r="E1666" s="293">
        <v>3.9354050753155345E-3</v>
      </c>
      <c r="F1666" s="266">
        <f t="shared" si="81"/>
        <v>1659</v>
      </c>
      <c r="G1666" s="230">
        <f t="shared" ca="1" si="80"/>
        <v>-4.1779061145211255E-3</v>
      </c>
    </row>
    <row r="1667" spans="2:7" x14ac:dyDescent="0.25">
      <c r="B1667" s="348" t="s">
        <v>1567</v>
      </c>
      <c r="C1667" s="293">
        <v>106.8</v>
      </c>
      <c r="D1667" s="230">
        <f t="shared" si="79"/>
        <v>3.1936877700544652E-3</v>
      </c>
      <c r="E1667" s="293">
        <v>3.9292730844795454E-3</v>
      </c>
      <c r="F1667" s="266">
        <f t="shared" si="81"/>
        <v>1660</v>
      </c>
      <c r="G1667" s="230">
        <f t="shared" ca="1" si="80"/>
        <v>-1.6579402179797177E-2</v>
      </c>
    </row>
    <row r="1668" spans="2:7" x14ac:dyDescent="0.25">
      <c r="B1668" s="348" t="s">
        <v>1568</v>
      </c>
      <c r="C1668" s="293">
        <v>106.46</v>
      </c>
      <c r="D1668" s="230">
        <f t="shared" si="79"/>
        <v>2.8259231348906066E-3</v>
      </c>
      <c r="E1668" s="293">
        <v>3.9245667686034214E-3</v>
      </c>
      <c r="F1668" s="266">
        <f t="shared" si="81"/>
        <v>1661</v>
      </c>
      <c r="G1668" s="230">
        <f t="shared" ca="1" si="80"/>
        <v>1.3465299157267177E-2</v>
      </c>
    </row>
    <row r="1669" spans="2:7" x14ac:dyDescent="0.25">
      <c r="B1669" s="348" t="s">
        <v>1569</v>
      </c>
      <c r="C1669" s="293">
        <v>106.16</v>
      </c>
      <c r="D1669" s="230">
        <f t="shared" si="79"/>
        <v>7.9756931257122243E-3</v>
      </c>
      <c r="E1669" s="293">
        <v>3.9244542555800788E-3</v>
      </c>
      <c r="F1669" s="266">
        <f t="shared" si="81"/>
        <v>1662</v>
      </c>
      <c r="G1669" s="230">
        <f t="shared" ca="1" si="80"/>
        <v>1.3657404973885439E-2</v>
      </c>
    </row>
    <row r="1670" spans="2:7" x14ac:dyDescent="0.25">
      <c r="B1670" s="348" t="s">
        <v>1570</v>
      </c>
      <c r="C1670" s="293">
        <v>105.32</v>
      </c>
      <c r="D1670" s="230">
        <f t="shared" si="79"/>
        <v>5.0577345166522569E-3</v>
      </c>
      <c r="E1670" s="293">
        <v>3.9193967537169971E-3</v>
      </c>
      <c r="F1670" s="266">
        <f t="shared" si="81"/>
        <v>1663</v>
      </c>
      <c r="G1670" s="230">
        <f t="shared" ca="1" si="80"/>
        <v>-1.1870321448646803E-2</v>
      </c>
    </row>
    <row r="1671" spans="2:7" x14ac:dyDescent="0.25">
      <c r="B1671" s="348">
        <v>43441</v>
      </c>
      <c r="C1671" s="293">
        <v>104.79</v>
      </c>
      <c r="D1671" s="230">
        <f t="shared" si="79"/>
        <v>2.6950215601724725E-2</v>
      </c>
      <c r="E1671" s="293">
        <v>3.9140724558530682E-3</v>
      </c>
      <c r="F1671" s="266">
        <f t="shared" si="81"/>
        <v>1664</v>
      </c>
      <c r="G1671" s="230">
        <f t="shared" ca="1" si="80"/>
        <v>1.7438406718809481E-2</v>
      </c>
    </row>
    <row r="1672" spans="2:7" x14ac:dyDescent="0.25">
      <c r="B1672" s="348">
        <v>43411</v>
      </c>
      <c r="C1672" s="293">
        <v>102.04</v>
      </c>
      <c r="D1672" s="230">
        <f t="shared" si="79"/>
        <v>5.6174238691240053E-3</v>
      </c>
      <c r="E1672" s="293">
        <v>3.9079461571862595E-3</v>
      </c>
      <c r="F1672" s="266">
        <f t="shared" si="81"/>
        <v>1665</v>
      </c>
      <c r="G1672" s="230">
        <f t="shared" ca="1" si="80"/>
        <v>2.4613080588308692E-3</v>
      </c>
    </row>
    <row r="1673" spans="2:7" x14ac:dyDescent="0.25">
      <c r="B1673" s="348">
        <v>43380</v>
      </c>
      <c r="C1673" s="293">
        <v>101.47</v>
      </c>
      <c r="D1673" s="230">
        <f t="shared" ref="D1673:D1736" si="82">C1673/C1674-1</f>
        <v>2.1235909822866272E-2</v>
      </c>
      <c r="E1673" s="293">
        <v>3.9008080245195309E-3</v>
      </c>
      <c r="F1673" s="266">
        <f t="shared" si="81"/>
        <v>1666</v>
      </c>
      <c r="G1673" s="230">
        <f t="shared" ref="G1673:G1736" ca="1" si="83">_xlfn.NORM.INV(RAND(),$M$10,$M$11)</f>
        <v>4.3691876042009019E-2</v>
      </c>
    </row>
    <row r="1674" spans="2:7" x14ac:dyDescent="0.25">
      <c r="B1674" s="348">
        <v>43350</v>
      </c>
      <c r="C1674" s="293">
        <v>99.36</v>
      </c>
      <c r="D1674" s="230">
        <f t="shared" si="82"/>
        <v>8.2191780821918581E-3</v>
      </c>
      <c r="E1674" s="293">
        <v>3.8988122223229116E-3</v>
      </c>
      <c r="F1674" s="266">
        <f t="shared" ref="F1674:F1737" si="84">F1673+1</f>
        <v>1667</v>
      </c>
      <c r="G1674" s="230">
        <f t="shared" ca="1" si="83"/>
        <v>5.756481757060037E-3</v>
      </c>
    </row>
    <row r="1675" spans="2:7" x14ac:dyDescent="0.25">
      <c r="B1675" s="348">
        <v>43258</v>
      </c>
      <c r="C1675" s="293">
        <v>98.55</v>
      </c>
      <c r="D1675" s="230">
        <f t="shared" si="82"/>
        <v>-4.947495961227899E-3</v>
      </c>
      <c r="E1675" s="293">
        <v>3.895923194656925E-3</v>
      </c>
      <c r="F1675" s="266">
        <f t="shared" si="84"/>
        <v>1668</v>
      </c>
      <c r="G1675" s="230">
        <f t="shared" ca="1" si="83"/>
        <v>-1.1879067384533823E-2</v>
      </c>
    </row>
    <row r="1676" spans="2:7" x14ac:dyDescent="0.25">
      <c r="B1676" s="348">
        <v>43227</v>
      </c>
      <c r="C1676" s="293">
        <v>99.04</v>
      </c>
      <c r="D1676" s="230">
        <f t="shared" si="82"/>
        <v>8.2459533747327729E-3</v>
      </c>
      <c r="E1676" s="293">
        <v>3.8852633176507112E-3</v>
      </c>
      <c r="F1676" s="266">
        <f t="shared" si="84"/>
        <v>1669</v>
      </c>
      <c r="G1676" s="230">
        <f t="shared" ca="1" si="83"/>
        <v>-1.0566388152728529E-2</v>
      </c>
    </row>
    <row r="1677" spans="2:7" x14ac:dyDescent="0.25">
      <c r="B1677" s="348">
        <v>43197</v>
      </c>
      <c r="C1677" s="293">
        <v>98.23</v>
      </c>
      <c r="D1677" s="230">
        <f t="shared" si="82"/>
        <v>2.0364524997473765E-4</v>
      </c>
      <c r="E1677" s="293">
        <v>3.8809831824062613E-3</v>
      </c>
      <c r="F1677" s="266">
        <f t="shared" si="84"/>
        <v>1670</v>
      </c>
      <c r="G1677" s="230">
        <f t="shared" ca="1" si="83"/>
        <v>1.8804762612970642E-2</v>
      </c>
    </row>
    <row r="1678" spans="2:7" x14ac:dyDescent="0.25">
      <c r="B1678" s="348">
        <v>43166</v>
      </c>
      <c r="C1678" s="293">
        <v>98.21</v>
      </c>
      <c r="D1678" s="230">
        <f t="shared" si="82"/>
        <v>5.0143266475644044E-3</v>
      </c>
      <c r="E1678" s="293">
        <v>3.8793521481912396E-3</v>
      </c>
      <c r="F1678" s="266">
        <f t="shared" si="84"/>
        <v>1671</v>
      </c>
      <c r="G1678" s="230">
        <f t="shared" ca="1" si="83"/>
        <v>-1.8587384384069872E-2</v>
      </c>
    </row>
    <row r="1679" spans="2:7" x14ac:dyDescent="0.25">
      <c r="B1679" s="348">
        <v>43138</v>
      </c>
      <c r="C1679" s="293">
        <v>97.72</v>
      </c>
      <c r="D1679" s="230">
        <f t="shared" si="82"/>
        <v>-3.4672649398327371E-3</v>
      </c>
      <c r="E1679" s="293">
        <v>3.8791159224178529E-3</v>
      </c>
      <c r="F1679" s="266">
        <f t="shared" si="84"/>
        <v>1672</v>
      </c>
      <c r="G1679" s="230">
        <f t="shared" ca="1" si="83"/>
        <v>2.7655485145927472E-2</v>
      </c>
    </row>
    <row r="1680" spans="2:7" x14ac:dyDescent="0.25">
      <c r="B1680" s="348" t="s">
        <v>1571</v>
      </c>
      <c r="C1680" s="293">
        <v>98.06</v>
      </c>
      <c r="D1680" s="230">
        <f t="shared" si="82"/>
        <v>1.7114407219168237E-2</v>
      </c>
      <c r="E1680" s="293">
        <v>3.8672542494828654E-3</v>
      </c>
      <c r="F1680" s="266">
        <f t="shared" si="84"/>
        <v>1673</v>
      </c>
      <c r="G1680" s="230">
        <f t="shared" ca="1" si="83"/>
        <v>-2.240988367064533E-3</v>
      </c>
    </row>
    <row r="1681" spans="2:7" x14ac:dyDescent="0.25">
      <c r="B1681" s="348" t="s">
        <v>1572</v>
      </c>
      <c r="C1681" s="293">
        <v>96.41</v>
      </c>
      <c r="D1681" s="230">
        <f t="shared" si="82"/>
        <v>4.0616538221203147E-3</v>
      </c>
      <c r="E1681" s="293">
        <v>3.8504883546206514E-3</v>
      </c>
      <c r="F1681" s="266">
        <f t="shared" si="84"/>
        <v>1674</v>
      </c>
      <c r="G1681" s="230">
        <f t="shared" ca="1" si="83"/>
        <v>-2.2383561935752833E-2</v>
      </c>
    </row>
    <row r="1682" spans="2:7" x14ac:dyDescent="0.25">
      <c r="B1682" s="348" t="s">
        <v>1573</v>
      </c>
      <c r="C1682" s="293">
        <v>96.02</v>
      </c>
      <c r="D1682" s="230">
        <f t="shared" si="82"/>
        <v>-6.00414078674949E-3</v>
      </c>
      <c r="E1682" s="293">
        <v>3.8486209108403724E-3</v>
      </c>
      <c r="F1682" s="266">
        <f t="shared" si="84"/>
        <v>1675</v>
      </c>
      <c r="G1682" s="230">
        <f t="shared" ca="1" si="83"/>
        <v>-3.0361373574351713E-3</v>
      </c>
    </row>
    <row r="1683" spans="2:7" x14ac:dyDescent="0.25">
      <c r="B1683" s="348" t="s">
        <v>1574</v>
      </c>
      <c r="C1683" s="293">
        <v>96.6</v>
      </c>
      <c r="D1683" s="230">
        <f t="shared" si="82"/>
        <v>4.1425020712493321E-4</v>
      </c>
      <c r="E1683" s="293">
        <v>3.8461538461538325E-3</v>
      </c>
      <c r="F1683" s="266">
        <f t="shared" si="84"/>
        <v>1676</v>
      </c>
      <c r="G1683" s="230">
        <f t="shared" ca="1" si="83"/>
        <v>-2.4722394314586373E-2</v>
      </c>
    </row>
    <row r="1684" spans="2:7" x14ac:dyDescent="0.25">
      <c r="B1684" s="348" t="s">
        <v>1575</v>
      </c>
      <c r="C1684" s="293">
        <v>96.56</v>
      </c>
      <c r="D1684" s="230">
        <f t="shared" si="82"/>
        <v>-2.8913672036349203E-3</v>
      </c>
      <c r="E1684" s="293">
        <v>3.8446751249519018E-3</v>
      </c>
      <c r="F1684" s="266">
        <f t="shared" si="84"/>
        <v>1677</v>
      </c>
      <c r="G1684" s="230">
        <f t="shared" ca="1" si="83"/>
        <v>-2.1368603326924203E-2</v>
      </c>
    </row>
    <row r="1685" spans="2:7" x14ac:dyDescent="0.25">
      <c r="B1685" s="348" t="s">
        <v>1576</v>
      </c>
      <c r="C1685" s="293">
        <v>96.84</v>
      </c>
      <c r="D1685" s="230">
        <f t="shared" si="82"/>
        <v>-1.5465511908443474E-3</v>
      </c>
      <c r="E1685" s="293">
        <v>3.8416075650116177E-3</v>
      </c>
      <c r="F1685" s="266">
        <f t="shared" si="84"/>
        <v>1678</v>
      </c>
      <c r="G1685" s="230">
        <f t="shared" ca="1" si="83"/>
        <v>1.1446495205924759E-2</v>
      </c>
    </row>
    <row r="1686" spans="2:7" x14ac:dyDescent="0.25">
      <c r="B1686" s="348" t="s">
        <v>1577</v>
      </c>
      <c r="C1686" s="293">
        <v>96.99</v>
      </c>
      <c r="D1686" s="230">
        <f t="shared" si="82"/>
        <v>-4.1071978642571727E-3</v>
      </c>
      <c r="E1686" s="293">
        <v>3.8320559813393995E-3</v>
      </c>
      <c r="F1686" s="266">
        <f t="shared" si="84"/>
        <v>1679</v>
      </c>
      <c r="G1686" s="230">
        <f t="shared" ca="1" si="83"/>
        <v>-4.4522778455043455E-3</v>
      </c>
    </row>
    <row r="1687" spans="2:7" x14ac:dyDescent="0.25">
      <c r="B1687" s="348" t="s">
        <v>1578</v>
      </c>
      <c r="C1687" s="293">
        <v>97.39</v>
      </c>
      <c r="D1687" s="230">
        <f t="shared" si="82"/>
        <v>-5.0061299550469007E-3</v>
      </c>
      <c r="E1687" s="293">
        <v>3.8287010777084962E-3</v>
      </c>
      <c r="F1687" s="266">
        <f t="shared" si="84"/>
        <v>1680</v>
      </c>
      <c r="G1687" s="230">
        <f t="shared" ca="1" si="83"/>
        <v>1.1188892426581167E-2</v>
      </c>
    </row>
    <row r="1688" spans="2:7" x14ac:dyDescent="0.25">
      <c r="B1688" s="348" t="s">
        <v>1579</v>
      </c>
      <c r="C1688" s="293">
        <v>97.88</v>
      </c>
      <c r="D1688" s="230">
        <f t="shared" si="82"/>
        <v>-1.7860726469998034E-2</v>
      </c>
      <c r="E1688" s="293">
        <v>3.824457405105619E-3</v>
      </c>
      <c r="F1688" s="266">
        <f t="shared" si="84"/>
        <v>1681</v>
      </c>
      <c r="G1688" s="230">
        <f t="shared" ca="1" si="83"/>
        <v>-1.0024931732365416E-2</v>
      </c>
    </row>
    <row r="1689" spans="2:7" x14ac:dyDescent="0.25">
      <c r="B1689" s="348" t="s">
        <v>1580</v>
      </c>
      <c r="C1689" s="293">
        <v>99.66</v>
      </c>
      <c r="D1689" s="230">
        <f t="shared" si="82"/>
        <v>-4.296133479868236E-3</v>
      </c>
      <c r="E1689" s="293">
        <v>3.8216025533344133E-3</v>
      </c>
      <c r="F1689" s="266">
        <f t="shared" si="84"/>
        <v>1682</v>
      </c>
      <c r="G1689" s="230">
        <f t="shared" ca="1" si="83"/>
        <v>-8.1755081538751745E-3</v>
      </c>
    </row>
    <row r="1690" spans="2:7" x14ac:dyDescent="0.25">
      <c r="B1690" s="348" t="s">
        <v>1581</v>
      </c>
      <c r="C1690" s="293">
        <v>100.09</v>
      </c>
      <c r="D1690" s="230">
        <f t="shared" si="82"/>
        <v>1.9019019019019812E-3</v>
      </c>
      <c r="E1690" s="293">
        <v>3.8189903217367149E-3</v>
      </c>
      <c r="F1690" s="266">
        <f t="shared" si="84"/>
        <v>1683</v>
      </c>
      <c r="G1690" s="230">
        <f t="shared" ca="1" si="83"/>
        <v>-3.0427064699455594E-2</v>
      </c>
    </row>
    <row r="1691" spans="2:7" x14ac:dyDescent="0.25">
      <c r="B1691" s="348" t="s">
        <v>1582</v>
      </c>
      <c r="C1691" s="293">
        <v>99.9</v>
      </c>
      <c r="D1691" s="230">
        <f t="shared" si="82"/>
        <v>-8.9285714285713969E-3</v>
      </c>
      <c r="E1691" s="293">
        <v>3.8043478260869623E-3</v>
      </c>
      <c r="F1691" s="266">
        <f t="shared" si="84"/>
        <v>1684</v>
      </c>
      <c r="G1691" s="230">
        <f t="shared" ca="1" si="83"/>
        <v>1.2562491120054982E-2</v>
      </c>
    </row>
    <row r="1692" spans="2:7" x14ac:dyDescent="0.25">
      <c r="B1692" s="348" t="s">
        <v>1583</v>
      </c>
      <c r="C1692" s="293">
        <v>100.8</v>
      </c>
      <c r="D1692" s="230">
        <f t="shared" si="82"/>
        <v>8.8070456365092475E-3</v>
      </c>
      <c r="E1692" s="293">
        <v>3.8040893961006628E-3</v>
      </c>
      <c r="F1692" s="266">
        <f t="shared" si="84"/>
        <v>1685</v>
      </c>
      <c r="G1692" s="230">
        <f t="shared" ca="1" si="83"/>
        <v>1.4973520410146261E-2</v>
      </c>
    </row>
    <row r="1693" spans="2:7" x14ac:dyDescent="0.25">
      <c r="B1693" s="348">
        <v>43440</v>
      </c>
      <c r="C1693" s="293">
        <v>99.92</v>
      </c>
      <c r="D1693" s="230">
        <f t="shared" si="82"/>
        <v>7.7660110943014171E-3</v>
      </c>
      <c r="E1693" s="293">
        <v>3.8026428367716747E-3</v>
      </c>
      <c r="F1693" s="266">
        <f t="shared" si="84"/>
        <v>1686</v>
      </c>
      <c r="G1693" s="230">
        <f t="shared" ca="1" si="83"/>
        <v>-1.6670909769259555E-3</v>
      </c>
    </row>
    <row r="1694" spans="2:7" x14ac:dyDescent="0.25">
      <c r="B1694" s="348">
        <v>43410</v>
      </c>
      <c r="C1694" s="293">
        <v>99.15</v>
      </c>
      <c r="D1694" s="230">
        <f t="shared" si="82"/>
        <v>1.5151515151514694E-3</v>
      </c>
      <c r="E1694" s="293">
        <v>3.7973776599555809E-3</v>
      </c>
      <c r="F1694" s="266">
        <f t="shared" si="84"/>
        <v>1687</v>
      </c>
      <c r="G1694" s="230">
        <f t="shared" ca="1" si="83"/>
        <v>-3.6964369523436999E-2</v>
      </c>
    </row>
    <row r="1695" spans="2:7" x14ac:dyDescent="0.25">
      <c r="B1695" s="348">
        <v>43318</v>
      </c>
      <c r="C1695" s="293">
        <v>99</v>
      </c>
      <c r="D1695" s="230">
        <f t="shared" si="82"/>
        <v>-2.2172949002217113E-3</v>
      </c>
      <c r="E1695" s="293">
        <v>3.7942193951567837E-3</v>
      </c>
      <c r="F1695" s="266">
        <f t="shared" si="84"/>
        <v>1688</v>
      </c>
      <c r="G1695" s="230">
        <f t="shared" ca="1" si="83"/>
        <v>2.1035086519070378E-2</v>
      </c>
    </row>
    <row r="1696" spans="2:7" x14ac:dyDescent="0.25">
      <c r="B1696" s="348">
        <v>43287</v>
      </c>
      <c r="C1696" s="293">
        <v>99.22</v>
      </c>
      <c r="D1696" s="230">
        <f t="shared" si="82"/>
        <v>2.0571898786257981E-2</v>
      </c>
      <c r="E1696" s="293">
        <v>3.7923678596825106E-3</v>
      </c>
      <c r="F1696" s="266">
        <f t="shared" si="84"/>
        <v>1689</v>
      </c>
      <c r="G1696" s="230">
        <f t="shared" ca="1" si="83"/>
        <v>-1.4457102377202985E-3</v>
      </c>
    </row>
    <row r="1697" spans="2:7" x14ac:dyDescent="0.25">
      <c r="B1697" s="348">
        <v>43257</v>
      </c>
      <c r="C1697" s="293">
        <v>97.22</v>
      </c>
      <c r="D1697" s="230">
        <f t="shared" si="82"/>
        <v>1.5670706226494024E-2</v>
      </c>
      <c r="E1697" s="293">
        <v>3.786285233487563E-3</v>
      </c>
      <c r="F1697" s="266">
        <f t="shared" si="84"/>
        <v>1690</v>
      </c>
      <c r="G1697" s="230">
        <f t="shared" ca="1" si="83"/>
        <v>1.6287583564809662E-3</v>
      </c>
    </row>
    <row r="1698" spans="2:7" x14ac:dyDescent="0.25">
      <c r="B1698" s="348">
        <v>43226</v>
      </c>
      <c r="C1698" s="293">
        <v>95.72</v>
      </c>
      <c r="D1698" s="230">
        <f t="shared" si="82"/>
        <v>-1.8860188601886096E-2</v>
      </c>
      <c r="E1698" s="293">
        <v>3.7860163241223432E-3</v>
      </c>
      <c r="F1698" s="266">
        <f t="shared" si="84"/>
        <v>1691</v>
      </c>
      <c r="G1698" s="230">
        <f t="shared" ca="1" si="83"/>
        <v>-2.5691863778636768E-2</v>
      </c>
    </row>
    <row r="1699" spans="2:7" x14ac:dyDescent="0.25">
      <c r="B1699" s="348">
        <v>43196</v>
      </c>
      <c r="C1699" s="293">
        <v>97.56</v>
      </c>
      <c r="D1699" s="230">
        <f t="shared" si="82"/>
        <v>-1.6373311502251298E-3</v>
      </c>
      <c r="E1699" s="293">
        <v>3.785991830228097E-3</v>
      </c>
      <c r="F1699" s="266">
        <f t="shared" si="84"/>
        <v>1692</v>
      </c>
      <c r="G1699" s="230">
        <f t="shared" ca="1" si="83"/>
        <v>5.9891614871403365E-3</v>
      </c>
    </row>
    <row r="1700" spans="2:7" x14ac:dyDescent="0.25">
      <c r="B1700" s="348">
        <v>43106</v>
      </c>
      <c r="C1700" s="293">
        <v>97.72</v>
      </c>
      <c r="D1700" s="230">
        <f t="shared" si="82"/>
        <v>-4.9893086243762985E-3</v>
      </c>
      <c r="E1700" s="293">
        <v>3.7775323996047661E-3</v>
      </c>
      <c r="F1700" s="266">
        <f t="shared" si="84"/>
        <v>1693</v>
      </c>
      <c r="G1700" s="230">
        <f t="shared" ca="1" si="83"/>
        <v>-1.3938101442357595E-2</v>
      </c>
    </row>
    <row r="1701" spans="2:7" x14ac:dyDescent="0.25">
      <c r="B1701" s="348" t="s">
        <v>1584</v>
      </c>
      <c r="C1701" s="293">
        <v>98.21</v>
      </c>
      <c r="D1701" s="230">
        <f t="shared" si="82"/>
        <v>3.9869147413615913E-3</v>
      </c>
      <c r="E1701" s="293">
        <v>3.7742796649176125E-3</v>
      </c>
      <c r="F1701" s="266">
        <f t="shared" si="84"/>
        <v>1694</v>
      </c>
      <c r="G1701" s="230">
        <f t="shared" ca="1" si="83"/>
        <v>6.1446923863545458E-4</v>
      </c>
    </row>
    <row r="1702" spans="2:7" x14ac:dyDescent="0.25">
      <c r="B1702" s="348" t="s">
        <v>1585</v>
      </c>
      <c r="C1702" s="293">
        <v>97.82</v>
      </c>
      <c r="D1702" s="230">
        <f t="shared" si="82"/>
        <v>-8.111944838775198E-3</v>
      </c>
      <c r="E1702" s="293">
        <v>3.7715021617148459E-3</v>
      </c>
      <c r="F1702" s="266">
        <f t="shared" si="84"/>
        <v>1695</v>
      </c>
      <c r="G1702" s="230">
        <f t="shared" ca="1" si="83"/>
        <v>1.6783390556895088E-2</v>
      </c>
    </row>
    <row r="1703" spans="2:7" x14ac:dyDescent="0.25">
      <c r="B1703" s="348" t="s">
        <v>1586</v>
      </c>
      <c r="C1703" s="293">
        <v>98.62</v>
      </c>
      <c r="D1703" s="230">
        <f t="shared" si="82"/>
        <v>-1.215312943082747E-3</v>
      </c>
      <c r="E1703" s="293">
        <v>3.7580842510049894E-3</v>
      </c>
      <c r="F1703" s="266">
        <f t="shared" si="84"/>
        <v>1696</v>
      </c>
      <c r="G1703" s="230">
        <f t="shared" ca="1" si="83"/>
        <v>-1.7376381073596403E-2</v>
      </c>
    </row>
    <row r="1704" spans="2:7" x14ac:dyDescent="0.25">
      <c r="B1704" s="348" t="s">
        <v>1587</v>
      </c>
      <c r="C1704" s="293">
        <v>98.74</v>
      </c>
      <c r="D1704" s="230">
        <f t="shared" si="82"/>
        <v>-4.8377343277565821E-3</v>
      </c>
      <c r="E1704" s="293">
        <v>3.7433155080213165E-3</v>
      </c>
      <c r="F1704" s="266">
        <f t="shared" si="84"/>
        <v>1697</v>
      </c>
      <c r="G1704" s="230">
        <f t="shared" ca="1" si="83"/>
        <v>-2.0397284299229761E-2</v>
      </c>
    </row>
    <row r="1705" spans="2:7" x14ac:dyDescent="0.25">
      <c r="B1705" s="348" t="s">
        <v>1588</v>
      </c>
      <c r="C1705" s="293">
        <v>99.22</v>
      </c>
      <c r="D1705" s="230">
        <f t="shared" si="82"/>
        <v>9.0789871885399442E-4</v>
      </c>
      <c r="E1705" s="293">
        <v>3.742690058479381E-3</v>
      </c>
      <c r="F1705" s="266">
        <f t="shared" si="84"/>
        <v>1698</v>
      </c>
      <c r="G1705" s="230">
        <f t="shared" ca="1" si="83"/>
        <v>-8.5212719962776389E-3</v>
      </c>
    </row>
    <row r="1706" spans="2:7" x14ac:dyDescent="0.25">
      <c r="B1706" s="348" t="s">
        <v>1589</v>
      </c>
      <c r="C1706" s="293">
        <v>99.13</v>
      </c>
      <c r="D1706" s="230">
        <f t="shared" si="82"/>
        <v>3.4416438910820357E-3</v>
      </c>
      <c r="E1706" s="293">
        <v>3.7231342020647151E-3</v>
      </c>
      <c r="F1706" s="266">
        <f t="shared" si="84"/>
        <v>1699</v>
      </c>
      <c r="G1706" s="230">
        <f t="shared" ca="1" si="83"/>
        <v>4.4437373629153586E-2</v>
      </c>
    </row>
    <row r="1707" spans="2:7" x14ac:dyDescent="0.25">
      <c r="B1707" s="348" t="s">
        <v>1590</v>
      </c>
      <c r="C1707" s="293">
        <v>98.79</v>
      </c>
      <c r="D1707" s="230">
        <f t="shared" si="82"/>
        <v>-5.7367149758453806E-3</v>
      </c>
      <c r="E1707" s="293">
        <v>3.717117804041159E-3</v>
      </c>
      <c r="F1707" s="266">
        <f t="shared" si="84"/>
        <v>1700</v>
      </c>
      <c r="G1707" s="230">
        <f t="shared" ca="1" si="83"/>
        <v>1.9222493636175036E-2</v>
      </c>
    </row>
    <row r="1708" spans="2:7" x14ac:dyDescent="0.25">
      <c r="B1708" s="348" t="s">
        <v>1591</v>
      </c>
      <c r="C1708" s="293">
        <v>99.36</v>
      </c>
      <c r="D1708" s="230">
        <f t="shared" si="82"/>
        <v>4.0273862263395799E-4</v>
      </c>
      <c r="E1708" s="293">
        <v>3.7159372419488523E-3</v>
      </c>
      <c r="F1708" s="266">
        <f t="shared" si="84"/>
        <v>1701</v>
      </c>
      <c r="G1708" s="230">
        <f t="shared" ca="1" si="83"/>
        <v>-1.2807060820025834E-2</v>
      </c>
    </row>
    <row r="1709" spans="2:7" x14ac:dyDescent="0.25">
      <c r="B1709" s="348" t="s">
        <v>1592</v>
      </c>
      <c r="C1709" s="293">
        <v>99.32</v>
      </c>
      <c r="D1709" s="230">
        <f t="shared" si="82"/>
        <v>-1.507338357794541E-2</v>
      </c>
      <c r="E1709" s="293">
        <v>3.7074225689348594E-3</v>
      </c>
      <c r="F1709" s="266">
        <f t="shared" si="84"/>
        <v>1702</v>
      </c>
      <c r="G1709" s="230">
        <f t="shared" ca="1" si="83"/>
        <v>1.5994352395213686E-3</v>
      </c>
    </row>
    <row r="1710" spans="2:7" x14ac:dyDescent="0.25">
      <c r="B1710" s="348" t="s">
        <v>1593</v>
      </c>
      <c r="C1710" s="293">
        <v>100.84</v>
      </c>
      <c r="D1710" s="230">
        <f t="shared" si="82"/>
        <v>-3.3914543015903353E-2</v>
      </c>
      <c r="E1710" s="293">
        <v>3.7052284890901621E-3</v>
      </c>
      <c r="F1710" s="266">
        <f t="shared" si="84"/>
        <v>1703</v>
      </c>
      <c r="G1710" s="230">
        <f t="shared" ca="1" si="83"/>
        <v>1.7204153246461473E-3</v>
      </c>
    </row>
    <row r="1711" spans="2:7" x14ac:dyDescent="0.25">
      <c r="B1711" s="348" t="s">
        <v>1594</v>
      </c>
      <c r="C1711" s="293">
        <v>104.38</v>
      </c>
      <c r="D1711" s="230">
        <f t="shared" si="82"/>
        <v>1.3299679642753137E-2</v>
      </c>
      <c r="E1711" s="293">
        <v>3.7037037037035425E-3</v>
      </c>
      <c r="F1711" s="266">
        <f t="shared" si="84"/>
        <v>1704</v>
      </c>
      <c r="G1711" s="230">
        <f t="shared" ca="1" si="83"/>
        <v>1.6734184295661522E-2</v>
      </c>
    </row>
    <row r="1712" spans="2:7" x14ac:dyDescent="0.25">
      <c r="B1712" s="348" t="s">
        <v>1595</v>
      </c>
      <c r="C1712" s="293">
        <v>103.01</v>
      </c>
      <c r="D1712" s="230">
        <f t="shared" si="82"/>
        <v>1.3678409761857857E-2</v>
      </c>
      <c r="E1712" s="293">
        <v>3.6868973340895561E-3</v>
      </c>
      <c r="F1712" s="266">
        <f t="shared" si="84"/>
        <v>1705</v>
      </c>
      <c r="G1712" s="230">
        <f t="shared" ca="1" si="83"/>
        <v>4.5060730890238467E-2</v>
      </c>
    </row>
    <row r="1713" spans="2:7" x14ac:dyDescent="0.25">
      <c r="B1713" s="348" t="s">
        <v>1596</v>
      </c>
      <c r="C1713" s="293">
        <v>101.62</v>
      </c>
      <c r="D1713" s="230">
        <f t="shared" si="82"/>
        <v>-4.993635562518306E-3</v>
      </c>
      <c r="E1713" s="293">
        <v>3.6782980415548394E-3</v>
      </c>
      <c r="F1713" s="266">
        <f t="shared" si="84"/>
        <v>1706</v>
      </c>
      <c r="G1713" s="230">
        <f t="shared" ca="1" si="83"/>
        <v>-1.7028704236040582E-2</v>
      </c>
    </row>
    <row r="1714" spans="2:7" x14ac:dyDescent="0.25">
      <c r="B1714" s="348" t="s">
        <v>1597</v>
      </c>
      <c r="C1714" s="293">
        <v>102.13</v>
      </c>
      <c r="D1714" s="230">
        <f t="shared" si="82"/>
        <v>-1.0758998435054234E-3</v>
      </c>
      <c r="E1714" s="293">
        <v>3.6687048360199981E-3</v>
      </c>
      <c r="F1714" s="266">
        <f t="shared" si="84"/>
        <v>1707</v>
      </c>
      <c r="G1714" s="230">
        <f t="shared" ca="1" si="83"/>
        <v>-2.2947092948907281E-2</v>
      </c>
    </row>
    <row r="1715" spans="2:7" x14ac:dyDescent="0.25">
      <c r="B1715" s="348">
        <v>43409</v>
      </c>
      <c r="C1715" s="293">
        <v>102.24</v>
      </c>
      <c r="D1715" s="230">
        <f t="shared" si="82"/>
        <v>8.0851902977716605E-3</v>
      </c>
      <c r="E1715" s="293">
        <v>3.6686619038424073E-3</v>
      </c>
      <c r="F1715" s="266">
        <f t="shared" si="84"/>
        <v>1708</v>
      </c>
      <c r="G1715" s="230">
        <f t="shared" ca="1" si="83"/>
        <v>5.8691115778888581E-3</v>
      </c>
    </row>
    <row r="1716" spans="2:7" x14ac:dyDescent="0.25">
      <c r="B1716" s="348">
        <v>43378</v>
      </c>
      <c r="C1716" s="293">
        <v>101.42</v>
      </c>
      <c r="D1716" s="230">
        <f t="shared" si="82"/>
        <v>7.8942174856910796E-4</v>
      </c>
      <c r="E1716" s="293">
        <v>3.6678403755867617E-3</v>
      </c>
      <c r="F1716" s="266">
        <f t="shared" si="84"/>
        <v>1709</v>
      </c>
      <c r="G1716" s="230">
        <f t="shared" ca="1" si="83"/>
        <v>-6.4814111042124489E-3</v>
      </c>
    </row>
    <row r="1717" spans="2:7" x14ac:dyDescent="0.25">
      <c r="B1717" s="348">
        <v>43348</v>
      </c>
      <c r="C1717" s="293">
        <v>101.34</v>
      </c>
      <c r="D1717" s="230">
        <f t="shared" si="82"/>
        <v>-9.1904575674618405E-3</v>
      </c>
      <c r="E1717" s="293">
        <v>3.6659877800406804E-3</v>
      </c>
      <c r="F1717" s="266">
        <f t="shared" si="84"/>
        <v>1710</v>
      </c>
      <c r="G1717" s="230">
        <f t="shared" ca="1" si="83"/>
        <v>1.0646766664560377E-2</v>
      </c>
    </row>
    <row r="1718" spans="2:7" x14ac:dyDescent="0.25">
      <c r="B1718" s="348">
        <v>43317</v>
      </c>
      <c r="C1718" s="293">
        <v>102.28</v>
      </c>
      <c r="D1718" s="230">
        <f t="shared" si="82"/>
        <v>-7.2794331748035068E-3</v>
      </c>
      <c r="E1718" s="293">
        <v>3.6607687614398365E-3</v>
      </c>
      <c r="F1718" s="266">
        <f t="shared" si="84"/>
        <v>1711</v>
      </c>
      <c r="G1718" s="230">
        <f t="shared" ca="1" si="83"/>
        <v>3.5075556238128622E-2</v>
      </c>
    </row>
    <row r="1719" spans="2:7" x14ac:dyDescent="0.25">
      <c r="B1719" s="348">
        <v>43286</v>
      </c>
      <c r="C1719" s="293">
        <v>103.03</v>
      </c>
      <c r="D1719" s="230">
        <f t="shared" si="82"/>
        <v>1.7982412805058967E-2</v>
      </c>
      <c r="E1719" s="293">
        <v>3.6463081130357899E-3</v>
      </c>
      <c r="F1719" s="266">
        <f t="shared" si="84"/>
        <v>1712</v>
      </c>
      <c r="G1719" s="230">
        <f t="shared" ca="1" si="83"/>
        <v>-7.9882931214786436E-3</v>
      </c>
    </row>
    <row r="1720" spans="2:7" x14ac:dyDescent="0.25">
      <c r="B1720" s="348">
        <v>43195</v>
      </c>
      <c r="C1720" s="293">
        <v>101.21</v>
      </c>
      <c r="D1720" s="230">
        <f t="shared" si="82"/>
        <v>-5.6980056980058258E-3</v>
      </c>
      <c r="E1720" s="293">
        <v>3.6445192038125906E-3</v>
      </c>
      <c r="F1720" s="266">
        <f t="shared" si="84"/>
        <v>1713</v>
      </c>
      <c r="G1720" s="230">
        <f t="shared" ca="1" si="83"/>
        <v>4.1591533682696566E-3</v>
      </c>
    </row>
    <row r="1721" spans="2:7" x14ac:dyDescent="0.25">
      <c r="B1721" s="348">
        <v>43164</v>
      </c>
      <c r="C1721" s="293">
        <v>101.79</v>
      </c>
      <c r="D1721" s="230">
        <f t="shared" si="82"/>
        <v>-1.4903706571179676E-2</v>
      </c>
      <c r="E1721" s="293">
        <v>3.6291054255126465E-3</v>
      </c>
      <c r="F1721" s="266">
        <f t="shared" si="84"/>
        <v>1714</v>
      </c>
      <c r="G1721" s="230">
        <f t="shared" ca="1" si="83"/>
        <v>1.4190194334857322E-2</v>
      </c>
    </row>
    <row r="1722" spans="2:7" x14ac:dyDescent="0.25">
      <c r="B1722" s="348">
        <v>43136</v>
      </c>
      <c r="C1722" s="293">
        <v>103.33</v>
      </c>
      <c r="D1722" s="230">
        <f t="shared" si="82"/>
        <v>-1.1479957906820992E-2</v>
      </c>
      <c r="E1722" s="293">
        <v>3.626894820050186E-3</v>
      </c>
      <c r="F1722" s="266">
        <f t="shared" si="84"/>
        <v>1715</v>
      </c>
      <c r="G1722" s="230">
        <f t="shared" ca="1" si="83"/>
        <v>-6.5032677660981043E-3</v>
      </c>
    </row>
    <row r="1723" spans="2:7" x14ac:dyDescent="0.25">
      <c r="B1723" s="348" t="s">
        <v>1598</v>
      </c>
      <c r="C1723" s="293">
        <v>104.53</v>
      </c>
      <c r="D1723" s="230">
        <f t="shared" si="82"/>
        <v>9.3665507918114788E-3</v>
      </c>
      <c r="E1723" s="293">
        <v>3.6246476037051778E-3</v>
      </c>
      <c r="F1723" s="266">
        <f t="shared" si="84"/>
        <v>1716</v>
      </c>
      <c r="G1723" s="230">
        <f t="shared" ca="1" si="83"/>
        <v>1.5761001432654145E-2</v>
      </c>
    </row>
    <row r="1724" spans="2:7" x14ac:dyDescent="0.25">
      <c r="B1724" s="348" t="s">
        <v>1599</v>
      </c>
      <c r="C1724" s="293">
        <v>103.56</v>
      </c>
      <c r="D1724" s="230">
        <f t="shared" si="82"/>
        <v>-1.8481660506113218E-2</v>
      </c>
      <c r="E1724" s="293">
        <v>3.6199095022626526E-3</v>
      </c>
      <c r="F1724" s="266">
        <f t="shared" si="84"/>
        <v>1717</v>
      </c>
      <c r="G1724" s="230">
        <f t="shared" ca="1" si="83"/>
        <v>-8.8714135571210696E-3</v>
      </c>
    </row>
    <row r="1725" spans="2:7" x14ac:dyDescent="0.25">
      <c r="B1725" s="348" t="s">
        <v>1600</v>
      </c>
      <c r="C1725" s="293">
        <v>105.51</v>
      </c>
      <c r="D1725" s="230">
        <f t="shared" si="82"/>
        <v>-2.0152303120356652E-2</v>
      </c>
      <c r="E1725" s="293">
        <v>3.5967302452315497E-3</v>
      </c>
      <c r="F1725" s="266">
        <f t="shared" si="84"/>
        <v>1718</v>
      </c>
      <c r="G1725" s="230">
        <f t="shared" ca="1" si="83"/>
        <v>-4.7993118343523603E-3</v>
      </c>
    </row>
    <row r="1726" spans="2:7" x14ac:dyDescent="0.25">
      <c r="B1726" s="348" t="s">
        <v>1601</v>
      </c>
      <c r="C1726" s="293">
        <v>107.68</v>
      </c>
      <c r="D1726" s="230">
        <f t="shared" si="82"/>
        <v>6.5049716569109961E-4</v>
      </c>
      <c r="E1726" s="293">
        <v>3.5779905231603237E-3</v>
      </c>
      <c r="F1726" s="266">
        <f t="shared" si="84"/>
        <v>1719</v>
      </c>
      <c r="G1726" s="230">
        <f t="shared" ca="1" si="83"/>
        <v>1.2501772417207794E-2</v>
      </c>
    </row>
    <row r="1727" spans="2:7" x14ac:dyDescent="0.25">
      <c r="B1727" s="348" t="s">
        <v>1602</v>
      </c>
      <c r="C1727" s="293">
        <v>107.61</v>
      </c>
      <c r="D1727" s="230">
        <f t="shared" si="82"/>
        <v>-3.4974441754102803E-2</v>
      </c>
      <c r="E1727" s="293">
        <v>3.5645736221552315E-3</v>
      </c>
      <c r="F1727" s="266">
        <f t="shared" si="84"/>
        <v>1720</v>
      </c>
      <c r="G1727" s="230">
        <f t="shared" ca="1" si="83"/>
        <v>-2.6016069363586761E-2</v>
      </c>
    </row>
    <row r="1728" spans="2:7" x14ac:dyDescent="0.25">
      <c r="B1728" s="348" t="s">
        <v>1603</v>
      </c>
      <c r="C1728" s="293">
        <v>111.51</v>
      </c>
      <c r="D1728" s="230">
        <f t="shared" si="82"/>
        <v>-2.3262056007872234E-3</v>
      </c>
      <c r="E1728" s="293">
        <v>3.5538005923001492E-3</v>
      </c>
      <c r="F1728" s="266">
        <f t="shared" si="84"/>
        <v>1721</v>
      </c>
      <c r="G1728" s="230">
        <f t="shared" ca="1" si="83"/>
        <v>6.2131122228853168E-3</v>
      </c>
    </row>
    <row r="1729" spans="2:7" x14ac:dyDescent="0.25">
      <c r="B1729" s="348" t="s">
        <v>1604</v>
      </c>
      <c r="C1729" s="293">
        <v>111.77</v>
      </c>
      <c r="D1729" s="230">
        <f t="shared" si="82"/>
        <v>1.914835415336924E-2</v>
      </c>
      <c r="E1729" s="293">
        <v>3.5478466541833953E-3</v>
      </c>
      <c r="F1729" s="266">
        <f t="shared" si="84"/>
        <v>1722</v>
      </c>
      <c r="G1729" s="230">
        <f t="shared" ca="1" si="83"/>
        <v>-4.2414832627704338E-3</v>
      </c>
    </row>
    <row r="1730" spans="2:7" x14ac:dyDescent="0.25">
      <c r="B1730" s="348" t="s">
        <v>1605</v>
      </c>
      <c r="C1730" s="293">
        <v>109.67</v>
      </c>
      <c r="D1730" s="230">
        <f t="shared" si="82"/>
        <v>-6.378713322398033E-4</v>
      </c>
      <c r="E1730" s="293">
        <v>3.5353178250725481E-3</v>
      </c>
      <c r="F1730" s="266">
        <f t="shared" si="84"/>
        <v>1723</v>
      </c>
      <c r="G1730" s="230">
        <f t="shared" ca="1" si="83"/>
        <v>2.1050172862668033E-2</v>
      </c>
    </row>
    <row r="1731" spans="2:7" x14ac:dyDescent="0.25">
      <c r="B1731" s="348" t="s">
        <v>1606</v>
      </c>
      <c r="C1731" s="293">
        <v>109.74</v>
      </c>
      <c r="D1731" s="230">
        <f t="shared" si="82"/>
        <v>2.7720546918898581E-2</v>
      </c>
      <c r="E1731" s="293">
        <v>3.5321424967200699E-3</v>
      </c>
      <c r="F1731" s="266">
        <f t="shared" si="84"/>
        <v>1724</v>
      </c>
      <c r="G1731" s="230">
        <f t="shared" ca="1" si="83"/>
        <v>1.2025155992774886E-2</v>
      </c>
    </row>
    <row r="1732" spans="2:7" x14ac:dyDescent="0.25">
      <c r="B1732" s="348" t="s">
        <v>1607</v>
      </c>
      <c r="C1732" s="293">
        <v>106.78</v>
      </c>
      <c r="D1732" s="230">
        <f t="shared" si="82"/>
        <v>-1.7753656517339622E-2</v>
      </c>
      <c r="E1732" s="293">
        <v>3.5197497066874472E-3</v>
      </c>
      <c r="F1732" s="266">
        <f t="shared" si="84"/>
        <v>1725</v>
      </c>
      <c r="G1732" s="230">
        <f t="shared" ca="1" si="83"/>
        <v>2.6013733854011868E-3</v>
      </c>
    </row>
    <row r="1733" spans="2:7" x14ac:dyDescent="0.25">
      <c r="B1733" s="348" t="s">
        <v>1608</v>
      </c>
      <c r="C1733" s="293">
        <v>108.71</v>
      </c>
      <c r="D1733" s="230">
        <f t="shared" si="82"/>
        <v>-1.4504578007433655E-2</v>
      </c>
      <c r="E1733" s="293">
        <v>3.5087719298243503E-3</v>
      </c>
      <c r="F1733" s="266">
        <f t="shared" si="84"/>
        <v>1726</v>
      </c>
      <c r="G1733" s="230">
        <f t="shared" ca="1" si="83"/>
        <v>-3.3837526341858687E-2</v>
      </c>
    </row>
    <row r="1734" spans="2:7" x14ac:dyDescent="0.25">
      <c r="B1734" s="348" t="s">
        <v>1609</v>
      </c>
      <c r="C1734" s="293">
        <v>110.31</v>
      </c>
      <c r="D1734" s="230">
        <f t="shared" si="82"/>
        <v>2.5471785813888648E-2</v>
      </c>
      <c r="E1734" s="293">
        <v>3.4981343283582156E-3</v>
      </c>
      <c r="F1734" s="266">
        <f t="shared" si="84"/>
        <v>1727</v>
      </c>
      <c r="G1734" s="230">
        <f t="shared" ca="1" si="83"/>
        <v>3.794728019149539E-3</v>
      </c>
    </row>
    <row r="1735" spans="2:7" x14ac:dyDescent="0.25">
      <c r="B1735" s="348">
        <v>43438</v>
      </c>
      <c r="C1735" s="293">
        <v>107.57</v>
      </c>
      <c r="D1735" s="230">
        <f t="shared" si="82"/>
        <v>4.013440358409559E-3</v>
      </c>
      <c r="E1735" s="293">
        <v>3.4787262510036498E-3</v>
      </c>
      <c r="F1735" s="266">
        <f t="shared" si="84"/>
        <v>1728</v>
      </c>
      <c r="G1735" s="230">
        <f t="shared" ca="1" si="83"/>
        <v>-1.6097111019115408E-2</v>
      </c>
    </row>
    <row r="1736" spans="2:7" x14ac:dyDescent="0.25">
      <c r="B1736" s="348">
        <v>43408</v>
      </c>
      <c r="C1736" s="293">
        <v>107.14</v>
      </c>
      <c r="D1736" s="230">
        <f t="shared" si="82"/>
        <v>-1.0256410256410664E-3</v>
      </c>
      <c r="E1736" s="293">
        <v>3.4752389226757607E-3</v>
      </c>
      <c r="F1736" s="266">
        <f t="shared" si="84"/>
        <v>1729</v>
      </c>
      <c r="G1736" s="230">
        <f t="shared" ca="1" si="83"/>
        <v>2.4357574456982077E-2</v>
      </c>
    </row>
    <row r="1737" spans="2:7" x14ac:dyDescent="0.25">
      <c r="B1737" s="348">
        <v>43377</v>
      </c>
      <c r="C1737" s="293">
        <v>107.25</v>
      </c>
      <c r="D1737" s="230">
        <f t="shared" ref="D1737:D1800" si="85">C1737/C1738-1</f>
        <v>3.3679483581252612E-3</v>
      </c>
      <c r="E1737" s="293">
        <v>3.4732272069464276E-3</v>
      </c>
      <c r="F1737" s="266">
        <f t="shared" si="84"/>
        <v>1730</v>
      </c>
      <c r="G1737" s="230">
        <f t="shared" ref="G1737:G1800" ca="1" si="86">_xlfn.NORM.INV(RAND(),$M$10,$M$11)</f>
        <v>3.2829623640192922E-2</v>
      </c>
    </row>
    <row r="1738" spans="2:7" x14ac:dyDescent="0.25">
      <c r="B1738" s="348">
        <v>43347</v>
      </c>
      <c r="C1738" s="293">
        <v>106.89</v>
      </c>
      <c r="D1738" s="230">
        <f t="shared" si="85"/>
        <v>3.8504883546206514E-3</v>
      </c>
      <c r="E1738" s="293">
        <v>3.4689668104257443E-3</v>
      </c>
      <c r="F1738" s="266">
        <f t="shared" ref="F1738:F1801" si="87">F1737+1</f>
        <v>1731</v>
      </c>
      <c r="G1738" s="230">
        <f t="shared" ca="1" si="86"/>
        <v>1.3006930260683419E-2</v>
      </c>
    </row>
    <row r="1739" spans="2:7" x14ac:dyDescent="0.25">
      <c r="B1739" s="348">
        <v>43255</v>
      </c>
      <c r="C1739" s="293">
        <v>106.48</v>
      </c>
      <c r="D1739" s="230">
        <f t="shared" si="85"/>
        <v>-8.0119247251723147E-3</v>
      </c>
      <c r="E1739" s="293">
        <v>3.4644194756554558E-3</v>
      </c>
      <c r="F1739" s="266">
        <f t="shared" si="87"/>
        <v>1732</v>
      </c>
      <c r="G1739" s="230">
        <f t="shared" ca="1" si="86"/>
        <v>1.9330747084797693E-3</v>
      </c>
    </row>
    <row r="1740" spans="2:7" x14ac:dyDescent="0.25">
      <c r="B1740" s="348">
        <v>43224</v>
      </c>
      <c r="C1740" s="293">
        <v>107.34</v>
      </c>
      <c r="D1740" s="230">
        <f t="shared" si="85"/>
        <v>1.647727272727284E-2</v>
      </c>
      <c r="E1740" s="293">
        <v>3.4632891351671358E-3</v>
      </c>
      <c r="F1740" s="266">
        <f t="shared" si="87"/>
        <v>1733</v>
      </c>
      <c r="G1740" s="230">
        <f t="shared" ca="1" si="86"/>
        <v>-1.0502953638288578E-3</v>
      </c>
    </row>
    <row r="1741" spans="2:7" x14ac:dyDescent="0.25">
      <c r="B1741" s="348">
        <v>43194</v>
      </c>
      <c r="C1741" s="293">
        <v>105.6</v>
      </c>
      <c r="D1741" s="230">
        <f t="shared" si="85"/>
        <v>-8.0781514183730918E-3</v>
      </c>
      <c r="E1741" s="293">
        <v>3.4585454894802137E-3</v>
      </c>
      <c r="F1741" s="266">
        <f t="shared" si="87"/>
        <v>1734</v>
      </c>
      <c r="G1741" s="230">
        <f t="shared" ca="1" si="86"/>
        <v>7.6591154460710908E-3</v>
      </c>
    </row>
    <row r="1742" spans="2:7" x14ac:dyDescent="0.25">
      <c r="B1742" s="348">
        <v>43163</v>
      </c>
      <c r="C1742" s="293">
        <v>106.46</v>
      </c>
      <c r="D1742" s="230">
        <f t="shared" si="85"/>
        <v>-1.9885840545019406E-2</v>
      </c>
      <c r="E1742" s="293">
        <v>3.4504391468004325E-3</v>
      </c>
      <c r="F1742" s="266">
        <f t="shared" si="87"/>
        <v>1735</v>
      </c>
      <c r="G1742" s="230">
        <f t="shared" ca="1" si="86"/>
        <v>-1.3364219070311892E-2</v>
      </c>
    </row>
    <row r="1743" spans="2:7" x14ac:dyDescent="0.25">
      <c r="B1743" s="348">
        <v>43135</v>
      </c>
      <c r="C1743" s="293">
        <v>108.62</v>
      </c>
      <c r="D1743" s="230">
        <f t="shared" si="85"/>
        <v>3.0257042587498839E-2</v>
      </c>
      <c r="E1743" s="293">
        <v>3.4416438910820357E-3</v>
      </c>
      <c r="F1743" s="266">
        <f t="shared" si="87"/>
        <v>1736</v>
      </c>
      <c r="G1743" s="230">
        <f t="shared" ca="1" si="86"/>
        <v>1.8677366660369045E-2</v>
      </c>
    </row>
    <row r="1744" spans="2:7" x14ac:dyDescent="0.25">
      <c r="B1744" s="348" t="s">
        <v>1610</v>
      </c>
      <c r="C1744" s="293">
        <v>105.43</v>
      </c>
      <c r="D1744" s="230">
        <f t="shared" si="85"/>
        <v>2.5883039797606422E-2</v>
      </c>
      <c r="E1744" s="293">
        <v>3.4264176803151525E-3</v>
      </c>
      <c r="F1744" s="266">
        <f t="shared" si="87"/>
        <v>1737</v>
      </c>
      <c r="G1744" s="230">
        <f t="shared" ca="1" si="86"/>
        <v>-4.1543852591392288E-2</v>
      </c>
    </row>
    <row r="1745" spans="2:7" x14ac:dyDescent="0.25">
      <c r="B1745" s="348" t="s">
        <v>1611</v>
      </c>
      <c r="C1745" s="293">
        <v>102.77</v>
      </c>
      <c r="D1745" s="230">
        <f t="shared" si="85"/>
        <v>1.9464720194650731E-4</v>
      </c>
      <c r="E1745" s="293">
        <v>3.416108264354234E-3</v>
      </c>
      <c r="F1745" s="266">
        <f t="shared" si="87"/>
        <v>1738</v>
      </c>
      <c r="G1745" s="230">
        <f t="shared" ca="1" si="86"/>
        <v>-1.7073998603821992E-2</v>
      </c>
    </row>
    <row r="1746" spans="2:7" x14ac:dyDescent="0.25">
      <c r="B1746" s="348" t="s">
        <v>1612</v>
      </c>
      <c r="C1746" s="293">
        <v>102.75</v>
      </c>
      <c r="D1746" s="230">
        <f t="shared" si="85"/>
        <v>-3.7380550871275897E-2</v>
      </c>
      <c r="E1746" s="293">
        <v>3.399915002124887E-3</v>
      </c>
      <c r="F1746" s="266">
        <f t="shared" si="87"/>
        <v>1739</v>
      </c>
      <c r="G1746" s="230">
        <f t="shared" ca="1" si="86"/>
        <v>-3.0182005794904578E-2</v>
      </c>
    </row>
    <row r="1747" spans="2:7" x14ac:dyDescent="0.25">
      <c r="B1747" s="348" t="s">
        <v>1613</v>
      </c>
      <c r="C1747" s="293">
        <v>106.74</v>
      </c>
      <c r="D1747" s="230">
        <f t="shared" si="85"/>
        <v>-1.3219931589165235E-2</v>
      </c>
      <c r="E1747" s="293">
        <v>3.3967391304348116E-3</v>
      </c>
      <c r="F1747" s="266">
        <f t="shared" si="87"/>
        <v>1740</v>
      </c>
      <c r="G1747" s="230">
        <f t="shared" ca="1" si="86"/>
        <v>-4.4673967336482049E-3</v>
      </c>
    </row>
    <row r="1748" spans="2:7" x14ac:dyDescent="0.25">
      <c r="B1748" s="348" t="s">
        <v>1614</v>
      </c>
      <c r="C1748" s="293">
        <v>108.17</v>
      </c>
      <c r="D1748" s="230">
        <f t="shared" si="85"/>
        <v>-2.3031069364161771E-2</v>
      </c>
      <c r="E1748" s="293">
        <v>3.395061728395099E-3</v>
      </c>
      <c r="F1748" s="266">
        <f t="shared" si="87"/>
        <v>1741</v>
      </c>
      <c r="G1748" s="230">
        <f t="shared" ca="1" si="86"/>
        <v>3.5077407538793904E-3</v>
      </c>
    </row>
    <row r="1749" spans="2:7" x14ac:dyDescent="0.25">
      <c r="B1749" s="348" t="s">
        <v>1615</v>
      </c>
      <c r="C1749" s="293">
        <v>110.72</v>
      </c>
      <c r="D1749" s="230">
        <f t="shared" si="85"/>
        <v>5.6312443233423881E-3</v>
      </c>
      <c r="E1749" s="293">
        <v>3.3923859781379573E-3</v>
      </c>
      <c r="F1749" s="266">
        <f t="shared" si="87"/>
        <v>1742</v>
      </c>
      <c r="G1749" s="230">
        <f t="shared" ca="1" si="86"/>
        <v>2.2324630794585312E-2</v>
      </c>
    </row>
    <row r="1750" spans="2:7" x14ac:dyDescent="0.25">
      <c r="B1750" s="348" t="s">
        <v>1616</v>
      </c>
      <c r="C1750" s="293">
        <v>110.1</v>
      </c>
      <c r="D1750" s="230">
        <f t="shared" si="85"/>
        <v>1.7184035476718318E-2</v>
      </c>
      <c r="E1750" s="293">
        <v>3.3894049711273855E-3</v>
      </c>
      <c r="F1750" s="266">
        <f t="shared" si="87"/>
        <v>1743</v>
      </c>
      <c r="G1750" s="230">
        <f t="shared" ca="1" si="86"/>
        <v>7.0041369855735726E-3</v>
      </c>
    </row>
    <row r="1751" spans="2:7" x14ac:dyDescent="0.25">
      <c r="B1751" s="348" t="s">
        <v>1617</v>
      </c>
      <c r="C1751" s="293">
        <v>108.24</v>
      </c>
      <c r="D1751" s="230">
        <f t="shared" si="85"/>
        <v>-2.4073573167433082E-2</v>
      </c>
      <c r="E1751" s="293">
        <v>3.3853400058876382E-3</v>
      </c>
      <c r="F1751" s="266">
        <f t="shared" si="87"/>
        <v>1744</v>
      </c>
      <c r="G1751" s="230">
        <f t="shared" ca="1" si="86"/>
        <v>-3.7991883521170987E-3</v>
      </c>
    </row>
    <row r="1752" spans="2:7" x14ac:dyDescent="0.25">
      <c r="B1752" s="348" t="s">
        <v>1618</v>
      </c>
      <c r="C1752" s="293">
        <v>110.91</v>
      </c>
      <c r="D1752" s="230">
        <f t="shared" si="85"/>
        <v>7.9978187766971409E-3</v>
      </c>
      <c r="E1752" s="293">
        <v>3.3842794759826322E-3</v>
      </c>
      <c r="F1752" s="266">
        <f t="shared" si="87"/>
        <v>1745</v>
      </c>
      <c r="G1752" s="230">
        <f t="shared" ca="1" si="86"/>
        <v>1.0692827161601909E-2</v>
      </c>
    </row>
    <row r="1753" spans="2:7" x14ac:dyDescent="0.25">
      <c r="B1753" s="348" t="s">
        <v>1619</v>
      </c>
      <c r="C1753" s="293">
        <v>110.03</v>
      </c>
      <c r="D1753" s="230">
        <f t="shared" si="85"/>
        <v>-1.4520373899628014E-3</v>
      </c>
      <c r="E1753" s="293">
        <v>3.3839479392625549E-3</v>
      </c>
      <c r="F1753" s="266">
        <f t="shared" si="87"/>
        <v>1746</v>
      </c>
      <c r="G1753" s="230">
        <f t="shared" ca="1" si="86"/>
        <v>-2.650794050807358E-3</v>
      </c>
    </row>
    <row r="1754" spans="2:7" x14ac:dyDescent="0.25">
      <c r="B1754" s="348" t="s">
        <v>1620</v>
      </c>
      <c r="C1754" s="293">
        <v>110.19</v>
      </c>
      <c r="D1754" s="230">
        <f t="shared" si="85"/>
        <v>-9.2609242941916747E-3</v>
      </c>
      <c r="E1754" s="293">
        <v>3.3748620091467174E-3</v>
      </c>
      <c r="F1754" s="266">
        <f t="shared" si="87"/>
        <v>1747</v>
      </c>
      <c r="G1754" s="230">
        <f t="shared" ca="1" si="86"/>
        <v>1.4758718500361163E-2</v>
      </c>
    </row>
    <row r="1755" spans="2:7" x14ac:dyDescent="0.25">
      <c r="B1755" s="348" t="s">
        <v>1621</v>
      </c>
      <c r="C1755" s="293">
        <v>111.22</v>
      </c>
      <c r="D1755" s="230">
        <f t="shared" si="85"/>
        <v>2.0273369415649833E-2</v>
      </c>
      <c r="E1755" s="293">
        <v>3.3679483581252612E-3</v>
      </c>
      <c r="F1755" s="266">
        <f t="shared" si="87"/>
        <v>1748</v>
      </c>
      <c r="G1755" s="230">
        <f t="shared" ca="1" si="86"/>
        <v>3.5220803555625978E-2</v>
      </c>
    </row>
    <row r="1756" spans="2:7" x14ac:dyDescent="0.25">
      <c r="B1756" s="348">
        <v>43437</v>
      </c>
      <c r="C1756" s="293">
        <v>109.01</v>
      </c>
      <c r="D1756" s="230">
        <f t="shared" si="85"/>
        <v>1.9833473664514933E-2</v>
      </c>
      <c r="E1756" s="293">
        <v>3.3628859675940426E-3</v>
      </c>
      <c r="F1756" s="266">
        <f t="shared" si="87"/>
        <v>1749</v>
      </c>
      <c r="G1756" s="230">
        <f t="shared" ca="1" si="86"/>
        <v>4.6365338630691778E-4</v>
      </c>
    </row>
    <row r="1757" spans="2:7" x14ac:dyDescent="0.25">
      <c r="B1757" s="348">
        <v>43346</v>
      </c>
      <c r="C1757" s="293">
        <v>106.89</v>
      </c>
      <c r="D1757" s="230">
        <f t="shared" si="85"/>
        <v>-5.6100981767182034E-4</v>
      </c>
      <c r="E1757" s="293">
        <v>3.358249377098943E-3</v>
      </c>
      <c r="F1757" s="266">
        <f t="shared" si="87"/>
        <v>1750</v>
      </c>
      <c r="G1757" s="230">
        <f t="shared" ca="1" si="86"/>
        <v>2.4765986381847835E-2</v>
      </c>
    </row>
    <row r="1758" spans="2:7" x14ac:dyDescent="0.25">
      <c r="B1758" s="348">
        <v>43315</v>
      </c>
      <c r="C1758" s="293">
        <v>106.95</v>
      </c>
      <c r="D1758" s="230">
        <f t="shared" si="85"/>
        <v>-5.6069526212509935E-4</v>
      </c>
      <c r="E1758" s="293">
        <v>3.3232054690468527E-3</v>
      </c>
      <c r="F1758" s="266">
        <f t="shared" si="87"/>
        <v>1751</v>
      </c>
      <c r="G1758" s="230">
        <f t="shared" ca="1" si="86"/>
        <v>-1.1712563379270928E-2</v>
      </c>
    </row>
    <row r="1759" spans="2:7" x14ac:dyDescent="0.25">
      <c r="B1759" s="348">
        <v>43284</v>
      </c>
      <c r="C1759" s="293">
        <v>107.01</v>
      </c>
      <c r="D1759" s="230">
        <f t="shared" si="85"/>
        <v>-5.5756899916363789E-3</v>
      </c>
      <c r="E1759" s="293">
        <v>3.3138401559453801E-3</v>
      </c>
      <c r="F1759" s="266">
        <f t="shared" si="87"/>
        <v>1752</v>
      </c>
      <c r="G1759" s="230">
        <f t="shared" ca="1" si="86"/>
        <v>3.0222971902824228E-3</v>
      </c>
    </row>
    <row r="1760" spans="2:7" x14ac:dyDescent="0.25">
      <c r="B1760" s="348">
        <v>43254</v>
      </c>
      <c r="C1760" s="293">
        <v>107.61</v>
      </c>
      <c r="D1760" s="230">
        <f t="shared" si="85"/>
        <v>-1.3747594171020117E-2</v>
      </c>
      <c r="E1760" s="293">
        <v>3.3060453400501899E-3</v>
      </c>
      <c r="F1760" s="266">
        <f t="shared" si="87"/>
        <v>1753</v>
      </c>
      <c r="G1760" s="230">
        <f t="shared" ca="1" si="86"/>
        <v>-1.0196698950769146E-2</v>
      </c>
    </row>
    <row r="1761" spans="2:7" x14ac:dyDescent="0.25">
      <c r="B1761" s="348">
        <v>43223</v>
      </c>
      <c r="C1761" s="293">
        <v>109.11</v>
      </c>
      <c r="D1761" s="230">
        <f t="shared" si="85"/>
        <v>-5.2876287719937354E-3</v>
      </c>
      <c r="E1761" s="293">
        <v>3.3018867924528017E-3</v>
      </c>
      <c r="F1761" s="266">
        <f t="shared" si="87"/>
        <v>1754</v>
      </c>
      <c r="G1761" s="230">
        <f t="shared" ca="1" si="86"/>
        <v>1.9693316142586945E-2</v>
      </c>
    </row>
    <row r="1762" spans="2:7" x14ac:dyDescent="0.25">
      <c r="B1762" s="348">
        <v>43103</v>
      </c>
      <c r="C1762" s="293">
        <v>109.69</v>
      </c>
      <c r="D1762" s="230">
        <f t="shared" si="85"/>
        <v>-1.0018214936248215E-3</v>
      </c>
      <c r="E1762" s="293">
        <v>3.2763532763533387E-3</v>
      </c>
      <c r="F1762" s="266">
        <f t="shared" si="87"/>
        <v>1755</v>
      </c>
      <c r="G1762" s="230">
        <f t="shared" ca="1" si="86"/>
        <v>2.3719538509954355E-2</v>
      </c>
    </row>
    <row r="1763" spans="2:7" x14ac:dyDescent="0.25">
      <c r="B1763" s="348" t="s">
        <v>1622</v>
      </c>
      <c r="C1763" s="293">
        <v>109.8</v>
      </c>
      <c r="D1763" s="230">
        <f t="shared" si="85"/>
        <v>3.5645736221552315E-3</v>
      </c>
      <c r="E1763" s="293">
        <v>3.2763532763533387E-3</v>
      </c>
      <c r="F1763" s="266">
        <f t="shared" si="87"/>
        <v>1756</v>
      </c>
      <c r="G1763" s="230">
        <f t="shared" ca="1" si="86"/>
        <v>1.9471553755633697E-2</v>
      </c>
    </row>
    <row r="1764" spans="2:7" x14ac:dyDescent="0.25">
      <c r="B1764" s="348" t="s">
        <v>1623</v>
      </c>
      <c r="C1764" s="293">
        <v>109.41</v>
      </c>
      <c r="D1764" s="230">
        <f t="shared" si="85"/>
        <v>5.4869684499325722E-4</v>
      </c>
      <c r="E1764" s="293">
        <v>3.2729206725852222E-3</v>
      </c>
      <c r="F1764" s="266">
        <f t="shared" si="87"/>
        <v>1757</v>
      </c>
      <c r="G1764" s="230">
        <f t="shared" ca="1" si="86"/>
        <v>-2.1383870586989907E-2</v>
      </c>
    </row>
    <row r="1765" spans="2:7" x14ac:dyDescent="0.25">
      <c r="B1765" s="348" t="s">
        <v>1624</v>
      </c>
      <c r="C1765" s="293">
        <v>109.35</v>
      </c>
      <c r="D1765" s="230">
        <f t="shared" si="85"/>
        <v>-1.1480744892424566E-2</v>
      </c>
      <c r="E1765" s="293">
        <v>3.2626427406199365E-3</v>
      </c>
      <c r="F1765" s="266">
        <f t="shared" si="87"/>
        <v>1758</v>
      </c>
      <c r="G1765" s="230">
        <f t="shared" ca="1" si="86"/>
        <v>4.3298926182271337E-3</v>
      </c>
    </row>
    <row r="1766" spans="2:7" x14ac:dyDescent="0.25">
      <c r="B1766" s="348" t="s">
        <v>1625</v>
      </c>
      <c r="C1766" s="293">
        <v>110.62</v>
      </c>
      <c r="D1766" s="230">
        <f t="shared" si="85"/>
        <v>8.0189538910151459E-3</v>
      </c>
      <c r="E1766" s="293">
        <v>3.2492354740061291E-3</v>
      </c>
      <c r="F1766" s="266">
        <f t="shared" si="87"/>
        <v>1759</v>
      </c>
      <c r="G1766" s="230">
        <f t="shared" ca="1" si="86"/>
        <v>2.5370392351285319E-2</v>
      </c>
    </row>
    <row r="1767" spans="2:7" x14ac:dyDescent="0.25">
      <c r="B1767" s="348" t="s">
        <v>1626</v>
      </c>
      <c r="C1767" s="293">
        <v>109.74</v>
      </c>
      <c r="D1767" s="230">
        <f t="shared" si="85"/>
        <v>1.4601204599378192E-3</v>
      </c>
      <c r="E1767" s="293">
        <v>3.2321528948848766E-3</v>
      </c>
      <c r="F1767" s="266">
        <f t="shared" si="87"/>
        <v>1760</v>
      </c>
      <c r="G1767" s="230">
        <f t="shared" ca="1" si="86"/>
        <v>1.3502570402423045E-2</v>
      </c>
    </row>
    <row r="1768" spans="2:7" x14ac:dyDescent="0.25">
      <c r="B1768" s="348" t="s">
        <v>1627</v>
      </c>
      <c r="C1768" s="293">
        <v>109.58</v>
      </c>
      <c r="D1768" s="230">
        <f t="shared" si="85"/>
        <v>2.6534907127824248E-3</v>
      </c>
      <c r="E1768" s="293">
        <v>3.2297273832262441E-3</v>
      </c>
      <c r="F1768" s="266">
        <f t="shared" si="87"/>
        <v>1761</v>
      </c>
      <c r="G1768" s="230">
        <f t="shared" ca="1" si="86"/>
        <v>-6.8074125305960563E-3</v>
      </c>
    </row>
    <row r="1769" spans="2:7" x14ac:dyDescent="0.25">
      <c r="B1769" s="348" t="s">
        <v>1628</v>
      </c>
      <c r="C1769" s="293">
        <v>109.29</v>
      </c>
      <c r="D1769" s="230">
        <f t="shared" si="85"/>
        <v>5.150372482295662E-3</v>
      </c>
      <c r="E1769" s="293">
        <v>3.2055749128920841E-3</v>
      </c>
      <c r="F1769" s="266">
        <f t="shared" si="87"/>
        <v>1762</v>
      </c>
      <c r="G1769" s="230">
        <f t="shared" ca="1" si="86"/>
        <v>4.2769823270141553E-2</v>
      </c>
    </row>
    <row r="1770" spans="2:7" x14ac:dyDescent="0.25">
      <c r="B1770" s="348" t="s">
        <v>1629</v>
      </c>
      <c r="C1770" s="293">
        <v>108.73</v>
      </c>
      <c r="D1770" s="230">
        <f t="shared" si="85"/>
        <v>-3.5740469208210834E-3</v>
      </c>
      <c r="E1770" s="293">
        <v>3.2020737239355501E-3</v>
      </c>
      <c r="F1770" s="266">
        <f t="shared" si="87"/>
        <v>1763</v>
      </c>
      <c r="G1770" s="230">
        <f t="shared" ca="1" si="86"/>
        <v>1.2232955263130162E-2</v>
      </c>
    </row>
    <row r="1771" spans="2:7" x14ac:dyDescent="0.25">
      <c r="B1771" s="348" t="s">
        <v>1630</v>
      </c>
      <c r="C1771" s="293">
        <v>109.12</v>
      </c>
      <c r="D1771" s="230">
        <f t="shared" si="85"/>
        <v>-5.1964627586834622E-3</v>
      </c>
      <c r="E1771" s="293">
        <v>3.1936877700544652E-3</v>
      </c>
      <c r="F1771" s="266">
        <f t="shared" si="87"/>
        <v>1764</v>
      </c>
      <c r="G1771" s="230">
        <f t="shared" ca="1" si="86"/>
        <v>-2.3181353253654557E-2</v>
      </c>
    </row>
    <row r="1772" spans="2:7" x14ac:dyDescent="0.25">
      <c r="B1772" s="348" t="s">
        <v>1631</v>
      </c>
      <c r="C1772" s="293">
        <v>109.69</v>
      </c>
      <c r="D1772" s="230">
        <f t="shared" si="85"/>
        <v>-3.1806615776082126E-3</v>
      </c>
      <c r="E1772" s="293">
        <v>3.1899681003189073E-3</v>
      </c>
      <c r="F1772" s="266">
        <f t="shared" si="87"/>
        <v>1765</v>
      </c>
      <c r="G1772" s="230">
        <f t="shared" ca="1" si="86"/>
        <v>-4.1038781672426305E-2</v>
      </c>
    </row>
    <row r="1773" spans="2:7" x14ac:dyDescent="0.25">
      <c r="B1773" s="348" t="s">
        <v>1632</v>
      </c>
      <c r="C1773" s="293">
        <v>110.04</v>
      </c>
      <c r="D1773" s="230">
        <f t="shared" si="85"/>
        <v>1.5503875968992276E-2</v>
      </c>
      <c r="E1773" s="293">
        <v>3.1894013738960059E-3</v>
      </c>
      <c r="F1773" s="266">
        <f t="shared" si="87"/>
        <v>1766</v>
      </c>
      <c r="G1773" s="230">
        <f t="shared" ca="1" si="86"/>
        <v>2.5373234219490878E-3</v>
      </c>
    </row>
    <row r="1774" spans="2:7" x14ac:dyDescent="0.25">
      <c r="B1774" s="348">
        <v>43436</v>
      </c>
      <c r="C1774" s="293">
        <v>108.36</v>
      </c>
      <c r="D1774" s="230">
        <f t="shared" si="85"/>
        <v>1.3847305389221631E-2</v>
      </c>
      <c r="E1774" s="293">
        <v>3.164880040837259E-3</v>
      </c>
      <c r="F1774" s="266">
        <f t="shared" si="87"/>
        <v>1767</v>
      </c>
      <c r="G1774" s="230">
        <f t="shared" ca="1" si="86"/>
        <v>2.4728761080886522E-2</v>
      </c>
    </row>
    <row r="1775" spans="2:7" x14ac:dyDescent="0.25">
      <c r="B1775" s="348">
        <v>43345</v>
      </c>
      <c r="C1775" s="293">
        <v>106.88</v>
      </c>
      <c r="D1775" s="230">
        <f t="shared" si="85"/>
        <v>-1.647188736541827E-2</v>
      </c>
      <c r="E1775" s="293">
        <v>3.1574199368515909E-3</v>
      </c>
      <c r="F1775" s="266">
        <f t="shared" si="87"/>
        <v>1768</v>
      </c>
      <c r="G1775" s="230">
        <f t="shared" ca="1" si="86"/>
        <v>1.1096708987374478E-3</v>
      </c>
    </row>
    <row r="1776" spans="2:7" x14ac:dyDescent="0.25">
      <c r="B1776" s="348">
        <v>43314</v>
      </c>
      <c r="C1776" s="293">
        <v>108.67</v>
      </c>
      <c r="D1776" s="230">
        <f t="shared" si="85"/>
        <v>1.4745184775597497E-3</v>
      </c>
      <c r="E1776" s="293">
        <v>3.1525851197982124E-3</v>
      </c>
      <c r="F1776" s="266">
        <f t="shared" si="87"/>
        <v>1769</v>
      </c>
      <c r="G1776" s="230">
        <f t="shared" ca="1" si="86"/>
        <v>-1.0790532416996354E-2</v>
      </c>
    </row>
    <row r="1777" spans="2:7" x14ac:dyDescent="0.25">
      <c r="B1777" s="348">
        <v>43283</v>
      </c>
      <c r="C1777" s="293">
        <v>108.51</v>
      </c>
      <c r="D1777" s="230">
        <f t="shared" si="85"/>
        <v>-1.7920173771381886E-2</v>
      </c>
      <c r="E1777" s="293">
        <v>3.1477260392924755E-3</v>
      </c>
      <c r="F1777" s="266">
        <f t="shared" si="87"/>
        <v>1770</v>
      </c>
      <c r="G1777" s="230">
        <f t="shared" ca="1" si="86"/>
        <v>-6.4007979670833246E-3</v>
      </c>
    </row>
    <row r="1778" spans="2:7" x14ac:dyDescent="0.25">
      <c r="B1778" s="348">
        <v>43253</v>
      </c>
      <c r="C1778" s="293">
        <v>110.49</v>
      </c>
      <c r="D1778" s="230">
        <f t="shared" si="85"/>
        <v>-1.3746317950549036E-2</v>
      </c>
      <c r="E1778" s="293">
        <v>3.125336781980792E-3</v>
      </c>
      <c r="F1778" s="266">
        <f t="shared" si="87"/>
        <v>1771</v>
      </c>
      <c r="G1778" s="230">
        <f t="shared" ca="1" si="86"/>
        <v>-2.1432253791246546E-2</v>
      </c>
    </row>
    <row r="1779" spans="2:7" x14ac:dyDescent="0.25">
      <c r="B1779" s="348">
        <v>43222</v>
      </c>
      <c r="C1779" s="293">
        <v>112.03</v>
      </c>
      <c r="D1779" s="230">
        <f t="shared" si="85"/>
        <v>-6.1213626685592271E-3</v>
      </c>
      <c r="E1779" s="293">
        <v>3.122212310437078E-3</v>
      </c>
      <c r="F1779" s="266">
        <f t="shared" si="87"/>
        <v>1772</v>
      </c>
      <c r="G1779" s="230">
        <f t="shared" ca="1" si="86"/>
        <v>-1.3057975341711893E-2</v>
      </c>
    </row>
    <row r="1780" spans="2:7" x14ac:dyDescent="0.25">
      <c r="B1780" s="348">
        <v>43133</v>
      </c>
      <c r="C1780" s="293">
        <v>112.72</v>
      </c>
      <c r="D1780" s="230">
        <f t="shared" si="85"/>
        <v>-5.3200922149321261E-4</v>
      </c>
      <c r="E1780" s="293">
        <v>3.1107424305267806E-3</v>
      </c>
      <c r="F1780" s="266">
        <f t="shared" si="87"/>
        <v>1773</v>
      </c>
      <c r="G1780" s="230">
        <f t="shared" ca="1" si="86"/>
        <v>-1.4405919818530614E-2</v>
      </c>
    </row>
    <row r="1781" spans="2:7" x14ac:dyDescent="0.25">
      <c r="B1781" s="348">
        <v>43102</v>
      </c>
      <c r="C1781" s="293">
        <v>112.78</v>
      </c>
      <c r="D1781" s="230">
        <f t="shared" si="85"/>
        <v>-1.2952914405741311E-2</v>
      </c>
      <c r="E1781" s="293">
        <v>3.1039834454216209E-3</v>
      </c>
      <c r="F1781" s="266">
        <f t="shared" si="87"/>
        <v>1774</v>
      </c>
      <c r="G1781" s="230">
        <f t="shared" ca="1" si="86"/>
        <v>-1.7668477163308598E-2</v>
      </c>
    </row>
    <row r="1782" spans="2:7" x14ac:dyDescent="0.25">
      <c r="B1782" s="348" t="s">
        <v>1633</v>
      </c>
      <c r="C1782" s="293">
        <v>114.26</v>
      </c>
      <c r="D1782" s="230">
        <f t="shared" si="85"/>
        <v>-8.5039916695590634E-3</v>
      </c>
      <c r="E1782" s="293">
        <v>3.0761949834359203E-3</v>
      </c>
      <c r="F1782" s="266">
        <f t="shared" si="87"/>
        <v>1775</v>
      </c>
      <c r="G1782" s="230">
        <f t="shared" ca="1" si="86"/>
        <v>-2.7566673122946805E-2</v>
      </c>
    </row>
    <row r="1783" spans="2:7" x14ac:dyDescent="0.25">
      <c r="B1783" s="348" t="s">
        <v>1634</v>
      </c>
      <c r="C1783" s="293">
        <v>115.24</v>
      </c>
      <c r="D1783" s="230">
        <f t="shared" si="85"/>
        <v>-1.2341446691806701E-2</v>
      </c>
      <c r="E1783" s="293">
        <v>3.0718513523637636E-3</v>
      </c>
      <c r="F1783" s="266">
        <f t="shared" si="87"/>
        <v>1776</v>
      </c>
      <c r="G1783" s="230">
        <f t="shared" ca="1" si="86"/>
        <v>1.9178955880211124E-2</v>
      </c>
    </row>
    <row r="1784" spans="2:7" x14ac:dyDescent="0.25">
      <c r="B1784" s="348" t="s">
        <v>1635</v>
      </c>
      <c r="C1784" s="293">
        <v>116.68</v>
      </c>
      <c r="D1784" s="230">
        <f t="shared" si="85"/>
        <v>-2.5645409471704017E-3</v>
      </c>
      <c r="E1784" s="293">
        <v>3.0572540300168871E-3</v>
      </c>
      <c r="F1784" s="266">
        <f t="shared" si="87"/>
        <v>1777</v>
      </c>
      <c r="G1784" s="230">
        <f t="shared" ca="1" si="86"/>
        <v>-1.0451370748935167E-2</v>
      </c>
    </row>
    <row r="1785" spans="2:7" x14ac:dyDescent="0.25">
      <c r="B1785" s="348" t="s">
        <v>1636</v>
      </c>
      <c r="C1785" s="293">
        <v>116.98</v>
      </c>
      <c r="D1785" s="230">
        <f t="shared" si="85"/>
        <v>-6.3705087913020764E-3</v>
      </c>
      <c r="E1785" s="293">
        <v>3.0282309270295293E-3</v>
      </c>
      <c r="F1785" s="266">
        <f t="shared" si="87"/>
        <v>1778</v>
      </c>
      <c r="G1785" s="230">
        <f t="shared" ca="1" si="86"/>
        <v>-2.4167605924993611E-2</v>
      </c>
    </row>
    <row r="1786" spans="2:7" x14ac:dyDescent="0.25">
      <c r="B1786" s="348" t="s">
        <v>1637</v>
      </c>
      <c r="C1786" s="293">
        <v>117.73</v>
      </c>
      <c r="D1786" s="230">
        <f t="shared" si="85"/>
        <v>-4.144814752157E-3</v>
      </c>
      <c r="E1786" s="293">
        <v>3.0180137696877996E-3</v>
      </c>
      <c r="F1786" s="266">
        <f t="shared" si="87"/>
        <v>1779</v>
      </c>
      <c r="G1786" s="230">
        <f t="shared" ca="1" si="86"/>
        <v>-1.971952485069553E-2</v>
      </c>
    </row>
    <row r="1787" spans="2:7" x14ac:dyDescent="0.25">
      <c r="B1787" s="348" t="s">
        <v>1638</v>
      </c>
      <c r="C1787" s="293">
        <v>118.22</v>
      </c>
      <c r="D1787" s="230">
        <f t="shared" si="85"/>
        <v>-1.9572068336374149E-2</v>
      </c>
      <c r="E1787" s="293">
        <v>3.0120481927711218E-3</v>
      </c>
      <c r="F1787" s="266">
        <f t="shared" si="87"/>
        <v>1780</v>
      </c>
      <c r="G1787" s="230">
        <f t="shared" ca="1" si="86"/>
        <v>2.8377814170212304E-2</v>
      </c>
    </row>
    <row r="1788" spans="2:7" x14ac:dyDescent="0.25">
      <c r="B1788" s="348" t="s">
        <v>1639</v>
      </c>
      <c r="C1788" s="293">
        <v>120.58</v>
      </c>
      <c r="D1788" s="230">
        <f t="shared" si="85"/>
        <v>-2.2535667963683559E-2</v>
      </c>
      <c r="E1788" s="293">
        <v>2.9972168700491686E-3</v>
      </c>
      <c r="F1788" s="266">
        <f t="shared" si="87"/>
        <v>1781</v>
      </c>
      <c r="G1788" s="230">
        <f t="shared" ca="1" si="86"/>
        <v>-9.569279116544841E-4</v>
      </c>
    </row>
    <row r="1789" spans="2:7" x14ac:dyDescent="0.25">
      <c r="B1789" s="348" t="s">
        <v>1640</v>
      </c>
      <c r="C1789" s="293">
        <v>123.36</v>
      </c>
      <c r="D1789" s="230">
        <f t="shared" si="85"/>
        <v>1.1064666830587599E-2</v>
      </c>
      <c r="E1789" s="293">
        <v>2.9877502240813758E-3</v>
      </c>
      <c r="F1789" s="266">
        <f t="shared" si="87"/>
        <v>1782</v>
      </c>
      <c r="G1789" s="230">
        <f t="shared" ca="1" si="86"/>
        <v>8.7806114560629242E-3</v>
      </c>
    </row>
    <row r="1790" spans="2:7" x14ac:dyDescent="0.25">
      <c r="B1790" s="348" t="s">
        <v>1641</v>
      </c>
      <c r="C1790" s="293">
        <v>122.01</v>
      </c>
      <c r="D1790" s="230">
        <f t="shared" si="85"/>
        <v>-1.0643523825117907E-3</v>
      </c>
      <c r="E1790" s="293">
        <v>2.9873865899536778E-3</v>
      </c>
      <c r="F1790" s="266">
        <f t="shared" si="87"/>
        <v>1783</v>
      </c>
      <c r="G1790" s="230">
        <f t="shared" ca="1" si="86"/>
        <v>-2.3723701063440725E-2</v>
      </c>
    </row>
    <row r="1791" spans="2:7" x14ac:dyDescent="0.25">
      <c r="B1791" s="348" t="s">
        <v>1642</v>
      </c>
      <c r="C1791" s="293">
        <v>122.14</v>
      </c>
      <c r="D1791" s="230">
        <f t="shared" si="85"/>
        <v>-1.879820051413883E-2</v>
      </c>
      <c r="E1791" s="293">
        <v>2.9854408637330909E-3</v>
      </c>
      <c r="F1791" s="266">
        <f t="shared" si="87"/>
        <v>1784</v>
      </c>
      <c r="G1791" s="230">
        <f t="shared" ca="1" si="86"/>
        <v>-1.8899112300002234E-2</v>
      </c>
    </row>
    <row r="1792" spans="2:7" x14ac:dyDescent="0.25">
      <c r="B1792" s="348" t="s">
        <v>1643</v>
      </c>
      <c r="C1792" s="293">
        <v>124.48</v>
      </c>
      <c r="D1792" s="230">
        <f t="shared" si="85"/>
        <v>5.3843548933288243E-2</v>
      </c>
      <c r="E1792" s="293">
        <v>2.9833509768069089E-3</v>
      </c>
      <c r="F1792" s="266">
        <f t="shared" si="87"/>
        <v>1785</v>
      </c>
      <c r="G1792" s="230">
        <f t="shared" ca="1" si="86"/>
        <v>3.3645099247015753E-2</v>
      </c>
    </row>
    <row r="1793" spans="2:7" x14ac:dyDescent="0.25">
      <c r="B1793" s="348" t="s">
        <v>1644</v>
      </c>
      <c r="C1793" s="293">
        <v>118.12</v>
      </c>
      <c r="D1793" s="230">
        <f t="shared" si="85"/>
        <v>-1.1961522375575018E-2</v>
      </c>
      <c r="E1793" s="293">
        <v>2.9817368617219842E-3</v>
      </c>
      <c r="F1793" s="266">
        <f t="shared" si="87"/>
        <v>1786</v>
      </c>
      <c r="G1793" s="230">
        <f t="shared" ca="1" si="86"/>
        <v>1.3466101108464716E-2</v>
      </c>
    </row>
    <row r="1794" spans="2:7" x14ac:dyDescent="0.25">
      <c r="B1794" s="348">
        <v>43435</v>
      </c>
      <c r="C1794" s="293">
        <v>119.55</v>
      </c>
      <c r="D1794" s="230">
        <f t="shared" si="85"/>
        <v>-7.1422639315671388E-3</v>
      </c>
      <c r="E1794" s="293">
        <v>2.9801324503311299E-3</v>
      </c>
      <c r="F1794" s="266">
        <f t="shared" si="87"/>
        <v>1787</v>
      </c>
      <c r="G1794" s="230">
        <f t="shared" ca="1" si="86"/>
        <v>7.3972680127230381E-3</v>
      </c>
    </row>
    <row r="1795" spans="2:7" x14ac:dyDescent="0.25">
      <c r="B1795" s="348">
        <v>43405</v>
      </c>
      <c r="C1795" s="293">
        <v>120.41</v>
      </c>
      <c r="D1795" s="230">
        <f t="shared" si="85"/>
        <v>-1.71414578401764E-2</v>
      </c>
      <c r="E1795" s="293">
        <v>2.956393200295615E-3</v>
      </c>
      <c r="F1795" s="266">
        <f t="shared" si="87"/>
        <v>1788</v>
      </c>
      <c r="G1795" s="230">
        <f t="shared" ca="1" si="86"/>
        <v>3.102793302045144E-2</v>
      </c>
    </row>
    <row r="1796" spans="2:7" x14ac:dyDescent="0.25">
      <c r="B1796" s="348">
        <v>43374</v>
      </c>
      <c r="C1796" s="293">
        <v>122.51</v>
      </c>
      <c r="D1796" s="230">
        <f t="shared" si="85"/>
        <v>2.9928541403951181E-2</v>
      </c>
      <c r="E1796" s="293">
        <v>2.9528389437272207E-3</v>
      </c>
      <c r="F1796" s="266">
        <f t="shared" si="87"/>
        <v>1789</v>
      </c>
      <c r="G1796" s="230">
        <f t="shared" ca="1" si="86"/>
        <v>8.1459646000359709E-3</v>
      </c>
    </row>
    <row r="1797" spans="2:7" x14ac:dyDescent="0.25">
      <c r="B1797" s="348">
        <v>43344</v>
      </c>
      <c r="C1797" s="293">
        <v>118.95</v>
      </c>
      <c r="D1797" s="230">
        <f t="shared" si="85"/>
        <v>1.945491943777844E-2</v>
      </c>
      <c r="E1797" s="293">
        <v>2.9481132075472871E-3</v>
      </c>
      <c r="F1797" s="266">
        <f t="shared" si="87"/>
        <v>1790</v>
      </c>
      <c r="G1797" s="230">
        <f t="shared" ca="1" si="86"/>
        <v>3.1395692380967226E-2</v>
      </c>
    </row>
    <row r="1798" spans="2:7" x14ac:dyDescent="0.25">
      <c r="B1798" s="348">
        <v>43313</v>
      </c>
      <c r="C1798" s="293">
        <v>116.68</v>
      </c>
      <c r="D1798" s="230">
        <f t="shared" si="85"/>
        <v>5.1688490696073508E-3</v>
      </c>
      <c r="E1798" s="293">
        <v>2.9469548133596035E-3</v>
      </c>
      <c r="F1798" s="266">
        <f t="shared" si="87"/>
        <v>1791</v>
      </c>
      <c r="G1798" s="230">
        <f t="shared" ca="1" si="86"/>
        <v>5.0335900107867275E-3</v>
      </c>
    </row>
    <row r="1799" spans="2:7" x14ac:dyDescent="0.25">
      <c r="B1799" s="348">
        <v>43221</v>
      </c>
      <c r="C1799" s="293">
        <v>116.08</v>
      </c>
      <c r="D1799" s="230">
        <f t="shared" si="85"/>
        <v>-6.7596474715496679E-3</v>
      </c>
      <c r="E1799" s="293">
        <v>2.9442691903258655E-3</v>
      </c>
      <c r="F1799" s="266">
        <f t="shared" si="87"/>
        <v>1792</v>
      </c>
      <c r="G1799" s="230">
        <f t="shared" ca="1" si="86"/>
        <v>-4.1846110129006971E-2</v>
      </c>
    </row>
    <row r="1800" spans="2:7" x14ac:dyDescent="0.25">
      <c r="B1800" s="348">
        <v>43191</v>
      </c>
      <c r="C1800" s="293">
        <v>116.87</v>
      </c>
      <c r="D1800" s="230">
        <f t="shared" si="85"/>
        <v>5.5063236685881645E-3</v>
      </c>
      <c r="E1800" s="293">
        <v>2.9318036966221594E-3</v>
      </c>
      <c r="F1800" s="266">
        <f t="shared" si="87"/>
        <v>1793</v>
      </c>
      <c r="G1800" s="230">
        <f t="shared" ca="1" si="86"/>
        <v>3.5491142190896101E-3</v>
      </c>
    </row>
    <row r="1801" spans="2:7" x14ac:dyDescent="0.25">
      <c r="B1801" s="348">
        <v>43160</v>
      </c>
      <c r="C1801" s="293">
        <v>116.23</v>
      </c>
      <c r="D1801" s="230">
        <f t="shared" ref="D1801:D1864" si="88">C1801/C1802-1</f>
        <v>-2.7445402058405177E-2</v>
      </c>
      <c r="E1801" s="293">
        <v>2.9284164859002537E-3</v>
      </c>
      <c r="F1801" s="266">
        <f t="shared" si="87"/>
        <v>1794</v>
      </c>
      <c r="G1801" s="230">
        <f t="shared" ref="G1801:G1864" ca="1" si="89">_xlfn.NORM.INV(RAND(),$M$10,$M$11)</f>
        <v>-8.0651369302540531E-3</v>
      </c>
    </row>
    <row r="1802" spans="2:7" x14ac:dyDescent="0.25">
      <c r="B1802" s="348">
        <v>43132</v>
      </c>
      <c r="C1802" s="293">
        <v>119.51</v>
      </c>
      <c r="D1802" s="230">
        <f t="shared" si="88"/>
        <v>6.7391121219779748E-3</v>
      </c>
      <c r="E1802" s="293">
        <v>2.9254022428084614E-3</v>
      </c>
      <c r="F1802" s="266">
        <f t="shared" ref="F1802:F1865" si="90">F1801+1</f>
        <v>1795</v>
      </c>
      <c r="G1802" s="230">
        <f t="shared" ca="1" si="89"/>
        <v>-9.499871913436082E-3</v>
      </c>
    </row>
    <row r="1803" spans="2:7" x14ac:dyDescent="0.25">
      <c r="B1803" s="348">
        <v>43101</v>
      </c>
      <c r="C1803" s="293">
        <v>118.71</v>
      </c>
      <c r="D1803" s="230">
        <f t="shared" si="88"/>
        <v>7.3828920570264689E-3</v>
      </c>
      <c r="E1803" s="293">
        <v>2.9211295034079487E-3</v>
      </c>
      <c r="F1803" s="266">
        <f t="shared" si="90"/>
        <v>1796</v>
      </c>
      <c r="G1803" s="230">
        <f t="shared" ca="1" si="89"/>
        <v>-1.6954386680978997E-2</v>
      </c>
    </row>
    <row r="1804" spans="2:7" x14ac:dyDescent="0.25">
      <c r="B1804" s="348" t="s">
        <v>1645</v>
      </c>
      <c r="C1804" s="293">
        <v>117.84</v>
      </c>
      <c r="D1804" s="230">
        <f t="shared" si="88"/>
        <v>2.02597402597402E-2</v>
      </c>
      <c r="E1804" s="293">
        <v>2.9117167481946815E-3</v>
      </c>
      <c r="F1804" s="266">
        <f t="shared" si="90"/>
        <v>1797</v>
      </c>
      <c r="G1804" s="230">
        <f t="shared" ca="1" si="89"/>
        <v>1.54778104744376E-2</v>
      </c>
    </row>
    <row r="1805" spans="2:7" x14ac:dyDescent="0.25">
      <c r="B1805" s="348" t="s">
        <v>1646</v>
      </c>
      <c r="C1805" s="293">
        <v>115.5</v>
      </c>
      <c r="D1805" s="230">
        <f t="shared" si="88"/>
        <v>4.6098982343218964E-3</v>
      </c>
      <c r="E1805" s="293">
        <v>2.9003205617461614E-3</v>
      </c>
      <c r="F1805" s="266">
        <f t="shared" si="90"/>
        <v>1798</v>
      </c>
      <c r="G1805" s="230">
        <f t="shared" ca="1" si="89"/>
        <v>-2.5378384450993408E-3</v>
      </c>
    </row>
    <row r="1806" spans="2:7" x14ac:dyDescent="0.25">
      <c r="B1806" s="348" t="s">
        <v>1647</v>
      </c>
      <c r="C1806" s="293">
        <v>114.97</v>
      </c>
      <c r="D1806" s="230">
        <f t="shared" si="88"/>
        <v>1.2148956774364006E-2</v>
      </c>
      <c r="E1806" s="293">
        <v>2.8985507246377384E-3</v>
      </c>
      <c r="F1806" s="266">
        <f t="shared" si="90"/>
        <v>1799</v>
      </c>
      <c r="G1806" s="230">
        <f t="shared" ca="1" si="89"/>
        <v>-1.503917509219954E-2</v>
      </c>
    </row>
    <row r="1807" spans="2:7" x14ac:dyDescent="0.25">
      <c r="B1807" s="348" t="s">
        <v>1648</v>
      </c>
      <c r="C1807" s="293">
        <v>113.59</v>
      </c>
      <c r="D1807" s="230">
        <f t="shared" si="88"/>
        <v>4.3324491600353898E-3</v>
      </c>
      <c r="E1807" s="293">
        <v>2.8964518464880129E-3</v>
      </c>
      <c r="F1807" s="266">
        <f t="shared" si="90"/>
        <v>1800</v>
      </c>
      <c r="G1807" s="230">
        <f t="shared" ca="1" si="89"/>
        <v>-9.0553296676010239E-3</v>
      </c>
    </row>
    <row r="1808" spans="2:7" x14ac:dyDescent="0.25">
      <c r="B1808" s="348" t="s">
        <v>1649</v>
      </c>
      <c r="C1808" s="293">
        <v>113.1</v>
      </c>
      <c r="D1808" s="230">
        <f t="shared" si="88"/>
        <v>1.2896292315959235E-2</v>
      </c>
      <c r="E1808" s="293">
        <v>2.8930566640064104E-3</v>
      </c>
      <c r="F1808" s="266">
        <f t="shared" si="90"/>
        <v>1801</v>
      </c>
      <c r="G1808" s="230">
        <f t="shared" ca="1" si="89"/>
        <v>1.6442060622184125E-2</v>
      </c>
    </row>
    <row r="1809" spans="2:7" x14ac:dyDescent="0.25">
      <c r="B1809" s="348" t="s">
        <v>1650</v>
      </c>
      <c r="C1809" s="293">
        <v>111.66</v>
      </c>
      <c r="D1809" s="230">
        <f t="shared" si="88"/>
        <v>4.2269988308301087E-3</v>
      </c>
      <c r="E1809" s="293">
        <v>2.8784744085634806E-3</v>
      </c>
      <c r="F1809" s="266">
        <f t="shared" si="90"/>
        <v>1802</v>
      </c>
      <c r="G1809" s="230">
        <f t="shared" ca="1" si="89"/>
        <v>-1.9985916800140224E-2</v>
      </c>
    </row>
    <row r="1810" spans="2:7" x14ac:dyDescent="0.25">
      <c r="B1810" s="348" t="s">
        <v>1651</v>
      </c>
      <c r="C1810" s="293">
        <v>111.19</v>
      </c>
      <c r="D1810" s="230">
        <f t="shared" si="88"/>
        <v>1.4044687642498888E-2</v>
      </c>
      <c r="E1810" s="293">
        <v>2.868351119922341E-3</v>
      </c>
      <c r="F1810" s="266">
        <f t="shared" si="90"/>
        <v>1803</v>
      </c>
      <c r="G1810" s="230">
        <f t="shared" ca="1" si="89"/>
        <v>1.4616459691529341E-2</v>
      </c>
    </row>
    <row r="1811" spans="2:7" x14ac:dyDescent="0.25">
      <c r="B1811" s="348" t="s">
        <v>1652</v>
      </c>
      <c r="C1811" s="293">
        <v>109.65</v>
      </c>
      <c r="D1811" s="230">
        <f t="shared" si="88"/>
        <v>-1.1449693472773137E-2</v>
      </c>
      <c r="E1811" s="293">
        <v>2.8680189810710299E-3</v>
      </c>
      <c r="F1811" s="266">
        <f t="shared" si="90"/>
        <v>1804</v>
      </c>
      <c r="G1811" s="230">
        <f t="shared" ca="1" si="89"/>
        <v>8.1853519551700407E-3</v>
      </c>
    </row>
    <row r="1812" spans="2:7" x14ac:dyDescent="0.25">
      <c r="B1812" s="348" t="s">
        <v>1653</v>
      </c>
      <c r="C1812" s="293">
        <v>110.92</v>
      </c>
      <c r="D1812" s="230">
        <f t="shared" si="88"/>
        <v>2.0986745213549263E-2</v>
      </c>
      <c r="E1812" s="293">
        <v>2.8402883985143568E-3</v>
      </c>
      <c r="F1812" s="266">
        <f t="shared" si="90"/>
        <v>1805</v>
      </c>
      <c r="G1812" s="230">
        <f t="shared" ca="1" si="89"/>
        <v>-2.4044735760754443E-2</v>
      </c>
    </row>
    <row r="1813" spans="2:7" x14ac:dyDescent="0.25">
      <c r="B1813" s="348" t="s">
        <v>1654</v>
      </c>
      <c r="C1813" s="293">
        <v>108.64</v>
      </c>
      <c r="D1813" s="230">
        <f t="shared" si="88"/>
        <v>3.8809831824062613E-3</v>
      </c>
      <c r="E1813" s="293">
        <v>2.8377883559136396E-3</v>
      </c>
      <c r="F1813" s="266">
        <f t="shared" si="90"/>
        <v>1806</v>
      </c>
      <c r="G1813" s="230">
        <f t="shared" ca="1" si="89"/>
        <v>3.2661171942932319E-3</v>
      </c>
    </row>
    <row r="1814" spans="2:7" x14ac:dyDescent="0.25">
      <c r="B1814" s="348" t="s">
        <v>1655</v>
      </c>
      <c r="C1814" s="293">
        <v>108.22</v>
      </c>
      <c r="D1814" s="230">
        <f t="shared" si="88"/>
        <v>4.8282265552459513E-3</v>
      </c>
      <c r="E1814" s="293">
        <v>2.8322981366459832E-3</v>
      </c>
      <c r="F1814" s="266">
        <f t="shared" si="90"/>
        <v>1807</v>
      </c>
      <c r="G1814" s="230">
        <f t="shared" ca="1" si="89"/>
        <v>-2.9171165657769373E-2</v>
      </c>
    </row>
    <row r="1815" spans="2:7" x14ac:dyDescent="0.25">
      <c r="B1815" s="348" t="s">
        <v>1656</v>
      </c>
      <c r="C1815" s="293">
        <v>107.7</v>
      </c>
      <c r="D1815" s="230">
        <f t="shared" si="88"/>
        <v>-2.0385470719050947E-3</v>
      </c>
      <c r="E1815" s="293">
        <v>2.830455703368262E-3</v>
      </c>
      <c r="F1815" s="266">
        <f t="shared" si="90"/>
        <v>1808</v>
      </c>
      <c r="G1815" s="230">
        <f t="shared" ca="1" si="89"/>
        <v>2.4453168493102535E-2</v>
      </c>
    </row>
    <row r="1816" spans="2:7" x14ac:dyDescent="0.25">
      <c r="B1816" s="348">
        <v>43081</v>
      </c>
      <c r="C1816" s="293">
        <v>107.92</v>
      </c>
      <c r="D1816" s="230">
        <f t="shared" si="88"/>
        <v>-5.6205657421910526E-3</v>
      </c>
      <c r="E1816" s="293">
        <v>2.8259231348906066E-3</v>
      </c>
      <c r="F1816" s="266">
        <f t="shared" si="90"/>
        <v>1809</v>
      </c>
      <c r="G1816" s="230">
        <f t="shared" ca="1" si="89"/>
        <v>3.518376901687318E-2</v>
      </c>
    </row>
    <row r="1817" spans="2:7" x14ac:dyDescent="0.25">
      <c r="B1817" s="348">
        <v>43051</v>
      </c>
      <c r="C1817" s="293">
        <v>108.53</v>
      </c>
      <c r="D1817" s="230">
        <f t="shared" si="88"/>
        <v>2.2999340182863648E-2</v>
      </c>
      <c r="E1817" s="293">
        <v>2.8201641738430094E-3</v>
      </c>
      <c r="F1817" s="266">
        <f t="shared" si="90"/>
        <v>1810</v>
      </c>
      <c r="G1817" s="230">
        <f t="shared" ca="1" si="89"/>
        <v>-1.013323580939903E-2</v>
      </c>
    </row>
    <row r="1818" spans="2:7" x14ac:dyDescent="0.25">
      <c r="B1818" s="348">
        <v>42959</v>
      </c>
      <c r="C1818" s="293">
        <v>106.09</v>
      </c>
      <c r="D1818" s="230">
        <f t="shared" si="88"/>
        <v>6.0692271218587557E-3</v>
      </c>
      <c r="E1818" s="293">
        <v>2.8080422329552768E-3</v>
      </c>
      <c r="F1818" s="266">
        <f t="shared" si="90"/>
        <v>1811</v>
      </c>
      <c r="G1818" s="230">
        <f t="shared" ca="1" si="89"/>
        <v>4.9680241839644423E-3</v>
      </c>
    </row>
    <row r="1819" spans="2:7" x14ac:dyDescent="0.25">
      <c r="B1819" s="348">
        <v>42928</v>
      </c>
      <c r="C1819" s="293">
        <v>105.45</v>
      </c>
      <c r="D1819" s="230">
        <f t="shared" si="88"/>
        <v>-4.6252595808947694E-3</v>
      </c>
      <c r="E1819" s="293">
        <v>2.8070175438594802E-3</v>
      </c>
      <c r="F1819" s="266">
        <f t="shared" si="90"/>
        <v>1812</v>
      </c>
      <c r="G1819" s="230">
        <f t="shared" ca="1" si="89"/>
        <v>6.4483332407781818E-3</v>
      </c>
    </row>
    <row r="1820" spans="2:7" x14ac:dyDescent="0.25">
      <c r="B1820" s="348">
        <v>42898</v>
      </c>
      <c r="C1820" s="293">
        <v>105.94</v>
      </c>
      <c r="D1820" s="230">
        <f t="shared" si="88"/>
        <v>-3.2928779753504944E-3</v>
      </c>
      <c r="E1820" s="293">
        <v>2.8060329708872178E-3</v>
      </c>
      <c r="F1820" s="266">
        <f t="shared" si="90"/>
        <v>1813</v>
      </c>
      <c r="G1820" s="230">
        <f t="shared" ca="1" si="89"/>
        <v>5.0808669409117886E-2</v>
      </c>
    </row>
    <row r="1821" spans="2:7" x14ac:dyDescent="0.25">
      <c r="B1821" s="348">
        <v>42867</v>
      </c>
      <c r="C1821" s="293">
        <v>106.29</v>
      </c>
      <c r="D1821" s="230">
        <f t="shared" si="88"/>
        <v>-2.2440908672859305E-2</v>
      </c>
      <c r="E1821" s="293">
        <v>2.7986706314500065E-3</v>
      </c>
      <c r="F1821" s="266">
        <f t="shared" si="90"/>
        <v>1814</v>
      </c>
      <c r="G1821" s="230">
        <f t="shared" ca="1" si="89"/>
        <v>-2.9781134984908038E-2</v>
      </c>
    </row>
    <row r="1822" spans="2:7" x14ac:dyDescent="0.25">
      <c r="B1822" s="348">
        <v>42837</v>
      </c>
      <c r="C1822" s="293">
        <v>108.73</v>
      </c>
      <c r="D1822" s="230">
        <f t="shared" si="88"/>
        <v>1.8428084400625711E-3</v>
      </c>
      <c r="E1822" s="293">
        <v>2.7823240589197606E-3</v>
      </c>
      <c r="F1822" s="266">
        <f t="shared" si="90"/>
        <v>1815</v>
      </c>
      <c r="G1822" s="230">
        <f t="shared" ca="1" si="89"/>
        <v>-2.7768173822817807E-2</v>
      </c>
    </row>
    <row r="1823" spans="2:7" x14ac:dyDescent="0.25">
      <c r="B1823" s="348">
        <v>42747</v>
      </c>
      <c r="C1823" s="293">
        <v>108.53</v>
      </c>
      <c r="D1823" s="230">
        <f t="shared" si="88"/>
        <v>-8.4962543394846435E-3</v>
      </c>
      <c r="E1823" s="293">
        <v>2.7785058977720656E-3</v>
      </c>
      <c r="F1823" s="266">
        <f t="shared" si="90"/>
        <v>1816</v>
      </c>
      <c r="G1823" s="230">
        <f t="shared" ca="1" si="89"/>
        <v>-1.2010715496916135E-2</v>
      </c>
    </row>
    <row r="1824" spans="2:7" x14ac:dyDescent="0.25">
      <c r="B1824" s="348" t="s">
        <v>1657</v>
      </c>
      <c r="C1824" s="293">
        <v>109.46</v>
      </c>
      <c r="D1824" s="230">
        <f t="shared" si="88"/>
        <v>-2.2591302794892409E-2</v>
      </c>
      <c r="E1824" s="293">
        <v>2.770651616213371E-3</v>
      </c>
      <c r="F1824" s="266">
        <f t="shared" si="90"/>
        <v>1817</v>
      </c>
      <c r="G1824" s="230">
        <f t="shared" ca="1" si="89"/>
        <v>-1.3270606058836718E-2</v>
      </c>
    </row>
    <row r="1825" spans="2:7" x14ac:dyDescent="0.25">
      <c r="B1825" s="348" t="s">
        <v>1658</v>
      </c>
      <c r="C1825" s="293">
        <v>111.99</v>
      </c>
      <c r="D1825" s="230">
        <f t="shared" si="88"/>
        <v>1.2842543185312527E-2</v>
      </c>
      <c r="E1825" s="293">
        <v>2.7685492801772238E-3</v>
      </c>
      <c r="F1825" s="266">
        <f t="shared" si="90"/>
        <v>1818</v>
      </c>
      <c r="G1825" s="230">
        <f t="shared" ca="1" si="89"/>
        <v>-1.0219967283076739E-2</v>
      </c>
    </row>
    <row r="1826" spans="2:7" x14ac:dyDescent="0.25">
      <c r="B1826" s="348" t="s">
        <v>1659</v>
      </c>
      <c r="C1826" s="293">
        <v>110.57</v>
      </c>
      <c r="D1826" s="230">
        <f t="shared" si="88"/>
        <v>1.8091361374938941E-4</v>
      </c>
      <c r="E1826" s="293">
        <v>2.7537745703161143E-3</v>
      </c>
      <c r="F1826" s="266">
        <f t="shared" si="90"/>
        <v>1819</v>
      </c>
      <c r="G1826" s="230">
        <f t="shared" ca="1" si="89"/>
        <v>-4.6690483093174376E-2</v>
      </c>
    </row>
    <row r="1827" spans="2:7" x14ac:dyDescent="0.25">
      <c r="B1827" s="348" t="s">
        <v>1660</v>
      </c>
      <c r="C1827" s="293">
        <v>110.55</v>
      </c>
      <c r="D1827" s="230">
        <f t="shared" si="88"/>
        <v>7.1975218658890672E-3</v>
      </c>
      <c r="E1827" s="293">
        <v>2.7499191200257567E-3</v>
      </c>
      <c r="F1827" s="266">
        <f t="shared" si="90"/>
        <v>1820</v>
      </c>
      <c r="G1827" s="230">
        <f t="shared" ca="1" si="89"/>
        <v>-3.6508021055475081E-3</v>
      </c>
    </row>
    <row r="1828" spans="2:7" x14ac:dyDescent="0.25">
      <c r="B1828" s="348" t="s">
        <v>1661</v>
      </c>
      <c r="C1828" s="293">
        <v>109.76</v>
      </c>
      <c r="D1828" s="230">
        <f t="shared" si="88"/>
        <v>-2.9069767441859407E-3</v>
      </c>
      <c r="E1828" s="293">
        <v>2.739309085375341E-3</v>
      </c>
      <c r="F1828" s="266">
        <f t="shared" si="90"/>
        <v>1821</v>
      </c>
      <c r="G1828" s="230">
        <f t="shared" ca="1" si="89"/>
        <v>3.7540041824353902E-3</v>
      </c>
    </row>
    <row r="1829" spans="2:7" x14ac:dyDescent="0.25">
      <c r="B1829" s="348" t="s">
        <v>1662</v>
      </c>
      <c r="C1829" s="293">
        <v>110.08</v>
      </c>
      <c r="D1829" s="230">
        <f t="shared" si="88"/>
        <v>-2.5371511417180415E-3</v>
      </c>
      <c r="E1829" s="293">
        <v>2.7285129604366354E-3</v>
      </c>
      <c r="F1829" s="266">
        <f t="shared" si="90"/>
        <v>1822</v>
      </c>
      <c r="G1829" s="230">
        <f t="shared" ca="1" si="89"/>
        <v>3.5544381323093351E-2</v>
      </c>
    </row>
    <row r="1830" spans="2:7" x14ac:dyDescent="0.25">
      <c r="B1830" s="348" t="s">
        <v>1663</v>
      </c>
      <c r="C1830" s="293">
        <v>110.36</v>
      </c>
      <c r="D1830" s="230">
        <f t="shared" si="88"/>
        <v>9.9773242630374348E-4</v>
      </c>
      <c r="E1830" s="293">
        <v>2.7281279397930458E-3</v>
      </c>
      <c r="F1830" s="266">
        <f t="shared" si="90"/>
        <v>1823</v>
      </c>
      <c r="G1830" s="230">
        <f t="shared" ca="1" si="89"/>
        <v>-2.4165965252795948E-2</v>
      </c>
    </row>
    <row r="1831" spans="2:7" x14ac:dyDescent="0.25">
      <c r="B1831" s="348" t="s">
        <v>1664</v>
      </c>
      <c r="C1831" s="293">
        <v>110.25</v>
      </c>
      <c r="D1831" s="230">
        <f t="shared" si="88"/>
        <v>-1.177749592317423E-3</v>
      </c>
      <c r="E1831" s="293">
        <v>2.7280167318359805E-3</v>
      </c>
      <c r="F1831" s="266">
        <f t="shared" si="90"/>
        <v>1824</v>
      </c>
      <c r="G1831" s="230">
        <f t="shared" ca="1" si="89"/>
        <v>2.5032443864783484E-3</v>
      </c>
    </row>
    <row r="1832" spans="2:7" x14ac:dyDescent="0.25">
      <c r="B1832" s="348" t="s">
        <v>1665</v>
      </c>
      <c r="C1832" s="293">
        <v>110.38</v>
      </c>
      <c r="D1832" s="230">
        <f t="shared" si="88"/>
        <v>-2.7105168052042883E-3</v>
      </c>
      <c r="E1832" s="293">
        <v>2.7015498364850732E-3</v>
      </c>
      <c r="F1832" s="266">
        <f t="shared" si="90"/>
        <v>1825</v>
      </c>
      <c r="G1832" s="230">
        <f t="shared" ca="1" si="89"/>
        <v>-4.6328997195419098E-3</v>
      </c>
    </row>
    <row r="1833" spans="2:7" x14ac:dyDescent="0.25">
      <c r="B1833" s="348" t="s">
        <v>1666</v>
      </c>
      <c r="C1833" s="293">
        <v>110.68</v>
      </c>
      <c r="D1833" s="230">
        <f t="shared" si="88"/>
        <v>-8.421429851281137E-3</v>
      </c>
      <c r="E1833" s="293">
        <v>2.6956089948215745E-3</v>
      </c>
      <c r="F1833" s="266">
        <f t="shared" si="90"/>
        <v>1826</v>
      </c>
      <c r="G1833" s="230">
        <f t="shared" ca="1" si="89"/>
        <v>2.7945966415815406E-2</v>
      </c>
    </row>
    <row r="1834" spans="2:7" x14ac:dyDescent="0.25">
      <c r="B1834" s="348" t="s">
        <v>1667</v>
      </c>
      <c r="C1834" s="293">
        <v>111.62</v>
      </c>
      <c r="D1834" s="230">
        <f t="shared" si="88"/>
        <v>3.8672542494828654E-3</v>
      </c>
      <c r="E1834" s="293">
        <v>2.6921926413401298E-3</v>
      </c>
      <c r="F1834" s="266">
        <f t="shared" si="90"/>
        <v>1827</v>
      </c>
      <c r="G1834" s="230">
        <f t="shared" ca="1" si="89"/>
        <v>-6.5283308197121165E-3</v>
      </c>
    </row>
    <row r="1835" spans="2:7" x14ac:dyDescent="0.25">
      <c r="B1835" s="348" t="s">
        <v>1668</v>
      </c>
      <c r="C1835" s="293">
        <v>111.19</v>
      </c>
      <c r="D1835" s="230">
        <f t="shared" si="88"/>
        <v>-6.7000178667142585E-3</v>
      </c>
      <c r="E1835" s="293">
        <v>2.6877470355732846E-3</v>
      </c>
      <c r="F1835" s="266">
        <f t="shared" si="90"/>
        <v>1828</v>
      </c>
      <c r="G1835" s="230">
        <f t="shared" ca="1" si="89"/>
        <v>-2.6767222184270342E-2</v>
      </c>
    </row>
    <row r="1836" spans="2:7" x14ac:dyDescent="0.25">
      <c r="B1836" s="348" t="s">
        <v>1669</v>
      </c>
      <c r="C1836" s="293">
        <v>111.94</v>
      </c>
      <c r="D1836" s="230">
        <f t="shared" si="88"/>
        <v>-2.6792890952931359E-4</v>
      </c>
      <c r="E1836" s="293">
        <v>2.6826574088685273E-3</v>
      </c>
      <c r="F1836" s="266">
        <f t="shared" si="90"/>
        <v>1829</v>
      </c>
      <c r="G1836" s="230">
        <f t="shared" ca="1" si="89"/>
        <v>2.7491763610612445E-2</v>
      </c>
    </row>
    <row r="1837" spans="2:7" x14ac:dyDescent="0.25">
      <c r="B1837" s="348" t="s">
        <v>1670</v>
      </c>
      <c r="C1837" s="293">
        <v>111.97</v>
      </c>
      <c r="D1837" s="230">
        <f t="shared" si="88"/>
        <v>-1.3393250506652521E-2</v>
      </c>
      <c r="E1837" s="293">
        <v>2.6805424156417512E-3</v>
      </c>
      <c r="F1837" s="266">
        <f t="shared" si="90"/>
        <v>1830</v>
      </c>
      <c r="G1837" s="230">
        <f t="shared" ca="1" si="89"/>
        <v>-7.0140426038169763E-3</v>
      </c>
    </row>
    <row r="1838" spans="2:7" x14ac:dyDescent="0.25">
      <c r="B1838" s="348">
        <v>43019</v>
      </c>
      <c r="C1838" s="293">
        <v>113.49</v>
      </c>
      <c r="D1838" s="230">
        <f t="shared" si="88"/>
        <v>4.4076163610706764E-4</v>
      </c>
      <c r="E1838" s="293">
        <v>2.67618198037467E-3</v>
      </c>
      <c r="F1838" s="266">
        <f t="shared" si="90"/>
        <v>1831</v>
      </c>
      <c r="G1838" s="230">
        <f t="shared" ca="1" si="89"/>
        <v>-8.3059851358678952E-3</v>
      </c>
    </row>
    <row r="1839" spans="2:7" x14ac:dyDescent="0.25">
      <c r="B1839" s="348">
        <v>42989</v>
      </c>
      <c r="C1839" s="293">
        <v>113.44</v>
      </c>
      <c r="D1839" s="230">
        <f t="shared" si="88"/>
        <v>3.5273368606691946E-4</v>
      </c>
      <c r="E1839" s="293">
        <v>2.6534907127824248E-3</v>
      </c>
      <c r="F1839" s="266">
        <f t="shared" si="90"/>
        <v>1832</v>
      </c>
      <c r="G1839" s="230">
        <f t="shared" ca="1" si="89"/>
        <v>1.5409098214670833E-2</v>
      </c>
    </row>
    <row r="1840" spans="2:7" x14ac:dyDescent="0.25">
      <c r="B1840" s="348">
        <v>42958</v>
      </c>
      <c r="C1840" s="293">
        <v>113.4</v>
      </c>
      <c r="D1840" s="230">
        <f t="shared" si="88"/>
        <v>5.2938062466911795E-4</v>
      </c>
      <c r="E1840" s="293">
        <v>2.6353617632965953E-3</v>
      </c>
      <c r="F1840" s="266">
        <f t="shared" si="90"/>
        <v>1833</v>
      </c>
      <c r="G1840" s="230">
        <f t="shared" ca="1" si="89"/>
        <v>9.6196473772428362E-3</v>
      </c>
    </row>
    <row r="1841" spans="2:7" x14ac:dyDescent="0.25">
      <c r="B1841" s="348">
        <v>42927</v>
      </c>
      <c r="C1841" s="293">
        <v>113.34</v>
      </c>
      <c r="D1841" s="230">
        <f t="shared" si="88"/>
        <v>8.0042689434365322E-3</v>
      </c>
      <c r="E1841" s="293">
        <v>2.6089625537140115E-3</v>
      </c>
      <c r="F1841" s="266">
        <f t="shared" si="90"/>
        <v>1834</v>
      </c>
      <c r="G1841" s="230">
        <f t="shared" ca="1" si="89"/>
        <v>-1.6341770074571001E-2</v>
      </c>
    </row>
    <row r="1842" spans="2:7" x14ac:dyDescent="0.25">
      <c r="B1842" s="348">
        <v>42897</v>
      </c>
      <c r="C1842" s="293">
        <v>112.44</v>
      </c>
      <c r="D1842" s="230">
        <f t="shared" si="88"/>
        <v>1.7925040738729026E-2</v>
      </c>
      <c r="E1842" s="293">
        <v>2.6086956521738092E-3</v>
      </c>
      <c r="F1842" s="266">
        <f t="shared" si="90"/>
        <v>1835</v>
      </c>
      <c r="G1842" s="230">
        <f t="shared" ca="1" si="89"/>
        <v>-3.0488998395733539E-3</v>
      </c>
    </row>
    <row r="1843" spans="2:7" x14ac:dyDescent="0.25">
      <c r="B1843" s="348">
        <v>42805</v>
      </c>
      <c r="C1843" s="293">
        <v>110.46</v>
      </c>
      <c r="D1843" s="230">
        <f t="shared" si="88"/>
        <v>4.4557606619985979E-3</v>
      </c>
      <c r="E1843" s="293">
        <v>2.605703048180974E-3</v>
      </c>
      <c r="F1843" s="266">
        <f t="shared" si="90"/>
        <v>1836</v>
      </c>
      <c r="G1843" s="230">
        <f t="shared" ca="1" si="89"/>
        <v>4.6629208608698992E-2</v>
      </c>
    </row>
    <row r="1844" spans="2:7" x14ac:dyDescent="0.25">
      <c r="B1844" s="348">
        <v>42777</v>
      </c>
      <c r="C1844" s="293">
        <v>109.97</v>
      </c>
      <c r="D1844" s="230">
        <f t="shared" si="88"/>
        <v>-9.9927325581394832E-4</v>
      </c>
      <c r="E1844" s="293">
        <v>2.6012634708285631E-3</v>
      </c>
      <c r="F1844" s="266">
        <f t="shared" si="90"/>
        <v>1837</v>
      </c>
      <c r="G1844" s="230">
        <f t="shared" ca="1" si="89"/>
        <v>-2.1049045210871489E-2</v>
      </c>
    </row>
    <row r="1845" spans="2:7" x14ac:dyDescent="0.25">
      <c r="B1845" s="348">
        <v>42746</v>
      </c>
      <c r="C1845" s="293">
        <v>110.08</v>
      </c>
      <c r="D1845" s="230">
        <f t="shared" si="88"/>
        <v>-1.7230434388318949E-3</v>
      </c>
      <c r="E1845" s="293">
        <v>2.5989909799724042E-3</v>
      </c>
      <c r="F1845" s="266">
        <f t="shared" si="90"/>
        <v>1838</v>
      </c>
      <c r="G1845" s="230">
        <f t="shared" ca="1" si="89"/>
        <v>1.4480280355717891E-2</v>
      </c>
    </row>
    <row r="1846" spans="2:7" x14ac:dyDescent="0.25">
      <c r="B1846" s="348" t="s">
        <v>1671</v>
      </c>
      <c r="C1846" s="293">
        <v>110.27</v>
      </c>
      <c r="D1846" s="230">
        <f t="shared" si="88"/>
        <v>2.7280167318359805E-3</v>
      </c>
      <c r="E1846" s="293">
        <v>2.5715563506261141E-3</v>
      </c>
      <c r="F1846" s="266">
        <f t="shared" si="90"/>
        <v>1839</v>
      </c>
      <c r="G1846" s="230">
        <f t="shared" ca="1" si="89"/>
        <v>-2.2785689755974455E-2</v>
      </c>
    </row>
    <row r="1847" spans="2:7" x14ac:dyDescent="0.25">
      <c r="B1847" s="348" t="s">
        <v>1672</v>
      </c>
      <c r="C1847" s="293">
        <v>109.97</v>
      </c>
      <c r="D1847" s="230">
        <f t="shared" si="88"/>
        <v>-1.2482040229885083E-2</v>
      </c>
      <c r="E1847" s="293">
        <v>2.5694931090867179E-3</v>
      </c>
      <c r="F1847" s="266">
        <f t="shared" si="90"/>
        <v>1840</v>
      </c>
      <c r="G1847" s="230">
        <f t="shared" ca="1" si="89"/>
        <v>-3.4155836560656808E-3</v>
      </c>
    </row>
    <row r="1848" spans="2:7" x14ac:dyDescent="0.25">
      <c r="B1848" s="348" t="s">
        <v>1673</v>
      </c>
      <c r="C1848" s="293">
        <v>111.36</v>
      </c>
      <c r="D1848" s="230">
        <f t="shared" si="88"/>
        <v>-1.7642907551164377E-2</v>
      </c>
      <c r="E1848" s="293">
        <v>2.5576681787471411E-3</v>
      </c>
      <c r="F1848" s="266">
        <f t="shared" si="90"/>
        <v>1841</v>
      </c>
      <c r="G1848" s="230">
        <f t="shared" ca="1" si="89"/>
        <v>1.9638136406109903E-2</v>
      </c>
    </row>
    <row r="1849" spans="2:7" x14ac:dyDescent="0.25">
      <c r="B1849" s="348" t="s">
        <v>1674</v>
      </c>
      <c r="C1849" s="293">
        <v>113.36</v>
      </c>
      <c r="D1849" s="230">
        <f t="shared" si="88"/>
        <v>1.1330181104469483E-2</v>
      </c>
      <c r="E1849" s="293">
        <v>2.5557290927160636E-3</v>
      </c>
      <c r="F1849" s="266">
        <f t="shared" si="90"/>
        <v>1842</v>
      </c>
      <c r="G1849" s="230">
        <f t="shared" ca="1" si="89"/>
        <v>-2.0499543011327274E-2</v>
      </c>
    </row>
    <row r="1850" spans="2:7" x14ac:dyDescent="0.25">
      <c r="B1850" s="348" t="s">
        <v>1675</v>
      </c>
      <c r="C1850" s="293">
        <v>112.09</v>
      </c>
      <c r="D1850" s="230">
        <f t="shared" si="88"/>
        <v>7.0979335130278987E-3</v>
      </c>
      <c r="E1850" s="293">
        <v>2.5490413388007394E-3</v>
      </c>
      <c r="F1850" s="266">
        <f t="shared" si="90"/>
        <v>1843</v>
      </c>
      <c r="G1850" s="230">
        <f t="shared" ca="1" si="89"/>
        <v>1.4524180496597854E-2</v>
      </c>
    </row>
    <row r="1851" spans="2:7" x14ac:dyDescent="0.25">
      <c r="B1851" s="348" t="s">
        <v>1676</v>
      </c>
      <c r="C1851" s="293">
        <v>111.3</v>
      </c>
      <c r="D1851" s="230">
        <f t="shared" si="88"/>
        <v>-3.5925992455543287E-4</v>
      </c>
      <c r="E1851" s="293">
        <v>2.5342594330768353E-3</v>
      </c>
      <c r="F1851" s="266">
        <f t="shared" si="90"/>
        <v>1844</v>
      </c>
      <c r="G1851" s="230">
        <f t="shared" ca="1" si="89"/>
        <v>-1.2667664322000189E-2</v>
      </c>
    </row>
    <row r="1852" spans="2:7" x14ac:dyDescent="0.25">
      <c r="B1852" s="348" t="s">
        <v>1677</v>
      </c>
      <c r="C1852" s="293">
        <v>111.34</v>
      </c>
      <c r="D1852" s="230">
        <f t="shared" si="88"/>
        <v>1.6617969320672055E-2</v>
      </c>
      <c r="E1852" s="293">
        <v>2.5337837837837718E-3</v>
      </c>
      <c r="F1852" s="266">
        <f t="shared" si="90"/>
        <v>1845</v>
      </c>
      <c r="G1852" s="230">
        <f t="shared" ca="1" si="89"/>
        <v>-1.1528438874781289E-2</v>
      </c>
    </row>
    <row r="1853" spans="2:7" x14ac:dyDescent="0.25">
      <c r="B1853" s="348" t="s">
        <v>1678</v>
      </c>
      <c r="C1853" s="293">
        <v>109.52</v>
      </c>
      <c r="D1853" s="230">
        <f t="shared" si="88"/>
        <v>-9.1377906450738067E-3</v>
      </c>
      <c r="E1853" s="293">
        <v>2.5303110173959809E-3</v>
      </c>
      <c r="F1853" s="266">
        <f t="shared" si="90"/>
        <v>1846</v>
      </c>
      <c r="G1853" s="230">
        <f t="shared" ca="1" si="89"/>
        <v>7.1392744108405674E-3</v>
      </c>
    </row>
    <row r="1854" spans="2:7" x14ac:dyDescent="0.25">
      <c r="B1854" s="348" t="s">
        <v>1679</v>
      </c>
      <c r="C1854" s="293">
        <v>110.53</v>
      </c>
      <c r="D1854" s="230">
        <f t="shared" si="88"/>
        <v>1.6928880301775751E-2</v>
      </c>
      <c r="E1854" s="293">
        <v>2.5089605734767151E-3</v>
      </c>
      <c r="F1854" s="266">
        <f t="shared" si="90"/>
        <v>1847</v>
      </c>
      <c r="G1854" s="230">
        <f t="shared" ca="1" si="89"/>
        <v>3.1710853918727176E-3</v>
      </c>
    </row>
    <row r="1855" spans="2:7" x14ac:dyDescent="0.25">
      <c r="B1855" s="348" t="s">
        <v>1680</v>
      </c>
      <c r="C1855" s="293">
        <v>108.69</v>
      </c>
      <c r="D1855" s="230">
        <f t="shared" si="88"/>
        <v>-2.9355105036236173E-3</v>
      </c>
      <c r="E1855" s="293">
        <v>2.5078899909827257E-3</v>
      </c>
      <c r="F1855" s="266">
        <f t="shared" si="90"/>
        <v>1848</v>
      </c>
      <c r="G1855" s="230">
        <f t="shared" ca="1" si="89"/>
        <v>1.4652501899397427E-3</v>
      </c>
    </row>
    <row r="1856" spans="2:7" x14ac:dyDescent="0.25">
      <c r="B1856" s="348" t="s">
        <v>1681</v>
      </c>
      <c r="C1856" s="293">
        <v>109.01</v>
      </c>
      <c r="D1856" s="230">
        <f t="shared" si="88"/>
        <v>-4.111090809427953E-3</v>
      </c>
      <c r="E1856" s="293">
        <v>2.5014714537963112E-3</v>
      </c>
      <c r="F1856" s="266">
        <f t="shared" si="90"/>
        <v>1849</v>
      </c>
      <c r="G1856" s="230">
        <f t="shared" ca="1" si="89"/>
        <v>-9.8937410177937935E-3</v>
      </c>
    </row>
    <row r="1857" spans="2:7" x14ac:dyDescent="0.25">
      <c r="B1857" s="348" t="s">
        <v>1682</v>
      </c>
      <c r="C1857" s="293">
        <v>109.46</v>
      </c>
      <c r="D1857" s="230">
        <f t="shared" si="88"/>
        <v>-5.2708106143222189E-3</v>
      </c>
      <c r="E1857" s="293">
        <v>2.4931111402703987E-3</v>
      </c>
      <c r="F1857" s="266">
        <f t="shared" si="90"/>
        <v>1850</v>
      </c>
      <c r="G1857" s="230">
        <f t="shared" ca="1" si="89"/>
        <v>6.5293800127322436E-3</v>
      </c>
    </row>
    <row r="1858" spans="2:7" x14ac:dyDescent="0.25">
      <c r="B1858" s="348">
        <v>43079</v>
      </c>
      <c r="C1858" s="293">
        <v>110.04</v>
      </c>
      <c r="D1858" s="230">
        <f t="shared" si="88"/>
        <v>9.633911368015502E-3</v>
      </c>
      <c r="E1858" s="293">
        <v>2.4913760061326951E-3</v>
      </c>
      <c r="F1858" s="266">
        <f t="shared" si="90"/>
        <v>1851</v>
      </c>
      <c r="G1858" s="230">
        <f t="shared" ca="1" si="89"/>
        <v>2.1032521990471474E-2</v>
      </c>
    </row>
    <row r="1859" spans="2:7" x14ac:dyDescent="0.25">
      <c r="B1859" s="348">
        <v>43049</v>
      </c>
      <c r="C1859" s="293">
        <v>108.99</v>
      </c>
      <c r="D1859" s="230">
        <f t="shared" si="88"/>
        <v>1.2729975840921615E-2</v>
      </c>
      <c r="E1859" s="293">
        <v>2.4805102763996167E-3</v>
      </c>
      <c r="F1859" s="266">
        <f t="shared" si="90"/>
        <v>1852</v>
      </c>
      <c r="G1859" s="230">
        <f t="shared" ca="1" si="89"/>
        <v>5.7620503660376992E-4</v>
      </c>
    </row>
    <row r="1860" spans="2:7" x14ac:dyDescent="0.25">
      <c r="B1860" s="348">
        <v>43018</v>
      </c>
      <c r="C1860" s="293">
        <v>107.62</v>
      </c>
      <c r="D1860" s="230">
        <f t="shared" si="88"/>
        <v>6.5086006508607852E-4</v>
      </c>
      <c r="E1860" s="293">
        <v>2.4739446257500131E-3</v>
      </c>
      <c r="F1860" s="266">
        <f t="shared" si="90"/>
        <v>1853</v>
      </c>
      <c r="G1860" s="230">
        <f t="shared" ca="1" si="89"/>
        <v>1.6709596478109413E-2</v>
      </c>
    </row>
    <row r="1861" spans="2:7" x14ac:dyDescent="0.25">
      <c r="B1861" s="348">
        <v>42988</v>
      </c>
      <c r="C1861" s="293">
        <v>107.55</v>
      </c>
      <c r="D1861" s="230">
        <f t="shared" si="88"/>
        <v>7.4439378431190306E-4</v>
      </c>
      <c r="E1861" s="293">
        <v>2.468323185782495E-3</v>
      </c>
      <c r="F1861" s="266">
        <f t="shared" si="90"/>
        <v>1854</v>
      </c>
      <c r="G1861" s="230">
        <f t="shared" ca="1" si="89"/>
        <v>-3.542153893687997E-3</v>
      </c>
    </row>
    <row r="1862" spans="2:7" x14ac:dyDescent="0.25">
      <c r="B1862" s="348">
        <v>42896</v>
      </c>
      <c r="C1862" s="293">
        <v>107.47</v>
      </c>
      <c r="D1862" s="230">
        <f t="shared" si="88"/>
        <v>1.0531264692054565E-2</v>
      </c>
      <c r="E1862" s="293">
        <v>2.4345709068775978E-3</v>
      </c>
      <c r="F1862" s="266">
        <f t="shared" si="90"/>
        <v>1855</v>
      </c>
      <c r="G1862" s="230">
        <f t="shared" ca="1" si="89"/>
        <v>1.8364361403615234E-2</v>
      </c>
    </row>
    <row r="1863" spans="2:7" x14ac:dyDescent="0.25">
      <c r="B1863" s="348">
        <v>42865</v>
      </c>
      <c r="C1863" s="293">
        <v>106.35</v>
      </c>
      <c r="D1863" s="230">
        <f t="shared" si="88"/>
        <v>3.0180137696877996E-3</v>
      </c>
      <c r="E1863" s="293">
        <v>2.4310024310023604E-3</v>
      </c>
      <c r="F1863" s="266">
        <f t="shared" si="90"/>
        <v>1856</v>
      </c>
      <c r="G1863" s="230">
        <f t="shared" ca="1" si="89"/>
        <v>-2.2512543095260969E-3</v>
      </c>
    </row>
    <row r="1864" spans="2:7" x14ac:dyDescent="0.25">
      <c r="B1864" s="348">
        <v>42835</v>
      </c>
      <c r="C1864" s="293">
        <v>106.03</v>
      </c>
      <c r="D1864" s="230">
        <f t="shared" si="88"/>
        <v>-7.5393459617378866E-4</v>
      </c>
      <c r="E1864" s="293">
        <v>2.4271844660193054E-3</v>
      </c>
      <c r="F1864" s="266">
        <f t="shared" si="90"/>
        <v>1857</v>
      </c>
      <c r="G1864" s="230">
        <f t="shared" ca="1" si="89"/>
        <v>-3.3046899170871162E-2</v>
      </c>
    </row>
    <row r="1865" spans="2:7" x14ac:dyDescent="0.25">
      <c r="B1865" s="348">
        <v>42804</v>
      </c>
      <c r="C1865" s="293">
        <v>106.11</v>
      </c>
      <c r="D1865" s="230">
        <f t="shared" ref="D1865:D1928" si="91">C1865/C1866-1</f>
        <v>9.705966314587533E-3</v>
      </c>
      <c r="E1865" s="293">
        <v>2.4238506907974244E-3</v>
      </c>
      <c r="F1865" s="266">
        <f t="shared" si="90"/>
        <v>1858</v>
      </c>
      <c r="G1865" s="230">
        <f t="shared" ref="G1865:G1928" ca="1" si="92">_xlfn.NORM.INV(RAND(),$M$10,$M$11)</f>
        <v>2.8740090645051172E-3</v>
      </c>
    </row>
    <row r="1866" spans="2:7" x14ac:dyDescent="0.25">
      <c r="B1866" s="348" t="s">
        <v>1683</v>
      </c>
      <c r="C1866" s="293">
        <v>105.09</v>
      </c>
      <c r="D1866" s="230">
        <f t="shared" si="91"/>
        <v>-1.9774274787799584E-2</v>
      </c>
      <c r="E1866" s="293">
        <v>2.422285022204429E-3</v>
      </c>
      <c r="F1866" s="266">
        <f t="shared" ref="F1866:F1929" si="93">F1865+1</f>
        <v>1859</v>
      </c>
      <c r="G1866" s="230">
        <f t="shared" ca="1" si="92"/>
        <v>3.6603602938750895E-2</v>
      </c>
    </row>
    <row r="1867" spans="2:7" x14ac:dyDescent="0.25">
      <c r="B1867" s="348" t="s">
        <v>1684</v>
      </c>
      <c r="C1867" s="293">
        <v>107.21</v>
      </c>
      <c r="D1867" s="230">
        <f t="shared" si="91"/>
        <v>-8.3248543150495902E-3</v>
      </c>
      <c r="E1867" s="293">
        <v>2.4068004916018015E-3</v>
      </c>
      <c r="F1867" s="266">
        <f t="shared" si="93"/>
        <v>1860</v>
      </c>
      <c r="G1867" s="230">
        <f t="shared" ca="1" si="92"/>
        <v>-9.248901374795785E-3</v>
      </c>
    </row>
    <row r="1868" spans="2:7" x14ac:dyDescent="0.25">
      <c r="B1868" s="348" t="s">
        <v>1685</v>
      </c>
      <c r="C1868" s="293">
        <v>108.11</v>
      </c>
      <c r="D1868" s="230">
        <f t="shared" si="91"/>
        <v>-6.707092980521856E-3</v>
      </c>
      <c r="E1868" s="293">
        <v>2.3918243096325842E-3</v>
      </c>
      <c r="F1868" s="266">
        <f t="shared" si="93"/>
        <v>1861</v>
      </c>
      <c r="G1868" s="230">
        <f t="shared" ca="1" si="92"/>
        <v>1.7744494059573589E-2</v>
      </c>
    </row>
    <row r="1869" spans="2:7" x14ac:dyDescent="0.25">
      <c r="B1869" s="348" t="s">
        <v>1686</v>
      </c>
      <c r="C1869" s="293">
        <v>108.84</v>
      </c>
      <c r="D1869" s="230">
        <f t="shared" si="91"/>
        <v>-5.664169559656429E-3</v>
      </c>
      <c r="E1869" s="293">
        <v>2.3746460864007002E-3</v>
      </c>
      <c r="F1869" s="266">
        <f t="shared" si="93"/>
        <v>1862</v>
      </c>
      <c r="G1869" s="230">
        <f t="shared" ca="1" si="92"/>
        <v>-9.3627985772179586E-4</v>
      </c>
    </row>
    <row r="1870" spans="2:7" x14ac:dyDescent="0.25">
      <c r="B1870" s="348" t="s">
        <v>1687</v>
      </c>
      <c r="C1870" s="293">
        <v>109.46</v>
      </c>
      <c r="D1870" s="230">
        <f t="shared" si="91"/>
        <v>-8.6940771599348654E-3</v>
      </c>
      <c r="E1870" s="293">
        <v>2.3713209652671541E-3</v>
      </c>
      <c r="F1870" s="266">
        <f t="shared" si="93"/>
        <v>1863</v>
      </c>
      <c r="G1870" s="230">
        <f t="shared" ca="1" si="92"/>
        <v>-1.7045130542869924E-3</v>
      </c>
    </row>
    <row r="1871" spans="2:7" x14ac:dyDescent="0.25">
      <c r="B1871" s="348" t="s">
        <v>1688</v>
      </c>
      <c r="C1871" s="293">
        <v>110.42</v>
      </c>
      <c r="D1871" s="230">
        <f t="shared" si="91"/>
        <v>8.7703270601133809E-3</v>
      </c>
      <c r="E1871" s="293">
        <v>2.3610606610968699E-3</v>
      </c>
      <c r="F1871" s="266">
        <f t="shared" si="93"/>
        <v>1864</v>
      </c>
      <c r="G1871" s="230">
        <f t="shared" ca="1" si="92"/>
        <v>1.7900647797718307E-2</v>
      </c>
    </row>
    <row r="1872" spans="2:7" x14ac:dyDescent="0.25">
      <c r="B1872" s="348" t="s">
        <v>1689</v>
      </c>
      <c r="C1872" s="293">
        <v>109.46</v>
      </c>
      <c r="D1872" s="230">
        <f t="shared" si="91"/>
        <v>0</v>
      </c>
      <c r="E1872" s="293">
        <v>2.3584905660376521E-3</v>
      </c>
      <c r="F1872" s="266">
        <f t="shared" si="93"/>
        <v>1865</v>
      </c>
      <c r="G1872" s="230">
        <f t="shared" ca="1" si="92"/>
        <v>-1.5907440093222626E-2</v>
      </c>
    </row>
    <row r="1873" spans="2:7" x14ac:dyDescent="0.25">
      <c r="B1873" s="348" t="s">
        <v>1690</v>
      </c>
      <c r="C1873" s="293">
        <v>109.46</v>
      </c>
      <c r="D1873" s="230">
        <f t="shared" si="91"/>
        <v>9.1269475430995062E-3</v>
      </c>
      <c r="E1873" s="293">
        <v>2.3536795857523884E-3</v>
      </c>
      <c r="F1873" s="266">
        <f t="shared" si="93"/>
        <v>1866</v>
      </c>
      <c r="G1873" s="230">
        <f t="shared" ca="1" si="92"/>
        <v>3.9344177597995855E-2</v>
      </c>
    </row>
    <row r="1874" spans="2:7" x14ac:dyDescent="0.25">
      <c r="B1874" s="348" t="s">
        <v>1691</v>
      </c>
      <c r="C1874" s="293">
        <v>108.47</v>
      </c>
      <c r="D1874" s="230">
        <f t="shared" si="91"/>
        <v>-1.8434878790662967E-4</v>
      </c>
      <c r="E1874" s="293">
        <v>2.3485204321278541E-3</v>
      </c>
      <c r="F1874" s="266">
        <f t="shared" si="93"/>
        <v>1867</v>
      </c>
      <c r="G1874" s="230">
        <f t="shared" ca="1" si="92"/>
        <v>-8.6761221762496673E-3</v>
      </c>
    </row>
    <row r="1875" spans="2:7" x14ac:dyDescent="0.25">
      <c r="B1875" s="348" t="s">
        <v>1692</v>
      </c>
      <c r="C1875" s="293">
        <v>108.49</v>
      </c>
      <c r="D1875" s="230">
        <f t="shared" si="91"/>
        <v>1.2411347517730542E-2</v>
      </c>
      <c r="E1875" s="293">
        <v>2.3375409069659181E-3</v>
      </c>
      <c r="F1875" s="266">
        <f t="shared" si="93"/>
        <v>1868</v>
      </c>
      <c r="G1875" s="230">
        <f t="shared" ca="1" si="92"/>
        <v>2.1873513793677253E-2</v>
      </c>
    </row>
    <row r="1876" spans="2:7" x14ac:dyDescent="0.25">
      <c r="B1876" s="348" t="s">
        <v>1693</v>
      </c>
      <c r="C1876" s="293">
        <v>107.16</v>
      </c>
      <c r="D1876" s="230">
        <f t="shared" si="91"/>
        <v>8.1851538244424038E-3</v>
      </c>
      <c r="E1876" s="293">
        <v>2.333592621402536E-3</v>
      </c>
      <c r="F1876" s="266">
        <f t="shared" si="93"/>
        <v>1869</v>
      </c>
      <c r="G1876" s="230">
        <f t="shared" ca="1" si="92"/>
        <v>-1.7341464613645861E-3</v>
      </c>
    </row>
    <row r="1877" spans="2:7" x14ac:dyDescent="0.25">
      <c r="B1877" s="348" t="s">
        <v>1694</v>
      </c>
      <c r="C1877" s="293">
        <v>106.29</v>
      </c>
      <c r="D1877" s="230">
        <f t="shared" si="91"/>
        <v>-4.2087238644556435E-2</v>
      </c>
      <c r="E1877" s="293">
        <v>2.325934165950283E-3</v>
      </c>
      <c r="F1877" s="266">
        <f t="shared" si="93"/>
        <v>1870</v>
      </c>
      <c r="G1877" s="230">
        <f t="shared" ca="1" si="92"/>
        <v>-5.0448362004370945E-3</v>
      </c>
    </row>
    <row r="1878" spans="2:7" x14ac:dyDescent="0.25">
      <c r="B1878" s="348" t="s">
        <v>1695</v>
      </c>
      <c r="C1878" s="293">
        <v>110.96</v>
      </c>
      <c r="D1878" s="230">
        <f t="shared" si="91"/>
        <v>-7.4246354772342649E-3</v>
      </c>
      <c r="E1878" s="293">
        <v>2.3241400681748292E-3</v>
      </c>
      <c r="F1878" s="266">
        <f t="shared" si="93"/>
        <v>1871</v>
      </c>
      <c r="G1878" s="230">
        <f t="shared" ca="1" si="92"/>
        <v>3.7019652159372154E-2</v>
      </c>
    </row>
    <row r="1879" spans="2:7" x14ac:dyDescent="0.25">
      <c r="B1879" s="348">
        <v>43078</v>
      </c>
      <c r="C1879" s="293">
        <v>111.79</v>
      </c>
      <c r="D1879" s="230">
        <f t="shared" si="91"/>
        <v>-1.009474895953244E-2</v>
      </c>
      <c r="E1879" s="293">
        <v>2.3062730627305683E-3</v>
      </c>
      <c r="F1879" s="266">
        <f t="shared" si="93"/>
        <v>1872</v>
      </c>
      <c r="G1879" s="230">
        <f t="shared" ca="1" si="92"/>
        <v>1.3192151072567234E-2</v>
      </c>
    </row>
    <row r="1880" spans="2:7" x14ac:dyDescent="0.25">
      <c r="B1880" s="348">
        <v>43048</v>
      </c>
      <c r="C1880" s="293">
        <v>112.93</v>
      </c>
      <c r="D1880" s="230">
        <f t="shared" si="91"/>
        <v>2.1297364451149381E-3</v>
      </c>
      <c r="E1880" s="293">
        <v>2.3003929838012471E-3</v>
      </c>
      <c r="F1880" s="266">
        <f t="shared" si="93"/>
        <v>1873</v>
      </c>
      <c r="G1880" s="230">
        <f t="shared" ca="1" si="92"/>
        <v>-8.1820455761197038E-4</v>
      </c>
    </row>
    <row r="1881" spans="2:7" x14ac:dyDescent="0.25">
      <c r="B1881" s="348">
        <v>42956</v>
      </c>
      <c r="C1881" s="293">
        <v>112.69</v>
      </c>
      <c r="D1881" s="230">
        <f t="shared" si="91"/>
        <v>5.1734903220050921E-3</v>
      </c>
      <c r="E1881" s="293">
        <v>2.2972256582434181E-3</v>
      </c>
      <c r="F1881" s="266">
        <f t="shared" si="93"/>
        <v>1874</v>
      </c>
      <c r="G1881" s="230">
        <f t="shared" ca="1" si="92"/>
        <v>-9.6779932673308495E-3</v>
      </c>
    </row>
    <row r="1882" spans="2:7" x14ac:dyDescent="0.25">
      <c r="B1882" s="348">
        <v>42925</v>
      </c>
      <c r="C1882" s="293">
        <v>112.11</v>
      </c>
      <c r="D1882" s="230">
        <f t="shared" si="91"/>
        <v>5.9219380888291262E-3</v>
      </c>
      <c r="E1882" s="293">
        <v>2.2930998540755532E-3</v>
      </c>
      <c r="F1882" s="266">
        <f t="shared" si="93"/>
        <v>1875</v>
      </c>
      <c r="G1882" s="230">
        <f t="shared" ca="1" si="92"/>
        <v>-2.6830211747157967E-2</v>
      </c>
    </row>
    <row r="1883" spans="2:7" x14ac:dyDescent="0.25">
      <c r="B1883" s="348">
        <v>42895</v>
      </c>
      <c r="C1883" s="293">
        <v>111.45</v>
      </c>
      <c r="D1883" s="230">
        <f t="shared" si="91"/>
        <v>-1.794204718758019E-4</v>
      </c>
      <c r="E1883" s="293">
        <v>2.2930520522816966E-3</v>
      </c>
      <c r="F1883" s="266">
        <f t="shared" si="93"/>
        <v>1876</v>
      </c>
      <c r="G1883" s="230">
        <f t="shared" ca="1" si="92"/>
        <v>-5.3776034639851341E-3</v>
      </c>
    </row>
    <row r="1884" spans="2:7" x14ac:dyDescent="0.25">
      <c r="B1884" s="348">
        <v>42864</v>
      </c>
      <c r="C1884" s="293">
        <v>111.47</v>
      </c>
      <c r="D1884" s="230">
        <f t="shared" si="91"/>
        <v>-1.7938828594488143E-4</v>
      </c>
      <c r="E1884" s="293">
        <v>2.2736961773481834E-3</v>
      </c>
      <c r="F1884" s="266">
        <f t="shared" si="93"/>
        <v>1877</v>
      </c>
      <c r="G1884" s="230">
        <f t="shared" ca="1" si="92"/>
        <v>5.97767823399679E-3</v>
      </c>
    </row>
    <row r="1885" spans="2:7" x14ac:dyDescent="0.25">
      <c r="B1885" s="348">
        <v>42834</v>
      </c>
      <c r="C1885" s="293">
        <v>111.49</v>
      </c>
      <c r="D1885" s="230">
        <f t="shared" si="91"/>
        <v>2.8784744085634806E-3</v>
      </c>
      <c r="E1885" s="293">
        <v>2.264834667069282E-3</v>
      </c>
      <c r="F1885" s="266">
        <f t="shared" si="93"/>
        <v>1878</v>
      </c>
      <c r="G1885" s="230">
        <f t="shared" ca="1" si="92"/>
        <v>-1.6739409194505048E-2</v>
      </c>
    </row>
    <row r="1886" spans="2:7" x14ac:dyDescent="0.25">
      <c r="B1886" s="348">
        <v>42744</v>
      </c>
      <c r="C1886" s="293">
        <v>111.17</v>
      </c>
      <c r="D1886" s="230">
        <f t="shared" si="91"/>
        <v>-8.8266761768901469E-3</v>
      </c>
      <c r="E1886" s="293">
        <v>2.256317689530718E-3</v>
      </c>
      <c r="F1886" s="266">
        <f t="shared" si="93"/>
        <v>1879</v>
      </c>
      <c r="G1886" s="230">
        <f t="shared" ca="1" si="92"/>
        <v>-9.6391695168248463E-3</v>
      </c>
    </row>
    <row r="1887" spans="2:7" x14ac:dyDescent="0.25">
      <c r="B1887" s="348" t="s">
        <v>1696</v>
      </c>
      <c r="C1887" s="293">
        <v>112.16</v>
      </c>
      <c r="D1887" s="230">
        <f t="shared" si="91"/>
        <v>2.710622710622701E-2</v>
      </c>
      <c r="E1887" s="293">
        <v>2.2556390977443996E-3</v>
      </c>
      <c r="F1887" s="266">
        <f t="shared" si="93"/>
        <v>1880</v>
      </c>
      <c r="G1887" s="230">
        <f t="shared" ca="1" si="92"/>
        <v>-1.2841733367039804E-2</v>
      </c>
    </row>
    <row r="1888" spans="2:7" x14ac:dyDescent="0.25">
      <c r="B1888" s="348" t="s">
        <v>1697</v>
      </c>
      <c r="C1888" s="293">
        <v>109.2</v>
      </c>
      <c r="D1888" s="230">
        <f t="shared" si="91"/>
        <v>1.5592038888379012E-3</v>
      </c>
      <c r="E1888" s="293">
        <v>2.2434938677835525E-3</v>
      </c>
      <c r="F1888" s="266">
        <f t="shared" si="93"/>
        <v>1881</v>
      </c>
      <c r="G1888" s="230">
        <f t="shared" ca="1" si="92"/>
        <v>-8.2945898587500604E-3</v>
      </c>
    </row>
    <row r="1889" spans="2:7" x14ac:dyDescent="0.25">
      <c r="B1889" s="348" t="s">
        <v>1698</v>
      </c>
      <c r="C1889" s="293">
        <v>109.03</v>
      </c>
      <c r="D1889" s="230">
        <f t="shared" si="91"/>
        <v>1.8346940647639975E-4</v>
      </c>
      <c r="E1889" s="293">
        <v>2.2337009632837912E-3</v>
      </c>
      <c r="F1889" s="266">
        <f t="shared" si="93"/>
        <v>1882</v>
      </c>
      <c r="G1889" s="230">
        <f t="shared" ca="1" si="92"/>
        <v>-4.02193620214766E-2</v>
      </c>
    </row>
    <row r="1890" spans="2:7" x14ac:dyDescent="0.25">
      <c r="B1890" s="348" t="s">
        <v>1699</v>
      </c>
      <c r="C1890" s="293">
        <v>109.01</v>
      </c>
      <c r="D1890" s="230">
        <f t="shared" si="91"/>
        <v>4.4227402561503038E-3</v>
      </c>
      <c r="E1890" s="293">
        <v>2.2289766970617908E-3</v>
      </c>
      <c r="F1890" s="266">
        <f t="shared" si="93"/>
        <v>1883</v>
      </c>
      <c r="G1890" s="230">
        <f t="shared" ca="1" si="92"/>
        <v>-1.0761517813427718E-2</v>
      </c>
    </row>
    <row r="1891" spans="2:7" x14ac:dyDescent="0.25">
      <c r="B1891" s="348" t="s">
        <v>1700</v>
      </c>
      <c r="C1891" s="293">
        <v>108.53</v>
      </c>
      <c r="D1891" s="230">
        <f t="shared" si="91"/>
        <v>-2.0229885057471142E-3</v>
      </c>
      <c r="E1891" s="293">
        <v>2.2245865170713586E-3</v>
      </c>
      <c r="F1891" s="266">
        <f t="shared" si="93"/>
        <v>1884</v>
      </c>
      <c r="G1891" s="230">
        <f t="shared" ca="1" si="92"/>
        <v>5.0597541165741545E-3</v>
      </c>
    </row>
    <row r="1892" spans="2:7" x14ac:dyDescent="0.25">
      <c r="B1892" s="348" t="s">
        <v>1701</v>
      </c>
      <c r="C1892" s="293">
        <v>108.75</v>
      </c>
      <c r="D1892" s="230">
        <f t="shared" si="91"/>
        <v>-8.2690187431089246E-4</v>
      </c>
      <c r="E1892" s="293">
        <v>2.2177224954198493E-3</v>
      </c>
      <c r="F1892" s="266">
        <f t="shared" si="93"/>
        <v>1885</v>
      </c>
      <c r="G1892" s="230">
        <f t="shared" ca="1" si="92"/>
        <v>5.3526826448666394E-3</v>
      </c>
    </row>
    <row r="1893" spans="2:7" x14ac:dyDescent="0.25">
      <c r="B1893" s="348" t="s">
        <v>1702</v>
      </c>
      <c r="C1893" s="293">
        <v>108.84</v>
      </c>
      <c r="D1893" s="230">
        <f t="shared" si="91"/>
        <v>8.8052646213736541E-3</v>
      </c>
      <c r="E1893" s="293">
        <v>2.2068769132199684E-3</v>
      </c>
      <c r="F1893" s="266">
        <f t="shared" si="93"/>
        <v>1886</v>
      </c>
      <c r="G1893" s="230">
        <f t="shared" ca="1" si="92"/>
        <v>-3.7837874409611193E-2</v>
      </c>
    </row>
    <row r="1894" spans="2:7" x14ac:dyDescent="0.25">
      <c r="B1894" s="348" t="s">
        <v>1703</v>
      </c>
      <c r="C1894" s="293">
        <v>107.89</v>
      </c>
      <c r="D1894" s="230">
        <f t="shared" si="91"/>
        <v>-1.3883746760459115E-3</v>
      </c>
      <c r="E1894" s="293">
        <v>2.1948659223207656E-3</v>
      </c>
      <c r="F1894" s="266">
        <f t="shared" si="93"/>
        <v>1887</v>
      </c>
      <c r="G1894" s="230">
        <f t="shared" ca="1" si="92"/>
        <v>1.5874398343950324E-2</v>
      </c>
    </row>
    <row r="1895" spans="2:7" x14ac:dyDescent="0.25">
      <c r="B1895" s="348" t="s">
        <v>1704</v>
      </c>
      <c r="C1895" s="293">
        <v>108.04</v>
      </c>
      <c r="D1895" s="230">
        <f t="shared" si="91"/>
        <v>-8.3233145288064136E-4</v>
      </c>
      <c r="E1895" s="293">
        <v>2.176175607909947E-3</v>
      </c>
      <c r="F1895" s="266">
        <f t="shared" si="93"/>
        <v>1888</v>
      </c>
      <c r="G1895" s="230">
        <f t="shared" ca="1" si="92"/>
        <v>-1.5404399632273158E-2</v>
      </c>
    </row>
    <row r="1896" spans="2:7" x14ac:dyDescent="0.25">
      <c r="B1896" s="348" t="s">
        <v>1705</v>
      </c>
      <c r="C1896" s="293">
        <v>108.13</v>
      </c>
      <c r="D1896" s="230">
        <f t="shared" si="91"/>
        <v>-5.5182562310310823E-3</v>
      </c>
      <c r="E1896" s="293">
        <v>2.1743427554852257E-3</v>
      </c>
      <c r="F1896" s="266">
        <f t="shared" si="93"/>
        <v>1889</v>
      </c>
      <c r="G1896" s="230">
        <f t="shared" ca="1" si="92"/>
        <v>1.1122342311656343E-2</v>
      </c>
    </row>
    <row r="1897" spans="2:7" x14ac:dyDescent="0.25">
      <c r="B1897" s="348" t="s">
        <v>1706</v>
      </c>
      <c r="C1897" s="293">
        <v>108.73</v>
      </c>
      <c r="D1897" s="230">
        <f t="shared" si="91"/>
        <v>4.9912191514926985E-3</v>
      </c>
      <c r="E1897" s="293">
        <v>2.1741278782487772E-3</v>
      </c>
      <c r="F1897" s="266">
        <f t="shared" si="93"/>
        <v>1890</v>
      </c>
      <c r="G1897" s="230">
        <f t="shared" ca="1" si="92"/>
        <v>-1.3434032484065772E-2</v>
      </c>
    </row>
    <row r="1898" spans="2:7" x14ac:dyDescent="0.25">
      <c r="B1898" s="348" t="s">
        <v>1707</v>
      </c>
      <c r="C1898" s="293">
        <v>108.19</v>
      </c>
      <c r="D1898" s="230">
        <f t="shared" si="91"/>
        <v>-4.1421207658320913E-3</v>
      </c>
      <c r="E1898" s="293">
        <v>2.171717171717269E-3</v>
      </c>
      <c r="F1898" s="266">
        <f t="shared" si="93"/>
        <v>1891</v>
      </c>
      <c r="G1898" s="230">
        <f t="shared" ca="1" si="92"/>
        <v>-2.4992158478217605E-2</v>
      </c>
    </row>
    <row r="1899" spans="2:7" x14ac:dyDescent="0.25">
      <c r="B1899" s="348">
        <v>43047</v>
      </c>
      <c r="C1899" s="293">
        <v>108.64</v>
      </c>
      <c r="D1899" s="230">
        <f t="shared" si="91"/>
        <v>5.3673884878771005E-3</v>
      </c>
      <c r="E1899" s="293">
        <v>2.1461651417598038E-3</v>
      </c>
      <c r="F1899" s="266">
        <f t="shared" si="93"/>
        <v>1892</v>
      </c>
      <c r="G1899" s="230">
        <f t="shared" ca="1" si="92"/>
        <v>-3.5407990106167296E-3</v>
      </c>
    </row>
    <row r="1900" spans="2:7" x14ac:dyDescent="0.25">
      <c r="B1900" s="348">
        <v>43016</v>
      </c>
      <c r="C1900" s="293">
        <v>108.06</v>
      </c>
      <c r="D1900" s="230">
        <f t="shared" si="91"/>
        <v>5.7706626954578955E-3</v>
      </c>
      <c r="E1900" s="293">
        <v>2.1297364451149381E-3</v>
      </c>
      <c r="F1900" s="266">
        <f t="shared" si="93"/>
        <v>1893</v>
      </c>
      <c r="G1900" s="230">
        <f t="shared" ca="1" si="92"/>
        <v>-1.4110667953004467E-2</v>
      </c>
    </row>
    <row r="1901" spans="2:7" x14ac:dyDescent="0.25">
      <c r="B1901" s="348">
        <v>42986</v>
      </c>
      <c r="C1901" s="293">
        <v>107.44</v>
      </c>
      <c r="D1901" s="230">
        <f t="shared" si="91"/>
        <v>-3.154574132492094E-3</v>
      </c>
      <c r="E1901" s="293">
        <v>2.1143680922632857E-3</v>
      </c>
      <c r="F1901" s="266">
        <f t="shared" si="93"/>
        <v>1894</v>
      </c>
      <c r="G1901" s="230">
        <f t="shared" ca="1" si="92"/>
        <v>1.4509723589843242E-2</v>
      </c>
    </row>
    <row r="1902" spans="2:7" x14ac:dyDescent="0.25">
      <c r="B1902" s="348">
        <v>42955</v>
      </c>
      <c r="C1902" s="293">
        <v>107.78</v>
      </c>
      <c r="D1902" s="230">
        <f t="shared" si="91"/>
        <v>-1.204707626725976E-3</v>
      </c>
      <c r="E1902" s="293">
        <v>2.1095111437219316E-3</v>
      </c>
      <c r="F1902" s="266">
        <f t="shared" si="93"/>
        <v>1895</v>
      </c>
      <c r="G1902" s="230">
        <f t="shared" ca="1" si="92"/>
        <v>-4.6633478889576887E-3</v>
      </c>
    </row>
    <row r="1903" spans="2:7" x14ac:dyDescent="0.25">
      <c r="B1903" s="348">
        <v>42924</v>
      </c>
      <c r="C1903" s="293">
        <v>107.91</v>
      </c>
      <c r="D1903" s="230">
        <f t="shared" si="91"/>
        <v>-5.7127061641942811E-3</v>
      </c>
      <c r="E1903" s="293">
        <v>2.1040974529347167E-3</v>
      </c>
      <c r="F1903" s="266">
        <f t="shared" si="93"/>
        <v>1896</v>
      </c>
      <c r="G1903" s="230">
        <f t="shared" ca="1" si="92"/>
        <v>-6.6441677929310267E-3</v>
      </c>
    </row>
    <row r="1904" spans="2:7" x14ac:dyDescent="0.25">
      <c r="B1904" s="348">
        <v>42833</v>
      </c>
      <c r="C1904" s="293">
        <v>108.53</v>
      </c>
      <c r="D1904" s="230">
        <f t="shared" si="91"/>
        <v>1.1069089567383728E-3</v>
      </c>
      <c r="E1904" s="293">
        <v>2.0885547201336951E-3</v>
      </c>
      <c r="F1904" s="266">
        <f t="shared" si="93"/>
        <v>1897</v>
      </c>
      <c r="G1904" s="230">
        <f t="shared" ca="1" si="92"/>
        <v>-1.7849833294183819E-2</v>
      </c>
    </row>
    <row r="1905" spans="2:7" x14ac:dyDescent="0.25">
      <c r="B1905" s="348">
        <v>42802</v>
      </c>
      <c r="C1905" s="293">
        <v>108.41</v>
      </c>
      <c r="D1905" s="230">
        <f t="shared" si="91"/>
        <v>-1.5975310883180605E-2</v>
      </c>
      <c r="E1905" s="293">
        <v>2.0863016486871722E-3</v>
      </c>
      <c r="F1905" s="266">
        <f t="shared" si="93"/>
        <v>1898</v>
      </c>
      <c r="G1905" s="230">
        <f t="shared" ca="1" si="92"/>
        <v>5.8278999358046444E-5</v>
      </c>
    </row>
    <row r="1906" spans="2:7" x14ac:dyDescent="0.25">
      <c r="B1906" s="348">
        <v>42774</v>
      </c>
      <c r="C1906" s="293">
        <v>110.17</v>
      </c>
      <c r="D1906" s="230">
        <f t="shared" si="91"/>
        <v>-3.437358661239176E-3</v>
      </c>
      <c r="E1906" s="293">
        <v>2.0811654526535772E-3</v>
      </c>
      <c r="F1906" s="266">
        <f t="shared" si="93"/>
        <v>1899</v>
      </c>
      <c r="G1906" s="230">
        <f t="shared" ca="1" si="92"/>
        <v>3.4340239685730724E-2</v>
      </c>
    </row>
    <row r="1907" spans="2:7" x14ac:dyDescent="0.25">
      <c r="B1907" s="348">
        <v>42743</v>
      </c>
      <c r="C1907" s="293">
        <v>110.55</v>
      </c>
      <c r="D1907" s="230">
        <f t="shared" si="91"/>
        <v>2.2002403623925249E-2</v>
      </c>
      <c r="E1907" s="293">
        <v>2.0679468242246202E-3</v>
      </c>
      <c r="F1907" s="266">
        <f t="shared" si="93"/>
        <v>1900</v>
      </c>
      <c r="G1907" s="230">
        <f t="shared" ca="1" si="92"/>
        <v>-1.0766112074774157E-2</v>
      </c>
    </row>
    <row r="1908" spans="2:7" x14ac:dyDescent="0.25">
      <c r="B1908" s="348" t="s">
        <v>1708</v>
      </c>
      <c r="C1908" s="293">
        <v>108.17</v>
      </c>
      <c r="D1908" s="230">
        <f t="shared" si="91"/>
        <v>-2.0297075375956819E-3</v>
      </c>
      <c r="E1908" s="293">
        <v>2.0195220464489516E-3</v>
      </c>
      <c r="F1908" s="266">
        <f t="shared" si="93"/>
        <v>1901</v>
      </c>
      <c r="G1908" s="230">
        <f t="shared" ca="1" si="92"/>
        <v>2.4350510135551555E-2</v>
      </c>
    </row>
    <row r="1909" spans="2:7" x14ac:dyDescent="0.25">
      <c r="B1909" s="348" t="s">
        <v>1709</v>
      </c>
      <c r="C1909" s="293">
        <v>108.39</v>
      </c>
      <c r="D1909" s="230">
        <f t="shared" si="91"/>
        <v>-2.3011782032400507E-3</v>
      </c>
      <c r="E1909" s="293">
        <v>2.013648059066897E-3</v>
      </c>
      <c r="F1909" s="266">
        <f t="shared" si="93"/>
        <v>1902</v>
      </c>
      <c r="G1909" s="230">
        <f t="shared" ca="1" si="92"/>
        <v>1.2059211637948812E-2</v>
      </c>
    </row>
    <row r="1910" spans="2:7" x14ac:dyDescent="0.25">
      <c r="B1910" s="348" t="s">
        <v>1710</v>
      </c>
      <c r="C1910" s="293">
        <v>108.64</v>
      </c>
      <c r="D1910" s="230">
        <f t="shared" si="91"/>
        <v>1.1980462630172273E-3</v>
      </c>
      <c r="E1910" s="293">
        <v>2.0105313547151837E-3</v>
      </c>
      <c r="F1910" s="266">
        <f t="shared" si="93"/>
        <v>1903</v>
      </c>
      <c r="G1910" s="230">
        <f t="shared" ca="1" si="92"/>
        <v>-3.6233312916934155E-3</v>
      </c>
    </row>
    <row r="1911" spans="2:7" x14ac:dyDescent="0.25">
      <c r="B1911" s="348" t="s">
        <v>1711</v>
      </c>
      <c r="C1911" s="293">
        <v>108.51</v>
      </c>
      <c r="D1911" s="230">
        <f t="shared" si="91"/>
        <v>-6.4468594584632388E-4</v>
      </c>
      <c r="E1911" s="293">
        <v>2.0064652770037661E-3</v>
      </c>
      <c r="F1911" s="266">
        <f t="shared" si="93"/>
        <v>1904</v>
      </c>
      <c r="G1911" s="230">
        <f t="shared" ca="1" si="92"/>
        <v>2.05547899892502E-2</v>
      </c>
    </row>
    <row r="1912" spans="2:7" x14ac:dyDescent="0.25">
      <c r="B1912" s="348" t="s">
        <v>1712</v>
      </c>
      <c r="C1912" s="293">
        <v>108.58</v>
      </c>
      <c r="D1912" s="230">
        <f t="shared" si="91"/>
        <v>-6.8599652428428248E-3</v>
      </c>
      <c r="E1912" s="293">
        <v>2.0035061357375206E-3</v>
      </c>
      <c r="F1912" s="266">
        <f t="shared" si="93"/>
        <v>1905</v>
      </c>
      <c r="G1912" s="230">
        <f t="shared" ca="1" si="92"/>
        <v>1.8659828397669805E-3</v>
      </c>
    </row>
    <row r="1913" spans="2:7" x14ac:dyDescent="0.25">
      <c r="B1913" s="348" t="s">
        <v>1713</v>
      </c>
      <c r="C1913" s="293">
        <v>109.33</v>
      </c>
      <c r="D1913" s="230">
        <f t="shared" si="91"/>
        <v>1.9203878064696589E-2</v>
      </c>
      <c r="E1913" s="293">
        <v>1.9790783149560287E-3</v>
      </c>
      <c r="F1913" s="266">
        <f t="shared" si="93"/>
        <v>1906</v>
      </c>
      <c r="G1913" s="230">
        <f t="shared" ca="1" si="92"/>
        <v>-2.2217886710959027E-2</v>
      </c>
    </row>
    <row r="1914" spans="2:7" x14ac:dyDescent="0.25">
      <c r="B1914" s="348" t="s">
        <v>1714</v>
      </c>
      <c r="C1914" s="293">
        <v>107.27</v>
      </c>
      <c r="D1914" s="230">
        <f t="shared" si="91"/>
        <v>6.2815812939660987E-2</v>
      </c>
      <c r="E1914" s="293">
        <v>1.9583158483704732E-3</v>
      </c>
      <c r="F1914" s="266">
        <f t="shared" si="93"/>
        <v>1907</v>
      </c>
      <c r="G1914" s="230">
        <f t="shared" ca="1" si="92"/>
        <v>1.6544306329616669E-2</v>
      </c>
    </row>
    <row r="1915" spans="2:7" x14ac:dyDescent="0.25">
      <c r="B1915" s="348" t="s">
        <v>1715</v>
      </c>
      <c r="C1915" s="293">
        <v>100.93</v>
      </c>
      <c r="D1915" s="230">
        <f t="shared" si="91"/>
        <v>-7.1807987409009399E-3</v>
      </c>
      <c r="E1915" s="293">
        <v>1.9411676870240147E-3</v>
      </c>
      <c r="F1915" s="266">
        <f t="shared" si="93"/>
        <v>1908</v>
      </c>
      <c r="G1915" s="230">
        <f t="shared" ca="1" si="92"/>
        <v>-2.529468513076525E-2</v>
      </c>
    </row>
    <row r="1916" spans="2:7" x14ac:dyDescent="0.25">
      <c r="B1916" s="348" t="s">
        <v>1716</v>
      </c>
      <c r="C1916" s="293">
        <v>101.66</v>
      </c>
      <c r="D1916" s="230">
        <f t="shared" si="91"/>
        <v>7.7319587628865705E-3</v>
      </c>
      <c r="E1916" s="293">
        <v>1.9328448779611929E-3</v>
      </c>
      <c r="F1916" s="266">
        <f t="shared" si="93"/>
        <v>1909</v>
      </c>
      <c r="G1916" s="230">
        <f t="shared" ca="1" si="92"/>
        <v>1.0891142974661131E-2</v>
      </c>
    </row>
    <row r="1917" spans="2:7" x14ac:dyDescent="0.25">
      <c r="B1917" s="348" t="s">
        <v>1717</v>
      </c>
      <c r="C1917" s="293">
        <v>100.88</v>
      </c>
      <c r="D1917" s="230">
        <f t="shared" si="91"/>
        <v>8.0943339662236102E-3</v>
      </c>
      <c r="E1917" s="293">
        <v>1.9243986254295908E-3</v>
      </c>
      <c r="F1917" s="266">
        <f t="shared" si="93"/>
        <v>1910</v>
      </c>
      <c r="G1917" s="230">
        <f t="shared" ca="1" si="92"/>
        <v>4.3826163729064433E-3</v>
      </c>
    </row>
    <row r="1918" spans="2:7" x14ac:dyDescent="0.25">
      <c r="B1918" s="348" t="s">
        <v>1718</v>
      </c>
      <c r="C1918" s="293">
        <v>100.07</v>
      </c>
      <c r="D1918" s="230">
        <f t="shared" si="91"/>
        <v>2.6990968801313686E-2</v>
      </c>
      <c r="E1918" s="293">
        <v>1.9159709867251351E-3</v>
      </c>
      <c r="F1918" s="266">
        <f t="shared" si="93"/>
        <v>1911</v>
      </c>
      <c r="G1918" s="230">
        <f t="shared" ca="1" si="92"/>
        <v>-8.8690315945344099E-4</v>
      </c>
    </row>
    <row r="1919" spans="2:7" x14ac:dyDescent="0.25">
      <c r="B1919" s="348" t="s">
        <v>1719</v>
      </c>
      <c r="C1919" s="293">
        <v>97.44</v>
      </c>
      <c r="D1919" s="230">
        <f t="shared" si="91"/>
        <v>-1.5956372450010137E-2</v>
      </c>
      <c r="E1919" s="293">
        <v>1.9019019019019812E-3</v>
      </c>
      <c r="F1919" s="266">
        <f t="shared" si="93"/>
        <v>1912</v>
      </c>
      <c r="G1919" s="230">
        <f t="shared" ca="1" si="92"/>
        <v>-1.0052227831617681E-2</v>
      </c>
    </row>
    <row r="1920" spans="2:7" x14ac:dyDescent="0.25">
      <c r="B1920" s="348" t="s">
        <v>1720</v>
      </c>
      <c r="C1920" s="293">
        <v>99.02</v>
      </c>
      <c r="D1920" s="230">
        <f t="shared" si="91"/>
        <v>1.0109179134654145E-3</v>
      </c>
      <c r="E1920" s="293">
        <v>1.9015146547769479E-3</v>
      </c>
      <c r="F1920" s="266">
        <f t="shared" si="93"/>
        <v>1913</v>
      </c>
      <c r="G1920" s="230">
        <f t="shared" ca="1" si="92"/>
        <v>-1.8862485176475714E-2</v>
      </c>
    </row>
    <row r="1921" spans="2:7" x14ac:dyDescent="0.25">
      <c r="B1921" s="348">
        <v>43076</v>
      </c>
      <c r="C1921" s="293">
        <v>98.92</v>
      </c>
      <c r="D1921" s="230">
        <f t="shared" si="91"/>
        <v>2.2289766970617908E-3</v>
      </c>
      <c r="E1921" s="293">
        <v>1.8748766528517979E-3</v>
      </c>
      <c r="F1921" s="266">
        <f t="shared" si="93"/>
        <v>1914</v>
      </c>
      <c r="G1921" s="230">
        <f t="shared" ca="1" si="92"/>
        <v>2.3237691864228041E-3</v>
      </c>
    </row>
    <row r="1922" spans="2:7" x14ac:dyDescent="0.25">
      <c r="B1922" s="348">
        <v>43046</v>
      </c>
      <c r="C1922" s="293">
        <v>98.7</v>
      </c>
      <c r="D1922" s="230">
        <f t="shared" si="91"/>
        <v>-1.8789144050104345E-2</v>
      </c>
      <c r="E1922" s="293">
        <v>1.8642803877704228E-3</v>
      </c>
      <c r="F1922" s="266">
        <f t="shared" si="93"/>
        <v>1915</v>
      </c>
      <c r="G1922" s="230">
        <f t="shared" ca="1" si="92"/>
        <v>-6.2121559937701413E-3</v>
      </c>
    </row>
    <row r="1923" spans="2:7" x14ac:dyDescent="0.25">
      <c r="B1923" s="348">
        <v>43015</v>
      </c>
      <c r="C1923" s="293">
        <v>100.59</v>
      </c>
      <c r="D1923" s="230">
        <f t="shared" si="91"/>
        <v>4.0873344370860876E-2</v>
      </c>
      <c r="E1923" s="293">
        <v>1.8428084400625711E-3</v>
      </c>
      <c r="F1923" s="266">
        <f t="shared" si="93"/>
        <v>1916</v>
      </c>
      <c r="G1923" s="230">
        <f t="shared" ca="1" si="92"/>
        <v>6.0373083749444785E-2</v>
      </c>
    </row>
    <row r="1924" spans="2:7" x14ac:dyDescent="0.25">
      <c r="B1924" s="348">
        <v>42923</v>
      </c>
      <c r="C1924" s="293">
        <v>96.64</v>
      </c>
      <c r="D1924" s="230">
        <f t="shared" si="91"/>
        <v>-2.0691082143586836E-4</v>
      </c>
      <c r="E1924" s="293">
        <v>1.8394286950875749E-3</v>
      </c>
      <c r="F1924" s="266">
        <f t="shared" si="93"/>
        <v>1917</v>
      </c>
      <c r="G1924" s="230">
        <f t="shared" ca="1" si="92"/>
        <v>-3.3569857034123123E-2</v>
      </c>
    </row>
    <row r="1925" spans="2:7" x14ac:dyDescent="0.25">
      <c r="B1925" s="348">
        <v>42893</v>
      </c>
      <c r="C1925" s="293">
        <v>96.66</v>
      </c>
      <c r="D1925" s="230">
        <f t="shared" si="91"/>
        <v>-1.034447088031909E-4</v>
      </c>
      <c r="E1925" s="293">
        <v>1.8390804597701038E-3</v>
      </c>
      <c r="F1925" s="266">
        <f t="shared" si="93"/>
        <v>1918</v>
      </c>
      <c r="G1925" s="230">
        <f t="shared" ca="1" si="92"/>
        <v>-3.3756852916846915E-2</v>
      </c>
    </row>
    <row r="1926" spans="2:7" x14ac:dyDescent="0.25">
      <c r="B1926" s="348">
        <v>42862</v>
      </c>
      <c r="C1926" s="293">
        <v>96.67</v>
      </c>
      <c r="D1926" s="230">
        <f t="shared" si="91"/>
        <v>-8.5128205128205403E-3</v>
      </c>
      <c r="E1926" s="293">
        <v>1.831501831501825E-3</v>
      </c>
      <c r="F1926" s="266">
        <f t="shared" si="93"/>
        <v>1919</v>
      </c>
      <c r="G1926" s="230">
        <f t="shared" ca="1" si="92"/>
        <v>5.6064709266481674E-2</v>
      </c>
    </row>
    <row r="1927" spans="2:7" x14ac:dyDescent="0.25">
      <c r="B1927" s="348">
        <v>42832</v>
      </c>
      <c r="C1927" s="293">
        <v>97.5</v>
      </c>
      <c r="D1927" s="230">
        <f t="shared" si="91"/>
        <v>1.5408320493066618E-3</v>
      </c>
      <c r="E1927" s="293">
        <v>1.8303843807199183E-3</v>
      </c>
      <c r="F1927" s="266">
        <f t="shared" si="93"/>
        <v>1920</v>
      </c>
      <c r="G1927" s="230">
        <f t="shared" ca="1" si="92"/>
        <v>3.5161351793784289E-2</v>
      </c>
    </row>
    <row r="1928" spans="2:7" x14ac:dyDescent="0.25">
      <c r="B1928" s="348">
        <v>42801</v>
      </c>
      <c r="C1928" s="293">
        <v>97.35</v>
      </c>
      <c r="D1928" s="230">
        <f t="shared" si="91"/>
        <v>4.8513625103221436E-3</v>
      </c>
      <c r="E1928" s="293">
        <v>1.829398000425364E-3</v>
      </c>
      <c r="F1928" s="266">
        <f t="shared" si="93"/>
        <v>1921</v>
      </c>
      <c r="G1928" s="230">
        <f t="shared" ca="1" si="92"/>
        <v>-1.6133617404899818E-2</v>
      </c>
    </row>
    <row r="1929" spans="2:7" x14ac:dyDescent="0.25">
      <c r="B1929" s="348" t="s">
        <v>1721</v>
      </c>
      <c r="C1929" s="293">
        <v>96.88</v>
      </c>
      <c r="D1929" s="230">
        <f t="shared" ref="D1929:D1992" si="94">C1929/C1930-1</f>
        <v>-3.7021801727683545E-3</v>
      </c>
      <c r="E1929" s="293">
        <v>1.8291824961307324E-3</v>
      </c>
      <c r="F1929" s="266">
        <f t="shared" si="93"/>
        <v>1922</v>
      </c>
      <c r="G1929" s="230">
        <f t="shared" ref="G1929:G1992" ca="1" si="95">_xlfn.NORM.INV(RAND(),$M$10,$M$11)</f>
        <v>2.5402610556438596E-2</v>
      </c>
    </row>
    <row r="1930" spans="2:7" x14ac:dyDescent="0.25">
      <c r="B1930" s="348" t="s">
        <v>1722</v>
      </c>
      <c r="C1930" s="293">
        <v>97.24</v>
      </c>
      <c r="D1930" s="230">
        <f t="shared" si="94"/>
        <v>3.5087719298243503E-3</v>
      </c>
      <c r="E1930" s="293">
        <v>1.8261504747991708E-3</v>
      </c>
      <c r="F1930" s="266">
        <f t="shared" ref="F1930:F1993" si="96">F1929+1</f>
        <v>1923</v>
      </c>
      <c r="G1930" s="230">
        <f t="shared" ca="1" si="95"/>
        <v>1.8573863242933308E-2</v>
      </c>
    </row>
    <row r="1931" spans="2:7" x14ac:dyDescent="0.25">
      <c r="B1931" s="348" t="s">
        <v>1723</v>
      </c>
      <c r="C1931" s="293">
        <v>96.9</v>
      </c>
      <c r="D1931" s="230">
        <f t="shared" si="94"/>
        <v>7.1718116619894356E-3</v>
      </c>
      <c r="E1931" s="293">
        <v>1.8231540565176729E-3</v>
      </c>
      <c r="F1931" s="266">
        <f t="shared" si="96"/>
        <v>1924</v>
      </c>
      <c r="G1931" s="230">
        <f t="shared" ca="1" si="95"/>
        <v>1.2362585545806128E-2</v>
      </c>
    </row>
    <row r="1932" spans="2:7" x14ac:dyDescent="0.25">
      <c r="B1932" s="348" t="s">
        <v>1724</v>
      </c>
      <c r="C1932" s="293">
        <v>96.21</v>
      </c>
      <c r="D1932" s="230">
        <f t="shared" si="94"/>
        <v>-1.1420265780730521E-3</v>
      </c>
      <c r="E1932" s="293">
        <v>1.8216682646212679E-3</v>
      </c>
      <c r="F1932" s="266">
        <f t="shared" si="96"/>
        <v>1925</v>
      </c>
      <c r="G1932" s="230">
        <f t="shared" ca="1" si="95"/>
        <v>2.5327342954333905E-3</v>
      </c>
    </row>
    <row r="1933" spans="2:7" x14ac:dyDescent="0.25">
      <c r="B1933" s="348" t="s">
        <v>1725</v>
      </c>
      <c r="C1933" s="293">
        <v>96.32</v>
      </c>
      <c r="D1933" s="230">
        <f t="shared" si="94"/>
        <v>7.1099958176494837E-3</v>
      </c>
      <c r="E1933" s="293">
        <v>1.8213142997784981E-3</v>
      </c>
      <c r="F1933" s="266">
        <f t="shared" si="96"/>
        <v>1926</v>
      </c>
      <c r="G1933" s="230">
        <f t="shared" ca="1" si="95"/>
        <v>-3.2646004686651576E-4</v>
      </c>
    </row>
    <row r="1934" spans="2:7" x14ac:dyDescent="0.25">
      <c r="B1934" s="348" t="s">
        <v>1726</v>
      </c>
      <c r="C1934" s="293">
        <v>95.64</v>
      </c>
      <c r="D1934" s="230">
        <f t="shared" si="94"/>
        <v>-3.3347228011670893E-3</v>
      </c>
      <c r="E1934" s="293">
        <v>1.8183558235238539E-3</v>
      </c>
      <c r="F1934" s="266">
        <f t="shared" si="96"/>
        <v>1927</v>
      </c>
      <c r="G1934" s="230">
        <f t="shared" ca="1" si="95"/>
        <v>4.9385194154218373E-3</v>
      </c>
    </row>
    <row r="1935" spans="2:7" x14ac:dyDescent="0.25">
      <c r="B1935" s="348" t="s">
        <v>1727</v>
      </c>
      <c r="C1935" s="293">
        <v>95.96</v>
      </c>
      <c r="D1935" s="230">
        <f t="shared" si="94"/>
        <v>6.5030417453324496E-3</v>
      </c>
      <c r="E1935" s="293">
        <v>1.8136335209506527E-3</v>
      </c>
      <c r="F1935" s="266">
        <f t="shared" si="96"/>
        <v>1928</v>
      </c>
      <c r="G1935" s="230">
        <f t="shared" ca="1" si="95"/>
        <v>4.465251398280589E-3</v>
      </c>
    </row>
    <row r="1936" spans="2:7" x14ac:dyDescent="0.25">
      <c r="B1936" s="348" t="s">
        <v>1728</v>
      </c>
      <c r="C1936" s="293">
        <v>95.34</v>
      </c>
      <c r="D1936" s="230">
        <f t="shared" si="94"/>
        <v>-1.2570710245127792E-3</v>
      </c>
      <c r="E1936" s="293">
        <v>1.8065708763967958E-3</v>
      </c>
      <c r="F1936" s="266">
        <f t="shared" si="96"/>
        <v>1929</v>
      </c>
      <c r="G1936" s="230">
        <f t="shared" ca="1" si="95"/>
        <v>1.8042747988890315E-2</v>
      </c>
    </row>
    <row r="1937" spans="2:7" x14ac:dyDescent="0.25">
      <c r="B1937" s="348" t="s">
        <v>1729</v>
      </c>
      <c r="C1937" s="293">
        <v>95.46</v>
      </c>
      <c r="D1937" s="230">
        <f t="shared" si="94"/>
        <v>-2.7162557459257108E-3</v>
      </c>
      <c r="E1937" s="293">
        <v>1.8047826740863471E-3</v>
      </c>
      <c r="F1937" s="266">
        <f t="shared" si="96"/>
        <v>1930</v>
      </c>
      <c r="G1937" s="230">
        <f t="shared" ca="1" si="95"/>
        <v>1.2481956886634024E-2</v>
      </c>
    </row>
    <row r="1938" spans="2:7" x14ac:dyDescent="0.25">
      <c r="B1938" s="348" t="s">
        <v>1730</v>
      </c>
      <c r="C1938" s="293">
        <v>95.72</v>
      </c>
      <c r="D1938" s="230">
        <f t="shared" si="94"/>
        <v>-2.1468002453485902E-2</v>
      </c>
      <c r="E1938" s="293">
        <v>1.7853157777281137E-3</v>
      </c>
      <c r="F1938" s="266">
        <f t="shared" si="96"/>
        <v>1931</v>
      </c>
      <c r="G1938" s="230">
        <f t="shared" ca="1" si="95"/>
        <v>6.6490411766592155E-3</v>
      </c>
    </row>
    <row r="1939" spans="2:7" x14ac:dyDescent="0.25">
      <c r="B1939" s="348" t="s">
        <v>1731</v>
      </c>
      <c r="C1939" s="293">
        <v>97.82</v>
      </c>
      <c r="D1939" s="230">
        <f t="shared" si="94"/>
        <v>1.8533944189920826E-2</v>
      </c>
      <c r="E1939" s="293">
        <v>1.773364071643968E-3</v>
      </c>
      <c r="F1939" s="266">
        <f t="shared" si="96"/>
        <v>1932</v>
      </c>
      <c r="G1939" s="230">
        <f t="shared" ca="1" si="95"/>
        <v>-3.7615130347930979E-2</v>
      </c>
    </row>
    <row r="1940" spans="2:7" x14ac:dyDescent="0.25">
      <c r="B1940" s="348" t="s">
        <v>1732</v>
      </c>
      <c r="C1940" s="293">
        <v>96.04</v>
      </c>
      <c r="D1940" s="230">
        <f t="shared" si="94"/>
        <v>-1.1120263591433255E-2</v>
      </c>
      <c r="E1940" s="293">
        <v>1.7654711020256286E-3</v>
      </c>
      <c r="F1940" s="266">
        <f t="shared" si="96"/>
        <v>1933</v>
      </c>
      <c r="G1940" s="230">
        <f t="shared" ca="1" si="95"/>
        <v>2.8389847348911396E-2</v>
      </c>
    </row>
    <row r="1941" spans="2:7" x14ac:dyDescent="0.25">
      <c r="B1941" s="348" t="s">
        <v>1733</v>
      </c>
      <c r="C1941" s="293">
        <v>97.12</v>
      </c>
      <c r="D1941" s="230">
        <f t="shared" si="94"/>
        <v>-1.5908400040530846E-2</v>
      </c>
      <c r="E1941" s="293">
        <v>1.764641005845391E-3</v>
      </c>
      <c r="F1941" s="266">
        <f t="shared" si="96"/>
        <v>1934</v>
      </c>
      <c r="G1941" s="230">
        <f t="shared" ca="1" si="95"/>
        <v>3.7702843130124349E-2</v>
      </c>
    </row>
    <row r="1942" spans="2:7" x14ac:dyDescent="0.25">
      <c r="B1942" s="348">
        <v>43075</v>
      </c>
      <c r="C1942" s="293">
        <v>98.69</v>
      </c>
      <c r="D1942" s="230">
        <f t="shared" si="94"/>
        <v>-1.9765593961064809E-2</v>
      </c>
      <c r="E1942" s="293">
        <v>1.764458759277332E-3</v>
      </c>
      <c r="F1942" s="266">
        <f t="shared" si="96"/>
        <v>1935</v>
      </c>
      <c r="G1942" s="230">
        <f t="shared" ca="1" si="95"/>
        <v>1.0643471314041278E-3</v>
      </c>
    </row>
    <row r="1943" spans="2:7" x14ac:dyDescent="0.25">
      <c r="B1943" s="348">
        <v>42984</v>
      </c>
      <c r="C1943" s="293">
        <v>100.68</v>
      </c>
      <c r="D1943" s="230">
        <f t="shared" si="94"/>
        <v>-1.6412661195779554E-2</v>
      </c>
      <c r="E1943" s="293">
        <v>1.7443194858848265E-3</v>
      </c>
      <c r="F1943" s="266">
        <f t="shared" si="96"/>
        <v>1936</v>
      </c>
      <c r="G1943" s="230">
        <f t="shared" ca="1" si="95"/>
        <v>-7.0125933891810347E-3</v>
      </c>
    </row>
    <row r="1944" spans="2:7" x14ac:dyDescent="0.25">
      <c r="B1944" s="348">
        <v>42953</v>
      </c>
      <c r="C1944" s="293">
        <v>102.36</v>
      </c>
      <c r="D1944" s="230">
        <f t="shared" si="94"/>
        <v>-6.3100669837879986E-3</v>
      </c>
      <c r="E1944" s="293">
        <v>1.7384585667374886E-3</v>
      </c>
      <c r="F1944" s="266">
        <f t="shared" si="96"/>
        <v>1937</v>
      </c>
      <c r="G1944" s="230">
        <f t="shared" ca="1" si="95"/>
        <v>3.5532119313329981E-2</v>
      </c>
    </row>
    <row r="1945" spans="2:7" x14ac:dyDescent="0.25">
      <c r="B1945" s="348">
        <v>42922</v>
      </c>
      <c r="C1945" s="293">
        <v>103.01</v>
      </c>
      <c r="D1945" s="230">
        <f t="shared" si="94"/>
        <v>-1.9885823025689753E-2</v>
      </c>
      <c r="E1945" s="293">
        <v>1.7236807212939187E-3</v>
      </c>
      <c r="F1945" s="266">
        <f t="shared" si="96"/>
        <v>1938</v>
      </c>
      <c r="G1945" s="230">
        <f t="shared" ca="1" si="95"/>
        <v>4.6636787080462372E-3</v>
      </c>
    </row>
    <row r="1946" spans="2:7" x14ac:dyDescent="0.25">
      <c r="B1946" s="348">
        <v>42892</v>
      </c>
      <c r="C1946" s="293">
        <v>105.1</v>
      </c>
      <c r="D1946" s="230">
        <f t="shared" si="94"/>
        <v>8.9277143131418768E-3</v>
      </c>
      <c r="E1946" s="293">
        <v>1.693594824374145E-3</v>
      </c>
      <c r="F1946" s="266">
        <f t="shared" si="96"/>
        <v>1939</v>
      </c>
      <c r="G1946" s="230">
        <f t="shared" ca="1" si="95"/>
        <v>1.7935353540520026E-2</v>
      </c>
    </row>
    <row r="1947" spans="2:7" x14ac:dyDescent="0.25">
      <c r="B1947" s="348">
        <v>42861</v>
      </c>
      <c r="C1947" s="293">
        <v>104.17</v>
      </c>
      <c r="D1947" s="230">
        <f t="shared" si="94"/>
        <v>7.1545973121918127E-3</v>
      </c>
      <c r="E1947" s="293">
        <v>1.6849725411880456E-3</v>
      </c>
      <c r="F1947" s="266">
        <f t="shared" si="96"/>
        <v>1940</v>
      </c>
      <c r="G1947" s="230">
        <f t="shared" ca="1" si="95"/>
        <v>-8.123336939019966E-3</v>
      </c>
    </row>
    <row r="1948" spans="2:7" x14ac:dyDescent="0.25">
      <c r="B1948" s="348">
        <v>42772</v>
      </c>
      <c r="C1948" s="293">
        <v>103.43</v>
      </c>
      <c r="D1948" s="230">
        <f t="shared" si="94"/>
        <v>1.9316054006110361E-2</v>
      </c>
      <c r="E1948" s="293">
        <v>1.6775212157094099E-3</v>
      </c>
      <c r="F1948" s="266">
        <f t="shared" si="96"/>
        <v>1941</v>
      </c>
      <c r="G1948" s="230">
        <f t="shared" ca="1" si="95"/>
        <v>-5.7141855404201159E-3</v>
      </c>
    </row>
    <row r="1949" spans="2:7" x14ac:dyDescent="0.25">
      <c r="B1949" s="348">
        <v>42741</v>
      </c>
      <c r="C1949" s="293">
        <v>101.47</v>
      </c>
      <c r="D1949" s="230">
        <f t="shared" si="94"/>
        <v>1.0556717458420461E-2</v>
      </c>
      <c r="E1949" s="293">
        <v>1.6528925619834212E-3</v>
      </c>
      <c r="F1949" s="266">
        <f t="shared" si="96"/>
        <v>1942</v>
      </c>
      <c r="G1949" s="230">
        <f t="shared" ca="1" si="95"/>
        <v>-2.5130116031939327E-2</v>
      </c>
    </row>
    <row r="1950" spans="2:7" x14ac:dyDescent="0.25">
      <c r="B1950" s="348" t="s">
        <v>1734</v>
      </c>
      <c r="C1950" s="293">
        <v>100.41</v>
      </c>
      <c r="D1950" s="230">
        <f t="shared" si="94"/>
        <v>-1.1936735302895407E-3</v>
      </c>
      <c r="E1950" s="293">
        <v>1.6525712063770737E-3</v>
      </c>
      <c r="F1950" s="266">
        <f t="shared" si="96"/>
        <v>1943</v>
      </c>
      <c r="G1950" s="230">
        <f t="shared" ca="1" si="95"/>
        <v>-1.9220868510849289E-2</v>
      </c>
    </row>
    <row r="1951" spans="2:7" x14ac:dyDescent="0.25">
      <c r="B1951" s="348" t="s">
        <v>1735</v>
      </c>
      <c r="C1951" s="293">
        <v>100.53</v>
      </c>
      <c r="D1951" s="230">
        <f t="shared" si="94"/>
        <v>2.8930566640064104E-3</v>
      </c>
      <c r="E1951" s="293">
        <v>1.6508460586051044E-3</v>
      </c>
      <c r="F1951" s="266">
        <f t="shared" si="96"/>
        <v>1944</v>
      </c>
      <c r="G1951" s="230">
        <f t="shared" ca="1" si="95"/>
        <v>-1.5015514195522306E-2</v>
      </c>
    </row>
    <row r="1952" spans="2:7" x14ac:dyDescent="0.25">
      <c r="B1952" s="348" t="s">
        <v>1736</v>
      </c>
      <c r="C1952" s="293">
        <v>100.24</v>
      </c>
      <c r="D1952" s="230">
        <f t="shared" si="94"/>
        <v>-8.1139916881061147E-3</v>
      </c>
      <c r="E1952" s="293">
        <v>1.641206918318483E-3</v>
      </c>
      <c r="F1952" s="266">
        <f t="shared" si="96"/>
        <v>1945</v>
      </c>
      <c r="G1952" s="230">
        <f t="shared" ca="1" si="95"/>
        <v>3.6781602718271772E-2</v>
      </c>
    </row>
    <row r="1953" spans="2:7" x14ac:dyDescent="0.25">
      <c r="B1953" s="348" t="s">
        <v>1737</v>
      </c>
      <c r="C1953" s="293">
        <v>101.06</v>
      </c>
      <c r="D1953" s="230">
        <f t="shared" si="94"/>
        <v>4.7723205408629621E-3</v>
      </c>
      <c r="E1953" s="293">
        <v>1.6321621853792045E-3</v>
      </c>
      <c r="F1953" s="266">
        <f t="shared" si="96"/>
        <v>1946</v>
      </c>
      <c r="G1953" s="230">
        <f t="shared" ca="1" si="95"/>
        <v>3.4458348378169495E-2</v>
      </c>
    </row>
    <row r="1954" spans="2:7" x14ac:dyDescent="0.25">
      <c r="B1954" s="348" t="s">
        <v>1738</v>
      </c>
      <c r="C1954" s="293">
        <v>100.58</v>
      </c>
      <c r="D1954" s="230">
        <f t="shared" si="94"/>
        <v>2.1739130434782705E-2</v>
      </c>
      <c r="E1954" s="293">
        <v>1.6302871116746775E-3</v>
      </c>
      <c r="F1954" s="266">
        <f t="shared" si="96"/>
        <v>1947</v>
      </c>
      <c r="G1954" s="230">
        <f t="shared" ca="1" si="95"/>
        <v>1.7912931556542208E-2</v>
      </c>
    </row>
    <row r="1955" spans="2:7" x14ac:dyDescent="0.25">
      <c r="B1955" s="348" t="s">
        <v>1739</v>
      </c>
      <c r="C1955" s="293">
        <v>98.44</v>
      </c>
      <c r="D1955" s="230">
        <f t="shared" si="94"/>
        <v>-2.6342451874367123E-3</v>
      </c>
      <c r="E1955" s="293">
        <v>1.6249428731021087E-3</v>
      </c>
      <c r="F1955" s="266">
        <f t="shared" si="96"/>
        <v>1948</v>
      </c>
      <c r="G1955" s="230">
        <f t="shared" ca="1" si="95"/>
        <v>1.3704894115483365E-2</v>
      </c>
    </row>
    <row r="1956" spans="2:7" x14ac:dyDescent="0.25">
      <c r="B1956" s="348" t="s">
        <v>1740</v>
      </c>
      <c r="C1956" s="293">
        <v>98.7</v>
      </c>
      <c r="D1956" s="230">
        <f t="shared" si="94"/>
        <v>1.0028653295129031E-2</v>
      </c>
      <c r="E1956" s="293">
        <v>1.6249283119862401E-3</v>
      </c>
      <c r="F1956" s="266">
        <f t="shared" si="96"/>
        <v>1949</v>
      </c>
      <c r="G1956" s="230">
        <f t="shared" ca="1" si="95"/>
        <v>1.3259872607305356E-4</v>
      </c>
    </row>
    <row r="1957" spans="2:7" x14ac:dyDescent="0.25">
      <c r="B1957" s="348" t="s">
        <v>1741</v>
      </c>
      <c r="C1957" s="293">
        <v>97.72</v>
      </c>
      <c r="D1957" s="230">
        <f t="shared" si="94"/>
        <v>2.770651616213371E-3</v>
      </c>
      <c r="E1957" s="293">
        <v>1.6230472712517319E-3</v>
      </c>
      <c r="F1957" s="266">
        <f t="shared" si="96"/>
        <v>1950</v>
      </c>
      <c r="G1957" s="230">
        <f t="shared" ca="1" si="95"/>
        <v>-4.9849270983982029E-3</v>
      </c>
    </row>
    <row r="1958" spans="2:7" x14ac:dyDescent="0.25">
      <c r="B1958" s="348" t="s">
        <v>1742</v>
      </c>
      <c r="C1958" s="293">
        <v>97.45</v>
      </c>
      <c r="D1958" s="230">
        <f t="shared" si="94"/>
        <v>-1.0760328900619287E-2</v>
      </c>
      <c r="E1958" s="293">
        <v>1.6091954022987576E-3</v>
      </c>
      <c r="F1958" s="266">
        <f t="shared" si="96"/>
        <v>1951</v>
      </c>
      <c r="G1958" s="230">
        <f t="shared" ca="1" si="95"/>
        <v>6.2166463097146386E-3</v>
      </c>
    </row>
    <row r="1959" spans="2:7" x14ac:dyDescent="0.25">
      <c r="B1959" s="348" t="s">
        <v>1743</v>
      </c>
      <c r="C1959" s="293">
        <v>98.51</v>
      </c>
      <c r="D1959" s="230">
        <f t="shared" si="94"/>
        <v>2.9040008356836955E-2</v>
      </c>
      <c r="E1959" s="293">
        <v>1.6088666428317744E-3</v>
      </c>
      <c r="F1959" s="266">
        <f t="shared" si="96"/>
        <v>1952</v>
      </c>
      <c r="G1959" s="230">
        <f t="shared" ca="1" si="95"/>
        <v>-7.0235589782607216E-3</v>
      </c>
    </row>
    <row r="1960" spans="2:7" x14ac:dyDescent="0.25">
      <c r="B1960" s="348" t="s">
        <v>1744</v>
      </c>
      <c r="C1960" s="293">
        <v>95.73</v>
      </c>
      <c r="D1960" s="230">
        <f t="shared" si="94"/>
        <v>-9.3138776777397236E-3</v>
      </c>
      <c r="E1960" s="293">
        <v>1.5680535228936865E-3</v>
      </c>
      <c r="F1960" s="266">
        <f t="shared" si="96"/>
        <v>1953</v>
      </c>
      <c r="G1960" s="230">
        <f t="shared" ca="1" si="95"/>
        <v>4.8914845085892521E-2</v>
      </c>
    </row>
    <row r="1961" spans="2:7" x14ac:dyDescent="0.25">
      <c r="B1961" s="348" t="s">
        <v>1745</v>
      </c>
      <c r="C1961" s="293">
        <v>96.63</v>
      </c>
      <c r="D1961" s="230">
        <f t="shared" si="94"/>
        <v>1.7907932160539319E-2</v>
      </c>
      <c r="E1961" s="293">
        <v>1.5592038888379012E-3</v>
      </c>
      <c r="F1961" s="266">
        <f t="shared" si="96"/>
        <v>1954</v>
      </c>
      <c r="G1961" s="230">
        <f t="shared" ca="1" si="95"/>
        <v>-2.6777681043589343E-3</v>
      </c>
    </row>
    <row r="1962" spans="2:7" x14ac:dyDescent="0.25">
      <c r="B1962" s="348" t="s">
        <v>1746</v>
      </c>
      <c r="C1962" s="293">
        <v>94.93</v>
      </c>
      <c r="D1962" s="230">
        <f t="shared" si="94"/>
        <v>-1.4725991374775482E-3</v>
      </c>
      <c r="E1962" s="293">
        <v>1.5451608371961356E-3</v>
      </c>
      <c r="F1962" s="266">
        <f t="shared" si="96"/>
        <v>1955</v>
      </c>
      <c r="G1962" s="230">
        <f t="shared" ca="1" si="95"/>
        <v>1.2387615771957553E-2</v>
      </c>
    </row>
    <row r="1963" spans="2:7" x14ac:dyDescent="0.25">
      <c r="B1963" s="348">
        <v>43074</v>
      </c>
      <c r="C1963" s="293">
        <v>95.07</v>
      </c>
      <c r="D1963" s="230">
        <f t="shared" si="94"/>
        <v>4.7558655675332684E-3</v>
      </c>
      <c r="E1963" s="293">
        <v>1.5408320493066618E-3</v>
      </c>
      <c r="F1963" s="266">
        <f t="shared" si="96"/>
        <v>1956</v>
      </c>
      <c r="G1963" s="230">
        <f t="shared" ca="1" si="95"/>
        <v>1.2147497393798482E-2</v>
      </c>
    </row>
    <row r="1964" spans="2:7" x14ac:dyDescent="0.25">
      <c r="B1964" s="348">
        <v>43044</v>
      </c>
      <c r="C1964" s="293">
        <v>94.62</v>
      </c>
      <c r="D1964" s="230">
        <f t="shared" si="94"/>
        <v>1.0034158838599483E-2</v>
      </c>
      <c r="E1964" s="293">
        <v>1.5362457993277623E-3</v>
      </c>
      <c r="F1964" s="266">
        <f t="shared" si="96"/>
        <v>1957</v>
      </c>
      <c r="G1964" s="230">
        <f t="shared" ca="1" si="95"/>
        <v>-2.3230083541752405E-2</v>
      </c>
    </row>
    <row r="1965" spans="2:7" x14ac:dyDescent="0.25">
      <c r="B1965" s="348">
        <v>43013</v>
      </c>
      <c r="C1965" s="293">
        <v>93.68</v>
      </c>
      <c r="D1965" s="230">
        <f t="shared" si="94"/>
        <v>-1.823517082372661E-2</v>
      </c>
      <c r="E1965" s="293">
        <v>1.5338893682292909E-3</v>
      </c>
      <c r="F1965" s="266">
        <f t="shared" si="96"/>
        <v>1958</v>
      </c>
      <c r="G1965" s="230">
        <f t="shared" ca="1" si="95"/>
        <v>-2.3633935452664491E-2</v>
      </c>
    </row>
    <row r="1966" spans="2:7" x14ac:dyDescent="0.25">
      <c r="B1966" s="348">
        <v>42983</v>
      </c>
      <c r="C1966" s="293">
        <v>95.42</v>
      </c>
      <c r="D1966" s="230">
        <f t="shared" si="94"/>
        <v>1.3166277341261301E-2</v>
      </c>
      <c r="E1966" s="293">
        <v>1.5165876777250009E-3</v>
      </c>
      <c r="F1966" s="266">
        <f t="shared" si="96"/>
        <v>1959</v>
      </c>
      <c r="G1966" s="230">
        <f t="shared" ca="1" si="95"/>
        <v>-1.7383895165755587E-5</v>
      </c>
    </row>
    <row r="1967" spans="2:7" x14ac:dyDescent="0.25">
      <c r="B1967" s="348">
        <v>42952</v>
      </c>
      <c r="C1967" s="293">
        <v>94.18</v>
      </c>
      <c r="D1967" s="230">
        <f t="shared" si="94"/>
        <v>5.9816278572955017E-3</v>
      </c>
      <c r="E1967" s="293">
        <v>1.5151515151514694E-3</v>
      </c>
      <c r="F1967" s="266">
        <f t="shared" si="96"/>
        <v>1960</v>
      </c>
      <c r="G1967" s="230">
        <f t="shared" ca="1" si="95"/>
        <v>-5.0874331737266439E-3</v>
      </c>
    </row>
    <row r="1968" spans="2:7" x14ac:dyDescent="0.25">
      <c r="B1968" s="348">
        <v>42860</v>
      </c>
      <c r="C1968" s="293">
        <v>93.62</v>
      </c>
      <c r="D1968" s="230">
        <f t="shared" si="94"/>
        <v>-1.2801365478983806E-3</v>
      </c>
      <c r="E1968" s="293">
        <v>1.5130882130427459E-3</v>
      </c>
      <c r="F1968" s="266">
        <f t="shared" si="96"/>
        <v>1961</v>
      </c>
      <c r="G1968" s="230">
        <f t="shared" ca="1" si="95"/>
        <v>-3.7151482464218453E-3</v>
      </c>
    </row>
    <row r="1969" spans="2:7" x14ac:dyDescent="0.25">
      <c r="B1969" s="348">
        <v>42830</v>
      </c>
      <c r="C1969" s="293">
        <v>93.74</v>
      </c>
      <c r="D1969" s="230">
        <f t="shared" si="94"/>
        <v>7.0906746884400462E-3</v>
      </c>
      <c r="E1969" s="293">
        <v>1.4996250937266975E-3</v>
      </c>
      <c r="F1969" s="266">
        <f t="shared" si="96"/>
        <v>1962</v>
      </c>
      <c r="G1969" s="230">
        <f t="shared" ca="1" si="95"/>
        <v>-7.1946356921372369E-3</v>
      </c>
    </row>
    <row r="1970" spans="2:7" x14ac:dyDescent="0.25">
      <c r="B1970" s="348">
        <v>42799</v>
      </c>
      <c r="C1970" s="293">
        <v>93.08</v>
      </c>
      <c r="D1970" s="230">
        <f t="shared" si="94"/>
        <v>3.125336781980792E-3</v>
      </c>
      <c r="E1970" s="293">
        <v>1.4867677668746193E-3</v>
      </c>
      <c r="F1970" s="266">
        <f t="shared" si="96"/>
        <v>1963</v>
      </c>
      <c r="G1970" s="230">
        <f t="shared" ca="1" si="95"/>
        <v>2.1778581377485895E-2</v>
      </c>
    </row>
    <row r="1971" spans="2:7" x14ac:dyDescent="0.25">
      <c r="B1971" s="348">
        <v>42771</v>
      </c>
      <c r="C1971" s="293">
        <v>92.79</v>
      </c>
      <c r="D1971" s="230">
        <f t="shared" si="94"/>
        <v>1.2949174490126669E-3</v>
      </c>
      <c r="E1971" s="293">
        <v>1.4864362690449884E-3</v>
      </c>
      <c r="F1971" s="266">
        <f t="shared" si="96"/>
        <v>1964</v>
      </c>
      <c r="G1971" s="230">
        <f t="shared" ca="1" si="95"/>
        <v>8.3257916909386786E-3</v>
      </c>
    </row>
    <row r="1972" spans="2:7" x14ac:dyDescent="0.25">
      <c r="B1972" s="348" t="s">
        <v>1747</v>
      </c>
      <c r="C1972" s="293">
        <v>92.67</v>
      </c>
      <c r="D1972" s="230">
        <f t="shared" si="94"/>
        <v>-3.655520911729937E-3</v>
      </c>
      <c r="E1972" s="293">
        <v>1.4745184775597497E-3</v>
      </c>
      <c r="F1972" s="266">
        <f t="shared" si="96"/>
        <v>1965</v>
      </c>
      <c r="G1972" s="230">
        <f t="shared" ca="1" si="95"/>
        <v>-9.3495125663787433E-3</v>
      </c>
    </row>
    <row r="1973" spans="2:7" x14ac:dyDescent="0.25">
      <c r="B1973" s="348" t="s">
        <v>1748</v>
      </c>
      <c r="C1973" s="293">
        <v>93.01</v>
      </c>
      <c r="D1973" s="230">
        <f t="shared" si="94"/>
        <v>1.0648701510377112E-2</v>
      </c>
      <c r="E1973" s="293">
        <v>1.4734774066798018E-3</v>
      </c>
      <c r="F1973" s="266">
        <f t="shared" si="96"/>
        <v>1966</v>
      </c>
      <c r="G1973" s="230">
        <f t="shared" ca="1" si="95"/>
        <v>3.2952308601807402E-2</v>
      </c>
    </row>
    <row r="1974" spans="2:7" x14ac:dyDescent="0.25">
      <c r="B1974" s="348" t="s">
        <v>1749</v>
      </c>
      <c r="C1974" s="293">
        <v>92.03</v>
      </c>
      <c r="D1974" s="230">
        <f t="shared" si="94"/>
        <v>-7.0133793698748947E-3</v>
      </c>
      <c r="E1974" s="293">
        <v>1.4601204599378192E-3</v>
      </c>
      <c r="F1974" s="266">
        <f t="shared" si="96"/>
        <v>1967</v>
      </c>
      <c r="G1974" s="230">
        <f t="shared" ca="1" si="95"/>
        <v>1.2497844573553331E-2</v>
      </c>
    </row>
    <row r="1975" spans="2:7" x14ac:dyDescent="0.25">
      <c r="B1975" s="348" t="s">
        <v>1750</v>
      </c>
      <c r="C1975" s="293">
        <v>92.68</v>
      </c>
      <c r="D1975" s="230">
        <f t="shared" si="94"/>
        <v>5.5332537702073026E-3</v>
      </c>
      <c r="E1975" s="293">
        <v>1.4438348252960864E-3</v>
      </c>
      <c r="F1975" s="266">
        <f t="shared" si="96"/>
        <v>1968</v>
      </c>
      <c r="G1975" s="230">
        <f t="shared" ca="1" si="95"/>
        <v>-3.1909386747770488E-3</v>
      </c>
    </row>
    <row r="1976" spans="2:7" x14ac:dyDescent="0.25">
      <c r="B1976" s="348" t="s">
        <v>1751</v>
      </c>
      <c r="C1976" s="293">
        <v>92.17</v>
      </c>
      <c r="D1976" s="230">
        <f t="shared" si="94"/>
        <v>6.5139507111067196E-4</v>
      </c>
      <c r="E1976" s="293">
        <v>1.4298480786416601E-3</v>
      </c>
      <c r="F1976" s="266">
        <f t="shared" si="96"/>
        <v>1969</v>
      </c>
      <c r="G1976" s="230">
        <f t="shared" ca="1" si="95"/>
        <v>1.5350613396429798E-2</v>
      </c>
    </row>
    <row r="1977" spans="2:7" x14ac:dyDescent="0.25">
      <c r="B1977" s="348" t="s">
        <v>1752</v>
      </c>
      <c r="C1977" s="293">
        <v>92.11</v>
      </c>
      <c r="D1977" s="230">
        <f t="shared" si="94"/>
        <v>-1.696905016008543E-2</v>
      </c>
      <c r="E1977" s="293">
        <v>1.4220255964607631E-3</v>
      </c>
      <c r="F1977" s="266">
        <f t="shared" si="96"/>
        <v>1970</v>
      </c>
      <c r="G1977" s="230">
        <f t="shared" ca="1" si="95"/>
        <v>1.6568810641947082E-3</v>
      </c>
    </row>
    <row r="1978" spans="2:7" x14ac:dyDescent="0.25">
      <c r="B1978" s="348" t="s">
        <v>1753</v>
      </c>
      <c r="C1978" s="293">
        <v>93.7</v>
      </c>
      <c r="D1978" s="230">
        <f t="shared" si="94"/>
        <v>2.9972168700491686E-3</v>
      </c>
      <c r="E1978" s="293">
        <v>1.4156285390714007E-3</v>
      </c>
      <c r="F1978" s="266">
        <f t="shared" si="96"/>
        <v>1971</v>
      </c>
      <c r="G1978" s="230">
        <f t="shared" ca="1" si="95"/>
        <v>-1.5110626564644831E-2</v>
      </c>
    </row>
    <row r="1979" spans="2:7" x14ac:dyDescent="0.25">
      <c r="B1979" s="348" t="s">
        <v>1754</v>
      </c>
      <c r="C1979" s="293">
        <v>93.42</v>
      </c>
      <c r="D1979" s="230">
        <f t="shared" si="94"/>
        <v>8.6374433167781817E-3</v>
      </c>
      <c r="E1979" s="293">
        <v>1.411374014113731E-3</v>
      </c>
      <c r="F1979" s="266">
        <f t="shared" si="96"/>
        <v>1972</v>
      </c>
      <c r="G1979" s="230">
        <f t="shared" ca="1" si="95"/>
        <v>-1.2464016157588901E-3</v>
      </c>
    </row>
    <row r="1980" spans="2:7" x14ac:dyDescent="0.25">
      <c r="B1980" s="348" t="s">
        <v>1755</v>
      </c>
      <c r="C1980" s="293">
        <v>92.62</v>
      </c>
      <c r="D1980" s="230">
        <f t="shared" si="94"/>
        <v>3.358249377098943E-3</v>
      </c>
      <c r="E1980" s="293">
        <v>1.3986013986013734E-3</v>
      </c>
      <c r="F1980" s="266">
        <f t="shared" si="96"/>
        <v>1973</v>
      </c>
      <c r="G1980" s="230">
        <f t="shared" ca="1" si="95"/>
        <v>3.1846677008767567E-2</v>
      </c>
    </row>
    <row r="1981" spans="2:7" x14ac:dyDescent="0.25">
      <c r="B1981" s="348" t="s">
        <v>1756</v>
      </c>
      <c r="C1981" s="293">
        <v>92.31</v>
      </c>
      <c r="D1981" s="230">
        <f t="shared" si="94"/>
        <v>-6.2439444504251984E-3</v>
      </c>
      <c r="E1981" s="293">
        <v>1.3979496738119046E-3</v>
      </c>
      <c r="F1981" s="266">
        <f t="shared" si="96"/>
        <v>1974</v>
      </c>
      <c r="G1981" s="230">
        <f t="shared" ca="1" si="95"/>
        <v>5.7831877022573638E-3</v>
      </c>
    </row>
    <row r="1982" spans="2:7" x14ac:dyDescent="0.25">
      <c r="B1982" s="348" t="s">
        <v>1757</v>
      </c>
      <c r="C1982" s="293">
        <v>92.89</v>
      </c>
      <c r="D1982" s="230">
        <f t="shared" si="94"/>
        <v>-1.0650761529449326E-2</v>
      </c>
      <c r="E1982" s="293">
        <v>1.3952724885095691E-3</v>
      </c>
      <c r="F1982" s="266">
        <f t="shared" si="96"/>
        <v>1975</v>
      </c>
      <c r="G1982" s="230">
        <f t="shared" ca="1" si="95"/>
        <v>5.1816199779673965E-3</v>
      </c>
    </row>
    <row r="1983" spans="2:7" x14ac:dyDescent="0.25">
      <c r="B1983" s="348">
        <v>43073</v>
      </c>
      <c r="C1983" s="293">
        <v>93.89</v>
      </c>
      <c r="D1983" s="230">
        <f t="shared" si="94"/>
        <v>-1.8400418191322543E-2</v>
      </c>
      <c r="E1983" s="293">
        <v>1.3883175647881885E-3</v>
      </c>
      <c r="F1983" s="266">
        <f t="shared" si="96"/>
        <v>1976</v>
      </c>
      <c r="G1983" s="230">
        <f t="shared" ca="1" si="95"/>
        <v>-2.7337852079923952E-2</v>
      </c>
    </row>
    <row r="1984" spans="2:7" x14ac:dyDescent="0.25">
      <c r="B1984" s="348">
        <v>43043</v>
      </c>
      <c r="C1984" s="293">
        <v>95.65</v>
      </c>
      <c r="D1984" s="230">
        <f t="shared" si="94"/>
        <v>1.1313174032565154E-2</v>
      </c>
      <c r="E1984" s="293">
        <v>1.3877324451845308E-3</v>
      </c>
      <c r="F1984" s="266">
        <f t="shared" si="96"/>
        <v>1977</v>
      </c>
      <c r="G1984" s="230">
        <f t="shared" ca="1" si="95"/>
        <v>3.2256684421318009E-2</v>
      </c>
    </row>
    <row r="1985" spans="2:7" x14ac:dyDescent="0.25">
      <c r="B1985" s="348">
        <v>43012</v>
      </c>
      <c r="C1985" s="293">
        <v>94.58</v>
      </c>
      <c r="D1985" s="230">
        <f t="shared" si="94"/>
        <v>-1.4586372160866889E-2</v>
      </c>
      <c r="E1985" s="293">
        <v>1.3866877971473457E-3</v>
      </c>
      <c r="F1985" s="266">
        <f t="shared" si="96"/>
        <v>1978</v>
      </c>
      <c r="G1985" s="230">
        <f t="shared" ca="1" si="95"/>
        <v>-2.5572741729569428E-4</v>
      </c>
    </row>
    <row r="1986" spans="2:7" x14ac:dyDescent="0.25">
      <c r="B1986" s="348">
        <v>42920</v>
      </c>
      <c r="C1986" s="293">
        <v>95.98</v>
      </c>
      <c r="D1986" s="230">
        <f t="shared" si="94"/>
        <v>-5.4916588954512235E-3</v>
      </c>
      <c r="E1986" s="293">
        <v>1.3845621322257085E-3</v>
      </c>
      <c r="F1986" s="266">
        <f t="shared" si="96"/>
        <v>1979</v>
      </c>
      <c r="G1986" s="230">
        <f t="shared" ca="1" si="95"/>
        <v>-9.379192743191162E-4</v>
      </c>
    </row>
    <row r="1987" spans="2:7" x14ac:dyDescent="0.25">
      <c r="B1987" s="348">
        <v>42890</v>
      </c>
      <c r="C1987" s="293">
        <v>96.51</v>
      </c>
      <c r="D1987" s="230">
        <f t="shared" si="94"/>
        <v>7.9373368146213874E-3</v>
      </c>
      <c r="E1987" s="293">
        <v>1.3835085777531564E-3</v>
      </c>
      <c r="F1987" s="266">
        <f t="shared" si="96"/>
        <v>1980</v>
      </c>
      <c r="G1987" s="230">
        <f t="shared" ca="1" si="95"/>
        <v>1.4849240349007822E-2</v>
      </c>
    </row>
    <row r="1988" spans="2:7" x14ac:dyDescent="0.25">
      <c r="B1988" s="348">
        <v>42859</v>
      </c>
      <c r="C1988" s="293">
        <v>95.75</v>
      </c>
      <c r="D1988" s="230">
        <f t="shared" si="94"/>
        <v>7.0466975178797853E-3</v>
      </c>
      <c r="E1988" s="293">
        <v>1.3774104683197397E-3</v>
      </c>
      <c r="F1988" s="266">
        <f t="shared" si="96"/>
        <v>1981</v>
      </c>
      <c r="G1988" s="230">
        <f t="shared" ca="1" si="95"/>
        <v>8.7966831554889217E-3</v>
      </c>
    </row>
    <row r="1989" spans="2:7" x14ac:dyDescent="0.25">
      <c r="B1989" s="348">
        <v>42798</v>
      </c>
      <c r="C1989" s="293">
        <v>95.08</v>
      </c>
      <c r="D1989" s="230">
        <f t="shared" si="94"/>
        <v>-1.6651153169924493E-2</v>
      </c>
      <c r="E1989" s="293">
        <v>1.3751104999508712E-3</v>
      </c>
      <c r="F1989" s="266">
        <f t="shared" si="96"/>
        <v>1982</v>
      </c>
      <c r="G1989" s="230">
        <f t="shared" ca="1" si="95"/>
        <v>-1.7856966077052483E-3</v>
      </c>
    </row>
    <row r="1990" spans="2:7" x14ac:dyDescent="0.25">
      <c r="B1990" s="348" t="s">
        <v>1758</v>
      </c>
      <c r="C1990" s="293">
        <v>96.69</v>
      </c>
      <c r="D1990" s="230">
        <f t="shared" si="94"/>
        <v>-5.1684928674800013E-4</v>
      </c>
      <c r="E1990" s="293">
        <v>1.3442867811799264E-3</v>
      </c>
      <c r="F1990" s="266">
        <f t="shared" si="96"/>
        <v>1983</v>
      </c>
      <c r="G1990" s="230">
        <f t="shared" ca="1" si="95"/>
        <v>-2.3349106568903932E-2</v>
      </c>
    </row>
    <row r="1991" spans="2:7" x14ac:dyDescent="0.25">
      <c r="B1991" s="348" t="s">
        <v>1759</v>
      </c>
      <c r="C1991" s="293">
        <v>96.74</v>
      </c>
      <c r="D1991" s="230">
        <f t="shared" si="94"/>
        <v>7.1837584591358805E-3</v>
      </c>
      <c r="E1991" s="293">
        <v>1.3422818791946067E-3</v>
      </c>
      <c r="F1991" s="266">
        <f t="shared" si="96"/>
        <v>1984</v>
      </c>
      <c r="G1991" s="230">
        <f t="shared" ca="1" si="95"/>
        <v>2.8917814015872435E-2</v>
      </c>
    </row>
    <row r="1992" spans="2:7" x14ac:dyDescent="0.25">
      <c r="B1992" s="348" t="s">
        <v>1760</v>
      </c>
      <c r="C1992" s="293">
        <v>96.05</v>
      </c>
      <c r="D1992" s="230">
        <f t="shared" si="94"/>
        <v>9.2466113270988082E-3</v>
      </c>
      <c r="E1992" s="293">
        <v>1.3404825737266535E-3</v>
      </c>
      <c r="F1992" s="266">
        <f t="shared" si="96"/>
        <v>1985</v>
      </c>
      <c r="G1992" s="230">
        <f t="shared" ca="1" si="95"/>
        <v>-9.075467280745415E-3</v>
      </c>
    </row>
    <row r="1993" spans="2:7" x14ac:dyDescent="0.25">
      <c r="B1993" s="348" t="s">
        <v>1761</v>
      </c>
      <c r="C1993" s="293">
        <v>95.17</v>
      </c>
      <c r="D1993" s="230">
        <f t="shared" ref="D1993:D2056" si="97">C1993/C1994-1</f>
        <v>7.0899470899470352E-3</v>
      </c>
      <c r="E1993" s="293">
        <v>1.3351134846462109E-3</v>
      </c>
      <c r="F1993" s="266">
        <f t="shared" si="96"/>
        <v>1986</v>
      </c>
      <c r="G1993" s="230">
        <f t="shared" ref="G1993:G2056" ca="1" si="98">_xlfn.NORM.INV(RAND(),$M$10,$M$11)</f>
        <v>-5.2965454440160936E-3</v>
      </c>
    </row>
    <row r="1994" spans="2:7" x14ac:dyDescent="0.25">
      <c r="B1994" s="348" t="s">
        <v>1762</v>
      </c>
      <c r="C1994" s="293">
        <v>94.5</v>
      </c>
      <c r="D1994" s="230">
        <f t="shared" si="97"/>
        <v>-1.7977761612802734E-2</v>
      </c>
      <c r="E1994" s="293">
        <v>1.3127187864645506E-3</v>
      </c>
      <c r="F1994" s="266">
        <f t="shared" ref="F1994:F2057" si="99">F1993+1</f>
        <v>1987</v>
      </c>
      <c r="G1994" s="230">
        <f t="shared" ca="1" si="98"/>
        <v>-2.3688034889853021E-2</v>
      </c>
    </row>
    <row r="1995" spans="2:7" x14ac:dyDescent="0.25">
      <c r="B1995" s="348" t="s">
        <v>1763</v>
      </c>
      <c r="C1995" s="293">
        <v>96.23</v>
      </c>
      <c r="D1995" s="230">
        <f t="shared" si="97"/>
        <v>6.379418531687886E-3</v>
      </c>
      <c r="E1995" s="293">
        <v>1.2949174490126669E-3</v>
      </c>
      <c r="F1995" s="266">
        <f t="shared" si="99"/>
        <v>1988</v>
      </c>
      <c r="G1995" s="230">
        <f t="shared" ca="1" si="98"/>
        <v>9.8578666357821941E-3</v>
      </c>
    </row>
    <row r="1996" spans="2:7" x14ac:dyDescent="0.25">
      <c r="B1996" s="348" t="s">
        <v>1764</v>
      </c>
      <c r="C1996" s="293">
        <v>95.62</v>
      </c>
      <c r="D1996" s="230">
        <f t="shared" si="97"/>
        <v>1.8859882791689042E-2</v>
      </c>
      <c r="E1996" s="293">
        <v>1.2836970474967568E-3</v>
      </c>
      <c r="F1996" s="266">
        <f t="shared" si="99"/>
        <v>1989</v>
      </c>
      <c r="G1996" s="230">
        <f t="shared" ca="1" si="98"/>
        <v>8.2141633963110465E-3</v>
      </c>
    </row>
    <row r="1997" spans="2:7" x14ac:dyDescent="0.25">
      <c r="B1997" s="348" t="s">
        <v>1765</v>
      </c>
      <c r="C1997" s="293">
        <v>93.85</v>
      </c>
      <c r="D1997" s="230">
        <f t="shared" si="97"/>
        <v>3.7433155080213165E-3</v>
      </c>
      <c r="E1997" s="293">
        <v>1.2589173310952884E-3</v>
      </c>
      <c r="F1997" s="266">
        <f t="shared" si="99"/>
        <v>1990</v>
      </c>
      <c r="G1997" s="230">
        <f t="shared" ca="1" si="98"/>
        <v>1.3437441818880848E-2</v>
      </c>
    </row>
    <row r="1998" spans="2:7" x14ac:dyDescent="0.25">
      <c r="B1998" s="348" t="s">
        <v>1766</v>
      </c>
      <c r="C1998" s="293">
        <v>93.5</v>
      </c>
      <c r="D1998" s="230">
        <f t="shared" si="97"/>
        <v>2.3584905660376521E-3</v>
      </c>
      <c r="E1998" s="293">
        <v>1.2482662968100744E-3</v>
      </c>
      <c r="F1998" s="266">
        <f t="shared" si="99"/>
        <v>1991</v>
      </c>
      <c r="G1998" s="230">
        <f t="shared" ca="1" si="98"/>
        <v>1.1410118541125402E-2</v>
      </c>
    </row>
    <row r="1999" spans="2:7" x14ac:dyDescent="0.25">
      <c r="B1999" s="348" t="s">
        <v>1767</v>
      </c>
      <c r="C1999" s="293">
        <v>93.28</v>
      </c>
      <c r="D1999" s="230">
        <f t="shared" si="97"/>
        <v>-1.3432046536224207E-2</v>
      </c>
      <c r="E1999" s="293">
        <v>1.2416190712689623E-3</v>
      </c>
      <c r="F1999" s="266">
        <f t="shared" si="99"/>
        <v>1992</v>
      </c>
      <c r="G1999" s="230">
        <f t="shared" ca="1" si="98"/>
        <v>-4.2916502997182382E-3</v>
      </c>
    </row>
    <row r="2000" spans="2:7" x14ac:dyDescent="0.25">
      <c r="B2000" s="348" t="s">
        <v>1768</v>
      </c>
      <c r="C2000" s="293">
        <v>94.55</v>
      </c>
      <c r="D2000" s="230">
        <f t="shared" si="97"/>
        <v>7.4587107085775095E-3</v>
      </c>
      <c r="E2000" s="293">
        <v>1.2263251124131624E-3</v>
      </c>
      <c r="F2000" s="266">
        <f t="shared" si="99"/>
        <v>1993</v>
      </c>
      <c r="G2000" s="230">
        <f t="shared" ca="1" si="98"/>
        <v>-1.1367557735080087E-3</v>
      </c>
    </row>
    <row r="2001" spans="2:7" x14ac:dyDescent="0.25">
      <c r="B2001" s="348" t="s">
        <v>1769</v>
      </c>
      <c r="C2001" s="293">
        <v>93.85</v>
      </c>
      <c r="D2001" s="230">
        <f t="shared" si="97"/>
        <v>1.1532657900409582E-2</v>
      </c>
      <c r="E2001" s="293">
        <v>1.2152514051344543E-3</v>
      </c>
      <c r="F2001" s="266">
        <f t="shared" si="99"/>
        <v>1994</v>
      </c>
      <c r="G2001" s="230">
        <f t="shared" ca="1" si="98"/>
        <v>1.2604463998715652E-2</v>
      </c>
    </row>
    <row r="2002" spans="2:7" x14ac:dyDescent="0.25">
      <c r="B2002" s="348" t="s">
        <v>1770</v>
      </c>
      <c r="C2002" s="293">
        <v>92.78</v>
      </c>
      <c r="D2002" s="230">
        <f t="shared" si="97"/>
        <v>-1.2978723404255321E-2</v>
      </c>
      <c r="E2002" s="293">
        <v>1.2108492089117906E-3</v>
      </c>
      <c r="F2002" s="266">
        <f t="shared" si="99"/>
        <v>1995</v>
      </c>
      <c r="G2002" s="230">
        <f t="shared" ca="1" si="98"/>
        <v>-2.8416761019896021E-2</v>
      </c>
    </row>
    <row r="2003" spans="2:7" x14ac:dyDescent="0.25">
      <c r="B2003" s="348" t="s">
        <v>1771</v>
      </c>
      <c r="C2003" s="293">
        <v>94</v>
      </c>
      <c r="D2003" s="230">
        <f t="shared" si="97"/>
        <v>2.934734997809918E-2</v>
      </c>
      <c r="E2003" s="293">
        <v>1.207312866505772E-3</v>
      </c>
      <c r="F2003" s="266">
        <f t="shared" si="99"/>
        <v>1996</v>
      </c>
      <c r="G2003" s="230">
        <f t="shared" ca="1" si="98"/>
        <v>-2.1171007889241179E-2</v>
      </c>
    </row>
    <row r="2004" spans="2:7" x14ac:dyDescent="0.25">
      <c r="B2004" s="348">
        <v>43011</v>
      </c>
      <c r="C2004" s="293">
        <v>91.32</v>
      </c>
      <c r="D2004" s="230">
        <f t="shared" si="97"/>
        <v>5.2840158520475189E-3</v>
      </c>
      <c r="E2004" s="293">
        <v>1.1980462630172273E-3</v>
      </c>
      <c r="F2004" s="266">
        <f t="shared" si="99"/>
        <v>1997</v>
      </c>
      <c r="G2004" s="230">
        <f t="shared" ca="1" si="98"/>
        <v>-5.2476397237272154E-3</v>
      </c>
    </row>
    <row r="2005" spans="2:7" x14ac:dyDescent="0.25">
      <c r="B2005" s="348">
        <v>42981</v>
      </c>
      <c r="C2005" s="293">
        <v>90.84</v>
      </c>
      <c r="D2005" s="230">
        <f t="shared" si="97"/>
        <v>-2.1437035441128849E-2</v>
      </c>
      <c r="E2005" s="293">
        <v>1.1911852293031711E-3</v>
      </c>
      <c r="F2005" s="266">
        <f t="shared" si="99"/>
        <v>1998</v>
      </c>
      <c r="G2005" s="230">
        <f t="shared" ca="1" si="98"/>
        <v>1.8700953173920627E-2</v>
      </c>
    </row>
    <row r="2006" spans="2:7" x14ac:dyDescent="0.25">
      <c r="B2006" s="348">
        <v>42950</v>
      </c>
      <c r="C2006" s="293">
        <v>92.83</v>
      </c>
      <c r="D2006" s="230">
        <f t="shared" si="97"/>
        <v>-1.0771219302030399E-4</v>
      </c>
      <c r="E2006" s="293">
        <v>1.1585807385952052E-3</v>
      </c>
      <c r="F2006" s="266">
        <f t="shared" si="99"/>
        <v>1999</v>
      </c>
      <c r="G2006" s="230">
        <f t="shared" ca="1" si="98"/>
        <v>-1.8493706675707031E-2</v>
      </c>
    </row>
    <row r="2007" spans="2:7" x14ac:dyDescent="0.25">
      <c r="B2007" s="348">
        <v>42919</v>
      </c>
      <c r="C2007" s="293">
        <v>92.84</v>
      </c>
      <c r="D2007" s="230">
        <f t="shared" si="97"/>
        <v>6.6139000325273756E-3</v>
      </c>
      <c r="E2007" s="293">
        <v>1.1520737327188613E-3</v>
      </c>
      <c r="F2007" s="266">
        <f t="shared" si="99"/>
        <v>2000</v>
      </c>
      <c r="G2007" s="230">
        <f t="shared" ca="1" si="98"/>
        <v>-1.9260982184430883E-2</v>
      </c>
    </row>
    <row r="2008" spans="2:7" x14ac:dyDescent="0.25">
      <c r="B2008" s="348">
        <v>42889</v>
      </c>
      <c r="C2008" s="293">
        <v>92.23</v>
      </c>
      <c r="D2008" s="230">
        <f t="shared" si="97"/>
        <v>-3.9956803455722945E-3</v>
      </c>
      <c r="E2008" s="293">
        <v>1.1491422473939306E-3</v>
      </c>
      <c r="F2008" s="266">
        <f t="shared" si="99"/>
        <v>2001</v>
      </c>
      <c r="G2008" s="230">
        <f t="shared" ca="1" si="98"/>
        <v>2.1874456253708235E-2</v>
      </c>
    </row>
    <row r="2009" spans="2:7" x14ac:dyDescent="0.25">
      <c r="B2009" s="348">
        <v>42797</v>
      </c>
      <c r="C2009" s="293">
        <v>92.6</v>
      </c>
      <c r="D2009" s="230">
        <f t="shared" si="97"/>
        <v>7.5073441410073993E-3</v>
      </c>
      <c r="E2009" s="293">
        <v>1.1444921316166035E-3</v>
      </c>
      <c r="F2009" s="266">
        <f t="shared" si="99"/>
        <v>2002</v>
      </c>
      <c r="G2009" s="230">
        <f t="shared" ca="1" si="98"/>
        <v>-2.9516387460454534E-2</v>
      </c>
    </row>
    <row r="2010" spans="2:7" x14ac:dyDescent="0.25">
      <c r="B2010" s="348">
        <v>42769</v>
      </c>
      <c r="C2010" s="293">
        <v>91.91</v>
      </c>
      <c r="D2010" s="230">
        <f t="shared" si="97"/>
        <v>3.3842794759826322E-3</v>
      </c>
      <c r="E2010" s="293">
        <v>1.1378848728245128E-3</v>
      </c>
      <c r="F2010" s="266">
        <f t="shared" si="99"/>
        <v>2003</v>
      </c>
      <c r="G2010" s="230">
        <f t="shared" ca="1" si="98"/>
        <v>-5.8992737854899526E-3</v>
      </c>
    </row>
    <row r="2011" spans="2:7" x14ac:dyDescent="0.25">
      <c r="B2011" s="348">
        <v>42738</v>
      </c>
      <c r="C2011" s="293">
        <v>91.6</v>
      </c>
      <c r="D2011" s="230">
        <f t="shared" si="97"/>
        <v>-5.4555373704323618E-4</v>
      </c>
      <c r="E2011" s="293">
        <v>1.1322891111529287E-3</v>
      </c>
      <c r="F2011" s="266">
        <f t="shared" si="99"/>
        <v>2004</v>
      </c>
      <c r="G2011" s="230">
        <f t="shared" ca="1" si="98"/>
        <v>5.1892450464655591E-3</v>
      </c>
    </row>
    <row r="2012" spans="2:7" x14ac:dyDescent="0.25">
      <c r="B2012" s="348" t="s">
        <v>1772</v>
      </c>
      <c r="C2012" s="293">
        <v>91.65</v>
      </c>
      <c r="D2012" s="230">
        <f t="shared" si="97"/>
        <v>-1.9601437438744318E-3</v>
      </c>
      <c r="E2012" s="293">
        <v>1.1157318186427734E-3</v>
      </c>
      <c r="F2012" s="266">
        <f t="shared" si="99"/>
        <v>2005</v>
      </c>
      <c r="G2012" s="230">
        <f t="shared" ca="1" si="98"/>
        <v>-1.0337923784559607E-2</v>
      </c>
    </row>
    <row r="2013" spans="2:7" x14ac:dyDescent="0.25">
      <c r="B2013" s="348" t="s">
        <v>1773</v>
      </c>
      <c r="C2013" s="293">
        <v>91.83</v>
      </c>
      <c r="D2013" s="230">
        <f t="shared" si="97"/>
        <v>7.5707702435812152E-3</v>
      </c>
      <c r="E2013" s="293">
        <v>1.1124707976415404E-3</v>
      </c>
      <c r="F2013" s="266">
        <f t="shared" si="99"/>
        <v>2006</v>
      </c>
      <c r="G2013" s="230">
        <f t="shared" ca="1" si="98"/>
        <v>-2.3021187097921038E-2</v>
      </c>
    </row>
    <row r="2014" spans="2:7" x14ac:dyDescent="0.25">
      <c r="B2014" s="348" t="s">
        <v>1774</v>
      </c>
      <c r="C2014" s="293">
        <v>91.14</v>
      </c>
      <c r="D2014" s="230">
        <f t="shared" si="97"/>
        <v>2.4390243902439046E-2</v>
      </c>
      <c r="E2014" s="293">
        <v>1.1069089567383728E-3</v>
      </c>
      <c r="F2014" s="266">
        <f t="shared" si="99"/>
        <v>2007</v>
      </c>
      <c r="G2014" s="230">
        <f t="shared" ca="1" si="98"/>
        <v>2.3005287676483493E-2</v>
      </c>
    </row>
    <row r="2015" spans="2:7" x14ac:dyDescent="0.25">
      <c r="B2015" s="348" t="s">
        <v>1775</v>
      </c>
      <c r="C2015" s="293">
        <v>88.97</v>
      </c>
      <c r="D2015" s="230">
        <f t="shared" si="97"/>
        <v>-2.6902813585920615E-3</v>
      </c>
      <c r="E2015" s="293">
        <v>1.1057869517139274E-3</v>
      </c>
      <c r="F2015" s="266">
        <f t="shared" si="99"/>
        <v>2008</v>
      </c>
      <c r="G2015" s="230">
        <f t="shared" ca="1" si="98"/>
        <v>-2.7876972117829725E-2</v>
      </c>
    </row>
    <row r="2016" spans="2:7" x14ac:dyDescent="0.25">
      <c r="B2016" s="348" t="s">
        <v>1776</v>
      </c>
      <c r="C2016" s="293">
        <v>89.21</v>
      </c>
      <c r="D2016" s="230">
        <f t="shared" si="97"/>
        <v>3.3639829558174128E-4</v>
      </c>
      <c r="E2016" s="293">
        <v>1.1055831951354289E-3</v>
      </c>
      <c r="F2016" s="266">
        <f t="shared" si="99"/>
        <v>2009</v>
      </c>
      <c r="G2016" s="230">
        <f t="shared" ca="1" si="98"/>
        <v>-3.0155063759871079E-2</v>
      </c>
    </row>
    <row r="2017" spans="2:7" x14ac:dyDescent="0.25">
      <c r="B2017" s="348" t="s">
        <v>1777</v>
      </c>
      <c r="C2017" s="293">
        <v>89.18</v>
      </c>
      <c r="D2017" s="230">
        <f t="shared" si="97"/>
        <v>5.6097834623591858E-4</v>
      </c>
      <c r="E2017" s="293">
        <v>1.1032308904650456E-3</v>
      </c>
      <c r="F2017" s="266">
        <f t="shared" si="99"/>
        <v>2010</v>
      </c>
      <c r="G2017" s="230">
        <f t="shared" ca="1" si="98"/>
        <v>-1.6885902490959295E-2</v>
      </c>
    </row>
    <row r="2018" spans="2:7" x14ac:dyDescent="0.25">
      <c r="B2018" s="348" t="s">
        <v>1778</v>
      </c>
      <c r="C2018" s="293">
        <v>89.13</v>
      </c>
      <c r="D2018" s="230">
        <f t="shared" si="97"/>
        <v>-1.1314475873544172E-2</v>
      </c>
      <c r="E2018" s="293">
        <v>1.1026979342791954E-3</v>
      </c>
      <c r="F2018" s="266">
        <f t="shared" si="99"/>
        <v>2011</v>
      </c>
      <c r="G2018" s="230">
        <f t="shared" ca="1" si="98"/>
        <v>1.4634274550815165E-3</v>
      </c>
    </row>
    <row r="2019" spans="2:7" x14ac:dyDescent="0.25">
      <c r="B2019" s="348" t="s">
        <v>1779</v>
      </c>
      <c r="C2019" s="293">
        <v>90.15</v>
      </c>
      <c r="D2019" s="230">
        <f t="shared" si="97"/>
        <v>1.2807549713515387E-2</v>
      </c>
      <c r="E2019" s="293">
        <v>1.0994502748624679E-3</v>
      </c>
      <c r="F2019" s="266">
        <f t="shared" si="99"/>
        <v>2012</v>
      </c>
      <c r="G2019" s="230">
        <f t="shared" ca="1" si="98"/>
        <v>-2.2688803641942805E-2</v>
      </c>
    </row>
    <row r="2020" spans="2:7" x14ac:dyDescent="0.25">
      <c r="B2020" s="348" t="s">
        <v>1780</v>
      </c>
      <c r="C2020" s="293">
        <v>89.01</v>
      </c>
      <c r="D2020" s="230">
        <f t="shared" si="97"/>
        <v>-4.1396285522486975E-3</v>
      </c>
      <c r="E2020" s="293">
        <v>1.0900929785189195E-3</v>
      </c>
      <c r="F2020" s="266">
        <f t="shared" si="99"/>
        <v>2013</v>
      </c>
      <c r="G2020" s="230">
        <f t="shared" ca="1" si="98"/>
        <v>1.0727972427571576E-2</v>
      </c>
    </row>
    <row r="2021" spans="2:7" x14ac:dyDescent="0.25">
      <c r="B2021" s="348" t="s">
        <v>1781</v>
      </c>
      <c r="C2021" s="293">
        <v>89.38</v>
      </c>
      <c r="D2021" s="230">
        <f t="shared" si="97"/>
        <v>4.7212230215827322E-3</v>
      </c>
      <c r="E2021" s="293">
        <v>1.0824640818736242E-3</v>
      </c>
      <c r="F2021" s="266">
        <f t="shared" si="99"/>
        <v>2014</v>
      </c>
      <c r="G2021" s="230">
        <f t="shared" ca="1" si="98"/>
        <v>-1.6879578974541516E-2</v>
      </c>
    </row>
    <row r="2022" spans="2:7" x14ac:dyDescent="0.25">
      <c r="B2022" s="348" t="s">
        <v>1782</v>
      </c>
      <c r="C2022" s="293">
        <v>88.96</v>
      </c>
      <c r="D2022" s="230">
        <f t="shared" si="97"/>
        <v>1.1138895203455235E-2</v>
      </c>
      <c r="E2022" s="293">
        <v>1.067615658363108E-3</v>
      </c>
      <c r="F2022" s="266">
        <f t="shared" si="99"/>
        <v>2015</v>
      </c>
      <c r="G2022" s="230">
        <f t="shared" ca="1" si="98"/>
        <v>1.3664112472675896E-2</v>
      </c>
    </row>
    <row r="2023" spans="2:7" x14ac:dyDescent="0.25">
      <c r="B2023" s="348">
        <v>43010</v>
      </c>
      <c r="C2023" s="293">
        <v>87.98</v>
      </c>
      <c r="D2023" s="230">
        <f t="shared" si="97"/>
        <v>6.8665598535135874E-3</v>
      </c>
      <c r="E2023" s="293">
        <v>1.0664479081212708E-3</v>
      </c>
      <c r="F2023" s="266">
        <f t="shared" si="99"/>
        <v>2016</v>
      </c>
      <c r="G2023" s="230">
        <f t="shared" ca="1" si="98"/>
        <v>-1.0379310522893566E-3</v>
      </c>
    </row>
    <row r="2024" spans="2:7" x14ac:dyDescent="0.25">
      <c r="B2024" s="348">
        <v>42980</v>
      </c>
      <c r="C2024" s="293">
        <v>87.38</v>
      </c>
      <c r="D2024" s="230">
        <f t="shared" si="97"/>
        <v>1.2045401899467123E-2</v>
      </c>
      <c r="E2024" s="293">
        <v>1.0617214043036061E-3</v>
      </c>
      <c r="F2024" s="266">
        <f t="shared" si="99"/>
        <v>2017</v>
      </c>
      <c r="G2024" s="230">
        <f t="shared" ca="1" si="98"/>
        <v>4.1570503898946565E-2</v>
      </c>
    </row>
    <row r="2025" spans="2:7" x14ac:dyDescent="0.25">
      <c r="B2025" s="348">
        <v>42949</v>
      </c>
      <c r="C2025" s="293">
        <v>86.34</v>
      </c>
      <c r="D2025" s="230">
        <f t="shared" si="97"/>
        <v>4.1870202372644716E-3</v>
      </c>
      <c r="E2025" s="293">
        <v>1.0422698320788903E-3</v>
      </c>
      <c r="F2025" s="266">
        <f t="shared" si="99"/>
        <v>2018</v>
      </c>
      <c r="G2025" s="230">
        <f t="shared" ca="1" si="98"/>
        <v>3.995016888884706E-3</v>
      </c>
    </row>
    <row r="2026" spans="2:7" x14ac:dyDescent="0.25">
      <c r="B2026" s="348">
        <v>42918</v>
      </c>
      <c r="C2026" s="293">
        <v>85.98</v>
      </c>
      <c r="D2026" s="230">
        <f t="shared" si="97"/>
        <v>-5.5517002081886258E-3</v>
      </c>
      <c r="E2026" s="293">
        <v>1.0198405340255956E-3</v>
      </c>
      <c r="F2026" s="266">
        <f t="shared" si="99"/>
        <v>2019</v>
      </c>
      <c r="G2026" s="230">
        <f t="shared" ca="1" si="98"/>
        <v>1.9613466137324113E-2</v>
      </c>
    </row>
    <row r="2027" spans="2:7" x14ac:dyDescent="0.25">
      <c r="B2027" s="348">
        <v>42888</v>
      </c>
      <c r="C2027" s="293">
        <v>86.46</v>
      </c>
      <c r="D2027" s="230">
        <f t="shared" si="97"/>
        <v>7.3400908773155749E-3</v>
      </c>
      <c r="E2027" s="293">
        <v>1.0109179134654145E-3</v>
      </c>
      <c r="F2027" s="266">
        <f t="shared" si="99"/>
        <v>2020</v>
      </c>
      <c r="G2027" s="230">
        <f t="shared" ca="1" si="98"/>
        <v>8.9124191067973361E-3</v>
      </c>
    </row>
    <row r="2028" spans="2:7" x14ac:dyDescent="0.25">
      <c r="B2028" s="348">
        <v>42796</v>
      </c>
      <c r="C2028" s="293">
        <v>85.83</v>
      </c>
      <c r="D2028" s="230">
        <f t="shared" si="97"/>
        <v>4.6821959499003807E-3</v>
      </c>
      <c r="E2028" s="293">
        <v>1.0085728693898233E-3</v>
      </c>
      <c r="F2028" s="266">
        <f t="shared" si="99"/>
        <v>2021</v>
      </c>
      <c r="G2028" s="230">
        <f t="shared" ca="1" si="98"/>
        <v>-2.8241689978120182E-2</v>
      </c>
    </row>
    <row r="2029" spans="2:7" x14ac:dyDescent="0.25">
      <c r="B2029" s="348">
        <v>42768</v>
      </c>
      <c r="C2029" s="293">
        <v>85.43</v>
      </c>
      <c r="D2029" s="230">
        <f t="shared" si="97"/>
        <v>-8.1871345029227438E-4</v>
      </c>
      <c r="E2029" s="293">
        <v>1.0077258985556892E-3</v>
      </c>
      <c r="F2029" s="266">
        <f t="shared" si="99"/>
        <v>2022</v>
      </c>
      <c r="G2029" s="230">
        <f t="shared" ca="1" si="98"/>
        <v>1.4475948030869878E-2</v>
      </c>
    </row>
    <row r="2030" spans="2:7" x14ac:dyDescent="0.25">
      <c r="B2030" s="348">
        <v>42737</v>
      </c>
      <c r="C2030" s="293">
        <v>85.5</v>
      </c>
      <c r="D2030" s="230">
        <f t="shared" si="97"/>
        <v>-4.4247787610618428E-3</v>
      </c>
      <c r="E2030" s="293">
        <v>1.0033444816053283E-3</v>
      </c>
      <c r="F2030" s="266">
        <f t="shared" si="99"/>
        <v>2023</v>
      </c>
      <c r="G2030" s="230">
        <f t="shared" ca="1" si="98"/>
        <v>-1.0479962727818808E-2</v>
      </c>
    </row>
    <row r="2031" spans="2:7" x14ac:dyDescent="0.25">
      <c r="B2031" s="348" t="s">
        <v>1783</v>
      </c>
      <c r="C2031" s="293">
        <v>85.88</v>
      </c>
      <c r="D2031" s="230">
        <f t="shared" si="97"/>
        <v>-1.6603687163632252E-2</v>
      </c>
      <c r="E2031" s="293">
        <v>9.9814629972927449E-4</v>
      </c>
      <c r="F2031" s="266">
        <f t="shared" si="99"/>
        <v>2024</v>
      </c>
      <c r="G2031" s="230">
        <f t="shared" ca="1" si="98"/>
        <v>-3.4233835287797748E-2</v>
      </c>
    </row>
    <row r="2032" spans="2:7" x14ac:dyDescent="0.25">
      <c r="B2032" s="348" t="s">
        <v>1784</v>
      </c>
      <c r="C2032" s="293">
        <v>87.33</v>
      </c>
      <c r="D2032" s="230">
        <f t="shared" si="97"/>
        <v>4.5824263947746857E-4</v>
      </c>
      <c r="E2032" s="293">
        <v>9.9773242630374348E-4</v>
      </c>
      <c r="F2032" s="266">
        <f t="shared" si="99"/>
        <v>2025</v>
      </c>
      <c r="G2032" s="230">
        <f t="shared" ca="1" si="98"/>
        <v>-2.9236621233892986E-2</v>
      </c>
    </row>
    <row r="2033" spans="2:7" x14ac:dyDescent="0.25">
      <c r="B2033" s="348" t="s">
        <v>1785</v>
      </c>
      <c r="C2033" s="293">
        <v>87.29</v>
      </c>
      <c r="D2033" s="230">
        <f t="shared" si="97"/>
        <v>-1.722585003377608E-2</v>
      </c>
      <c r="E2033" s="293">
        <v>9.8554533508532494E-4</v>
      </c>
      <c r="F2033" s="266">
        <f t="shared" si="99"/>
        <v>2026</v>
      </c>
      <c r="G2033" s="230">
        <f t="shared" ca="1" si="98"/>
        <v>4.3483903060406726E-3</v>
      </c>
    </row>
    <row r="2034" spans="2:7" x14ac:dyDescent="0.25">
      <c r="B2034" s="348" t="s">
        <v>1786</v>
      </c>
      <c r="C2034" s="293">
        <v>88.82</v>
      </c>
      <c r="D2034" s="230">
        <f t="shared" si="97"/>
        <v>-1.6171909614532631E-2</v>
      </c>
      <c r="E2034" s="293">
        <v>9.8549908489364846E-4</v>
      </c>
      <c r="F2034" s="266">
        <f t="shared" si="99"/>
        <v>2027</v>
      </c>
      <c r="G2034" s="230">
        <f t="shared" ca="1" si="98"/>
        <v>3.4160095727669593E-2</v>
      </c>
    </row>
    <row r="2035" spans="2:7" x14ac:dyDescent="0.25">
      <c r="B2035" s="348" t="s">
        <v>1787</v>
      </c>
      <c r="C2035" s="293">
        <v>90.28</v>
      </c>
      <c r="D2035" s="230">
        <f t="shared" si="97"/>
        <v>3.6687048360199981E-3</v>
      </c>
      <c r="E2035" s="293">
        <v>9.852216748769127E-4</v>
      </c>
      <c r="F2035" s="266">
        <f t="shared" si="99"/>
        <v>2028</v>
      </c>
      <c r="G2035" s="230">
        <f t="shared" ca="1" si="98"/>
        <v>9.5954952444536317E-3</v>
      </c>
    </row>
    <row r="2036" spans="2:7" x14ac:dyDescent="0.25">
      <c r="B2036" s="348" t="s">
        <v>1788</v>
      </c>
      <c r="C2036" s="293">
        <v>89.95</v>
      </c>
      <c r="D2036" s="230">
        <f t="shared" si="97"/>
        <v>3.7942193951567837E-3</v>
      </c>
      <c r="E2036" s="293">
        <v>9.8149186763896168E-4</v>
      </c>
      <c r="F2036" s="266">
        <f t="shared" si="99"/>
        <v>2029</v>
      </c>
      <c r="G2036" s="230">
        <f t="shared" ca="1" si="98"/>
        <v>-4.2018282091887552E-3</v>
      </c>
    </row>
    <row r="2037" spans="2:7" x14ac:dyDescent="0.25">
      <c r="B2037" s="348" t="s">
        <v>1789</v>
      </c>
      <c r="C2037" s="293">
        <v>89.61</v>
      </c>
      <c r="D2037" s="230">
        <f t="shared" si="97"/>
        <v>-2.2269235051776137E-3</v>
      </c>
      <c r="E2037" s="293">
        <v>9.7895252080260065E-4</v>
      </c>
      <c r="F2037" s="266">
        <f t="shared" si="99"/>
        <v>2030</v>
      </c>
      <c r="G2037" s="230">
        <f t="shared" ca="1" si="98"/>
        <v>-2.469522664925039E-2</v>
      </c>
    </row>
    <row r="2038" spans="2:7" x14ac:dyDescent="0.25">
      <c r="B2038" s="348" t="s">
        <v>1790</v>
      </c>
      <c r="C2038" s="293">
        <v>89.81</v>
      </c>
      <c r="D2038" s="230">
        <f t="shared" si="97"/>
        <v>-8.1722805080065575E-3</v>
      </c>
      <c r="E2038" s="293">
        <v>9.7821253890617577E-4</v>
      </c>
      <c r="F2038" s="266">
        <f t="shared" si="99"/>
        <v>2031</v>
      </c>
      <c r="G2038" s="230">
        <f t="shared" ca="1" si="98"/>
        <v>-2.354370741872145E-3</v>
      </c>
    </row>
    <row r="2039" spans="2:7" x14ac:dyDescent="0.25">
      <c r="B2039" s="348" t="s">
        <v>1791</v>
      </c>
      <c r="C2039" s="293">
        <v>90.55</v>
      </c>
      <c r="D2039" s="230">
        <f t="shared" si="97"/>
        <v>1.1055831951354289E-3</v>
      </c>
      <c r="E2039" s="293">
        <v>9.6478533526300758E-4</v>
      </c>
      <c r="F2039" s="266">
        <f t="shared" si="99"/>
        <v>2032</v>
      </c>
      <c r="G2039" s="230">
        <f t="shared" ca="1" si="98"/>
        <v>9.8448629675218918E-3</v>
      </c>
    </row>
    <row r="2040" spans="2:7" x14ac:dyDescent="0.25">
      <c r="B2040" s="348" t="s">
        <v>1792</v>
      </c>
      <c r="C2040" s="293">
        <v>90.45</v>
      </c>
      <c r="D2040" s="230">
        <f t="shared" si="97"/>
        <v>-4.8410166134887911E-3</v>
      </c>
      <c r="E2040" s="293">
        <v>9.6413420748175938E-4</v>
      </c>
      <c r="F2040" s="266">
        <f t="shared" si="99"/>
        <v>2033</v>
      </c>
      <c r="G2040" s="230">
        <f t="shared" ca="1" si="98"/>
        <v>1.1492495261514933E-2</v>
      </c>
    </row>
    <row r="2041" spans="2:7" x14ac:dyDescent="0.25">
      <c r="B2041" s="348" t="s">
        <v>1793</v>
      </c>
      <c r="C2041" s="293">
        <v>90.89</v>
      </c>
      <c r="D2041" s="230">
        <f t="shared" si="97"/>
        <v>2.2009464069538964E-4</v>
      </c>
      <c r="E2041" s="293">
        <v>9.5877277085332224E-4</v>
      </c>
      <c r="F2041" s="266">
        <f t="shared" si="99"/>
        <v>2034</v>
      </c>
      <c r="G2041" s="230">
        <f t="shared" ca="1" si="98"/>
        <v>-1.4135566035746968E-4</v>
      </c>
    </row>
    <row r="2042" spans="2:7" x14ac:dyDescent="0.25">
      <c r="B2042" s="348" t="s">
        <v>1794</v>
      </c>
      <c r="C2042" s="293">
        <v>90.87</v>
      </c>
      <c r="D2042" s="230">
        <f t="shared" si="97"/>
        <v>2.9801324503311299E-3</v>
      </c>
      <c r="E2042" s="293">
        <v>9.5861958779352996E-4</v>
      </c>
      <c r="F2042" s="266">
        <f t="shared" si="99"/>
        <v>2035</v>
      </c>
      <c r="G2042" s="230">
        <f t="shared" ca="1" si="98"/>
        <v>2.7613521218901191E-2</v>
      </c>
    </row>
    <row r="2043" spans="2:7" x14ac:dyDescent="0.25">
      <c r="B2043" s="348">
        <v>43070</v>
      </c>
      <c r="C2043" s="293">
        <v>90.6</v>
      </c>
      <c r="D2043" s="230">
        <f t="shared" si="97"/>
        <v>1.4671295777802573E-2</v>
      </c>
      <c r="E2043" s="293">
        <v>9.5853450724225908E-4</v>
      </c>
      <c r="F2043" s="266">
        <f t="shared" si="99"/>
        <v>2036</v>
      </c>
      <c r="G2043" s="230">
        <f t="shared" ca="1" si="98"/>
        <v>1.56448661665348E-2</v>
      </c>
    </row>
    <row r="2044" spans="2:7" x14ac:dyDescent="0.25">
      <c r="B2044" s="348">
        <v>43040</v>
      </c>
      <c r="C2044" s="293">
        <v>89.29</v>
      </c>
      <c r="D2044" s="230">
        <f t="shared" si="97"/>
        <v>-5.5965972688598598E-4</v>
      </c>
      <c r="E2044" s="293">
        <v>9.4705938062311645E-4</v>
      </c>
      <c r="F2044" s="266">
        <f t="shared" si="99"/>
        <v>2037</v>
      </c>
      <c r="G2044" s="230">
        <f t="shared" ca="1" si="98"/>
        <v>-1.6324592547908967E-2</v>
      </c>
    </row>
    <row r="2045" spans="2:7" x14ac:dyDescent="0.25">
      <c r="B2045" s="348">
        <v>43009</v>
      </c>
      <c r="C2045" s="293">
        <v>89.34</v>
      </c>
      <c r="D2045" s="230">
        <f t="shared" si="97"/>
        <v>9.491525423728886E-3</v>
      </c>
      <c r="E2045" s="293">
        <v>9.3654881760718567E-4</v>
      </c>
      <c r="F2045" s="266">
        <f t="shared" si="99"/>
        <v>2038</v>
      </c>
      <c r="G2045" s="230">
        <f t="shared" ca="1" si="98"/>
        <v>-1.7022892210429165E-2</v>
      </c>
    </row>
    <row r="2046" spans="2:7" x14ac:dyDescent="0.25">
      <c r="B2046" s="348">
        <v>42979</v>
      </c>
      <c r="C2046" s="293">
        <v>88.5</v>
      </c>
      <c r="D2046" s="230">
        <f t="shared" si="97"/>
        <v>4.3123014071719812E-3</v>
      </c>
      <c r="E2046" s="293">
        <v>9.3589143659333907E-4</v>
      </c>
      <c r="F2046" s="266">
        <f t="shared" si="99"/>
        <v>2039</v>
      </c>
      <c r="G2046" s="230">
        <f t="shared" ca="1" si="98"/>
        <v>6.6666454499381622E-4</v>
      </c>
    </row>
    <row r="2047" spans="2:7" x14ac:dyDescent="0.25">
      <c r="B2047" s="348">
        <v>42887</v>
      </c>
      <c r="C2047" s="293">
        <v>88.12</v>
      </c>
      <c r="D2047" s="230">
        <f t="shared" si="97"/>
        <v>-2.1758436944937731E-2</v>
      </c>
      <c r="E2047" s="293">
        <v>9.3283582089553896E-4</v>
      </c>
      <c r="F2047" s="266">
        <f t="shared" si="99"/>
        <v>2040</v>
      </c>
      <c r="G2047" s="230">
        <f t="shared" ca="1" si="98"/>
        <v>6.7991230551744308E-3</v>
      </c>
    </row>
    <row r="2048" spans="2:7" x14ac:dyDescent="0.25">
      <c r="B2048" s="348">
        <v>42856</v>
      </c>
      <c r="C2048" s="293">
        <v>90.08</v>
      </c>
      <c r="D2048" s="230">
        <f t="shared" si="97"/>
        <v>1.0205225972860887E-2</v>
      </c>
      <c r="E2048" s="293">
        <v>9.3016599885520357E-4</v>
      </c>
      <c r="F2048" s="266">
        <f t="shared" si="99"/>
        <v>2041</v>
      </c>
      <c r="G2048" s="230">
        <f t="shared" ca="1" si="98"/>
        <v>3.1489821260204469E-3</v>
      </c>
    </row>
    <row r="2049" spans="2:7" x14ac:dyDescent="0.25">
      <c r="B2049" s="348">
        <v>42826</v>
      </c>
      <c r="C2049" s="293">
        <v>89.17</v>
      </c>
      <c r="D2049" s="230">
        <f t="shared" si="97"/>
        <v>1.8387391502969308E-2</v>
      </c>
      <c r="E2049" s="293">
        <v>9.2449922958381947E-4</v>
      </c>
      <c r="F2049" s="266">
        <f t="shared" si="99"/>
        <v>2042</v>
      </c>
      <c r="G2049" s="230">
        <f t="shared" ca="1" si="98"/>
        <v>4.1820097022067289E-3</v>
      </c>
    </row>
    <row r="2050" spans="2:7" x14ac:dyDescent="0.25">
      <c r="B2050" s="348">
        <v>42795</v>
      </c>
      <c r="C2050" s="293">
        <v>87.56</v>
      </c>
      <c r="D2050" s="230">
        <f t="shared" si="97"/>
        <v>-9.7263062655508215E-3</v>
      </c>
      <c r="E2050" s="293">
        <v>9.2285508291278795E-4</v>
      </c>
      <c r="F2050" s="266">
        <f t="shared" si="99"/>
        <v>2043</v>
      </c>
      <c r="G2050" s="230">
        <f t="shared" ca="1" si="98"/>
        <v>-3.7171818775786875E-2</v>
      </c>
    </row>
    <row r="2051" spans="2:7" x14ac:dyDescent="0.25">
      <c r="B2051" s="348">
        <v>42767</v>
      </c>
      <c r="C2051" s="293">
        <v>88.42</v>
      </c>
      <c r="D2051" s="230">
        <f t="shared" si="97"/>
        <v>-6.0701438848920208E-3</v>
      </c>
      <c r="E2051" s="293">
        <v>9.2276460274987038E-4</v>
      </c>
      <c r="F2051" s="266">
        <f t="shared" si="99"/>
        <v>2044</v>
      </c>
      <c r="G2051" s="230">
        <f t="shared" ca="1" si="98"/>
        <v>3.8892874012837384E-3</v>
      </c>
    </row>
    <row r="2052" spans="2:7" x14ac:dyDescent="0.25">
      <c r="B2052" s="348" t="s">
        <v>1795</v>
      </c>
      <c r="C2052" s="293">
        <v>88.96</v>
      </c>
      <c r="D2052" s="230">
        <f t="shared" si="97"/>
        <v>4.403296827368175E-3</v>
      </c>
      <c r="E2052" s="293">
        <v>9.1060859007430217E-4</v>
      </c>
      <c r="F2052" s="266">
        <f t="shared" si="99"/>
        <v>2045</v>
      </c>
      <c r="G2052" s="230">
        <f t="shared" ca="1" si="98"/>
        <v>1.2473063542034646E-2</v>
      </c>
    </row>
    <row r="2053" spans="2:7" x14ac:dyDescent="0.25">
      <c r="B2053" s="348" t="s">
        <v>1796</v>
      </c>
      <c r="C2053" s="293">
        <v>88.57</v>
      </c>
      <c r="D2053" s="230">
        <f t="shared" si="97"/>
        <v>6.4772727272726094E-3</v>
      </c>
      <c r="E2053" s="293">
        <v>9.0789871885399442E-4</v>
      </c>
      <c r="F2053" s="266">
        <f t="shared" si="99"/>
        <v>2046</v>
      </c>
      <c r="G2053" s="230">
        <f t="shared" ca="1" si="98"/>
        <v>-1.5220699849202454E-2</v>
      </c>
    </row>
    <row r="2054" spans="2:7" x14ac:dyDescent="0.25">
      <c r="B2054" s="348" t="s">
        <v>1797</v>
      </c>
      <c r="C2054" s="293">
        <v>88</v>
      </c>
      <c r="D2054" s="230">
        <f t="shared" si="97"/>
        <v>8.9429030038981061E-3</v>
      </c>
      <c r="E2054" s="293">
        <v>9.0443171540544043E-4</v>
      </c>
      <c r="F2054" s="266">
        <f t="shared" si="99"/>
        <v>2047</v>
      </c>
      <c r="G2054" s="230">
        <f t="shared" ca="1" si="98"/>
        <v>-6.1459709556526479E-3</v>
      </c>
    </row>
    <row r="2055" spans="2:7" x14ac:dyDescent="0.25">
      <c r="B2055" s="348" t="s">
        <v>1798</v>
      </c>
      <c r="C2055" s="293">
        <v>87.22</v>
      </c>
      <c r="D2055" s="230">
        <f t="shared" si="97"/>
        <v>1.9878391019644504E-2</v>
      </c>
      <c r="E2055" s="293">
        <v>9.0371344068351789E-4</v>
      </c>
      <c r="F2055" s="266">
        <f t="shared" si="99"/>
        <v>2048</v>
      </c>
      <c r="G2055" s="230">
        <f t="shared" ca="1" si="98"/>
        <v>-1.6006676633840138E-2</v>
      </c>
    </row>
    <row r="2056" spans="2:7" x14ac:dyDescent="0.25">
      <c r="B2056" s="348" t="s">
        <v>1799</v>
      </c>
      <c r="C2056" s="293">
        <v>85.52</v>
      </c>
      <c r="D2056" s="230">
        <f t="shared" si="97"/>
        <v>-5.8126017205301084E-3</v>
      </c>
      <c r="E2056" s="293">
        <v>9.0211998195743881E-4</v>
      </c>
      <c r="F2056" s="266">
        <f t="shared" si="99"/>
        <v>2049</v>
      </c>
      <c r="G2056" s="230">
        <f t="shared" ca="1" si="98"/>
        <v>-9.1194736403456562E-3</v>
      </c>
    </row>
    <row r="2057" spans="2:7" x14ac:dyDescent="0.25">
      <c r="B2057" s="348" t="s">
        <v>1800</v>
      </c>
      <c r="C2057" s="293">
        <v>86.02</v>
      </c>
      <c r="D2057" s="230">
        <f t="shared" ref="D2057:D2120" si="100">C2057/C2058-1</f>
        <v>-6.3532401524777349E-3</v>
      </c>
      <c r="E2057" s="293">
        <v>8.9493466976908742E-4</v>
      </c>
      <c r="F2057" s="266">
        <f t="shared" si="99"/>
        <v>2050</v>
      </c>
      <c r="G2057" s="230">
        <f t="shared" ref="G2057:G2120" ca="1" si="101">_xlfn.NORM.INV(RAND(),$M$10,$M$11)</f>
        <v>2.0923412073884018E-3</v>
      </c>
    </row>
    <row r="2058" spans="2:7" x14ac:dyDescent="0.25">
      <c r="B2058" s="348" t="s">
        <v>1801</v>
      </c>
      <c r="C2058" s="293">
        <v>86.57</v>
      </c>
      <c r="D2058" s="230">
        <f t="shared" si="100"/>
        <v>-1.6145773267212116E-3</v>
      </c>
      <c r="E2058" s="293">
        <v>8.9255829521373009E-4</v>
      </c>
      <c r="F2058" s="266">
        <f t="shared" ref="F2058:F2121" si="102">F2057+1</f>
        <v>2051</v>
      </c>
      <c r="G2058" s="230">
        <f t="shared" ca="1" si="101"/>
        <v>9.830979818065997E-3</v>
      </c>
    </row>
    <row r="2059" spans="2:7" x14ac:dyDescent="0.25">
      <c r="B2059" s="348" t="s">
        <v>1802</v>
      </c>
      <c r="C2059" s="293">
        <v>86.71</v>
      </c>
      <c r="D2059" s="230">
        <f t="shared" si="100"/>
        <v>-9.0285714285714969E-3</v>
      </c>
      <c r="E2059" s="293">
        <v>8.9245872378396207E-4</v>
      </c>
      <c r="F2059" s="266">
        <f t="shared" si="102"/>
        <v>2052</v>
      </c>
      <c r="G2059" s="230">
        <f t="shared" ca="1" si="101"/>
        <v>1.1785487075790951E-3</v>
      </c>
    </row>
    <row r="2060" spans="2:7" x14ac:dyDescent="0.25">
      <c r="B2060" s="348" t="s">
        <v>1803</v>
      </c>
      <c r="C2060" s="293">
        <v>87.5</v>
      </c>
      <c r="D2060" s="230">
        <f t="shared" si="100"/>
        <v>6.6728025770823596E-3</v>
      </c>
      <c r="E2060" s="293">
        <v>8.881783462117987E-4</v>
      </c>
      <c r="F2060" s="266">
        <f t="shared" si="102"/>
        <v>2053</v>
      </c>
      <c r="G2060" s="230">
        <f t="shared" ca="1" si="101"/>
        <v>-6.0719829127039533E-3</v>
      </c>
    </row>
    <row r="2061" spans="2:7" x14ac:dyDescent="0.25">
      <c r="B2061" s="348" t="s">
        <v>1804</v>
      </c>
      <c r="C2061" s="293">
        <v>86.92</v>
      </c>
      <c r="D2061" s="230">
        <f t="shared" si="100"/>
        <v>1.1506155793350459E-4</v>
      </c>
      <c r="E2061" s="293">
        <v>8.8582677165360835E-4</v>
      </c>
      <c r="F2061" s="266">
        <f t="shared" si="102"/>
        <v>2054</v>
      </c>
      <c r="G2061" s="230">
        <f t="shared" ca="1" si="101"/>
        <v>-2.093204464932185E-2</v>
      </c>
    </row>
    <row r="2062" spans="2:7" x14ac:dyDescent="0.25">
      <c r="B2062" s="348" t="s">
        <v>1805</v>
      </c>
      <c r="C2062" s="293">
        <v>86.91</v>
      </c>
      <c r="D2062" s="230">
        <f t="shared" si="100"/>
        <v>-5.4926192928252959E-3</v>
      </c>
      <c r="E2062" s="293">
        <v>8.8408644400783665E-4</v>
      </c>
      <c r="F2062" s="266">
        <f t="shared" si="102"/>
        <v>2055</v>
      </c>
      <c r="G2062" s="230">
        <f t="shared" ca="1" si="101"/>
        <v>1.7234012302846269E-2</v>
      </c>
    </row>
    <row r="2063" spans="2:7" x14ac:dyDescent="0.25">
      <c r="B2063" s="348" t="s">
        <v>1806</v>
      </c>
      <c r="C2063" s="293">
        <v>87.39</v>
      </c>
      <c r="D2063" s="230">
        <f t="shared" si="100"/>
        <v>-4.5750886423434611E-4</v>
      </c>
      <c r="E2063" s="293">
        <v>8.7774906129611807E-4</v>
      </c>
      <c r="F2063" s="266">
        <f t="shared" si="102"/>
        <v>2056</v>
      </c>
      <c r="G2063" s="230">
        <f t="shared" ca="1" si="101"/>
        <v>-2.7474788646110714E-3</v>
      </c>
    </row>
    <row r="2064" spans="2:7" x14ac:dyDescent="0.25">
      <c r="B2064" s="348" t="s">
        <v>1807</v>
      </c>
      <c r="C2064" s="293">
        <v>87.43</v>
      </c>
      <c r="D2064" s="230">
        <f t="shared" si="100"/>
        <v>5.5204140310523009E-3</v>
      </c>
      <c r="E2064" s="293">
        <v>8.7732124579620319E-4</v>
      </c>
      <c r="F2064" s="266">
        <f t="shared" si="102"/>
        <v>2057</v>
      </c>
      <c r="G2064" s="230">
        <f t="shared" ca="1" si="101"/>
        <v>-4.264386246153831E-3</v>
      </c>
    </row>
    <row r="2065" spans="2:7" x14ac:dyDescent="0.25">
      <c r="B2065" s="348" t="s">
        <v>1808</v>
      </c>
      <c r="C2065" s="293">
        <v>86.95</v>
      </c>
      <c r="D2065" s="230">
        <f t="shared" si="100"/>
        <v>2.2460018814675298E-2</v>
      </c>
      <c r="E2065" s="293">
        <v>8.7344720496873585E-4</v>
      </c>
      <c r="F2065" s="266">
        <f t="shared" si="102"/>
        <v>2058</v>
      </c>
      <c r="G2065" s="230">
        <f t="shared" ca="1" si="101"/>
        <v>2.2795145464980612E-2</v>
      </c>
    </row>
    <row r="2066" spans="2:7" x14ac:dyDescent="0.25">
      <c r="B2066" s="348">
        <v>42716</v>
      </c>
      <c r="C2066" s="293">
        <v>85.04</v>
      </c>
      <c r="D2066" s="230">
        <f t="shared" si="100"/>
        <v>-9.8963790895330028E-3</v>
      </c>
      <c r="E2066" s="293">
        <v>8.678672163160428E-4</v>
      </c>
      <c r="F2066" s="266">
        <f t="shared" si="102"/>
        <v>2059</v>
      </c>
      <c r="G2066" s="230">
        <f t="shared" ca="1" si="101"/>
        <v>-1.1536581170193041E-2</v>
      </c>
    </row>
    <row r="2067" spans="2:7" x14ac:dyDescent="0.25">
      <c r="B2067" s="348">
        <v>42625</v>
      </c>
      <c r="C2067" s="293">
        <v>85.89</v>
      </c>
      <c r="D2067" s="230">
        <f t="shared" si="100"/>
        <v>-1.1629259216187071E-3</v>
      </c>
      <c r="E2067" s="293">
        <v>8.641548565502255E-4</v>
      </c>
      <c r="F2067" s="266">
        <f t="shared" si="102"/>
        <v>2060</v>
      </c>
      <c r="G2067" s="230">
        <f t="shared" ca="1" si="101"/>
        <v>1.0528759566932911E-2</v>
      </c>
    </row>
    <row r="2068" spans="2:7" x14ac:dyDescent="0.25">
      <c r="B2068" s="348">
        <v>42594</v>
      </c>
      <c r="C2068" s="293">
        <v>85.99</v>
      </c>
      <c r="D2068" s="230">
        <f t="shared" si="100"/>
        <v>1.1647058823529344E-2</v>
      </c>
      <c r="E2068" s="293">
        <v>8.6197608016380656E-4</v>
      </c>
      <c r="F2068" s="266">
        <f t="shared" si="102"/>
        <v>2061</v>
      </c>
      <c r="G2068" s="230">
        <f t="shared" ca="1" si="101"/>
        <v>7.6581366475096165E-3</v>
      </c>
    </row>
    <row r="2069" spans="2:7" x14ac:dyDescent="0.25">
      <c r="B2069" s="348">
        <v>42563</v>
      </c>
      <c r="C2069" s="293">
        <v>85</v>
      </c>
      <c r="D2069" s="230">
        <f t="shared" si="100"/>
        <v>-9.785647716682222E-3</v>
      </c>
      <c r="E2069" s="293">
        <v>8.6122412615430299E-4</v>
      </c>
      <c r="F2069" s="266">
        <f t="shared" si="102"/>
        <v>2062</v>
      </c>
      <c r="G2069" s="230">
        <f t="shared" ca="1" si="101"/>
        <v>-1.2384004859986896E-3</v>
      </c>
    </row>
    <row r="2070" spans="2:7" x14ac:dyDescent="0.25">
      <c r="B2070" s="348">
        <v>42533</v>
      </c>
      <c r="C2070" s="293">
        <v>85.84</v>
      </c>
      <c r="D2070" s="230">
        <f t="shared" si="100"/>
        <v>2.5694931090867179E-3</v>
      </c>
      <c r="E2070" s="293">
        <v>8.4602368866337763E-4</v>
      </c>
      <c r="F2070" s="266">
        <f t="shared" si="102"/>
        <v>2063</v>
      </c>
      <c r="G2070" s="230">
        <f t="shared" ca="1" si="101"/>
        <v>-2.6364745942861999E-2</v>
      </c>
    </row>
    <row r="2071" spans="2:7" x14ac:dyDescent="0.25">
      <c r="B2071" s="348">
        <v>42502</v>
      </c>
      <c r="C2071" s="293">
        <v>85.62</v>
      </c>
      <c r="D2071" s="230">
        <f t="shared" si="100"/>
        <v>-8.2242557627706381E-3</v>
      </c>
      <c r="E2071" s="293">
        <v>8.4536570520410415E-4</v>
      </c>
      <c r="F2071" s="266">
        <f t="shared" si="102"/>
        <v>2064</v>
      </c>
      <c r="G2071" s="230">
        <f t="shared" ca="1" si="101"/>
        <v>-1.8576461379957304E-2</v>
      </c>
    </row>
    <row r="2072" spans="2:7" x14ac:dyDescent="0.25">
      <c r="B2072" s="348">
        <v>42412</v>
      </c>
      <c r="C2072" s="293">
        <v>86.33</v>
      </c>
      <c r="D2072" s="230">
        <f t="shared" si="100"/>
        <v>-1.6854572372167254E-2</v>
      </c>
      <c r="E2072" s="293">
        <v>8.4285446712861756E-4</v>
      </c>
      <c r="F2072" s="266">
        <f t="shared" si="102"/>
        <v>2065</v>
      </c>
      <c r="G2072" s="230">
        <f t="shared" ca="1" si="101"/>
        <v>-1.8088453233280982E-2</v>
      </c>
    </row>
    <row r="2073" spans="2:7" x14ac:dyDescent="0.25">
      <c r="B2073" s="348">
        <v>42381</v>
      </c>
      <c r="C2073" s="293">
        <v>87.81</v>
      </c>
      <c r="D2073" s="230">
        <f t="shared" si="100"/>
        <v>6.6490886163017571E-3</v>
      </c>
      <c r="E2073" s="293">
        <v>8.3717036416919299E-4</v>
      </c>
      <c r="F2073" s="266">
        <f t="shared" si="102"/>
        <v>2066</v>
      </c>
      <c r="G2073" s="230">
        <f t="shared" ca="1" si="101"/>
        <v>7.6015775318706829E-3</v>
      </c>
    </row>
    <row r="2074" spans="2:7" x14ac:dyDescent="0.25">
      <c r="B2074" s="348" t="s">
        <v>1809</v>
      </c>
      <c r="C2074" s="293">
        <v>87.23</v>
      </c>
      <c r="D2074" s="230">
        <f t="shared" si="100"/>
        <v>1.1465260261411814E-4</v>
      </c>
      <c r="E2074" s="293">
        <v>8.3391243919384017E-4</v>
      </c>
      <c r="F2074" s="266">
        <f t="shared" si="102"/>
        <v>2067</v>
      </c>
      <c r="G2074" s="230">
        <f t="shared" ca="1" si="101"/>
        <v>-2.1406920712744508E-4</v>
      </c>
    </row>
    <row r="2075" spans="2:7" x14ac:dyDescent="0.25">
      <c r="B2075" s="348" t="s">
        <v>1810</v>
      </c>
      <c r="C2075" s="293">
        <v>87.22</v>
      </c>
      <c r="D2075" s="230">
        <f t="shared" si="100"/>
        <v>9.9583140342751619E-3</v>
      </c>
      <c r="E2075" s="293">
        <v>8.3180835135587827E-4</v>
      </c>
      <c r="F2075" s="266">
        <f t="shared" si="102"/>
        <v>2068</v>
      </c>
      <c r="G2075" s="230">
        <f t="shared" ca="1" si="101"/>
        <v>-1.2928165394003838E-2</v>
      </c>
    </row>
    <row r="2076" spans="2:7" x14ac:dyDescent="0.25">
      <c r="B2076" s="348" t="s">
        <v>1811</v>
      </c>
      <c r="C2076" s="293">
        <v>86.36</v>
      </c>
      <c r="D2076" s="230">
        <f t="shared" si="100"/>
        <v>-8.9511131512508557E-3</v>
      </c>
      <c r="E2076" s="293">
        <v>8.1453123727293075E-4</v>
      </c>
      <c r="F2076" s="266">
        <f t="shared" si="102"/>
        <v>2069</v>
      </c>
      <c r="G2076" s="230">
        <f t="shared" ca="1" si="101"/>
        <v>1.8871539809487366E-2</v>
      </c>
    </row>
    <row r="2077" spans="2:7" x14ac:dyDescent="0.25">
      <c r="B2077" s="348" t="s">
        <v>1812</v>
      </c>
      <c r="C2077" s="293">
        <v>87.14</v>
      </c>
      <c r="D2077" s="230">
        <f t="shared" si="100"/>
        <v>3.0998580217699967E-2</v>
      </c>
      <c r="E2077" s="293">
        <v>8.1218274111671818E-4</v>
      </c>
      <c r="F2077" s="266">
        <f t="shared" si="102"/>
        <v>2070</v>
      </c>
      <c r="G2077" s="230">
        <f t="shared" ca="1" si="101"/>
        <v>1.9342228462364365E-2</v>
      </c>
    </row>
    <row r="2078" spans="2:7" x14ac:dyDescent="0.25">
      <c r="B2078" s="348" t="s">
        <v>1813</v>
      </c>
      <c r="C2078" s="293">
        <v>84.52</v>
      </c>
      <c r="D2078" s="230">
        <f t="shared" si="100"/>
        <v>4.1582511583699855E-3</v>
      </c>
      <c r="E2078" s="293">
        <v>8.088675853803462E-4</v>
      </c>
      <c r="F2078" s="266">
        <f t="shared" si="102"/>
        <v>2071</v>
      </c>
      <c r="G2078" s="230">
        <f t="shared" ca="1" si="101"/>
        <v>1.8279740399732826E-2</v>
      </c>
    </row>
    <row r="2079" spans="2:7" x14ac:dyDescent="0.25">
      <c r="B2079" s="348" t="s">
        <v>1814</v>
      </c>
      <c r="C2079" s="293">
        <v>84.17</v>
      </c>
      <c r="D2079" s="230">
        <f t="shared" si="100"/>
        <v>-3.3155713439905199E-3</v>
      </c>
      <c r="E2079" s="293">
        <v>8.0859420122458836E-4</v>
      </c>
      <c r="F2079" s="266">
        <f t="shared" si="102"/>
        <v>2072</v>
      </c>
      <c r="G2079" s="230">
        <f t="shared" ca="1" si="101"/>
        <v>2.5464866502049904E-2</v>
      </c>
    </row>
    <row r="2080" spans="2:7" x14ac:dyDescent="0.25">
      <c r="B2080" s="348" t="s">
        <v>1815</v>
      </c>
      <c r="C2080" s="293">
        <v>84.45</v>
      </c>
      <c r="D2080" s="230">
        <f t="shared" si="100"/>
        <v>1.943505552873015E-2</v>
      </c>
      <c r="E2080" s="293">
        <v>7.8942174856910796E-4</v>
      </c>
      <c r="F2080" s="266">
        <f t="shared" si="102"/>
        <v>2073</v>
      </c>
      <c r="G2080" s="230">
        <f t="shared" ca="1" si="101"/>
        <v>1.3505396675670436E-2</v>
      </c>
    </row>
    <row r="2081" spans="2:7" x14ac:dyDescent="0.25">
      <c r="B2081" s="348" t="s">
        <v>1816</v>
      </c>
      <c r="C2081" s="293">
        <v>82.84</v>
      </c>
      <c r="D2081" s="230">
        <f t="shared" si="100"/>
        <v>1.0613639136269448E-2</v>
      </c>
      <c r="E2081" s="293">
        <v>7.856693903205425E-4</v>
      </c>
      <c r="F2081" s="266">
        <f t="shared" si="102"/>
        <v>2074</v>
      </c>
      <c r="G2081" s="230">
        <f t="shared" ca="1" si="101"/>
        <v>1.7171416730867112E-2</v>
      </c>
    </row>
    <row r="2082" spans="2:7" x14ac:dyDescent="0.25">
      <c r="B2082" s="348" t="s">
        <v>1817</v>
      </c>
      <c r="C2082" s="293">
        <v>81.97</v>
      </c>
      <c r="D2082" s="230">
        <f t="shared" si="100"/>
        <v>-2.7980535279805707E-3</v>
      </c>
      <c r="E2082" s="293">
        <v>7.847240387131027E-4</v>
      </c>
      <c r="F2082" s="266">
        <f t="shared" si="102"/>
        <v>2075</v>
      </c>
      <c r="G2082" s="230">
        <f t="shared" ca="1" si="101"/>
        <v>3.6310908031143646E-2</v>
      </c>
    </row>
    <row r="2083" spans="2:7" x14ac:dyDescent="0.25">
      <c r="B2083" s="348" t="s">
        <v>1818</v>
      </c>
      <c r="C2083" s="293">
        <v>82.2</v>
      </c>
      <c r="D2083" s="230">
        <f t="shared" si="100"/>
        <v>-1.5450952209845381E-2</v>
      </c>
      <c r="E2083" s="293">
        <v>7.8293208064206254E-4</v>
      </c>
      <c r="F2083" s="266">
        <f t="shared" si="102"/>
        <v>2076</v>
      </c>
      <c r="G2083" s="230">
        <f t="shared" ca="1" si="101"/>
        <v>1.2859124106791174E-2</v>
      </c>
    </row>
    <row r="2084" spans="2:7" x14ac:dyDescent="0.25">
      <c r="B2084" s="348" t="s">
        <v>1819</v>
      </c>
      <c r="C2084" s="293">
        <v>83.49</v>
      </c>
      <c r="D2084" s="230">
        <f t="shared" si="100"/>
        <v>-5.9530896535301414E-3</v>
      </c>
      <c r="E2084" s="293">
        <v>7.8147894891089642E-4</v>
      </c>
      <c r="F2084" s="266">
        <f t="shared" si="102"/>
        <v>2077</v>
      </c>
      <c r="G2084" s="230">
        <f t="shared" ca="1" si="101"/>
        <v>-1.9147336310283397E-2</v>
      </c>
    </row>
    <row r="2085" spans="2:7" x14ac:dyDescent="0.25">
      <c r="B2085" s="348" t="s">
        <v>1820</v>
      </c>
      <c r="C2085" s="293">
        <v>83.99</v>
      </c>
      <c r="D2085" s="230">
        <f t="shared" si="100"/>
        <v>1.2659754039064275E-2</v>
      </c>
      <c r="E2085" s="293">
        <v>7.7444336882859233E-4</v>
      </c>
      <c r="F2085" s="266">
        <f t="shared" si="102"/>
        <v>2078</v>
      </c>
      <c r="G2085" s="230">
        <f t="shared" ca="1" si="101"/>
        <v>3.219259974880679E-2</v>
      </c>
    </row>
    <row r="2086" spans="2:7" x14ac:dyDescent="0.25">
      <c r="B2086" s="348">
        <v>42685</v>
      </c>
      <c r="C2086" s="293">
        <v>82.94</v>
      </c>
      <c r="D2086" s="230">
        <f t="shared" si="100"/>
        <v>-5.8731871029606975E-3</v>
      </c>
      <c r="E2086" s="293">
        <v>7.6793119336504567E-4</v>
      </c>
      <c r="F2086" s="266">
        <f t="shared" si="102"/>
        <v>2079</v>
      </c>
      <c r="G2086" s="230">
        <f t="shared" ca="1" si="101"/>
        <v>1.5738856425883806E-2</v>
      </c>
    </row>
    <row r="2087" spans="2:7" x14ac:dyDescent="0.25">
      <c r="B2087" s="348">
        <v>42654</v>
      </c>
      <c r="C2087" s="293">
        <v>83.43</v>
      </c>
      <c r="D2087" s="230">
        <f t="shared" si="100"/>
        <v>-4.2964554242749253E-3</v>
      </c>
      <c r="E2087" s="293">
        <v>7.6775431861797472E-4</v>
      </c>
      <c r="F2087" s="266">
        <f t="shared" si="102"/>
        <v>2080</v>
      </c>
      <c r="G2087" s="230">
        <f t="shared" ca="1" si="101"/>
        <v>5.6361388124323418E-2</v>
      </c>
    </row>
    <row r="2088" spans="2:7" x14ac:dyDescent="0.25">
      <c r="B2088" s="348">
        <v>42624</v>
      </c>
      <c r="C2088" s="293">
        <v>83.79</v>
      </c>
      <c r="D2088" s="230">
        <f t="shared" si="100"/>
        <v>-1.0743801652892571E-2</v>
      </c>
      <c r="E2088" s="293">
        <v>7.6731248801076291E-4</v>
      </c>
      <c r="F2088" s="266">
        <f t="shared" si="102"/>
        <v>2081</v>
      </c>
      <c r="G2088" s="230">
        <f t="shared" ca="1" si="101"/>
        <v>-2.025391192604932E-2</v>
      </c>
    </row>
    <row r="2089" spans="2:7" x14ac:dyDescent="0.25">
      <c r="B2089" s="348">
        <v>42593</v>
      </c>
      <c r="C2089" s="293">
        <v>84.7</v>
      </c>
      <c r="D2089" s="230">
        <f t="shared" si="100"/>
        <v>3.7923678596825106E-3</v>
      </c>
      <c r="E2089" s="293">
        <v>7.6173065204132584E-4</v>
      </c>
      <c r="F2089" s="266">
        <f t="shared" si="102"/>
        <v>2082</v>
      </c>
      <c r="G2089" s="230">
        <f t="shared" ca="1" si="101"/>
        <v>-2.8236628119097947E-2</v>
      </c>
    </row>
    <row r="2090" spans="2:7" x14ac:dyDescent="0.25">
      <c r="B2090" s="348">
        <v>42562</v>
      </c>
      <c r="C2090" s="293">
        <v>84.38</v>
      </c>
      <c r="D2090" s="230">
        <f t="shared" si="100"/>
        <v>-5.4219707685054797E-3</v>
      </c>
      <c r="E2090" s="293">
        <v>7.6115086010042354E-4</v>
      </c>
      <c r="F2090" s="266">
        <f t="shared" si="102"/>
        <v>2083</v>
      </c>
      <c r="G2090" s="230">
        <f t="shared" ca="1" si="101"/>
        <v>7.8844337878305401E-3</v>
      </c>
    </row>
    <row r="2091" spans="2:7" x14ac:dyDescent="0.25">
      <c r="B2091" s="348">
        <v>42471</v>
      </c>
      <c r="C2091" s="293">
        <v>84.84</v>
      </c>
      <c r="D2091" s="230">
        <f t="shared" si="100"/>
        <v>1.096282173498575E-2</v>
      </c>
      <c r="E2091" s="293">
        <v>7.5953212820900617E-4</v>
      </c>
      <c r="F2091" s="266">
        <f t="shared" si="102"/>
        <v>2084</v>
      </c>
      <c r="G2091" s="230">
        <f t="shared" ca="1" si="101"/>
        <v>1.6008870088318979E-2</v>
      </c>
    </row>
    <row r="2092" spans="2:7" x14ac:dyDescent="0.25">
      <c r="B2092" s="348">
        <v>42440</v>
      </c>
      <c r="C2092" s="293">
        <v>83.92</v>
      </c>
      <c r="D2092" s="230">
        <f t="shared" si="100"/>
        <v>-2.259492196599111E-2</v>
      </c>
      <c r="E2092" s="293">
        <v>7.5272864132469586E-4</v>
      </c>
      <c r="F2092" s="266">
        <f t="shared" si="102"/>
        <v>2085</v>
      </c>
      <c r="G2092" s="230">
        <f t="shared" ca="1" si="101"/>
        <v>2.0172087564496406E-2</v>
      </c>
    </row>
    <row r="2093" spans="2:7" x14ac:dyDescent="0.25">
      <c r="B2093" s="348">
        <v>42411</v>
      </c>
      <c r="C2093" s="293">
        <v>85.86</v>
      </c>
      <c r="D2093" s="230">
        <f t="shared" si="100"/>
        <v>-6.1349693251533388E-3</v>
      </c>
      <c r="E2093" s="293">
        <v>7.473841554559435E-4</v>
      </c>
      <c r="F2093" s="266">
        <f t="shared" si="102"/>
        <v>2086</v>
      </c>
      <c r="G2093" s="230">
        <f t="shared" ca="1" si="101"/>
        <v>-1.7348442121252507E-2</v>
      </c>
    </row>
    <row r="2094" spans="2:7" x14ac:dyDescent="0.25">
      <c r="B2094" s="348">
        <v>42380</v>
      </c>
      <c r="C2094" s="293">
        <v>86.39</v>
      </c>
      <c r="D2094" s="230">
        <f t="shared" si="100"/>
        <v>-7.9237482774460188E-3</v>
      </c>
      <c r="E2094" s="293">
        <v>7.4693755602028844E-4</v>
      </c>
      <c r="F2094" s="266">
        <f t="shared" si="102"/>
        <v>2087</v>
      </c>
      <c r="G2094" s="230">
        <f t="shared" ca="1" si="101"/>
        <v>-1.389370447337889E-2</v>
      </c>
    </row>
    <row r="2095" spans="2:7" x14ac:dyDescent="0.25">
      <c r="B2095" s="348" t="s">
        <v>1821</v>
      </c>
      <c r="C2095" s="293">
        <v>87.08</v>
      </c>
      <c r="D2095" s="230">
        <f t="shared" si="100"/>
        <v>5.078485687904033E-3</v>
      </c>
      <c r="E2095" s="293">
        <v>7.4439378431190306E-4</v>
      </c>
      <c r="F2095" s="266">
        <f t="shared" si="102"/>
        <v>2088</v>
      </c>
      <c r="G2095" s="230">
        <f t="shared" ca="1" si="101"/>
        <v>3.1527636161626564E-2</v>
      </c>
    </row>
    <row r="2096" spans="2:7" x14ac:dyDescent="0.25">
      <c r="B2096" s="348" t="s">
        <v>1822</v>
      </c>
      <c r="C2096" s="293">
        <v>86.64</v>
      </c>
      <c r="D2096" s="230">
        <f t="shared" si="100"/>
        <v>8.0859420122458836E-4</v>
      </c>
      <c r="E2096" s="293">
        <v>7.3986386504887314E-4</v>
      </c>
      <c r="F2096" s="266">
        <f t="shared" si="102"/>
        <v>2089</v>
      </c>
      <c r="G2096" s="230">
        <f t="shared" ca="1" si="101"/>
        <v>1.2771080358629609E-2</v>
      </c>
    </row>
    <row r="2097" spans="2:7" x14ac:dyDescent="0.25">
      <c r="B2097" s="348" t="s">
        <v>1823</v>
      </c>
      <c r="C2097" s="293">
        <v>86.57</v>
      </c>
      <c r="D2097" s="230">
        <f t="shared" si="100"/>
        <v>-2.0922868129382599E-2</v>
      </c>
      <c r="E2097" s="293">
        <v>7.3361591131382298E-4</v>
      </c>
      <c r="F2097" s="266">
        <f t="shared" si="102"/>
        <v>2090</v>
      </c>
      <c r="G2097" s="230">
        <f t="shared" ca="1" si="101"/>
        <v>6.7315779723455841E-3</v>
      </c>
    </row>
    <row r="2098" spans="2:7" x14ac:dyDescent="0.25">
      <c r="B2098" s="348" t="s">
        <v>1824</v>
      </c>
      <c r="C2098" s="293">
        <v>88.42</v>
      </c>
      <c r="D2098" s="230">
        <f t="shared" si="100"/>
        <v>-2.0385552847330013E-2</v>
      </c>
      <c r="E2098" s="293">
        <v>7.1922544951585898E-4</v>
      </c>
      <c r="F2098" s="266">
        <f t="shared" si="102"/>
        <v>2091</v>
      </c>
      <c r="G2098" s="230">
        <f t="shared" ca="1" si="101"/>
        <v>2.0939644011023127E-2</v>
      </c>
    </row>
    <row r="2099" spans="2:7" x14ac:dyDescent="0.25">
      <c r="B2099" s="348" t="s">
        <v>1825</v>
      </c>
      <c r="C2099" s="293">
        <v>90.26</v>
      </c>
      <c r="D2099" s="230">
        <f t="shared" si="100"/>
        <v>-5.2898391007272227E-3</v>
      </c>
      <c r="E2099" s="293">
        <v>7.1290355433362151E-4</v>
      </c>
      <c r="F2099" s="266">
        <f t="shared" si="102"/>
        <v>2092</v>
      </c>
      <c r="G2099" s="230">
        <f t="shared" ca="1" si="101"/>
        <v>1.2722191674772362E-2</v>
      </c>
    </row>
    <row r="2100" spans="2:7" x14ac:dyDescent="0.25">
      <c r="B2100" s="348" t="s">
        <v>1826</v>
      </c>
      <c r="C2100" s="293">
        <v>90.74</v>
      </c>
      <c r="D2100" s="230">
        <f t="shared" si="100"/>
        <v>-3.0555555555555558E-2</v>
      </c>
      <c r="E2100" s="293">
        <v>6.9081219776978564E-4</v>
      </c>
      <c r="F2100" s="266">
        <f t="shared" si="102"/>
        <v>2093</v>
      </c>
      <c r="G2100" s="230">
        <f t="shared" ca="1" si="101"/>
        <v>5.9167086692684823E-3</v>
      </c>
    </row>
    <row r="2101" spans="2:7" x14ac:dyDescent="0.25">
      <c r="B2101" s="348" t="s">
        <v>1827</v>
      </c>
      <c r="C2101" s="293">
        <v>93.6</v>
      </c>
      <c r="D2101" s="230">
        <f t="shared" si="100"/>
        <v>7.6434492410377697E-3</v>
      </c>
      <c r="E2101" s="293">
        <v>6.8761603520584025E-4</v>
      </c>
      <c r="F2101" s="266">
        <f t="shared" si="102"/>
        <v>2094</v>
      </c>
      <c r="G2101" s="230">
        <f t="shared" ca="1" si="101"/>
        <v>-2.4242214346214826E-2</v>
      </c>
    </row>
    <row r="2102" spans="2:7" x14ac:dyDescent="0.25">
      <c r="B2102" s="348" t="s">
        <v>1828</v>
      </c>
      <c r="C2102" s="293">
        <v>92.89</v>
      </c>
      <c r="D2102" s="230">
        <f t="shared" si="100"/>
        <v>8.6197608016380656E-4</v>
      </c>
      <c r="E2102" s="293">
        <v>6.7024128686332674E-4</v>
      </c>
      <c r="F2102" s="266">
        <f t="shared" si="102"/>
        <v>2095</v>
      </c>
      <c r="G2102" s="230">
        <f t="shared" ca="1" si="101"/>
        <v>3.886016515535259E-3</v>
      </c>
    </row>
    <row r="2103" spans="2:7" x14ac:dyDescent="0.25">
      <c r="B2103" s="348" t="s">
        <v>1829</v>
      </c>
      <c r="C2103" s="293">
        <v>92.81</v>
      </c>
      <c r="D2103" s="230">
        <f t="shared" si="100"/>
        <v>2.5298276623950677E-2</v>
      </c>
      <c r="E2103" s="293">
        <v>6.5949675324672441E-4</v>
      </c>
      <c r="F2103" s="266">
        <f t="shared" si="102"/>
        <v>2096</v>
      </c>
      <c r="G2103" s="230">
        <f t="shared" ca="1" si="101"/>
        <v>4.0848331966690512E-3</v>
      </c>
    </row>
    <row r="2104" spans="2:7" x14ac:dyDescent="0.25">
      <c r="B2104" s="348" t="s">
        <v>1830</v>
      </c>
      <c r="C2104" s="293">
        <v>90.52</v>
      </c>
      <c r="D2104" s="230">
        <f t="shared" si="100"/>
        <v>2.2478255958432003E-2</v>
      </c>
      <c r="E2104" s="293">
        <v>6.5897858319585723E-4</v>
      </c>
      <c r="F2104" s="266">
        <f t="shared" si="102"/>
        <v>2097</v>
      </c>
      <c r="G2104" s="230">
        <f t="shared" ca="1" si="101"/>
        <v>-6.4818903454094108E-3</v>
      </c>
    </row>
    <row r="2105" spans="2:7" x14ac:dyDescent="0.25">
      <c r="B2105" s="348" t="s">
        <v>1831</v>
      </c>
      <c r="C2105" s="293">
        <v>88.53</v>
      </c>
      <c r="D2105" s="230">
        <f t="shared" si="100"/>
        <v>-5.9510442398382768E-3</v>
      </c>
      <c r="E2105" s="293">
        <v>6.5530799475754797E-4</v>
      </c>
      <c r="F2105" s="266">
        <f t="shared" si="102"/>
        <v>2098</v>
      </c>
      <c r="G2105" s="230">
        <f t="shared" ca="1" si="101"/>
        <v>-5.6249628064895178E-4</v>
      </c>
    </row>
    <row r="2106" spans="2:7" x14ac:dyDescent="0.25">
      <c r="B2106" s="348" t="s">
        <v>1832</v>
      </c>
      <c r="C2106" s="293">
        <v>89.06</v>
      </c>
      <c r="D2106" s="230">
        <f t="shared" si="100"/>
        <v>-6.8027210884353817E-3</v>
      </c>
      <c r="E2106" s="293">
        <v>6.5139507111067196E-4</v>
      </c>
      <c r="F2106" s="266">
        <f t="shared" si="102"/>
        <v>2099</v>
      </c>
      <c r="G2106" s="230">
        <f t="shared" ca="1" si="101"/>
        <v>4.4615393942951491E-3</v>
      </c>
    </row>
    <row r="2107" spans="2:7" x14ac:dyDescent="0.25">
      <c r="B2107" s="348" t="s">
        <v>1833</v>
      </c>
      <c r="C2107" s="293">
        <v>89.67</v>
      </c>
      <c r="D2107" s="230">
        <f t="shared" si="100"/>
        <v>2.5715563506261141E-3</v>
      </c>
      <c r="E2107" s="293">
        <v>6.5086006508607852E-4</v>
      </c>
      <c r="F2107" s="266">
        <f t="shared" si="102"/>
        <v>2100</v>
      </c>
      <c r="G2107" s="230">
        <f t="shared" ca="1" si="101"/>
        <v>2.6855018510517137E-2</v>
      </c>
    </row>
    <row r="2108" spans="2:7" x14ac:dyDescent="0.25">
      <c r="B2108" s="348">
        <v>42653</v>
      </c>
      <c r="C2108" s="293">
        <v>89.44</v>
      </c>
      <c r="D2108" s="230">
        <f t="shared" si="100"/>
        <v>1.1181930001114004E-4</v>
      </c>
      <c r="E2108" s="293">
        <v>6.5049716569109961E-4</v>
      </c>
      <c r="F2108" s="266">
        <f t="shared" si="102"/>
        <v>2101</v>
      </c>
      <c r="G2108" s="230">
        <f t="shared" ca="1" si="101"/>
        <v>5.712944208836045E-3</v>
      </c>
    </row>
    <row r="2109" spans="2:7" x14ac:dyDescent="0.25">
      <c r="B2109" s="348">
        <v>42561</v>
      </c>
      <c r="C2109" s="293">
        <v>89.43</v>
      </c>
      <c r="D2109" s="230">
        <f t="shared" si="100"/>
        <v>-2.1200624860522321E-3</v>
      </c>
      <c r="E2109" s="293">
        <v>6.3114906255790082E-4</v>
      </c>
      <c r="F2109" s="266">
        <f t="shared" si="102"/>
        <v>2102</v>
      </c>
      <c r="G2109" s="230">
        <f t="shared" ca="1" si="101"/>
        <v>-1.5162614571630385E-2</v>
      </c>
    </row>
    <row r="2110" spans="2:7" x14ac:dyDescent="0.25">
      <c r="B2110" s="348">
        <v>42531</v>
      </c>
      <c r="C2110" s="293">
        <v>89.62</v>
      </c>
      <c r="D2110" s="230">
        <f t="shared" si="100"/>
        <v>-3.3362989323842962E-3</v>
      </c>
      <c r="E2110" s="293">
        <v>6.1096685504824499E-4</v>
      </c>
      <c r="F2110" s="266">
        <f t="shared" si="102"/>
        <v>2103</v>
      </c>
      <c r="G2110" s="230">
        <f t="shared" ca="1" si="101"/>
        <v>-3.6694031955525487E-2</v>
      </c>
    </row>
    <row r="2111" spans="2:7" x14ac:dyDescent="0.25">
      <c r="B2111" s="348">
        <v>42500</v>
      </c>
      <c r="C2111" s="293">
        <v>89.92</v>
      </c>
      <c r="D2111" s="230">
        <f t="shared" si="100"/>
        <v>-4.6491033872039234E-3</v>
      </c>
      <c r="E2111" s="293">
        <v>6.0808756460928315E-4</v>
      </c>
      <c r="F2111" s="266">
        <f t="shared" si="102"/>
        <v>2104</v>
      </c>
      <c r="G2111" s="230">
        <f t="shared" ca="1" si="101"/>
        <v>6.7468882470452041E-3</v>
      </c>
    </row>
    <row r="2112" spans="2:7" x14ac:dyDescent="0.25">
      <c r="B2112" s="348">
        <v>42470</v>
      </c>
      <c r="C2112" s="293">
        <v>90.34</v>
      </c>
      <c r="D2112" s="230">
        <f t="shared" si="100"/>
        <v>6.013363028953389E-3</v>
      </c>
      <c r="E2112" s="293">
        <v>6.0765647154137348E-4</v>
      </c>
      <c r="F2112" s="266">
        <f t="shared" si="102"/>
        <v>2105</v>
      </c>
      <c r="G2112" s="230">
        <f t="shared" ca="1" si="101"/>
        <v>1.8364242369776601E-2</v>
      </c>
    </row>
    <row r="2113" spans="2:7" x14ac:dyDescent="0.25">
      <c r="B2113" s="348">
        <v>42439</v>
      </c>
      <c r="C2113" s="293">
        <v>89.8</v>
      </c>
      <c r="D2113" s="230">
        <f t="shared" si="100"/>
        <v>0</v>
      </c>
      <c r="E2113" s="293">
        <v>6.0684214518680335E-4</v>
      </c>
      <c r="F2113" s="266">
        <f t="shared" si="102"/>
        <v>2106</v>
      </c>
      <c r="G2113" s="230">
        <f t="shared" ca="1" si="101"/>
        <v>-3.099767507329584E-3</v>
      </c>
    </row>
    <row r="2114" spans="2:7" x14ac:dyDescent="0.25">
      <c r="B2114" s="348" t="s">
        <v>1834</v>
      </c>
      <c r="C2114" s="293">
        <v>89.8</v>
      </c>
      <c r="D2114" s="230">
        <f t="shared" si="100"/>
        <v>1.423085611023267E-2</v>
      </c>
      <c r="E2114" s="293">
        <v>6.0652009097794668E-4</v>
      </c>
      <c r="F2114" s="266">
        <f t="shared" si="102"/>
        <v>2107</v>
      </c>
      <c r="G2114" s="230">
        <f t="shared" ca="1" si="101"/>
        <v>1.0542507026655785E-2</v>
      </c>
    </row>
    <row r="2115" spans="2:7" x14ac:dyDescent="0.25">
      <c r="B2115" s="348" t="s">
        <v>1835</v>
      </c>
      <c r="C2115" s="293">
        <v>88.54</v>
      </c>
      <c r="D2115" s="230">
        <f t="shared" si="100"/>
        <v>-2.3707134193405976E-2</v>
      </c>
      <c r="E2115" s="293">
        <v>6.0386473429963061E-4</v>
      </c>
      <c r="F2115" s="266">
        <f t="shared" si="102"/>
        <v>2108</v>
      </c>
      <c r="G2115" s="230">
        <f t="shared" ca="1" si="101"/>
        <v>1.9447929368903473E-2</v>
      </c>
    </row>
    <row r="2116" spans="2:7" x14ac:dyDescent="0.25">
      <c r="B2116" s="348" t="s">
        <v>1836</v>
      </c>
      <c r="C2116" s="293">
        <v>90.69</v>
      </c>
      <c r="D2116" s="230">
        <f t="shared" si="100"/>
        <v>-1.1014428901862106E-3</v>
      </c>
      <c r="E2116" s="293">
        <v>5.8968058968056347E-4</v>
      </c>
      <c r="F2116" s="266">
        <f t="shared" si="102"/>
        <v>2109</v>
      </c>
      <c r="G2116" s="230">
        <f t="shared" ca="1" si="101"/>
        <v>-1.6301283800907451E-2</v>
      </c>
    </row>
    <row r="2117" spans="2:7" x14ac:dyDescent="0.25">
      <c r="B2117" s="348" t="s">
        <v>1837</v>
      </c>
      <c r="C2117" s="293">
        <v>90.79</v>
      </c>
      <c r="D2117" s="230">
        <f t="shared" si="100"/>
        <v>1.0237009013018827E-2</v>
      </c>
      <c r="E2117" s="293">
        <v>5.7670126874298511E-4</v>
      </c>
      <c r="F2117" s="266">
        <f t="shared" si="102"/>
        <v>2110</v>
      </c>
      <c r="G2117" s="230">
        <f t="shared" ca="1" si="101"/>
        <v>2.7671691646572294E-2</v>
      </c>
    </row>
    <row r="2118" spans="2:7" x14ac:dyDescent="0.25">
      <c r="B2118" s="348" t="s">
        <v>1838</v>
      </c>
      <c r="C2118" s="293">
        <v>89.87</v>
      </c>
      <c r="D2118" s="230">
        <f t="shared" si="100"/>
        <v>-1.8880497556641451E-3</v>
      </c>
      <c r="E2118" s="293">
        <v>5.7410774088584304E-4</v>
      </c>
      <c r="F2118" s="266">
        <f t="shared" si="102"/>
        <v>2111</v>
      </c>
      <c r="G2118" s="230">
        <f t="shared" ca="1" si="101"/>
        <v>-2.3098191038122336E-2</v>
      </c>
    </row>
    <row r="2119" spans="2:7" x14ac:dyDescent="0.25">
      <c r="B2119" s="348" t="s">
        <v>1839</v>
      </c>
      <c r="C2119" s="293">
        <v>90.04</v>
      </c>
      <c r="D2119" s="230">
        <f t="shared" si="100"/>
        <v>-3.2104505701316954E-3</v>
      </c>
      <c r="E2119" s="293">
        <v>5.7339449541293774E-4</v>
      </c>
      <c r="F2119" s="266">
        <f t="shared" si="102"/>
        <v>2112</v>
      </c>
      <c r="G2119" s="230">
        <f t="shared" ca="1" si="101"/>
        <v>-3.7429134662085237E-2</v>
      </c>
    </row>
    <row r="2120" spans="2:7" x14ac:dyDescent="0.25">
      <c r="B2120" s="348" t="s">
        <v>1840</v>
      </c>
      <c r="C2120" s="293">
        <v>90.33</v>
      </c>
      <c r="D2120" s="230">
        <f t="shared" si="100"/>
        <v>-4.2989417989418577E-3</v>
      </c>
      <c r="E2120" s="293">
        <v>5.6097834623591858E-4</v>
      </c>
      <c r="F2120" s="266">
        <f t="shared" si="102"/>
        <v>2113</v>
      </c>
      <c r="G2120" s="230">
        <f t="shared" ca="1" si="101"/>
        <v>-1.3333448995998883E-3</v>
      </c>
    </row>
    <row r="2121" spans="2:7" x14ac:dyDescent="0.25">
      <c r="B2121" s="348" t="s">
        <v>1841</v>
      </c>
      <c r="C2121" s="293">
        <v>90.72</v>
      </c>
      <c r="D2121" s="230">
        <f t="shared" ref="D2121:D2184" si="103">C2121/C2122-1</f>
        <v>5.7649667405763605E-3</v>
      </c>
      <c r="E2121" s="293">
        <v>5.4869684499325722E-4</v>
      </c>
      <c r="F2121" s="266">
        <f t="shared" si="102"/>
        <v>2114</v>
      </c>
      <c r="G2121" s="230">
        <f t="shared" ref="G2121:G2184" ca="1" si="104">_xlfn.NORM.INV(RAND(),$M$10,$M$11)</f>
        <v>-2.1734527466811461E-2</v>
      </c>
    </row>
    <row r="2122" spans="2:7" x14ac:dyDescent="0.25">
      <c r="B2122" s="348" t="s">
        <v>1842</v>
      </c>
      <c r="C2122" s="293">
        <v>90.2</v>
      </c>
      <c r="D2122" s="230">
        <f t="shared" si="103"/>
        <v>2.333592621402536E-3</v>
      </c>
      <c r="E2122" s="293">
        <v>5.3840631730084354E-4</v>
      </c>
      <c r="F2122" s="266">
        <f t="shared" ref="F2122:F2185" si="105">F2121+1</f>
        <v>2115</v>
      </c>
      <c r="G2122" s="230">
        <f t="shared" ca="1" si="104"/>
        <v>2.4718465109480489E-2</v>
      </c>
    </row>
    <row r="2123" spans="2:7" x14ac:dyDescent="0.25">
      <c r="B2123" s="348" t="s">
        <v>1843</v>
      </c>
      <c r="C2123" s="293">
        <v>89.99</v>
      </c>
      <c r="D2123" s="230">
        <f t="shared" si="103"/>
        <v>1.1124707976415404E-3</v>
      </c>
      <c r="E2123" s="293">
        <v>5.2938062466911795E-4</v>
      </c>
      <c r="F2123" s="266">
        <f t="shared" si="105"/>
        <v>2116</v>
      </c>
      <c r="G2123" s="230">
        <f t="shared" ca="1" si="104"/>
        <v>4.1914374239279045E-2</v>
      </c>
    </row>
    <row r="2124" spans="2:7" x14ac:dyDescent="0.25">
      <c r="B2124" s="348" t="s">
        <v>1844</v>
      </c>
      <c r="C2124" s="293">
        <v>89.89</v>
      </c>
      <c r="D2124" s="230">
        <f t="shared" si="103"/>
        <v>2.0064652770037661E-3</v>
      </c>
      <c r="E2124" s="293">
        <v>5.2083333333330373E-4</v>
      </c>
      <c r="F2124" s="266">
        <f t="shared" si="105"/>
        <v>2117</v>
      </c>
      <c r="G2124" s="230">
        <f t="shared" ca="1" si="104"/>
        <v>-1.1744821519058625E-2</v>
      </c>
    </row>
    <row r="2125" spans="2:7" x14ac:dyDescent="0.25">
      <c r="B2125" s="348" t="s">
        <v>1845</v>
      </c>
      <c r="C2125" s="293">
        <v>89.71</v>
      </c>
      <c r="D2125" s="230">
        <f t="shared" si="103"/>
        <v>8.9255829521373009E-4</v>
      </c>
      <c r="E2125" s="293">
        <v>5.1934562451316779E-4</v>
      </c>
      <c r="F2125" s="266">
        <f t="shared" si="105"/>
        <v>2118</v>
      </c>
      <c r="G2125" s="230">
        <f t="shared" ca="1" si="104"/>
        <v>3.0612243682705563E-2</v>
      </c>
    </row>
    <row r="2126" spans="2:7" x14ac:dyDescent="0.25">
      <c r="B2126" s="348" t="s">
        <v>1846</v>
      </c>
      <c r="C2126" s="293">
        <v>89.63</v>
      </c>
      <c r="D2126" s="230">
        <f t="shared" si="103"/>
        <v>-4.9955595026642818E-3</v>
      </c>
      <c r="E2126" s="293">
        <v>5.140144528767987E-4</v>
      </c>
      <c r="F2126" s="266">
        <f t="shared" si="105"/>
        <v>2119</v>
      </c>
      <c r="G2126" s="230">
        <f t="shared" ca="1" si="104"/>
        <v>1.7298128769396591E-2</v>
      </c>
    </row>
    <row r="2127" spans="2:7" x14ac:dyDescent="0.25">
      <c r="B2127" s="348">
        <v>42713</v>
      </c>
      <c r="C2127" s="293">
        <v>90.08</v>
      </c>
      <c r="D2127" s="230">
        <f t="shared" si="103"/>
        <v>-4.4385264092328125E-4</v>
      </c>
      <c r="E2127" s="293">
        <v>4.9751243781104293E-4</v>
      </c>
      <c r="F2127" s="266">
        <f t="shared" si="105"/>
        <v>2120</v>
      </c>
      <c r="G2127" s="230">
        <f t="shared" ca="1" si="104"/>
        <v>7.3374253433366983E-3</v>
      </c>
    </row>
    <row r="2128" spans="2:7" x14ac:dyDescent="0.25">
      <c r="B2128" s="348">
        <v>42622</v>
      </c>
      <c r="C2128" s="293">
        <v>90.12</v>
      </c>
      <c r="D2128" s="230">
        <f t="shared" si="103"/>
        <v>1.4065488916394697E-2</v>
      </c>
      <c r="E2128" s="293">
        <v>4.9603174603163325E-4</v>
      </c>
      <c r="F2128" s="266">
        <f t="shared" si="105"/>
        <v>2121</v>
      </c>
      <c r="G2128" s="230">
        <f t="shared" ca="1" si="104"/>
        <v>5.2794829519283777E-2</v>
      </c>
    </row>
    <row r="2129" spans="2:7" x14ac:dyDescent="0.25">
      <c r="B2129" s="348">
        <v>42591</v>
      </c>
      <c r="C2129" s="293">
        <v>88.87</v>
      </c>
      <c r="D2129" s="230">
        <f t="shared" si="103"/>
        <v>-1.6162958042732156E-2</v>
      </c>
      <c r="E2129" s="293">
        <v>4.8666536889241385E-4</v>
      </c>
      <c r="F2129" s="266">
        <f t="shared" si="105"/>
        <v>2122</v>
      </c>
      <c r="G2129" s="230">
        <f t="shared" ca="1" si="104"/>
        <v>1.6124523070319443E-2</v>
      </c>
    </row>
    <row r="2130" spans="2:7" x14ac:dyDescent="0.25">
      <c r="B2130" s="348">
        <v>42560</v>
      </c>
      <c r="C2130" s="293">
        <v>90.33</v>
      </c>
      <c r="D2130" s="230">
        <f t="shared" si="103"/>
        <v>-2.3194168323393827E-3</v>
      </c>
      <c r="E2130" s="293">
        <v>4.8248576667009324E-4</v>
      </c>
      <c r="F2130" s="266">
        <f t="shared" si="105"/>
        <v>2123</v>
      </c>
      <c r="G2130" s="230">
        <f t="shared" ca="1" si="104"/>
        <v>1.111539586685306E-2</v>
      </c>
    </row>
    <row r="2131" spans="2:7" x14ac:dyDescent="0.25">
      <c r="B2131" s="348">
        <v>42530</v>
      </c>
      <c r="C2131" s="293">
        <v>90.54</v>
      </c>
      <c r="D2131" s="230">
        <f t="shared" si="103"/>
        <v>-1.4337708172492691E-3</v>
      </c>
      <c r="E2131" s="293">
        <v>4.798464491362342E-4</v>
      </c>
      <c r="F2131" s="266">
        <f t="shared" si="105"/>
        <v>2124</v>
      </c>
      <c r="G2131" s="230">
        <f t="shared" ca="1" si="104"/>
        <v>3.003458412300979E-3</v>
      </c>
    </row>
    <row r="2132" spans="2:7" x14ac:dyDescent="0.25">
      <c r="B2132" s="348">
        <v>42409</v>
      </c>
      <c r="C2132" s="293">
        <v>90.67</v>
      </c>
      <c r="D2132" s="230">
        <f t="shared" si="103"/>
        <v>-7.7143486885600243E-4</v>
      </c>
      <c r="E2132" s="293">
        <v>4.7290267662902785E-4</v>
      </c>
      <c r="F2132" s="266">
        <f t="shared" si="105"/>
        <v>2125</v>
      </c>
      <c r="G2132" s="230">
        <f t="shared" ca="1" si="104"/>
        <v>-3.3302952194203409E-3</v>
      </c>
    </row>
    <row r="2133" spans="2:7" x14ac:dyDescent="0.25">
      <c r="B2133" s="348">
        <v>42378</v>
      </c>
      <c r="C2133" s="293">
        <v>90.74</v>
      </c>
      <c r="D2133" s="230">
        <f t="shared" si="103"/>
        <v>-1.5621609893686439E-2</v>
      </c>
      <c r="E2133" s="293">
        <v>4.7281323877057524E-4</v>
      </c>
      <c r="F2133" s="266">
        <f t="shared" si="105"/>
        <v>2126</v>
      </c>
      <c r="G2133" s="230">
        <f t="shared" ca="1" si="104"/>
        <v>1.0970368367337249E-2</v>
      </c>
    </row>
    <row r="2134" spans="2:7" x14ac:dyDescent="0.25">
      <c r="B2134" s="348" t="s">
        <v>1847</v>
      </c>
      <c r="C2134" s="293">
        <v>92.18</v>
      </c>
      <c r="D2134" s="230">
        <f t="shared" si="103"/>
        <v>4.4676909665468667E-3</v>
      </c>
      <c r="E2134" s="293">
        <v>4.5824263947746857E-4</v>
      </c>
      <c r="F2134" s="266">
        <f t="shared" si="105"/>
        <v>2127</v>
      </c>
      <c r="G2134" s="230">
        <f t="shared" ca="1" si="104"/>
        <v>9.2151795492401659E-3</v>
      </c>
    </row>
    <row r="2135" spans="2:7" x14ac:dyDescent="0.25">
      <c r="B2135" s="348" t="s">
        <v>1848</v>
      </c>
      <c r="C2135" s="293">
        <v>91.77</v>
      </c>
      <c r="D2135" s="230">
        <f t="shared" si="103"/>
        <v>2.2165292938293613E-2</v>
      </c>
      <c r="E2135" s="293">
        <v>4.5092439500971082E-4</v>
      </c>
      <c r="F2135" s="266">
        <f t="shared" si="105"/>
        <v>2128</v>
      </c>
      <c r="G2135" s="230">
        <f t="shared" ca="1" si="104"/>
        <v>-3.3036416235726722E-2</v>
      </c>
    </row>
    <row r="2136" spans="2:7" x14ac:dyDescent="0.25">
      <c r="B2136" s="348" t="s">
        <v>1849</v>
      </c>
      <c r="C2136" s="293">
        <v>89.78</v>
      </c>
      <c r="D2136" s="230">
        <f t="shared" si="103"/>
        <v>-2.2855898998693891E-2</v>
      </c>
      <c r="E2136" s="293">
        <v>4.4076163610706764E-4</v>
      </c>
      <c r="F2136" s="266">
        <f t="shared" si="105"/>
        <v>2129</v>
      </c>
      <c r="G2136" s="230">
        <f t="shared" ca="1" si="104"/>
        <v>-4.059923033337956E-2</v>
      </c>
    </row>
    <row r="2137" spans="2:7" x14ac:dyDescent="0.25">
      <c r="B2137" s="348" t="s">
        <v>1850</v>
      </c>
      <c r="C2137" s="293">
        <v>91.88</v>
      </c>
      <c r="D2137" s="230">
        <f t="shared" si="103"/>
        <v>-2.7724867724867819E-2</v>
      </c>
      <c r="E2137" s="293">
        <v>4.1425020712493321E-4</v>
      </c>
      <c r="F2137" s="266">
        <f t="shared" si="105"/>
        <v>2130</v>
      </c>
      <c r="G2137" s="230">
        <f t="shared" ca="1" si="104"/>
        <v>2.6627258970167725E-2</v>
      </c>
    </row>
    <row r="2138" spans="2:7" x14ac:dyDescent="0.25">
      <c r="B2138" s="348" t="s">
        <v>1851</v>
      </c>
      <c r="C2138" s="293">
        <v>94.5</v>
      </c>
      <c r="D2138" s="230">
        <f t="shared" si="103"/>
        <v>-3.0072872831776731E-2</v>
      </c>
      <c r="E2138" s="293">
        <v>4.1169205434332667E-4</v>
      </c>
      <c r="F2138" s="266">
        <f t="shared" si="105"/>
        <v>2131</v>
      </c>
      <c r="G2138" s="230">
        <f t="shared" ca="1" si="104"/>
        <v>3.961057048692411E-2</v>
      </c>
    </row>
    <row r="2139" spans="2:7" x14ac:dyDescent="0.25">
      <c r="B2139" s="348" t="s">
        <v>1852</v>
      </c>
      <c r="C2139" s="293">
        <v>97.43</v>
      </c>
      <c r="D2139" s="230">
        <f t="shared" si="103"/>
        <v>1.0264832683226643E-4</v>
      </c>
      <c r="E2139" s="293">
        <v>4.0273862263395799E-4</v>
      </c>
      <c r="F2139" s="266">
        <f t="shared" si="105"/>
        <v>2132</v>
      </c>
      <c r="G2139" s="230">
        <f t="shared" ca="1" si="104"/>
        <v>-1.1353383111122873E-2</v>
      </c>
    </row>
    <row r="2140" spans="2:7" x14ac:dyDescent="0.25">
      <c r="B2140" s="348" t="s">
        <v>1853</v>
      </c>
      <c r="C2140" s="293">
        <v>97.42</v>
      </c>
      <c r="D2140" s="230">
        <f t="shared" si="103"/>
        <v>7.8626112145665505E-3</v>
      </c>
      <c r="E2140" s="293">
        <v>4.009301579666058E-4</v>
      </c>
      <c r="F2140" s="266">
        <f t="shared" si="105"/>
        <v>2133</v>
      </c>
      <c r="G2140" s="230">
        <f t="shared" ca="1" si="104"/>
        <v>6.5896057049887383E-4</v>
      </c>
    </row>
    <row r="2141" spans="2:7" x14ac:dyDescent="0.25">
      <c r="B2141" s="348" t="s">
        <v>1854</v>
      </c>
      <c r="C2141" s="293">
        <v>96.66</v>
      </c>
      <c r="D2141" s="230">
        <f t="shared" si="103"/>
        <v>-8.8187038556193365E-3</v>
      </c>
      <c r="E2141" s="293">
        <v>3.9173440407402893E-4</v>
      </c>
      <c r="F2141" s="266">
        <f t="shared" si="105"/>
        <v>2134</v>
      </c>
      <c r="G2141" s="230">
        <f t="shared" ca="1" si="104"/>
        <v>2.7659596215608977E-2</v>
      </c>
    </row>
    <row r="2142" spans="2:7" x14ac:dyDescent="0.25">
      <c r="B2142" s="348" t="s">
        <v>1855</v>
      </c>
      <c r="C2142" s="293">
        <v>97.52</v>
      </c>
      <c r="D2142" s="230">
        <f t="shared" si="103"/>
        <v>-9.5470241722526161E-3</v>
      </c>
      <c r="E2142" s="293">
        <v>3.8476337052717469E-4</v>
      </c>
      <c r="F2142" s="266">
        <f t="shared" si="105"/>
        <v>2135</v>
      </c>
      <c r="G2142" s="230">
        <f t="shared" ca="1" si="104"/>
        <v>4.6749656930078334E-2</v>
      </c>
    </row>
    <row r="2143" spans="2:7" x14ac:dyDescent="0.25">
      <c r="B2143" s="348" t="s">
        <v>1856</v>
      </c>
      <c r="C2143" s="293">
        <v>98.46</v>
      </c>
      <c r="D2143" s="230">
        <f t="shared" si="103"/>
        <v>-5.0525464834276779E-3</v>
      </c>
      <c r="E2143" s="293">
        <v>3.7778617302608453E-4</v>
      </c>
      <c r="F2143" s="266">
        <f t="shared" si="105"/>
        <v>2136</v>
      </c>
      <c r="G2143" s="230">
        <f t="shared" ca="1" si="104"/>
        <v>1.2481851562208495E-2</v>
      </c>
    </row>
    <row r="2144" spans="2:7" x14ac:dyDescent="0.25">
      <c r="B2144" s="348" t="s">
        <v>1857</v>
      </c>
      <c r="C2144" s="293">
        <v>98.96</v>
      </c>
      <c r="D2144" s="230">
        <f t="shared" si="103"/>
        <v>-1.6204394074957884E-2</v>
      </c>
      <c r="E2144" s="293">
        <v>3.7534015201279303E-4</v>
      </c>
      <c r="F2144" s="266">
        <f t="shared" si="105"/>
        <v>2137</v>
      </c>
      <c r="G2144" s="230">
        <f t="shared" ca="1" si="104"/>
        <v>8.088011957532627E-3</v>
      </c>
    </row>
    <row r="2145" spans="2:7" x14ac:dyDescent="0.25">
      <c r="B2145" s="348" t="s">
        <v>1858</v>
      </c>
      <c r="C2145" s="293">
        <v>100.59</v>
      </c>
      <c r="D2145" s="230">
        <f t="shared" si="103"/>
        <v>-1.3339872486513027E-2</v>
      </c>
      <c r="E2145" s="293">
        <v>3.7302993565235809E-4</v>
      </c>
      <c r="F2145" s="266">
        <f t="shared" si="105"/>
        <v>2138</v>
      </c>
      <c r="G2145" s="230">
        <f t="shared" ca="1" si="104"/>
        <v>2.1564381650664405E-2</v>
      </c>
    </row>
    <row r="2146" spans="2:7" x14ac:dyDescent="0.25">
      <c r="B2146" s="348">
        <v>42712</v>
      </c>
      <c r="C2146" s="293">
        <v>101.95</v>
      </c>
      <c r="D2146" s="230">
        <f t="shared" si="103"/>
        <v>1.3751104999508712E-3</v>
      </c>
      <c r="E2146" s="293">
        <v>3.6965160336399627E-4</v>
      </c>
      <c r="F2146" s="266">
        <f t="shared" si="105"/>
        <v>2139</v>
      </c>
      <c r="G2146" s="230">
        <f t="shared" ca="1" si="104"/>
        <v>1.8025191867478987E-2</v>
      </c>
    </row>
    <row r="2147" spans="2:7" x14ac:dyDescent="0.25">
      <c r="B2147" s="348">
        <v>42682</v>
      </c>
      <c r="C2147" s="293">
        <v>101.81</v>
      </c>
      <c r="D2147" s="230">
        <f t="shared" si="103"/>
        <v>5.8968058968056347E-4</v>
      </c>
      <c r="E2147" s="293">
        <v>3.6951501154747213E-4</v>
      </c>
      <c r="F2147" s="266">
        <f t="shared" si="105"/>
        <v>2140</v>
      </c>
      <c r="G2147" s="230">
        <f t="shared" ca="1" si="104"/>
        <v>7.0856023866183934E-3</v>
      </c>
    </row>
    <row r="2148" spans="2:7" x14ac:dyDescent="0.25">
      <c r="B2148" s="348">
        <v>42651</v>
      </c>
      <c r="C2148" s="293">
        <v>101.75</v>
      </c>
      <c r="D2148" s="230">
        <f t="shared" si="103"/>
        <v>-1.5767072934803616E-2</v>
      </c>
      <c r="E2148" s="293">
        <v>3.6845983787769931E-4</v>
      </c>
      <c r="F2148" s="266">
        <f t="shared" si="105"/>
        <v>2141</v>
      </c>
      <c r="G2148" s="230">
        <f t="shared" ca="1" si="104"/>
        <v>1.1793442307653501E-2</v>
      </c>
    </row>
    <row r="2149" spans="2:7" x14ac:dyDescent="0.25">
      <c r="B2149" s="348">
        <v>42621</v>
      </c>
      <c r="C2149" s="293">
        <v>103.38</v>
      </c>
      <c r="D2149" s="230">
        <f t="shared" si="103"/>
        <v>4.2743345638236452E-3</v>
      </c>
      <c r="E2149" s="293">
        <v>3.6036036036035668E-4</v>
      </c>
      <c r="F2149" s="266">
        <f t="shared" si="105"/>
        <v>2142</v>
      </c>
      <c r="G2149" s="230">
        <f t="shared" ca="1" si="104"/>
        <v>-2.1892406081914992E-2</v>
      </c>
    </row>
    <row r="2150" spans="2:7" x14ac:dyDescent="0.25">
      <c r="B2150" s="348">
        <v>42590</v>
      </c>
      <c r="C2150" s="293">
        <v>102.94</v>
      </c>
      <c r="D2150" s="230">
        <f t="shared" si="103"/>
        <v>3.3138401559453801E-3</v>
      </c>
      <c r="E2150" s="293">
        <v>3.5273368606691946E-4</v>
      </c>
      <c r="F2150" s="266">
        <f t="shared" si="105"/>
        <v>2143</v>
      </c>
      <c r="G2150" s="230">
        <f t="shared" ca="1" si="104"/>
        <v>1.0989848442774791E-2</v>
      </c>
    </row>
    <row r="2151" spans="2:7" x14ac:dyDescent="0.25">
      <c r="B2151" s="348">
        <v>42498</v>
      </c>
      <c r="C2151" s="293">
        <v>102.6</v>
      </c>
      <c r="D2151" s="230">
        <f t="shared" si="103"/>
        <v>-1.8484288354899681E-3</v>
      </c>
      <c r="E2151" s="293">
        <v>3.3639829558174128E-4</v>
      </c>
      <c r="F2151" s="266">
        <f t="shared" si="105"/>
        <v>2144</v>
      </c>
      <c r="G2151" s="230">
        <f t="shared" ca="1" si="104"/>
        <v>1.974046397417039E-2</v>
      </c>
    </row>
    <row r="2152" spans="2:7" x14ac:dyDescent="0.25">
      <c r="B2152" s="348">
        <v>42468</v>
      </c>
      <c r="C2152" s="293">
        <v>102.79</v>
      </c>
      <c r="D2152" s="230">
        <f t="shared" si="103"/>
        <v>4.8666536889241385E-4</v>
      </c>
      <c r="E2152" s="293">
        <v>3.2362459546941835E-4</v>
      </c>
      <c r="F2152" s="266">
        <f t="shared" si="105"/>
        <v>2145</v>
      </c>
      <c r="G2152" s="230">
        <f t="shared" ca="1" si="104"/>
        <v>2.2592473165298589E-2</v>
      </c>
    </row>
    <row r="2153" spans="2:7" x14ac:dyDescent="0.25">
      <c r="B2153" s="348">
        <v>42437</v>
      </c>
      <c r="C2153" s="293">
        <v>102.74</v>
      </c>
      <c r="D2153" s="230">
        <f t="shared" si="103"/>
        <v>-3.0082484230956608E-3</v>
      </c>
      <c r="E2153" s="293">
        <v>3.2194269420049437E-4</v>
      </c>
      <c r="F2153" s="266">
        <f t="shared" si="105"/>
        <v>2146</v>
      </c>
      <c r="G2153" s="230">
        <f t="shared" ca="1" si="104"/>
        <v>3.7298574123928408E-3</v>
      </c>
    </row>
    <row r="2154" spans="2:7" x14ac:dyDescent="0.25">
      <c r="B2154" s="348">
        <v>42408</v>
      </c>
      <c r="C2154" s="293">
        <v>103.05</v>
      </c>
      <c r="D2154" s="230">
        <f t="shared" si="103"/>
        <v>-1.4535717701061435E-2</v>
      </c>
      <c r="E2154" s="293">
        <v>3.1421838177547734E-4</v>
      </c>
      <c r="F2154" s="266">
        <f t="shared" si="105"/>
        <v>2147</v>
      </c>
      <c r="G2154" s="230">
        <f t="shared" ca="1" si="104"/>
        <v>1.7056120856936633E-3</v>
      </c>
    </row>
    <row r="2155" spans="2:7" x14ac:dyDescent="0.25">
      <c r="B2155" s="348">
        <v>42377</v>
      </c>
      <c r="C2155" s="293">
        <v>104.57</v>
      </c>
      <c r="D2155" s="230">
        <f t="shared" si="103"/>
        <v>2.3189823874755211E-2</v>
      </c>
      <c r="E2155" s="293">
        <v>2.9700029700019392E-4</v>
      </c>
      <c r="F2155" s="266">
        <f t="shared" si="105"/>
        <v>2148</v>
      </c>
      <c r="G2155" s="230">
        <f t="shared" ca="1" si="104"/>
        <v>3.3217078436144035E-2</v>
      </c>
    </row>
    <row r="2156" spans="2:7" x14ac:dyDescent="0.25">
      <c r="B2156" s="348" t="s">
        <v>1859</v>
      </c>
      <c r="C2156" s="293">
        <v>102.2</v>
      </c>
      <c r="D2156" s="230">
        <f t="shared" si="103"/>
        <v>-1.5793528505392951E-2</v>
      </c>
      <c r="E2156" s="293">
        <v>2.8548123980431939E-4</v>
      </c>
      <c r="F2156" s="266">
        <f t="shared" si="105"/>
        <v>2149</v>
      </c>
      <c r="G2156" s="230">
        <f t="shared" ca="1" si="104"/>
        <v>-1.8182126275907831E-2</v>
      </c>
    </row>
    <row r="2157" spans="2:7" x14ac:dyDescent="0.25">
      <c r="B2157" s="348" t="s">
        <v>1860</v>
      </c>
      <c r="C2157" s="293">
        <v>103.84</v>
      </c>
      <c r="D2157" s="230">
        <f t="shared" si="103"/>
        <v>8.4490628338351748E-3</v>
      </c>
      <c r="E2157" s="293">
        <v>2.782802281897645E-4</v>
      </c>
      <c r="F2157" s="266">
        <f t="shared" si="105"/>
        <v>2150</v>
      </c>
      <c r="G2157" s="230">
        <f t="shared" ca="1" si="104"/>
        <v>4.4571430439432763E-2</v>
      </c>
    </row>
    <row r="2158" spans="2:7" x14ac:dyDescent="0.25">
      <c r="B2158" s="348" t="s">
        <v>1861</v>
      </c>
      <c r="C2158" s="293">
        <v>102.97</v>
      </c>
      <c r="D2158" s="230">
        <f t="shared" si="103"/>
        <v>5.6646156851254403E-3</v>
      </c>
      <c r="E2158" s="293">
        <v>2.7401013837535793E-4</v>
      </c>
      <c r="F2158" s="266">
        <f t="shared" si="105"/>
        <v>2151</v>
      </c>
      <c r="G2158" s="230">
        <f t="shared" ca="1" si="104"/>
        <v>1.3818958957788748E-4</v>
      </c>
    </row>
    <row r="2159" spans="2:7" x14ac:dyDescent="0.25">
      <c r="B2159" s="348" t="s">
        <v>1862</v>
      </c>
      <c r="C2159" s="293">
        <v>102.39</v>
      </c>
      <c r="D2159" s="230">
        <f t="shared" si="103"/>
        <v>5.9933189231675676E-3</v>
      </c>
      <c r="E2159" s="293">
        <v>2.7012425715833288E-4</v>
      </c>
      <c r="F2159" s="266">
        <f t="shared" si="105"/>
        <v>2152</v>
      </c>
      <c r="G2159" s="230">
        <f t="shared" ca="1" si="104"/>
        <v>2.98287808130746E-2</v>
      </c>
    </row>
    <row r="2160" spans="2:7" x14ac:dyDescent="0.25">
      <c r="B2160" s="348" t="s">
        <v>1863</v>
      </c>
      <c r="C2160" s="293">
        <v>101.78</v>
      </c>
      <c r="D2160" s="230">
        <f t="shared" si="103"/>
        <v>9.4217990677378793E-3</v>
      </c>
      <c r="E2160" s="293">
        <v>2.4612355402409136E-4</v>
      </c>
      <c r="F2160" s="266">
        <f t="shared" si="105"/>
        <v>2153</v>
      </c>
      <c r="G2160" s="230">
        <f t="shared" ca="1" si="104"/>
        <v>-1.7948260654113762E-3</v>
      </c>
    </row>
    <row r="2161" spans="2:7" x14ac:dyDescent="0.25">
      <c r="B2161" s="348" t="s">
        <v>1864</v>
      </c>
      <c r="C2161" s="293">
        <v>100.83</v>
      </c>
      <c r="D2161" s="230">
        <f t="shared" si="103"/>
        <v>-7.7740602243653312E-3</v>
      </c>
      <c r="E2161" s="293">
        <v>2.4161884626994201E-4</v>
      </c>
      <c r="F2161" s="266">
        <f t="shared" si="105"/>
        <v>2154</v>
      </c>
      <c r="G2161" s="230">
        <f t="shared" ca="1" si="104"/>
        <v>-1.6594156404814819E-2</v>
      </c>
    </row>
    <row r="2162" spans="2:7" x14ac:dyDescent="0.25">
      <c r="B2162" s="348" t="s">
        <v>1865</v>
      </c>
      <c r="C2162" s="293">
        <v>101.62</v>
      </c>
      <c r="D2162" s="230">
        <f t="shared" si="103"/>
        <v>5.839849549638787E-3</v>
      </c>
      <c r="E2162" s="293">
        <v>2.2130748461912653E-4</v>
      </c>
      <c r="F2162" s="266">
        <f t="shared" si="105"/>
        <v>2155</v>
      </c>
      <c r="G2162" s="230">
        <f t="shared" ca="1" si="104"/>
        <v>-3.8477583172308011E-2</v>
      </c>
    </row>
    <row r="2163" spans="2:7" x14ac:dyDescent="0.25">
      <c r="B2163" s="348" t="s">
        <v>1866</v>
      </c>
      <c r="C2163" s="293">
        <v>101.03</v>
      </c>
      <c r="D2163" s="230">
        <f t="shared" si="103"/>
        <v>-1.8935715672946274E-2</v>
      </c>
      <c r="E2163" s="293">
        <v>2.2009464069538964E-4</v>
      </c>
      <c r="F2163" s="266">
        <f t="shared" si="105"/>
        <v>2156</v>
      </c>
      <c r="G2163" s="230">
        <f t="shared" ca="1" si="104"/>
        <v>-1.8763312179998479E-2</v>
      </c>
    </row>
    <row r="2164" spans="2:7" x14ac:dyDescent="0.25">
      <c r="B2164" s="348" t="s">
        <v>1867</v>
      </c>
      <c r="C2164" s="293">
        <v>102.98</v>
      </c>
      <c r="D2164" s="230">
        <f t="shared" si="103"/>
        <v>-4.9280123683447252E-3</v>
      </c>
      <c r="E2164" s="293">
        <v>2.164502164503368E-4</v>
      </c>
      <c r="F2164" s="266">
        <f t="shared" si="105"/>
        <v>2157</v>
      </c>
      <c r="G2164" s="230">
        <f t="shared" ca="1" si="104"/>
        <v>7.1522508079178903E-3</v>
      </c>
    </row>
    <row r="2165" spans="2:7" x14ac:dyDescent="0.25">
      <c r="B2165" s="348" t="s">
        <v>1868</v>
      </c>
      <c r="C2165" s="293">
        <v>103.49</v>
      </c>
      <c r="D2165" s="230">
        <f t="shared" si="103"/>
        <v>-4.6167163604886596E-3</v>
      </c>
      <c r="E2165" s="293">
        <v>2.062493554706446E-4</v>
      </c>
      <c r="F2165" s="266">
        <f t="shared" si="105"/>
        <v>2158</v>
      </c>
      <c r="G2165" s="230">
        <f t="shared" ca="1" si="104"/>
        <v>-1.9634335368372169E-2</v>
      </c>
    </row>
    <row r="2166" spans="2:7" x14ac:dyDescent="0.25">
      <c r="B2166" s="348" t="s">
        <v>1869</v>
      </c>
      <c r="C2166" s="293">
        <v>103.97</v>
      </c>
      <c r="D2166" s="230">
        <f t="shared" si="103"/>
        <v>-2.822693709692492E-2</v>
      </c>
      <c r="E2166" s="293">
        <v>2.0364524997473765E-4</v>
      </c>
      <c r="F2166" s="266">
        <f t="shared" si="105"/>
        <v>2159</v>
      </c>
      <c r="G2166" s="230">
        <f t="shared" ca="1" si="104"/>
        <v>1.1012566310259245E-2</v>
      </c>
    </row>
    <row r="2167" spans="2:7" x14ac:dyDescent="0.25">
      <c r="B2167" s="348" t="s">
        <v>1870</v>
      </c>
      <c r="C2167" s="293">
        <v>106.99</v>
      </c>
      <c r="D2167" s="230">
        <f t="shared" si="103"/>
        <v>-5.8539304961904293E-3</v>
      </c>
      <c r="E2167" s="293">
        <v>1.9464720194650731E-4</v>
      </c>
      <c r="F2167" s="266">
        <f t="shared" si="105"/>
        <v>2160</v>
      </c>
      <c r="G2167" s="230">
        <f t="shared" ca="1" si="104"/>
        <v>-1.0893151494213221E-2</v>
      </c>
    </row>
    <row r="2168" spans="2:7" x14ac:dyDescent="0.25">
      <c r="B2168" s="348" t="s">
        <v>1871</v>
      </c>
      <c r="C2168" s="293">
        <v>107.62</v>
      </c>
      <c r="D2168" s="230">
        <f t="shared" si="103"/>
        <v>5.5124731383724423E-3</v>
      </c>
      <c r="E2168" s="293">
        <v>1.8346940647639975E-4</v>
      </c>
      <c r="F2168" s="266">
        <f t="shared" si="105"/>
        <v>2161</v>
      </c>
      <c r="G2168" s="230">
        <f t="shared" ca="1" si="104"/>
        <v>-9.8222972643171994E-4</v>
      </c>
    </row>
    <row r="2169" spans="2:7" x14ac:dyDescent="0.25">
      <c r="B2169" s="348">
        <v>42711</v>
      </c>
      <c r="C2169" s="293">
        <v>107.03</v>
      </c>
      <c r="D2169" s="230">
        <f t="shared" si="103"/>
        <v>3.4689668104257443E-3</v>
      </c>
      <c r="E2169" s="293">
        <v>1.8091361374938941E-4</v>
      </c>
      <c r="F2169" s="266">
        <f t="shared" si="105"/>
        <v>2162</v>
      </c>
      <c r="G2169" s="230">
        <f t="shared" ca="1" si="104"/>
        <v>-5.3351657186482002E-3</v>
      </c>
    </row>
    <row r="2170" spans="2:7" x14ac:dyDescent="0.25">
      <c r="B2170" s="348">
        <v>42681</v>
      </c>
      <c r="C2170" s="293">
        <v>106.66</v>
      </c>
      <c r="D2170" s="230">
        <f t="shared" si="103"/>
        <v>1.2819295413540877E-2</v>
      </c>
      <c r="E2170" s="293">
        <v>1.572574304136154E-4</v>
      </c>
      <c r="F2170" s="266">
        <f t="shared" si="105"/>
        <v>2163</v>
      </c>
      <c r="G2170" s="230">
        <f t="shared" ca="1" si="104"/>
        <v>-2.8021937555125262E-2</v>
      </c>
    </row>
    <row r="2171" spans="2:7" x14ac:dyDescent="0.25">
      <c r="B2171" s="348">
        <v>42589</v>
      </c>
      <c r="C2171" s="293">
        <v>105.31</v>
      </c>
      <c r="D2171" s="230">
        <f t="shared" si="103"/>
        <v>3.717117804041159E-3</v>
      </c>
      <c r="E2171" s="293">
        <v>1.570105197048477E-4</v>
      </c>
      <c r="F2171" s="266">
        <f t="shared" si="105"/>
        <v>2164</v>
      </c>
      <c r="G2171" s="230">
        <f t="shared" ca="1" si="104"/>
        <v>2.5195036371754922E-2</v>
      </c>
    </row>
    <row r="2172" spans="2:7" x14ac:dyDescent="0.25">
      <c r="B2172" s="348">
        <v>42558</v>
      </c>
      <c r="C2172" s="293">
        <v>104.92</v>
      </c>
      <c r="D2172" s="230">
        <f t="shared" si="103"/>
        <v>-9.5345983196450934E-3</v>
      </c>
      <c r="E2172" s="293">
        <v>1.5600624024969534E-4</v>
      </c>
      <c r="F2172" s="266">
        <f t="shared" si="105"/>
        <v>2165</v>
      </c>
      <c r="G2172" s="230">
        <f t="shared" ca="1" si="104"/>
        <v>1.7061482334509E-2</v>
      </c>
    </row>
    <row r="2173" spans="2:7" x14ac:dyDescent="0.25">
      <c r="B2173" s="348">
        <v>42497</v>
      </c>
      <c r="C2173" s="293">
        <v>105.93</v>
      </c>
      <c r="D2173" s="230">
        <f t="shared" si="103"/>
        <v>5.791872388910102E-3</v>
      </c>
      <c r="E2173" s="293">
        <v>1.5189258156644847E-4</v>
      </c>
      <c r="F2173" s="266">
        <f t="shared" si="105"/>
        <v>2166</v>
      </c>
      <c r="G2173" s="230">
        <f t="shared" ca="1" si="104"/>
        <v>-1.8752682198433124E-2</v>
      </c>
    </row>
    <row r="2174" spans="2:7" x14ac:dyDescent="0.25">
      <c r="B2174" s="348">
        <v>42467</v>
      </c>
      <c r="C2174" s="293">
        <v>105.32</v>
      </c>
      <c r="D2174" s="230">
        <f t="shared" si="103"/>
        <v>5.0577345166522569E-3</v>
      </c>
      <c r="E2174" s="293">
        <v>1.5085231558287227E-4</v>
      </c>
      <c r="F2174" s="266">
        <f t="shared" si="105"/>
        <v>2167</v>
      </c>
      <c r="G2174" s="230">
        <f t="shared" ca="1" si="104"/>
        <v>8.8304212166070671E-3</v>
      </c>
    </row>
    <row r="2175" spans="2:7" x14ac:dyDescent="0.25">
      <c r="B2175" s="348">
        <v>42376</v>
      </c>
      <c r="C2175" s="293">
        <v>104.79</v>
      </c>
      <c r="D2175" s="230">
        <f t="shared" si="103"/>
        <v>1.6249283119862401E-3</v>
      </c>
      <c r="E2175" s="293">
        <v>1.5019525383008769E-4</v>
      </c>
      <c r="F2175" s="266">
        <f t="shared" si="105"/>
        <v>2168</v>
      </c>
      <c r="G2175" s="230">
        <f t="shared" ca="1" si="104"/>
        <v>-6.3348780092786381E-3</v>
      </c>
    </row>
    <row r="2176" spans="2:7" x14ac:dyDescent="0.25">
      <c r="B2176" s="348" t="s">
        <v>1872</v>
      </c>
      <c r="C2176" s="293">
        <v>104.62</v>
      </c>
      <c r="D2176" s="230">
        <f t="shared" si="103"/>
        <v>6.1550298134256387E-3</v>
      </c>
      <c r="E2176" s="293">
        <v>1.4961101137034305E-4</v>
      </c>
      <c r="F2176" s="266">
        <f t="shared" si="105"/>
        <v>2169</v>
      </c>
      <c r="G2176" s="230">
        <f t="shared" ca="1" si="104"/>
        <v>-6.2018881021816694E-3</v>
      </c>
    </row>
    <row r="2177" spans="2:7" x14ac:dyDescent="0.25">
      <c r="B2177" s="348" t="s">
        <v>1873</v>
      </c>
      <c r="C2177" s="293">
        <v>103.98</v>
      </c>
      <c r="D2177" s="230">
        <f t="shared" si="103"/>
        <v>2.2418879056047114E-2</v>
      </c>
      <c r="E2177" s="293">
        <v>1.4704440741097891E-4</v>
      </c>
      <c r="F2177" s="266">
        <f t="shared" si="105"/>
        <v>2170</v>
      </c>
      <c r="G2177" s="230">
        <f t="shared" ca="1" si="104"/>
        <v>-1.4458726751046438E-2</v>
      </c>
    </row>
    <row r="2178" spans="2:7" x14ac:dyDescent="0.25">
      <c r="B2178" s="348" t="s">
        <v>1874</v>
      </c>
      <c r="C2178" s="293">
        <v>101.7</v>
      </c>
      <c r="D2178" s="230">
        <f t="shared" si="103"/>
        <v>-1.0218978102189746E-2</v>
      </c>
      <c r="E2178" s="293">
        <v>1.4440433213014359E-4</v>
      </c>
      <c r="F2178" s="266">
        <f t="shared" si="105"/>
        <v>2171</v>
      </c>
      <c r="G2178" s="230">
        <f t="shared" ca="1" si="104"/>
        <v>1.5090357194392605E-2</v>
      </c>
    </row>
    <row r="2179" spans="2:7" x14ac:dyDescent="0.25">
      <c r="B2179" s="348" t="s">
        <v>1875</v>
      </c>
      <c r="C2179" s="293">
        <v>102.75</v>
      </c>
      <c r="D2179" s="230">
        <f t="shared" si="103"/>
        <v>-1.2873474877509894E-2</v>
      </c>
      <c r="E2179" s="293">
        <v>1.410238330279423E-4</v>
      </c>
      <c r="F2179" s="266">
        <f t="shared" si="105"/>
        <v>2172</v>
      </c>
      <c r="G2179" s="230">
        <f t="shared" ca="1" si="104"/>
        <v>2.1413357832648347E-2</v>
      </c>
    </row>
    <row r="2180" spans="2:7" x14ac:dyDescent="0.25">
      <c r="B2180" s="348" t="s">
        <v>1876</v>
      </c>
      <c r="C2180" s="293">
        <v>104.09</v>
      </c>
      <c r="D2180" s="230">
        <f t="shared" si="103"/>
        <v>-1.5138612924590733E-2</v>
      </c>
      <c r="E2180" s="293">
        <v>1.1506155793350459E-4</v>
      </c>
      <c r="F2180" s="266">
        <f t="shared" si="105"/>
        <v>2173</v>
      </c>
      <c r="G2180" s="230">
        <f t="shared" ca="1" si="104"/>
        <v>-4.1613172928133262E-2</v>
      </c>
    </row>
    <row r="2181" spans="2:7" x14ac:dyDescent="0.25">
      <c r="B2181" s="348" t="s">
        <v>1877</v>
      </c>
      <c r="C2181" s="293">
        <v>105.69</v>
      </c>
      <c r="D2181" s="230">
        <f t="shared" si="103"/>
        <v>9.4705938062311645E-4</v>
      </c>
      <c r="E2181" s="293">
        <v>1.1465260261411814E-4</v>
      </c>
      <c r="F2181" s="266">
        <f t="shared" si="105"/>
        <v>2174</v>
      </c>
      <c r="G2181" s="230">
        <f t="shared" ca="1" si="104"/>
        <v>-6.7329249338910603E-3</v>
      </c>
    </row>
    <row r="2182" spans="2:7" x14ac:dyDescent="0.25">
      <c r="B2182" s="348" t="s">
        <v>1878</v>
      </c>
      <c r="C2182" s="293">
        <v>105.59</v>
      </c>
      <c r="D2182" s="230">
        <f t="shared" si="103"/>
        <v>3.8026428367716747E-3</v>
      </c>
      <c r="E2182" s="293">
        <v>1.1411182959308874E-4</v>
      </c>
      <c r="F2182" s="266">
        <f t="shared" si="105"/>
        <v>2175</v>
      </c>
      <c r="G2182" s="230">
        <f t="shared" ca="1" si="104"/>
        <v>-1.0310847190295172E-3</v>
      </c>
    </row>
    <row r="2183" spans="2:7" x14ac:dyDescent="0.25">
      <c r="B2183" s="348" t="s">
        <v>1879</v>
      </c>
      <c r="C2183" s="293">
        <v>105.19</v>
      </c>
      <c r="D2183" s="230">
        <f t="shared" si="103"/>
        <v>7.0847295356628592E-3</v>
      </c>
      <c r="E2183" s="293">
        <v>1.1181930001114004E-4</v>
      </c>
      <c r="F2183" s="266">
        <f t="shared" si="105"/>
        <v>2176</v>
      </c>
      <c r="G2183" s="230">
        <f t="shared" ca="1" si="104"/>
        <v>1.8786305875303276E-3</v>
      </c>
    </row>
    <row r="2184" spans="2:7" x14ac:dyDescent="0.25">
      <c r="B2184" s="348" t="s">
        <v>1880</v>
      </c>
      <c r="C2184" s="293">
        <v>104.45</v>
      </c>
      <c r="D2184" s="230">
        <f t="shared" si="103"/>
        <v>9.0812481885806928E-3</v>
      </c>
      <c r="E2184" s="293">
        <v>1.1075423634943071E-4</v>
      </c>
      <c r="F2184" s="266">
        <f t="shared" si="105"/>
        <v>2177</v>
      </c>
      <c r="G2184" s="230">
        <f t="shared" ca="1" si="104"/>
        <v>8.3816593650657585E-3</v>
      </c>
    </row>
    <row r="2185" spans="2:7" x14ac:dyDescent="0.25">
      <c r="B2185" s="348" t="s">
        <v>1881</v>
      </c>
      <c r="C2185" s="293">
        <v>103.51</v>
      </c>
      <c r="D2185" s="230">
        <f t="shared" ref="D2185:D2248" si="106">C2185/C2186-1</f>
        <v>3.8793521481912396E-3</v>
      </c>
      <c r="E2185" s="293">
        <v>1.0825635103905995E-4</v>
      </c>
      <c r="F2185" s="266">
        <f t="shared" si="105"/>
        <v>2178</v>
      </c>
      <c r="G2185" s="230">
        <f t="shared" ref="G2185:G2248" ca="1" si="107">_xlfn.NORM.INV(RAND(),$M$10,$M$11)</f>
        <v>3.1774762184778024E-2</v>
      </c>
    </row>
    <row r="2186" spans="2:7" x14ac:dyDescent="0.25">
      <c r="B2186" s="348" t="s">
        <v>1882</v>
      </c>
      <c r="C2186" s="293">
        <v>103.11</v>
      </c>
      <c r="D2186" s="230">
        <f t="shared" si="106"/>
        <v>5.2646972799064162E-3</v>
      </c>
      <c r="E2186" s="293">
        <v>1.0264832683226643E-4</v>
      </c>
      <c r="F2186" s="266">
        <f t="shared" ref="F2186:F2249" si="108">F2185+1</f>
        <v>2179</v>
      </c>
      <c r="G2186" s="230">
        <f t="shared" ca="1" si="107"/>
        <v>1.1303677552118729E-2</v>
      </c>
    </row>
    <row r="2187" spans="2:7" x14ac:dyDescent="0.25">
      <c r="B2187" s="348" t="s">
        <v>1883</v>
      </c>
      <c r="C2187" s="293">
        <v>102.57</v>
      </c>
      <c r="D2187" s="230">
        <f t="shared" si="106"/>
        <v>7.2670136502013261E-3</v>
      </c>
      <c r="E2187" s="293">
        <v>0</v>
      </c>
      <c r="F2187" s="266">
        <f t="shared" si="108"/>
        <v>2180</v>
      </c>
      <c r="G2187" s="230">
        <f t="shared" ca="1" si="107"/>
        <v>-1.2637998929673818E-3</v>
      </c>
    </row>
    <row r="2188" spans="2:7" x14ac:dyDescent="0.25">
      <c r="B2188" s="348" t="s">
        <v>1884</v>
      </c>
      <c r="C2188" s="293">
        <v>101.83</v>
      </c>
      <c r="D2188" s="230">
        <f t="shared" si="106"/>
        <v>3.5478466541833953E-3</v>
      </c>
      <c r="E2188" s="293">
        <v>0</v>
      </c>
      <c r="F2188" s="266">
        <f t="shared" si="108"/>
        <v>2181</v>
      </c>
      <c r="G2188" s="230">
        <f t="shared" ca="1" si="107"/>
        <v>-1.0590499090754078E-2</v>
      </c>
    </row>
    <row r="2189" spans="2:7" x14ac:dyDescent="0.25">
      <c r="B2189" s="348" t="s">
        <v>1885</v>
      </c>
      <c r="C2189" s="293">
        <v>101.47</v>
      </c>
      <c r="D2189" s="230">
        <f t="shared" si="106"/>
        <v>-7.6283618581907131E-3</v>
      </c>
      <c r="E2189" s="293">
        <v>0</v>
      </c>
      <c r="F2189" s="266">
        <f t="shared" si="108"/>
        <v>2182</v>
      </c>
      <c r="G2189" s="230">
        <f t="shared" ca="1" si="107"/>
        <v>1.619612748934144E-2</v>
      </c>
    </row>
    <row r="2190" spans="2:7" x14ac:dyDescent="0.25">
      <c r="B2190" s="348">
        <v>42649</v>
      </c>
      <c r="C2190" s="293">
        <v>102.25</v>
      </c>
      <c r="D2190" s="230">
        <f t="shared" si="106"/>
        <v>9.7895252080260065E-4</v>
      </c>
      <c r="E2190" s="293">
        <v>0</v>
      </c>
      <c r="F2190" s="266">
        <f t="shared" si="108"/>
        <v>2183</v>
      </c>
      <c r="G2190" s="230">
        <f t="shared" ca="1" si="107"/>
        <v>9.4523468348588179E-3</v>
      </c>
    </row>
    <row r="2191" spans="2:7" x14ac:dyDescent="0.25">
      <c r="B2191" s="348">
        <v>42619</v>
      </c>
      <c r="C2191" s="293">
        <v>102.15</v>
      </c>
      <c r="D2191" s="230">
        <f t="shared" si="106"/>
        <v>3.9173440407402893E-4</v>
      </c>
      <c r="E2191" s="293">
        <v>0</v>
      </c>
      <c r="F2191" s="266">
        <f t="shared" si="108"/>
        <v>2184</v>
      </c>
      <c r="G2191" s="230">
        <f t="shared" ca="1" si="107"/>
        <v>3.6422218637026112E-2</v>
      </c>
    </row>
    <row r="2192" spans="2:7" x14ac:dyDescent="0.25">
      <c r="B2192" s="348">
        <v>42588</v>
      </c>
      <c r="C2192" s="293">
        <v>102.11</v>
      </c>
      <c r="D2192" s="230">
        <f t="shared" si="106"/>
        <v>8.7927287097411266E-3</v>
      </c>
      <c r="E2192" s="293">
        <v>0</v>
      </c>
      <c r="F2192" s="266">
        <f t="shared" si="108"/>
        <v>2185</v>
      </c>
      <c r="G2192" s="230">
        <f t="shared" ca="1" si="107"/>
        <v>2.9573128430759447E-3</v>
      </c>
    </row>
    <row r="2193" spans="2:7" x14ac:dyDescent="0.25">
      <c r="B2193" s="348">
        <v>42557</v>
      </c>
      <c r="C2193" s="293">
        <v>101.22</v>
      </c>
      <c r="D2193" s="230">
        <f t="shared" si="106"/>
        <v>8.8707266022127751E-3</v>
      </c>
      <c r="E2193" s="293">
        <v>0</v>
      </c>
      <c r="F2193" s="266">
        <f t="shared" si="108"/>
        <v>2186</v>
      </c>
      <c r="G2193" s="230">
        <f t="shared" ca="1" si="107"/>
        <v>1.4807277471117855E-2</v>
      </c>
    </row>
    <row r="2194" spans="2:7" x14ac:dyDescent="0.25">
      <c r="B2194" s="348">
        <v>42527</v>
      </c>
      <c r="C2194" s="293">
        <v>100.33</v>
      </c>
      <c r="D2194" s="230">
        <f t="shared" si="106"/>
        <v>-1.0552268244576002E-2</v>
      </c>
      <c r="E2194" s="293">
        <v>0</v>
      </c>
      <c r="F2194" s="266">
        <f t="shared" si="108"/>
        <v>2187</v>
      </c>
      <c r="G2194" s="230">
        <f t="shared" ca="1" si="107"/>
        <v>-3.8172073612094239E-3</v>
      </c>
    </row>
    <row r="2195" spans="2:7" x14ac:dyDescent="0.25">
      <c r="B2195" s="348">
        <v>42435</v>
      </c>
      <c r="C2195" s="293">
        <v>101.4</v>
      </c>
      <c r="D2195" s="230">
        <f t="shared" si="106"/>
        <v>6.9081219776978564E-4</v>
      </c>
      <c r="E2195" s="293">
        <v>0</v>
      </c>
      <c r="F2195" s="266">
        <f t="shared" si="108"/>
        <v>2188</v>
      </c>
      <c r="G2195" s="230">
        <f t="shared" ca="1" si="107"/>
        <v>2.3427718125402452E-2</v>
      </c>
    </row>
    <row r="2196" spans="2:7" x14ac:dyDescent="0.25">
      <c r="B2196" s="348">
        <v>42406</v>
      </c>
      <c r="C2196" s="293">
        <v>101.33</v>
      </c>
      <c r="D2196" s="230">
        <f t="shared" si="106"/>
        <v>-2.5391939982687295E-2</v>
      </c>
      <c r="E2196" s="293">
        <v>0</v>
      </c>
      <c r="F2196" s="266">
        <f t="shared" si="108"/>
        <v>2189</v>
      </c>
      <c r="G2196" s="230">
        <f t="shared" ca="1" si="107"/>
        <v>1.9693783968748706E-2</v>
      </c>
    </row>
    <row r="2197" spans="2:7" x14ac:dyDescent="0.25">
      <c r="B2197" s="348">
        <v>42375</v>
      </c>
      <c r="C2197" s="293">
        <v>103.97</v>
      </c>
      <c r="D2197" s="230">
        <f t="shared" si="106"/>
        <v>1.6622665493302158E-2</v>
      </c>
      <c r="E2197" s="293">
        <v>0</v>
      </c>
      <c r="F2197" s="266">
        <f t="shared" si="108"/>
        <v>2190</v>
      </c>
      <c r="G2197" s="230">
        <f t="shared" ca="1" si="107"/>
        <v>-4.1306175519991817E-4</v>
      </c>
    </row>
    <row r="2198" spans="2:7" x14ac:dyDescent="0.25">
      <c r="B2198" s="348" t="s">
        <v>1886</v>
      </c>
      <c r="C2198" s="293">
        <v>102.27</v>
      </c>
      <c r="D2198" s="230">
        <f t="shared" si="106"/>
        <v>-8.5312651478430812E-3</v>
      </c>
      <c r="E2198" s="293">
        <v>0</v>
      </c>
      <c r="F2198" s="266">
        <f t="shared" si="108"/>
        <v>2191</v>
      </c>
      <c r="G2198" s="230">
        <f t="shared" ca="1" si="107"/>
        <v>-2.5546535052947114E-2</v>
      </c>
    </row>
    <row r="2199" spans="2:7" x14ac:dyDescent="0.25">
      <c r="B2199" s="348" t="s">
        <v>1887</v>
      </c>
      <c r="C2199" s="293">
        <v>103.15</v>
      </c>
      <c r="D2199" s="230">
        <f t="shared" si="106"/>
        <v>8.7033053002152361E-3</v>
      </c>
      <c r="E2199" s="293">
        <v>0</v>
      </c>
      <c r="F2199" s="266">
        <f t="shared" si="108"/>
        <v>2192</v>
      </c>
      <c r="G2199" s="230">
        <f t="shared" ca="1" si="107"/>
        <v>-3.6176681877522536E-2</v>
      </c>
    </row>
    <row r="2200" spans="2:7" x14ac:dyDescent="0.25">
      <c r="B2200" s="348" t="s">
        <v>1888</v>
      </c>
      <c r="C2200" s="293">
        <v>102.26</v>
      </c>
      <c r="D2200" s="230">
        <f t="shared" si="106"/>
        <v>7.8293208064206254E-4</v>
      </c>
      <c r="E2200" s="293">
        <v>0</v>
      </c>
      <c r="F2200" s="266">
        <f t="shared" si="108"/>
        <v>2193</v>
      </c>
      <c r="G2200" s="230">
        <f t="shared" ca="1" si="107"/>
        <v>3.7646586944254756E-3</v>
      </c>
    </row>
    <row r="2201" spans="2:7" x14ac:dyDescent="0.25">
      <c r="B2201" s="348" t="s">
        <v>1889</v>
      </c>
      <c r="C2201" s="293">
        <v>102.18</v>
      </c>
      <c r="D2201" s="230">
        <f t="shared" si="106"/>
        <v>-2.0509815411661192E-3</v>
      </c>
      <c r="E2201" s="293">
        <v>0</v>
      </c>
      <c r="F2201" s="266">
        <f t="shared" si="108"/>
        <v>2194</v>
      </c>
      <c r="G2201" s="230">
        <f t="shared" ca="1" si="107"/>
        <v>-1.2729171461092037E-2</v>
      </c>
    </row>
    <row r="2202" spans="2:7" x14ac:dyDescent="0.25">
      <c r="B2202" s="348" t="s">
        <v>1890</v>
      </c>
      <c r="C2202" s="293">
        <v>102.39</v>
      </c>
      <c r="D2202" s="230">
        <f t="shared" si="106"/>
        <v>1.5673048308699533E-2</v>
      </c>
      <c r="E2202" s="293">
        <v>0</v>
      </c>
      <c r="F2202" s="266">
        <f t="shared" si="108"/>
        <v>2195</v>
      </c>
      <c r="G2202" s="230">
        <f t="shared" ca="1" si="107"/>
        <v>-2.3341231303495996E-2</v>
      </c>
    </row>
    <row r="2203" spans="2:7" x14ac:dyDescent="0.25">
      <c r="B2203" s="348" t="s">
        <v>1891</v>
      </c>
      <c r="C2203" s="293">
        <v>100.81</v>
      </c>
      <c r="D2203" s="230">
        <f t="shared" si="106"/>
        <v>-4.0505828887571482E-3</v>
      </c>
      <c r="E2203" s="293">
        <v>0</v>
      </c>
      <c r="F2203" s="266">
        <f t="shared" si="108"/>
        <v>2196</v>
      </c>
      <c r="G2203" s="230">
        <f t="shared" ca="1" si="107"/>
        <v>2.0223428992567544E-2</v>
      </c>
    </row>
    <row r="2204" spans="2:7" x14ac:dyDescent="0.25">
      <c r="B2204" s="348" t="s">
        <v>1892</v>
      </c>
      <c r="C2204" s="293">
        <v>101.22</v>
      </c>
      <c r="D2204" s="230">
        <f t="shared" si="106"/>
        <v>-6.5757189125528193E-3</v>
      </c>
      <c r="E2204" s="293">
        <v>0</v>
      </c>
      <c r="F2204" s="266">
        <f t="shared" si="108"/>
        <v>2197</v>
      </c>
      <c r="G2204" s="230">
        <f t="shared" ca="1" si="107"/>
        <v>-7.8057484280955429E-3</v>
      </c>
    </row>
    <row r="2205" spans="2:7" x14ac:dyDescent="0.25">
      <c r="B2205" s="348" t="s">
        <v>1893</v>
      </c>
      <c r="C2205" s="293">
        <v>101.89</v>
      </c>
      <c r="D2205" s="230">
        <f t="shared" si="106"/>
        <v>8.8408644400783665E-4</v>
      </c>
      <c r="E2205" s="293">
        <v>0</v>
      </c>
      <c r="F2205" s="266">
        <f t="shared" si="108"/>
        <v>2198</v>
      </c>
      <c r="G2205" s="230">
        <f t="shared" ca="1" si="107"/>
        <v>1.0966785791567171E-2</v>
      </c>
    </row>
    <row r="2206" spans="2:7" x14ac:dyDescent="0.25">
      <c r="B2206" s="348" t="s">
        <v>1894</v>
      </c>
      <c r="C2206" s="293">
        <v>101.8</v>
      </c>
      <c r="D2206" s="230">
        <f t="shared" si="106"/>
        <v>6.2271424335276215E-3</v>
      </c>
      <c r="E2206" s="293">
        <v>0</v>
      </c>
      <c r="F2206" s="266">
        <f t="shared" si="108"/>
        <v>2199</v>
      </c>
      <c r="G2206" s="230">
        <f t="shared" ca="1" si="107"/>
        <v>-1.227090219290324E-2</v>
      </c>
    </row>
    <row r="2207" spans="2:7" x14ac:dyDescent="0.25">
      <c r="B2207" s="348" t="s">
        <v>1895</v>
      </c>
      <c r="C2207" s="293">
        <v>101.17</v>
      </c>
      <c r="D2207" s="230">
        <f t="shared" si="106"/>
        <v>-1.0860979462875564E-3</v>
      </c>
      <c r="E2207" s="293">
        <v>0</v>
      </c>
      <c r="F2207" s="266">
        <f t="shared" si="108"/>
        <v>2200</v>
      </c>
      <c r="G2207" s="230">
        <f t="shared" ca="1" si="107"/>
        <v>-1.0669725620954662E-2</v>
      </c>
    </row>
    <row r="2208" spans="2:7" x14ac:dyDescent="0.25">
      <c r="B2208" s="348" t="s">
        <v>1896</v>
      </c>
      <c r="C2208" s="293">
        <v>101.28</v>
      </c>
      <c r="D2208" s="230">
        <f t="shared" si="106"/>
        <v>-1.1834319526627946E-3</v>
      </c>
      <c r="E2208" s="293">
        <v>-8.7450808919919965E-5</v>
      </c>
      <c r="F2208" s="266">
        <f t="shared" si="108"/>
        <v>2201</v>
      </c>
      <c r="G2208" s="230">
        <f t="shared" ca="1" si="107"/>
        <v>-5.9007382257454397E-3</v>
      </c>
    </row>
    <row r="2209" spans="2:7" x14ac:dyDescent="0.25">
      <c r="B2209" s="348" t="s">
        <v>1897</v>
      </c>
      <c r="C2209" s="293">
        <v>101.4</v>
      </c>
      <c r="D2209" s="230">
        <f t="shared" si="106"/>
        <v>2.1743427554852257E-3</v>
      </c>
      <c r="E2209" s="293">
        <v>-9.4696969696883571E-5</v>
      </c>
      <c r="F2209" s="266">
        <f t="shared" si="108"/>
        <v>2202</v>
      </c>
      <c r="G2209" s="230">
        <f t="shared" ca="1" si="107"/>
        <v>1.5778435770475743E-2</v>
      </c>
    </row>
    <row r="2210" spans="2:7" x14ac:dyDescent="0.25">
      <c r="B2210" s="348" t="s">
        <v>1898</v>
      </c>
      <c r="C2210" s="293">
        <v>101.18</v>
      </c>
      <c r="D2210" s="230">
        <f t="shared" si="106"/>
        <v>-4.9173878835562235E-3</v>
      </c>
      <c r="E2210" s="293">
        <v>-9.6993210475182501E-5</v>
      </c>
      <c r="F2210" s="266">
        <f t="shared" si="108"/>
        <v>2203</v>
      </c>
      <c r="G2210" s="230">
        <f t="shared" ca="1" si="107"/>
        <v>-3.300537609078779E-2</v>
      </c>
    </row>
    <row r="2211" spans="2:7" x14ac:dyDescent="0.25">
      <c r="B2211" s="348">
        <v>42709</v>
      </c>
      <c r="C2211" s="293">
        <v>101.68</v>
      </c>
      <c r="D2211" s="230">
        <f t="shared" si="106"/>
        <v>8.3300277667592848E-3</v>
      </c>
      <c r="E2211" s="293">
        <v>-1.0288065843622185E-4</v>
      </c>
      <c r="F2211" s="266">
        <f t="shared" si="108"/>
        <v>2204</v>
      </c>
      <c r="G2211" s="230">
        <f t="shared" ca="1" si="107"/>
        <v>-1.2321073826769295E-2</v>
      </c>
    </row>
    <row r="2212" spans="2:7" x14ac:dyDescent="0.25">
      <c r="B2212" s="348">
        <v>42679</v>
      </c>
      <c r="C2212" s="293">
        <v>100.84</v>
      </c>
      <c r="D2212" s="230">
        <f t="shared" si="106"/>
        <v>-1.5841584158415856E-3</v>
      </c>
      <c r="E2212" s="293">
        <v>-1.034447088031909E-4</v>
      </c>
      <c r="F2212" s="266">
        <f t="shared" si="108"/>
        <v>2205</v>
      </c>
      <c r="G2212" s="230">
        <f t="shared" ca="1" si="107"/>
        <v>3.6843424267183423E-3</v>
      </c>
    </row>
    <row r="2213" spans="2:7" x14ac:dyDescent="0.25">
      <c r="B2213" s="348">
        <v>42648</v>
      </c>
      <c r="C2213" s="293">
        <v>101</v>
      </c>
      <c r="D2213" s="230">
        <f t="shared" si="106"/>
        <v>-5.9370670888581056E-4</v>
      </c>
      <c r="E2213" s="293">
        <v>-1.0771219302030399E-4</v>
      </c>
      <c r="F2213" s="266">
        <f t="shared" si="108"/>
        <v>2206</v>
      </c>
      <c r="G2213" s="230">
        <f t="shared" ca="1" si="107"/>
        <v>2.4179244321747895E-2</v>
      </c>
    </row>
    <row r="2214" spans="2:7" x14ac:dyDescent="0.25">
      <c r="B2214" s="348">
        <v>42618</v>
      </c>
      <c r="C2214" s="293">
        <v>101.06</v>
      </c>
      <c r="D2214" s="230">
        <f t="shared" si="106"/>
        <v>1.1004401760704274E-2</v>
      </c>
      <c r="E2214" s="293">
        <v>-1.1683607898127502E-4</v>
      </c>
      <c r="F2214" s="266">
        <f t="shared" si="108"/>
        <v>2207</v>
      </c>
      <c r="G2214" s="230">
        <f t="shared" ca="1" si="107"/>
        <v>-1.2967681202466804E-2</v>
      </c>
    </row>
    <row r="2215" spans="2:7" x14ac:dyDescent="0.25">
      <c r="B2215" s="348">
        <v>42526</v>
      </c>
      <c r="C2215" s="293">
        <v>99.96</v>
      </c>
      <c r="D2215" s="230">
        <f t="shared" si="106"/>
        <v>-1.8363939899833093E-2</v>
      </c>
      <c r="E2215" s="293">
        <v>-1.3750429700920552E-4</v>
      </c>
      <c r="F2215" s="266">
        <f t="shared" si="108"/>
        <v>2208</v>
      </c>
      <c r="G2215" s="230">
        <f t="shared" ca="1" si="107"/>
        <v>-6.0258992953778857E-3</v>
      </c>
    </row>
    <row r="2216" spans="2:7" x14ac:dyDescent="0.25">
      <c r="B2216" s="348">
        <v>42495</v>
      </c>
      <c r="C2216" s="293">
        <v>101.83</v>
      </c>
      <c r="D2216" s="230">
        <f t="shared" si="106"/>
        <v>5.7283950617283974E-3</v>
      </c>
      <c r="E2216" s="293">
        <v>-1.5039855617371423E-4</v>
      </c>
      <c r="F2216" s="266">
        <f t="shared" si="108"/>
        <v>2209</v>
      </c>
      <c r="G2216" s="230">
        <f t="shared" ca="1" si="107"/>
        <v>9.4215944746586233E-3</v>
      </c>
    </row>
    <row r="2217" spans="2:7" x14ac:dyDescent="0.25">
      <c r="B2217" s="348">
        <v>42465</v>
      </c>
      <c r="C2217" s="293">
        <v>101.25</v>
      </c>
      <c r="D2217" s="230">
        <f t="shared" si="106"/>
        <v>-7.0609002647837871E-3</v>
      </c>
      <c r="E2217" s="293">
        <v>-1.5166835187063743E-4</v>
      </c>
      <c r="F2217" s="266">
        <f t="shared" si="108"/>
        <v>2210</v>
      </c>
      <c r="G2217" s="230">
        <f t="shared" ca="1" si="107"/>
        <v>1.4420126103246259E-2</v>
      </c>
    </row>
    <row r="2218" spans="2:7" x14ac:dyDescent="0.25">
      <c r="B2218" s="348">
        <v>42434</v>
      </c>
      <c r="C2218" s="293">
        <v>101.97</v>
      </c>
      <c r="D2218" s="230">
        <f t="shared" si="106"/>
        <v>-8.4597432905484382E-3</v>
      </c>
      <c r="E2218" s="293">
        <v>-1.5429717636172846E-4</v>
      </c>
      <c r="F2218" s="266">
        <f t="shared" si="108"/>
        <v>2211</v>
      </c>
      <c r="G2218" s="230">
        <f t="shared" ca="1" si="107"/>
        <v>-2.1273276474044561E-2</v>
      </c>
    </row>
    <row r="2219" spans="2:7" x14ac:dyDescent="0.25">
      <c r="B2219" s="348">
        <v>42405</v>
      </c>
      <c r="C2219" s="293">
        <v>102.84</v>
      </c>
      <c r="D2219" s="230">
        <f t="shared" si="106"/>
        <v>-1.058302867038674E-2</v>
      </c>
      <c r="E2219" s="293">
        <v>-1.5596568754872031E-4</v>
      </c>
      <c r="F2219" s="266">
        <f t="shared" si="108"/>
        <v>2212</v>
      </c>
      <c r="G2219" s="230">
        <f t="shared" ca="1" si="107"/>
        <v>-2.104275472034365E-2</v>
      </c>
    </row>
    <row r="2220" spans="2:7" x14ac:dyDescent="0.25">
      <c r="B2220" s="348" t="s">
        <v>1899</v>
      </c>
      <c r="C2220" s="293">
        <v>103.94</v>
      </c>
      <c r="D2220" s="230">
        <f t="shared" si="106"/>
        <v>2.2177224954198493E-3</v>
      </c>
      <c r="E2220" s="293">
        <v>-1.5855398763275907E-4</v>
      </c>
      <c r="F2220" s="266">
        <f t="shared" si="108"/>
        <v>2213</v>
      </c>
      <c r="G2220" s="230">
        <f t="shared" ca="1" si="107"/>
        <v>-3.038837475320473E-2</v>
      </c>
    </row>
    <row r="2221" spans="2:7" x14ac:dyDescent="0.25">
      <c r="B2221" s="348" t="s">
        <v>1900</v>
      </c>
      <c r="C2221" s="293">
        <v>103.71</v>
      </c>
      <c r="D2221" s="230">
        <f t="shared" si="106"/>
        <v>-1.2285714285714344E-2</v>
      </c>
      <c r="E2221" s="293">
        <v>-1.6382699868933148E-4</v>
      </c>
      <c r="F2221" s="266">
        <f t="shared" si="108"/>
        <v>2214</v>
      </c>
      <c r="G2221" s="230">
        <f t="shared" ca="1" si="107"/>
        <v>1.5568906488737905E-2</v>
      </c>
    </row>
    <row r="2222" spans="2:7" x14ac:dyDescent="0.25">
      <c r="B2222" s="348" t="s">
        <v>1901</v>
      </c>
      <c r="C2222" s="293">
        <v>105</v>
      </c>
      <c r="D2222" s="230">
        <f t="shared" si="106"/>
        <v>1.0003847633705432E-2</v>
      </c>
      <c r="E2222" s="293">
        <v>-1.706775900325308E-4</v>
      </c>
      <c r="F2222" s="266">
        <f t="shared" si="108"/>
        <v>2215</v>
      </c>
      <c r="G2222" s="230">
        <f t="shared" ca="1" si="107"/>
        <v>2.2159967799783055E-2</v>
      </c>
    </row>
    <row r="2223" spans="2:7" x14ac:dyDescent="0.25">
      <c r="B2223" s="348" t="s">
        <v>1902</v>
      </c>
      <c r="C2223" s="293">
        <v>103.96</v>
      </c>
      <c r="D2223" s="230">
        <f t="shared" si="106"/>
        <v>3.6686619038424073E-3</v>
      </c>
      <c r="E2223" s="293">
        <v>-1.7938828594488143E-4</v>
      </c>
      <c r="F2223" s="266">
        <f t="shared" si="108"/>
        <v>2216</v>
      </c>
      <c r="G2223" s="230">
        <f t="shared" ca="1" si="107"/>
        <v>-1.6454007586843906E-2</v>
      </c>
    </row>
    <row r="2224" spans="2:7" x14ac:dyDescent="0.25">
      <c r="B2224" s="348" t="s">
        <v>1903</v>
      </c>
      <c r="C2224" s="293">
        <v>103.58</v>
      </c>
      <c r="D2224" s="230">
        <f t="shared" si="106"/>
        <v>-9.9407379086217107E-3</v>
      </c>
      <c r="E2224" s="293">
        <v>-1.794204718758019E-4</v>
      </c>
      <c r="F2224" s="266">
        <f t="shared" si="108"/>
        <v>2217</v>
      </c>
      <c r="G2224" s="230">
        <f t="shared" ca="1" si="107"/>
        <v>2.241152214748969E-2</v>
      </c>
    </row>
    <row r="2225" spans="2:7" x14ac:dyDescent="0.25">
      <c r="B2225" s="348" t="s">
        <v>1904</v>
      </c>
      <c r="C2225" s="293">
        <v>104.62</v>
      </c>
      <c r="D2225" s="230">
        <f t="shared" si="106"/>
        <v>-1.5270089711776347E-3</v>
      </c>
      <c r="E2225" s="293">
        <v>-1.8206645425578039E-4</v>
      </c>
      <c r="F2225" s="266">
        <f t="shared" si="108"/>
        <v>2218</v>
      </c>
      <c r="G2225" s="230">
        <f t="shared" ca="1" si="107"/>
        <v>1.0257043503768562E-2</v>
      </c>
    </row>
    <row r="2226" spans="2:7" x14ac:dyDescent="0.25">
      <c r="B2226" s="348" t="s">
        <v>1905</v>
      </c>
      <c r="C2226" s="293">
        <v>104.78</v>
      </c>
      <c r="D2226" s="230">
        <f t="shared" si="106"/>
        <v>-7.0522487359176766E-2</v>
      </c>
      <c r="E2226" s="293">
        <v>-1.8264840182657949E-4</v>
      </c>
      <c r="F2226" s="266">
        <f t="shared" si="108"/>
        <v>2219</v>
      </c>
      <c r="G2226" s="230">
        <f t="shared" ca="1" si="107"/>
        <v>-1.4105804404335853E-2</v>
      </c>
    </row>
    <row r="2227" spans="2:7" x14ac:dyDescent="0.25">
      <c r="B2227" s="348" t="s">
        <v>1906</v>
      </c>
      <c r="C2227" s="293">
        <v>112.73</v>
      </c>
      <c r="D2227" s="230">
        <f t="shared" si="106"/>
        <v>2.1475172163827549E-2</v>
      </c>
      <c r="E2227" s="293">
        <v>-1.8434878790662967E-4</v>
      </c>
      <c r="F2227" s="266">
        <f t="shared" si="108"/>
        <v>2220</v>
      </c>
      <c r="G2227" s="230">
        <f t="shared" ca="1" si="107"/>
        <v>6.9330822578438072E-3</v>
      </c>
    </row>
    <row r="2228" spans="2:7" x14ac:dyDescent="0.25">
      <c r="B2228" s="348" t="s">
        <v>1907</v>
      </c>
      <c r="C2228" s="293">
        <v>110.36</v>
      </c>
      <c r="D2228" s="230">
        <f t="shared" si="106"/>
        <v>6.2916020789640648E-3</v>
      </c>
      <c r="E2228" s="293">
        <v>-1.84535892231108E-4</v>
      </c>
      <c r="F2228" s="266">
        <f t="shared" si="108"/>
        <v>2221</v>
      </c>
      <c r="G2228" s="230">
        <f t="shared" ca="1" si="107"/>
        <v>-1.6635014557708848E-2</v>
      </c>
    </row>
    <row r="2229" spans="2:7" x14ac:dyDescent="0.25">
      <c r="B2229" s="348" t="s">
        <v>1908</v>
      </c>
      <c r="C2229" s="293">
        <v>109.67</v>
      </c>
      <c r="D2229" s="230">
        <f t="shared" si="106"/>
        <v>2.6968817304991122E-2</v>
      </c>
      <c r="E2229" s="293">
        <v>-1.9257927846960676E-4</v>
      </c>
      <c r="F2229" s="266">
        <f t="shared" si="108"/>
        <v>2222</v>
      </c>
      <c r="G2229" s="230">
        <f t="shared" ca="1" si="107"/>
        <v>-2.0222058507535202E-3</v>
      </c>
    </row>
    <row r="2230" spans="2:7" x14ac:dyDescent="0.25">
      <c r="B2230" s="348">
        <v>42708</v>
      </c>
      <c r="C2230" s="293">
        <v>106.79</v>
      </c>
      <c r="D2230" s="230">
        <f t="shared" si="106"/>
        <v>6.6930618401206399E-3</v>
      </c>
      <c r="E2230" s="293">
        <v>-1.9976028765489318E-4</v>
      </c>
      <c r="F2230" s="266">
        <f t="shared" si="108"/>
        <v>2223</v>
      </c>
      <c r="G2230" s="230">
        <f t="shared" ca="1" si="107"/>
        <v>4.6282101434077363E-2</v>
      </c>
    </row>
    <row r="2231" spans="2:7" x14ac:dyDescent="0.25">
      <c r="B2231" s="348">
        <v>42678</v>
      </c>
      <c r="C2231" s="293">
        <v>106.08</v>
      </c>
      <c r="D2231" s="230">
        <f t="shared" si="106"/>
        <v>2.9503105590062084E-2</v>
      </c>
      <c r="E2231" s="293">
        <v>-2.0072260136483333E-4</v>
      </c>
      <c r="F2231" s="266">
        <f t="shared" si="108"/>
        <v>2224</v>
      </c>
      <c r="G2231" s="230">
        <f t="shared" ca="1" si="107"/>
        <v>-1.0443789839796686E-2</v>
      </c>
    </row>
    <row r="2232" spans="2:7" x14ac:dyDescent="0.25">
      <c r="B2232" s="348">
        <v>42586</v>
      </c>
      <c r="C2232" s="293">
        <v>103.04</v>
      </c>
      <c r="D2232" s="230">
        <f t="shared" si="106"/>
        <v>-4.0595399188090298E-3</v>
      </c>
      <c r="E2232" s="293">
        <v>-2.056343820687756E-4</v>
      </c>
      <c r="F2232" s="266">
        <f t="shared" si="108"/>
        <v>2225</v>
      </c>
      <c r="G2232" s="230">
        <f t="shared" ca="1" si="107"/>
        <v>2.5514870679452205E-2</v>
      </c>
    </row>
    <row r="2233" spans="2:7" x14ac:dyDescent="0.25">
      <c r="B2233" s="348">
        <v>42555</v>
      </c>
      <c r="C2233" s="293">
        <v>103.46</v>
      </c>
      <c r="D2233" s="230">
        <f t="shared" si="106"/>
        <v>-1.1465698452130746E-2</v>
      </c>
      <c r="E2233" s="293">
        <v>-2.0691082143586836E-4</v>
      </c>
      <c r="F2233" s="266">
        <f t="shared" si="108"/>
        <v>2226</v>
      </c>
      <c r="G2233" s="230">
        <f t="shared" ca="1" si="107"/>
        <v>4.3469303926324233E-2</v>
      </c>
    </row>
    <row r="2234" spans="2:7" x14ac:dyDescent="0.25">
      <c r="B2234" s="348">
        <v>42525</v>
      </c>
      <c r="C2234" s="293">
        <v>104.66</v>
      </c>
      <c r="D2234" s="230">
        <f t="shared" si="106"/>
        <v>-1.431161148745419E-3</v>
      </c>
      <c r="E2234" s="293">
        <v>-2.2668883179688404E-4</v>
      </c>
      <c r="F2234" s="266">
        <f t="shared" si="108"/>
        <v>2227</v>
      </c>
      <c r="G2234" s="230">
        <f t="shared" ca="1" si="107"/>
        <v>4.929778302711873E-3</v>
      </c>
    </row>
    <row r="2235" spans="2:7" x14ac:dyDescent="0.25">
      <c r="B2235" s="348">
        <v>42494</v>
      </c>
      <c r="C2235" s="293">
        <v>104.81</v>
      </c>
      <c r="D2235" s="230">
        <f t="shared" si="106"/>
        <v>-1.2809644909108076E-2</v>
      </c>
      <c r="E2235" s="293">
        <v>-2.4801587301581662E-4</v>
      </c>
      <c r="F2235" s="266">
        <f t="shared" si="108"/>
        <v>2228</v>
      </c>
      <c r="G2235" s="230">
        <f t="shared" ca="1" si="107"/>
        <v>5.2322109028425188E-3</v>
      </c>
    </row>
    <row r="2236" spans="2:7" x14ac:dyDescent="0.25">
      <c r="B2236" s="348">
        <v>42464</v>
      </c>
      <c r="C2236" s="293">
        <v>106.17</v>
      </c>
      <c r="D2236" s="230">
        <f t="shared" si="106"/>
        <v>7.3055028462998273E-3</v>
      </c>
      <c r="E2236" s="293">
        <v>-2.6066103638822113E-4</v>
      </c>
      <c r="F2236" s="266">
        <f t="shared" si="108"/>
        <v>2229</v>
      </c>
      <c r="G2236" s="230">
        <f t="shared" ca="1" si="107"/>
        <v>-1.539580058807752E-2</v>
      </c>
    </row>
    <row r="2237" spans="2:7" x14ac:dyDescent="0.25">
      <c r="B2237" s="348">
        <v>42373</v>
      </c>
      <c r="C2237" s="293">
        <v>105.4</v>
      </c>
      <c r="D2237" s="230">
        <f t="shared" si="106"/>
        <v>-3.780718336483857E-3</v>
      </c>
      <c r="E2237" s="293">
        <v>-2.6792890952931359E-4</v>
      </c>
      <c r="F2237" s="266">
        <f t="shared" si="108"/>
        <v>2230</v>
      </c>
      <c r="G2237" s="230">
        <f t="shared" ca="1" si="107"/>
        <v>-3.0556630768956275E-2</v>
      </c>
    </row>
    <row r="2238" spans="2:7" x14ac:dyDescent="0.25">
      <c r="B2238" s="348" t="s">
        <v>1909</v>
      </c>
      <c r="C2238" s="293">
        <v>105.8</v>
      </c>
      <c r="D2238" s="230">
        <f t="shared" si="106"/>
        <v>4.0808579292017644E-3</v>
      </c>
      <c r="E2238" s="293">
        <v>-2.7274498344043163E-4</v>
      </c>
      <c r="F2238" s="266">
        <f t="shared" si="108"/>
        <v>2231</v>
      </c>
      <c r="G2238" s="230">
        <f t="shared" ca="1" si="107"/>
        <v>3.1365827700282393E-2</v>
      </c>
    </row>
    <row r="2239" spans="2:7" x14ac:dyDescent="0.25">
      <c r="B2239" s="348" t="s">
        <v>1910</v>
      </c>
      <c r="C2239" s="293">
        <v>105.37</v>
      </c>
      <c r="D2239" s="230">
        <f t="shared" si="106"/>
        <v>1.5908214423447697E-2</v>
      </c>
      <c r="E2239" s="293">
        <v>-2.7364772416305083E-4</v>
      </c>
      <c r="F2239" s="266">
        <f t="shared" si="108"/>
        <v>2232</v>
      </c>
      <c r="G2239" s="230">
        <f t="shared" ca="1" si="107"/>
        <v>4.3855713244510681E-4</v>
      </c>
    </row>
    <row r="2240" spans="2:7" x14ac:dyDescent="0.25">
      <c r="B2240" s="348" t="s">
        <v>1911</v>
      </c>
      <c r="C2240" s="293">
        <v>103.72</v>
      </c>
      <c r="D2240" s="230">
        <f t="shared" si="106"/>
        <v>-5.3701572688914512E-3</v>
      </c>
      <c r="E2240" s="293">
        <v>-2.8304557033687061E-4</v>
      </c>
      <c r="F2240" s="266">
        <f t="shared" si="108"/>
        <v>2233</v>
      </c>
      <c r="G2240" s="230">
        <f t="shared" ca="1" si="107"/>
        <v>5.3542367083494406E-2</v>
      </c>
    </row>
    <row r="2241" spans="2:7" x14ac:dyDescent="0.25">
      <c r="B2241" s="348" t="s">
        <v>1912</v>
      </c>
      <c r="C2241" s="293">
        <v>104.28</v>
      </c>
      <c r="D2241" s="230">
        <f t="shared" si="106"/>
        <v>7.6775431861797472E-4</v>
      </c>
      <c r="E2241" s="293">
        <v>-3.5925992455543287E-4</v>
      </c>
      <c r="F2241" s="266">
        <f t="shared" si="108"/>
        <v>2234</v>
      </c>
      <c r="G2241" s="230">
        <f t="shared" ca="1" si="107"/>
        <v>1.8331951013309423E-4</v>
      </c>
    </row>
    <row r="2242" spans="2:7" x14ac:dyDescent="0.25">
      <c r="B2242" s="348" t="s">
        <v>1913</v>
      </c>
      <c r="C2242" s="293">
        <v>104.2</v>
      </c>
      <c r="D2242" s="230">
        <f t="shared" si="106"/>
        <v>5.2093382211075845E-3</v>
      </c>
      <c r="E2242" s="293">
        <v>-3.695491500370629E-4</v>
      </c>
      <c r="F2242" s="266">
        <f t="shared" si="108"/>
        <v>2235</v>
      </c>
      <c r="G2242" s="230">
        <f t="shared" ca="1" si="107"/>
        <v>-3.1881565097478637E-2</v>
      </c>
    </row>
    <row r="2243" spans="2:7" x14ac:dyDescent="0.25">
      <c r="B2243" s="348" t="s">
        <v>1914</v>
      </c>
      <c r="C2243" s="293">
        <v>103.66</v>
      </c>
      <c r="D2243" s="230">
        <f t="shared" si="106"/>
        <v>-6.4219304131122312E-3</v>
      </c>
      <c r="E2243" s="293">
        <v>-3.7379185133779025E-4</v>
      </c>
      <c r="F2243" s="266">
        <f t="shared" si="108"/>
        <v>2236</v>
      </c>
      <c r="G2243" s="230">
        <f t="shared" ca="1" si="107"/>
        <v>-4.5186803709424466E-3</v>
      </c>
    </row>
    <row r="2244" spans="2:7" x14ac:dyDescent="0.25">
      <c r="B2244" s="348" t="s">
        <v>1915</v>
      </c>
      <c r="C2244" s="293">
        <v>104.33</v>
      </c>
      <c r="D2244" s="230">
        <f t="shared" si="106"/>
        <v>9.3846749226005333E-3</v>
      </c>
      <c r="E2244" s="293">
        <v>-3.8109756097548519E-4</v>
      </c>
      <c r="F2244" s="266">
        <f t="shared" si="108"/>
        <v>2237</v>
      </c>
      <c r="G2244" s="230">
        <f t="shared" ca="1" si="107"/>
        <v>-1.9854797973774839E-2</v>
      </c>
    </row>
    <row r="2245" spans="2:7" x14ac:dyDescent="0.25">
      <c r="B2245" s="348" t="s">
        <v>1916</v>
      </c>
      <c r="C2245" s="293">
        <v>103.36</v>
      </c>
      <c r="D2245" s="230">
        <f t="shared" si="106"/>
        <v>2.2354104846686429E-2</v>
      </c>
      <c r="E2245" s="293">
        <v>-3.8955979742893998E-4</v>
      </c>
      <c r="F2245" s="266">
        <f t="shared" si="108"/>
        <v>2238</v>
      </c>
      <c r="G2245" s="230">
        <f t="shared" ca="1" si="107"/>
        <v>-1.1388072495149901E-2</v>
      </c>
    </row>
    <row r="2246" spans="2:7" x14ac:dyDescent="0.25">
      <c r="B2246" s="348" t="s">
        <v>1917</v>
      </c>
      <c r="C2246" s="293">
        <v>101.1</v>
      </c>
      <c r="D2246" s="230">
        <f t="shared" si="106"/>
        <v>1.3866877971473457E-3</v>
      </c>
      <c r="E2246" s="293">
        <v>-4.0950040950038513E-4</v>
      </c>
      <c r="F2246" s="266">
        <f t="shared" si="108"/>
        <v>2239</v>
      </c>
      <c r="G2246" s="230">
        <f t="shared" ca="1" si="107"/>
        <v>-5.3219441077145564E-3</v>
      </c>
    </row>
    <row r="2247" spans="2:7" x14ac:dyDescent="0.25">
      <c r="B2247" s="348" t="s">
        <v>1918</v>
      </c>
      <c r="C2247" s="293">
        <v>100.96</v>
      </c>
      <c r="D2247" s="230">
        <f t="shared" si="106"/>
        <v>9.9029708912672376E-3</v>
      </c>
      <c r="E2247" s="293">
        <v>-4.1023957991459525E-4</v>
      </c>
      <c r="F2247" s="266">
        <f t="shared" si="108"/>
        <v>2240</v>
      </c>
      <c r="G2247" s="230">
        <f t="shared" ca="1" si="107"/>
        <v>3.4916453156219659E-3</v>
      </c>
    </row>
    <row r="2248" spans="2:7" x14ac:dyDescent="0.25">
      <c r="B2248" s="348" t="s">
        <v>1919</v>
      </c>
      <c r="C2248" s="293">
        <v>99.97</v>
      </c>
      <c r="D2248" s="230">
        <f t="shared" si="106"/>
        <v>-1.419978305886993E-2</v>
      </c>
      <c r="E2248" s="293">
        <v>-4.1135335252984184E-4</v>
      </c>
      <c r="F2248" s="266">
        <f t="shared" si="108"/>
        <v>2241</v>
      </c>
      <c r="G2248" s="230">
        <f t="shared" ca="1" si="107"/>
        <v>-9.8031470780955091E-3</v>
      </c>
    </row>
    <row r="2249" spans="2:7" x14ac:dyDescent="0.25">
      <c r="B2249" s="348" t="s">
        <v>1920</v>
      </c>
      <c r="C2249" s="293">
        <v>101.41</v>
      </c>
      <c r="D2249" s="230">
        <f t="shared" ref="D2249:D2312" si="109">C2249/C2250-1</f>
        <v>3.4632891351671358E-3</v>
      </c>
      <c r="E2249" s="293">
        <v>-4.1373603640881829E-4</v>
      </c>
      <c r="F2249" s="266">
        <f t="shared" si="108"/>
        <v>2242</v>
      </c>
      <c r="G2249" s="230">
        <f t="shared" ref="G2249:G2312" ca="1" si="110">_xlfn.NORM.INV(RAND(),$M$10,$M$11)</f>
        <v>1.8859598061166452E-2</v>
      </c>
    </row>
    <row r="2250" spans="2:7" x14ac:dyDescent="0.25">
      <c r="B2250" s="348">
        <v>42677</v>
      </c>
      <c r="C2250" s="293">
        <v>101.06</v>
      </c>
      <c r="D2250" s="230">
        <f t="shared" si="109"/>
        <v>5.8723997213099288E-3</v>
      </c>
      <c r="E2250" s="293">
        <v>-4.4156608772449868E-4</v>
      </c>
      <c r="F2250" s="266">
        <f t="shared" ref="F2250:F2313" si="111">F2249+1</f>
        <v>2243</v>
      </c>
      <c r="G2250" s="230">
        <f t="shared" ca="1" si="110"/>
        <v>1.188158749244652E-2</v>
      </c>
    </row>
    <row r="2251" spans="2:7" x14ac:dyDescent="0.25">
      <c r="B2251" s="348">
        <v>42646</v>
      </c>
      <c r="C2251" s="293">
        <v>100.47</v>
      </c>
      <c r="D2251" s="230">
        <f t="shared" si="109"/>
        <v>-4.2616451932607768E-3</v>
      </c>
      <c r="E2251" s="293">
        <v>-4.4385264092328125E-4</v>
      </c>
      <c r="F2251" s="266">
        <f t="shared" si="111"/>
        <v>2244</v>
      </c>
      <c r="G2251" s="230">
        <f t="shared" ca="1" si="110"/>
        <v>1.8337219627351249E-2</v>
      </c>
    </row>
    <row r="2252" spans="2:7" x14ac:dyDescent="0.25">
      <c r="B2252" s="348">
        <v>42616</v>
      </c>
      <c r="C2252" s="293">
        <v>100.9</v>
      </c>
      <c r="D2252" s="230">
        <f t="shared" si="109"/>
        <v>-6.1071710007879476E-3</v>
      </c>
      <c r="E2252" s="293">
        <v>-4.4832997085864079E-4</v>
      </c>
      <c r="F2252" s="266">
        <f t="shared" si="111"/>
        <v>2245</v>
      </c>
      <c r="G2252" s="230">
        <f t="shared" ca="1" si="110"/>
        <v>-9.3701679993725279E-3</v>
      </c>
    </row>
    <row r="2253" spans="2:7" x14ac:dyDescent="0.25">
      <c r="B2253" s="348">
        <v>42585</v>
      </c>
      <c r="C2253" s="293">
        <v>101.52</v>
      </c>
      <c r="D2253" s="230">
        <f t="shared" si="109"/>
        <v>8.3432657926101328E-3</v>
      </c>
      <c r="E2253" s="293">
        <v>-4.5750886423434611E-4</v>
      </c>
      <c r="F2253" s="266">
        <f t="shared" si="111"/>
        <v>2246</v>
      </c>
      <c r="G2253" s="230">
        <f t="shared" ca="1" si="110"/>
        <v>2.3874647549289151E-3</v>
      </c>
    </row>
    <row r="2254" spans="2:7" x14ac:dyDescent="0.25">
      <c r="B2254" s="348">
        <v>42463</v>
      </c>
      <c r="C2254" s="293">
        <v>100.68</v>
      </c>
      <c r="D2254" s="230">
        <f t="shared" si="109"/>
        <v>-1.0613207547169767E-2</v>
      </c>
      <c r="E2254" s="293">
        <v>-4.5913682277320955E-4</v>
      </c>
      <c r="F2254" s="266">
        <f t="shared" si="111"/>
        <v>2247</v>
      </c>
      <c r="G2254" s="230">
        <f t="shared" ca="1" si="110"/>
        <v>-1.236764548585351E-2</v>
      </c>
    </row>
    <row r="2255" spans="2:7" x14ac:dyDescent="0.25">
      <c r="B2255" s="348">
        <v>42432</v>
      </c>
      <c r="C2255" s="293">
        <v>101.76</v>
      </c>
      <c r="D2255" s="230">
        <f t="shared" si="109"/>
        <v>5.8317683107640406E-3</v>
      </c>
      <c r="E2255" s="293">
        <v>-4.7021943573655189E-4</v>
      </c>
      <c r="F2255" s="266">
        <f t="shared" si="111"/>
        <v>2248</v>
      </c>
      <c r="G2255" s="230">
        <f t="shared" ca="1" si="110"/>
        <v>-3.509600679806061E-2</v>
      </c>
    </row>
    <row r="2256" spans="2:7" x14ac:dyDescent="0.25">
      <c r="B2256" s="348">
        <v>42403</v>
      </c>
      <c r="C2256" s="293">
        <v>101.17</v>
      </c>
      <c r="D2256" s="230">
        <f t="shared" si="109"/>
        <v>7.6693227091633176E-3</v>
      </c>
      <c r="E2256" s="293">
        <v>-5.0942435048384471E-4</v>
      </c>
      <c r="F2256" s="266">
        <f t="shared" si="111"/>
        <v>2249</v>
      </c>
      <c r="G2256" s="230">
        <f t="shared" ca="1" si="110"/>
        <v>2.016462371986328E-2</v>
      </c>
    </row>
    <row r="2257" spans="2:7" x14ac:dyDescent="0.25">
      <c r="B2257" s="348">
        <v>42372</v>
      </c>
      <c r="C2257" s="293">
        <v>100.4</v>
      </c>
      <c r="D2257" s="230">
        <f t="shared" si="109"/>
        <v>2.9215786776012331E-2</v>
      </c>
      <c r="E2257" s="293">
        <v>-5.1684928674800013E-4</v>
      </c>
      <c r="F2257" s="266">
        <f t="shared" si="111"/>
        <v>2250</v>
      </c>
      <c r="G2257" s="230">
        <f t="shared" ca="1" si="110"/>
        <v>-4.686248578248081E-4</v>
      </c>
    </row>
    <row r="2258" spans="2:7" x14ac:dyDescent="0.25">
      <c r="B2258" s="348" t="s">
        <v>1921</v>
      </c>
      <c r="C2258" s="293">
        <v>97.55</v>
      </c>
      <c r="D2258" s="230">
        <f t="shared" si="109"/>
        <v>-1.9302302201668842E-2</v>
      </c>
      <c r="E2258" s="293">
        <v>-5.1715221513537468E-4</v>
      </c>
      <c r="F2258" s="266">
        <f t="shared" si="111"/>
        <v>2251</v>
      </c>
      <c r="G2258" s="230">
        <f t="shared" ca="1" si="110"/>
        <v>-4.1266382138358385E-2</v>
      </c>
    </row>
    <row r="2259" spans="2:7" x14ac:dyDescent="0.25">
      <c r="B2259" s="348" t="s">
        <v>1922</v>
      </c>
      <c r="C2259" s="293">
        <v>99.47</v>
      </c>
      <c r="D2259" s="230">
        <f t="shared" si="109"/>
        <v>-6.2937062937062915E-3</v>
      </c>
      <c r="E2259" s="293">
        <v>-5.2356020942401216E-4</v>
      </c>
      <c r="F2259" s="266">
        <f t="shared" si="111"/>
        <v>2252</v>
      </c>
      <c r="G2259" s="230">
        <f t="shared" ca="1" si="110"/>
        <v>1.9721469079878269E-2</v>
      </c>
    </row>
    <row r="2260" spans="2:7" x14ac:dyDescent="0.25">
      <c r="B2260" s="348" t="s">
        <v>1923</v>
      </c>
      <c r="C2260" s="293">
        <v>100.1</v>
      </c>
      <c r="D2260" s="230">
        <f t="shared" si="109"/>
        <v>-1.9976028765489318E-4</v>
      </c>
      <c r="E2260" s="293">
        <v>-5.2356020942412318E-4</v>
      </c>
      <c r="F2260" s="266">
        <f t="shared" si="111"/>
        <v>2253</v>
      </c>
      <c r="G2260" s="230">
        <f t="shared" ca="1" si="110"/>
        <v>-3.4311320797304257E-2</v>
      </c>
    </row>
    <row r="2261" spans="2:7" x14ac:dyDescent="0.25">
      <c r="B2261" s="348" t="s">
        <v>1924</v>
      </c>
      <c r="C2261" s="293">
        <v>100.12</v>
      </c>
      <c r="D2261" s="230">
        <f t="shared" si="109"/>
        <v>-1.1062821019359848E-2</v>
      </c>
      <c r="E2261" s="293">
        <v>-5.2882072977256112E-4</v>
      </c>
      <c r="F2261" s="266">
        <f t="shared" si="111"/>
        <v>2254</v>
      </c>
      <c r="G2261" s="230">
        <f t="shared" ca="1" si="110"/>
        <v>-1.0819827167625048E-2</v>
      </c>
    </row>
    <row r="2262" spans="2:7" x14ac:dyDescent="0.25">
      <c r="B2262" s="348" t="s">
        <v>1925</v>
      </c>
      <c r="C2262" s="293">
        <v>101.24</v>
      </c>
      <c r="D2262" s="230">
        <f t="shared" si="109"/>
        <v>-5.207821558416037E-3</v>
      </c>
      <c r="E2262" s="293">
        <v>-5.3200922149321261E-4</v>
      </c>
      <c r="F2262" s="266">
        <f t="shared" si="111"/>
        <v>2255</v>
      </c>
      <c r="G2262" s="230">
        <f t="shared" ca="1" si="110"/>
        <v>-4.1155964207143375E-3</v>
      </c>
    </row>
    <row r="2263" spans="2:7" x14ac:dyDescent="0.25">
      <c r="B2263" s="348" t="s">
        <v>1926</v>
      </c>
      <c r="C2263" s="293">
        <v>101.77</v>
      </c>
      <c r="D2263" s="230">
        <f t="shared" si="109"/>
        <v>-8.3796160966579381E-3</v>
      </c>
      <c r="E2263" s="293">
        <v>-5.4318305268874489E-4</v>
      </c>
      <c r="F2263" s="266">
        <f t="shared" si="111"/>
        <v>2256</v>
      </c>
      <c r="G2263" s="230">
        <f t="shared" ca="1" si="110"/>
        <v>-9.6628414939614569E-3</v>
      </c>
    </row>
    <row r="2264" spans="2:7" x14ac:dyDescent="0.25">
      <c r="B2264" s="348" t="s">
        <v>1927</v>
      </c>
      <c r="C2264" s="293">
        <v>102.63</v>
      </c>
      <c r="D2264" s="230">
        <f t="shared" si="109"/>
        <v>1.1232633757020327E-2</v>
      </c>
      <c r="E2264" s="293">
        <v>-5.4555373704323618E-4</v>
      </c>
      <c r="F2264" s="266">
        <f t="shared" si="111"/>
        <v>2257</v>
      </c>
      <c r="G2264" s="230">
        <f t="shared" ca="1" si="110"/>
        <v>1.7683499947904399E-2</v>
      </c>
    </row>
    <row r="2265" spans="2:7" x14ac:dyDescent="0.25">
      <c r="B2265" s="348" t="s">
        <v>1928</v>
      </c>
      <c r="C2265" s="293">
        <v>101.49</v>
      </c>
      <c r="D2265" s="230">
        <f t="shared" si="109"/>
        <v>2.7226720647773206E-2</v>
      </c>
      <c r="E2265" s="293">
        <v>-5.4824561403521432E-4</v>
      </c>
      <c r="F2265" s="266">
        <f t="shared" si="111"/>
        <v>2258</v>
      </c>
      <c r="G2265" s="230">
        <f t="shared" ca="1" si="110"/>
        <v>1.5979100753586654E-2</v>
      </c>
    </row>
    <row r="2266" spans="2:7" x14ac:dyDescent="0.25">
      <c r="B2266" s="348" t="s">
        <v>1929</v>
      </c>
      <c r="C2266" s="293">
        <v>98.8</v>
      </c>
      <c r="D2266" s="230">
        <f t="shared" si="109"/>
        <v>6.0765647154137348E-4</v>
      </c>
      <c r="E2266" s="293">
        <v>-5.4914881933010307E-4</v>
      </c>
      <c r="F2266" s="266">
        <f t="shared" si="111"/>
        <v>2259</v>
      </c>
      <c r="G2266" s="230">
        <f t="shared" ca="1" si="110"/>
        <v>-4.4448702172093138E-2</v>
      </c>
    </row>
    <row r="2267" spans="2:7" x14ac:dyDescent="0.25">
      <c r="B2267" s="348" t="s">
        <v>1930</v>
      </c>
      <c r="C2267" s="293">
        <v>98.74</v>
      </c>
      <c r="D2267" s="230">
        <f t="shared" si="109"/>
        <v>1.6230472712517319E-3</v>
      </c>
      <c r="E2267" s="293">
        <v>-5.5689623166899072E-4</v>
      </c>
      <c r="F2267" s="266">
        <f t="shared" si="111"/>
        <v>2260</v>
      </c>
      <c r="G2267" s="230">
        <f t="shared" ca="1" si="110"/>
        <v>2.3193872105229427E-2</v>
      </c>
    </row>
    <row r="2268" spans="2:7" x14ac:dyDescent="0.25">
      <c r="B2268" s="348" t="s">
        <v>1931</v>
      </c>
      <c r="C2268" s="293">
        <v>98.58</v>
      </c>
      <c r="D2268" s="230">
        <f t="shared" si="109"/>
        <v>1.6393442622950838E-2</v>
      </c>
      <c r="E2268" s="293">
        <v>-5.5965972688598598E-4</v>
      </c>
      <c r="F2268" s="266">
        <f t="shared" si="111"/>
        <v>2261</v>
      </c>
      <c r="G2268" s="230">
        <f t="shared" ca="1" si="110"/>
        <v>1.9832528886150357E-2</v>
      </c>
    </row>
    <row r="2269" spans="2:7" x14ac:dyDescent="0.25">
      <c r="B2269" s="348">
        <v>42706</v>
      </c>
      <c r="C2269" s="293">
        <v>96.99</v>
      </c>
      <c r="D2269" s="230">
        <f t="shared" si="109"/>
        <v>2.062493554706446E-4</v>
      </c>
      <c r="E2269" s="293">
        <v>-5.5991041433367528E-4</v>
      </c>
      <c r="F2269" s="266">
        <f t="shared" si="111"/>
        <v>2262</v>
      </c>
      <c r="G2269" s="230">
        <f t="shared" ca="1" si="110"/>
        <v>2.9922816996287883E-2</v>
      </c>
    </row>
    <row r="2270" spans="2:7" x14ac:dyDescent="0.25">
      <c r="B2270" s="348">
        <v>42676</v>
      </c>
      <c r="C2270" s="293">
        <v>96.97</v>
      </c>
      <c r="D2270" s="230">
        <f t="shared" si="109"/>
        <v>-2.6405622489959812E-2</v>
      </c>
      <c r="E2270" s="293">
        <v>-5.6069526212509935E-4</v>
      </c>
      <c r="F2270" s="266">
        <f t="shared" si="111"/>
        <v>2263</v>
      </c>
      <c r="G2270" s="230">
        <f t="shared" ca="1" si="110"/>
        <v>3.5009136394398913E-2</v>
      </c>
    </row>
    <row r="2271" spans="2:7" x14ac:dyDescent="0.25">
      <c r="B2271" s="348">
        <v>42645</v>
      </c>
      <c r="C2271" s="293">
        <v>99.6</v>
      </c>
      <c r="D2271" s="230">
        <f t="shared" si="109"/>
        <v>-9.4480358030830658E-3</v>
      </c>
      <c r="E2271" s="293">
        <v>-5.6100981767182034E-4</v>
      </c>
      <c r="F2271" s="266">
        <f t="shared" si="111"/>
        <v>2264</v>
      </c>
      <c r="G2271" s="230">
        <f t="shared" ca="1" si="110"/>
        <v>5.8834782029818927E-3</v>
      </c>
    </row>
    <row r="2272" spans="2:7" x14ac:dyDescent="0.25">
      <c r="B2272" s="348">
        <v>42615</v>
      </c>
      <c r="C2272" s="293">
        <v>100.55</v>
      </c>
      <c r="D2272" s="230">
        <f t="shared" si="109"/>
        <v>-1.6048537038849231E-2</v>
      </c>
      <c r="E2272" s="293">
        <v>-5.9087686126224614E-4</v>
      </c>
      <c r="F2272" s="266">
        <f t="shared" si="111"/>
        <v>2265</v>
      </c>
      <c r="G2272" s="230">
        <f t="shared" ca="1" si="110"/>
        <v>9.4398944050362436E-4</v>
      </c>
    </row>
    <row r="2273" spans="2:7" x14ac:dyDescent="0.25">
      <c r="B2273" s="348">
        <v>42584</v>
      </c>
      <c r="C2273" s="293">
        <v>102.19</v>
      </c>
      <c r="D2273" s="230">
        <f t="shared" si="109"/>
        <v>-2.3133543638275467E-2</v>
      </c>
      <c r="E2273" s="293">
        <v>-5.9370670888581056E-4</v>
      </c>
      <c r="F2273" s="266">
        <f t="shared" si="111"/>
        <v>2266</v>
      </c>
      <c r="G2273" s="230">
        <f t="shared" ca="1" si="110"/>
        <v>-1.933248940781345E-3</v>
      </c>
    </row>
    <row r="2274" spans="2:7" x14ac:dyDescent="0.25">
      <c r="B2274" s="348">
        <v>42492</v>
      </c>
      <c r="C2274" s="293">
        <v>104.61</v>
      </c>
      <c r="D2274" s="230">
        <f t="shared" si="109"/>
        <v>-3.6193923230783964E-3</v>
      </c>
      <c r="E2274" s="293">
        <v>-6.2111801242248355E-4</v>
      </c>
      <c r="F2274" s="266">
        <f t="shared" si="111"/>
        <v>2267</v>
      </c>
      <c r="G2274" s="230">
        <f t="shared" ca="1" si="110"/>
        <v>2.7537018924038079E-2</v>
      </c>
    </row>
    <row r="2275" spans="2:7" x14ac:dyDescent="0.25">
      <c r="B2275" s="348">
        <v>42462</v>
      </c>
      <c r="C2275" s="293">
        <v>104.99</v>
      </c>
      <c r="D2275" s="230">
        <f t="shared" si="109"/>
        <v>3.824457405105619E-3</v>
      </c>
      <c r="E2275" s="293">
        <v>-6.2753783683999753E-4</v>
      </c>
      <c r="F2275" s="266">
        <f t="shared" si="111"/>
        <v>2268</v>
      </c>
      <c r="G2275" s="230">
        <f t="shared" ca="1" si="110"/>
        <v>9.419144995537445E-3</v>
      </c>
    </row>
    <row r="2276" spans="2:7" x14ac:dyDescent="0.25">
      <c r="B2276" s="348">
        <v>42431</v>
      </c>
      <c r="C2276" s="293">
        <v>104.59</v>
      </c>
      <c r="D2276" s="230">
        <f t="shared" si="109"/>
        <v>-1.6641594584430153E-2</v>
      </c>
      <c r="E2276" s="293">
        <v>-6.378713322398033E-4</v>
      </c>
      <c r="F2276" s="266">
        <f t="shared" si="111"/>
        <v>2269</v>
      </c>
      <c r="G2276" s="230">
        <f t="shared" ca="1" si="110"/>
        <v>8.0679688850458699E-3</v>
      </c>
    </row>
    <row r="2277" spans="2:7" x14ac:dyDescent="0.25">
      <c r="B2277" s="348">
        <v>42402</v>
      </c>
      <c r="C2277" s="293">
        <v>106.36</v>
      </c>
      <c r="D2277" s="230">
        <f t="shared" si="109"/>
        <v>-1.5957946118464461E-3</v>
      </c>
      <c r="E2277" s="293">
        <v>-6.4452156668315386E-4</v>
      </c>
      <c r="F2277" s="266">
        <f t="shared" si="111"/>
        <v>2270</v>
      </c>
      <c r="G2277" s="230">
        <f t="shared" ca="1" si="110"/>
        <v>1.5740302146677646E-3</v>
      </c>
    </row>
    <row r="2278" spans="2:7" x14ac:dyDescent="0.25">
      <c r="B2278" s="348">
        <v>42371</v>
      </c>
      <c r="C2278" s="293">
        <v>106.53</v>
      </c>
      <c r="D2278" s="230">
        <f t="shared" si="109"/>
        <v>9.4759783947693244E-3</v>
      </c>
      <c r="E2278" s="293">
        <v>-6.4468594584632388E-4</v>
      </c>
      <c r="F2278" s="266">
        <f t="shared" si="111"/>
        <v>2271</v>
      </c>
      <c r="G2278" s="230">
        <f t="shared" ca="1" si="110"/>
        <v>9.2655856093503998E-3</v>
      </c>
    </row>
    <row r="2279" spans="2:7" x14ac:dyDescent="0.25">
      <c r="B2279" s="348" t="s">
        <v>1932</v>
      </c>
      <c r="C2279" s="293">
        <v>105.53</v>
      </c>
      <c r="D2279" s="230">
        <f t="shared" si="109"/>
        <v>2.8457265373745155E-2</v>
      </c>
      <c r="E2279" s="293">
        <v>-6.5751623243193169E-4</v>
      </c>
      <c r="F2279" s="266">
        <f t="shared" si="111"/>
        <v>2272</v>
      </c>
      <c r="G2279" s="230">
        <f t="shared" ca="1" si="110"/>
        <v>1.0263993712240115E-2</v>
      </c>
    </row>
    <row r="2280" spans="2:7" x14ac:dyDescent="0.25">
      <c r="B2280" s="348" t="s">
        <v>1933</v>
      </c>
      <c r="C2280" s="293">
        <v>102.61</v>
      </c>
      <c r="D2280" s="230">
        <f t="shared" si="109"/>
        <v>-9.555984555984498E-3</v>
      </c>
      <c r="E2280" s="293">
        <v>-6.5876152832677892E-4</v>
      </c>
      <c r="F2280" s="266">
        <f t="shared" si="111"/>
        <v>2273</v>
      </c>
      <c r="G2280" s="230">
        <f t="shared" ca="1" si="110"/>
        <v>-5.1837805601155995E-3</v>
      </c>
    </row>
    <row r="2281" spans="2:7" x14ac:dyDescent="0.25">
      <c r="B2281" s="348" t="s">
        <v>1934</v>
      </c>
      <c r="C2281" s="293">
        <v>103.6</v>
      </c>
      <c r="D2281" s="230">
        <f t="shared" si="109"/>
        <v>1.0041922589451024E-2</v>
      </c>
      <c r="E2281" s="293">
        <v>-6.6012825348926718E-4</v>
      </c>
      <c r="F2281" s="266">
        <f t="shared" si="111"/>
        <v>2274</v>
      </c>
      <c r="G2281" s="230">
        <f t="shared" ca="1" si="110"/>
        <v>-1.4027234456006069E-2</v>
      </c>
    </row>
    <row r="2282" spans="2:7" x14ac:dyDescent="0.25">
      <c r="B2282" s="348" t="s">
        <v>1935</v>
      </c>
      <c r="C2282" s="293">
        <v>102.57</v>
      </c>
      <c r="D2282" s="230">
        <f t="shared" si="109"/>
        <v>-5.5264688772542758E-3</v>
      </c>
      <c r="E2282" s="293">
        <v>-6.6305669134703038E-4</v>
      </c>
      <c r="F2282" s="266">
        <f t="shared" si="111"/>
        <v>2275</v>
      </c>
      <c r="G2282" s="230">
        <f t="shared" ca="1" si="110"/>
        <v>-9.999757025504756E-3</v>
      </c>
    </row>
    <row r="2283" spans="2:7" x14ac:dyDescent="0.25">
      <c r="B2283" s="348" t="s">
        <v>1936</v>
      </c>
      <c r="C2283" s="293">
        <v>103.14</v>
      </c>
      <c r="D2283" s="230">
        <f t="shared" si="109"/>
        <v>-1.3555383423702327E-3</v>
      </c>
      <c r="E2283" s="293">
        <v>-6.7165611207053999E-4</v>
      </c>
      <c r="F2283" s="266">
        <f t="shared" si="111"/>
        <v>2276</v>
      </c>
      <c r="G2283" s="230">
        <f t="shared" ca="1" si="110"/>
        <v>1.3232173874279185E-3</v>
      </c>
    </row>
    <row r="2284" spans="2:7" x14ac:dyDescent="0.25">
      <c r="B2284" s="348" t="s">
        <v>1937</v>
      </c>
      <c r="C2284" s="293">
        <v>103.28</v>
      </c>
      <c r="D2284" s="230">
        <f t="shared" si="109"/>
        <v>1.5236410105180287E-2</v>
      </c>
      <c r="E2284" s="293">
        <v>-6.8294348642661262E-4</v>
      </c>
      <c r="F2284" s="266">
        <f t="shared" si="111"/>
        <v>2277</v>
      </c>
      <c r="G2284" s="230">
        <f t="shared" ca="1" si="110"/>
        <v>1.8161887089832393E-2</v>
      </c>
    </row>
    <row r="2285" spans="2:7" x14ac:dyDescent="0.25">
      <c r="B2285" s="348" t="s">
        <v>1938</v>
      </c>
      <c r="C2285" s="293">
        <v>101.73</v>
      </c>
      <c r="D2285" s="230">
        <f t="shared" si="109"/>
        <v>1.0824640818736242E-3</v>
      </c>
      <c r="E2285" s="293">
        <v>-6.8906115417743941E-4</v>
      </c>
      <c r="F2285" s="266">
        <f t="shared" si="111"/>
        <v>2278</v>
      </c>
      <c r="G2285" s="230">
        <f t="shared" ca="1" si="110"/>
        <v>-1.2291072508881161E-2</v>
      </c>
    </row>
    <row r="2286" spans="2:7" x14ac:dyDescent="0.25">
      <c r="B2286" s="348" t="s">
        <v>1939</v>
      </c>
      <c r="C2286" s="293">
        <v>101.62</v>
      </c>
      <c r="D2286" s="230">
        <f t="shared" si="109"/>
        <v>-9.4551125840725003E-3</v>
      </c>
      <c r="E2286" s="293">
        <v>-6.9499602859401932E-4</v>
      </c>
      <c r="F2286" s="266">
        <f t="shared" si="111"/>
        <v>2279</v>
      </c>
      <c r="G2286" s="230">
        <f t="shared" ca="1" si="110"/>
        <v>3.8127173258133099E-2</v>
      </c>
    </row>
    <row r="2287" spans="2:7" x14ac:dyDescent="0.25">
      <c r="B2287" s="348" t="s">
        <v>1940</v>
      </c>
      <c r="C2287" s="293">
        <v>102.59</v>
      </c>
      <c r="D2287" s="230">
        <f t="shared" si="109"/>
        <v>7.4634194245311036E-3</v>
      </c>
      <c r="E2287" s="293">
        <v>-7.0711356243813306E-4</v>
      </c>
      <c r="F2287" s="266">
        <f t="shared" si="111"/>
        <v>2280</v>
      </c>
      <c r="G2287" s="230">
        <f t="shared" ca="1" si="110"/>
        <v>-2.3510554695824519E-2</v>
      </c>
    </row>
    <row r="2288" spans="2:7" x14ac:dyDescent="0.25">
      <c r="B2288" s="348" t="s">
        <v>1941</v>
      </c>
      <c r="C2288" s="293">
        <v>101.83</v>
      </c>
      <c r="D2288" s="230">
        <f t="shared" si="109"/>
        <v>-3.9127457693436396E-3</v>
      </c>
      <c r="E2288" s="293">
        <v>-7.1588793967458653E-4</v>
      </c>
      <c r="F2288" s="266">
        <f t="shared" si="111"/>
        <v>2281</v>
      </c>
      <c r="G2288" s="230">
        <f t="shared" ca="1" si="110"/>
        <v>3.6627966636061715E-2</v>
      </c>
    </row>
    <row r="2289" spans="2:7" x14ac:dyDescent="0.25">
      <c r="B2289" s="348" t="s">
        <v>1942</v>
      </c>
      <c r="C2289" s="293">
        <v>102.23</v>
      </c>
      <c r="D2289" s="230">
        <f t="shared" si="109"/>
        <v>-2.342148921635534E-3</v>
      </c>
      <c r="E2289" s="293">
        <v>-7.3723012111648334E-4</v>
      </c>
      <c r="F2289" s="266">
        <f t="shared" si="111"/>
        <v>2282</v>
      </c>
      <c r="G2289" s="230">
        <f t="shared" ca="1" si="110"/>
        <v>-3.5694010494536674E-2</v>
      </c>
    </row>
    <row r="2290" spans="2:7" x14ac:dyDescent="0.25">
      <c r="B2290" s="348" t="s">
        <v>1943</v>
      </c>
      <c r="C2290" s="293">
        <v>102.47</v>
      </c>
      <c r="D2290" s="230">
        <f t="shared" si="109"/>
        <v>-4.37232802176446E-3</v>
      </c>
      <c r="E2290" s="293">
        <v>-7.5393459617378866E-4</v>
      </c>
      <c r="F2290" s="266">
        <f t="shared" si="111"/>
        <v>2283</v>
      </c>
      <c r="G2290" s="230">
        <f t="shared" ca="1" si="110"/>
        <v>-9.7316739307172096E-3</v>
      </c>
    </row>
    <row r="2291" spans="2:7" x14ac:dyDescent="0.25">
      <c r="B2291" s="348">
        <v>42705</v>
      </c>
      <c r="C2291" s="293">
        <v>102.92</v>
      </c>
      <c r="D2291" s="230">
        <f t="shared" si="109"/>
        <v>2.1335714994542121E-2</v>
      </c>
      <c r="E2291" s="293">
        <v>-7.6219512195119243E-4</v>
      </c>
      <c r="F2291" s="266">
        <f t="shared" si="111"/>
        <v>2284</v>
      </c>
      <c r="G2291" s="230">
        <f t="shared" ca="1" si="110"/>
        <v>-4.1421445673819023E-3</v>
      </c>
    </row>
    <row r="2292" spans="2:7" x14ac:dyDescent="0.25">
      <c r="B2292" s="348">
        <v>42675</v>
      </c>
      <c r="C2292" s="293">
        <v>100.77</v>
      </c>
      <c r="D2292" s="230">
        <f t="shared" si="109"/>
        <v>-3.301026772862492E-2</v>
      </c>
      <c r="E2292" s="293">
        <v>-7.6562350464159934E-4</v>
      </c>
      <c r="F2292" s="266">
        <f t="shared" si="111"/>
        <v>2285</v>
      </c>
      <c r="G2292" s="230">
        <f t="shared" ca="1" si="110"/>
        <v>2.5985545082498424E-2</v>
      </c>
    </row>
    <row r="2293" spans="2:7" x14ac:dyDescent="0.25">
      <c r="B2293" s="348">
        <v>42583</v>
      </c>
      <c r="C2293" s="293">
        <v>104.21</v>
      </c>
      <c r="D2293" s="230">
        <f t="shared" si="109"/>
        <v>1.0766246362754694E-2</v>
      </c>
      <c r="E2293" s="293">
        <v>-7.7143486885600243E-4</v>
      </c>
      <c r="F2293" s="266">
        <f t="shared" si="111"/>
        <v>2286</v>
      </c>
      <c r="G2293" s="230">
        <f t="shared" ca="1" si="110"/>
        <v>2.4817187495788089E-2</v>
      </c>
    </row>
    <row r="2294" spans="2:7" x14ac:dyDescent="0.25">
      <c r="B2294" s="348">
        <v>42552</v>
      </c>
      <c r="C2294" s="293">
        <v>103.1</v>
      </c>
      <c r="D2294" s="230">
        <f t="shared" si="109"/>
        <v>-9.41583397386625E-3</v>
      </c>
      <c r="E2294" s="293">
        <v>-7.8949257159266484E-4</v>
      </c>
      <c r="F2294" s="266">
        <f t="shared" si="111"/>
        <v>2287</v>
      </c>
      <c r="G2294" s="230">
        <f t="shared" ca="1" si="110"/>
        <v>1.8403226647307237E-2</v>
      </c>
    </row>
    <row r="2295" spans="2:7" x14ac:dyDescent="0.25">
      <c r="B2295" s="348">
        <v>42522</v>
      </c>
      <c r="C2295" s="293">
        <v>104.08</v>
      </c>
      <c r="D2295" s="230">
        <f t="shared" si="109"/>
        <v>-3.2560812104961423E-3</v>
      </c>
      <c r="E2295" s="293">
        <v>-7.9126444057597833E-4</v>
      </c>
      <c r="F2295" s="266">
        <f t="shared" si="111"/>
        <v>2288</v>
      </c>
      <c r="G2295" s="230">
        <f t="shared" ca="1" si="110"/>
        <v>-2.8099866987397235E-2</v>
      </c>
    </row>
    <row r="2296" spans="2:7" x14ac:dyDescent="0.25">
      <c r="B2296" s="348">
        <v>42491</v>
      </c>
      <c r="C2296" s="293">
        <v>104.42</v>
      </c>
      <c r="D2296" s="230">
        <f t="shared" si="109"/>
        <v>-1.4344458257625758E-3</v>
      </c>
      <c r="E2296" s="293">
        <v>-8.1124932395892912E-4</v>
      </c>
      <c r="F2296" s="266">
        <f t="shared" si="111"/>
        <v>2289</v>
      </c>
      <c r="G2296" s="230">
        <f t="shared" ca="1" si="110"/>
        <v>3.2175748630384202E-4</v>
      </c>
    </row>
    <row r="2297" spans="2:7" x14ac:dyDescent="0.25">
      <c r="B2297" s="348">
        <v>42461</v>
      </c>
      <c r="C2297" s="293">
        <v>104.57</v>
      </c>
      <c r="D2297" s="230">
        <f t="shared" si="109"/>
        <v>2.3003929838012471E-3</v>
      </c>
      <c r="E2297" s="293">
        <v>-8.1871345029227438E-4</v>
      </c>
      <c r="F2297" s="266">
        <f t="shared" si="111"/>
        <v>2290</v>
      </c>
      <c r="G2297" s="230">
        <f t="shared" ca="1" si="110"/>
        <v>2.65858874989509E-3</v>
      </c>
    </row>
    <row r="2298" spans="2:7" x14ac:dyDescent="0.25">
      <c r="B2298" s="348">
        <v>42370</v>
      </c>
      <c r="C2298" s="293">
        <v>104.33</v>
      </c>
      <c r="D2298" s="230">
        <f t="shared" si="109"/>
        <v>-6.1916555534388129E-3</v>
      </c>
      <c r="E2298" s="293">
        <v>-8.1886668850306155E-4</v>
      </c>
      <c r="F2298" s="266">
        <f t="shared" si="111"/>
        <v>2291</v>
      </c>
      <c r="G2298" s="230">
        <f t="shared" ca="1" si="110"/>
        <v>4.0230630741000277E-3</v>
      </c>
    </row>
    <row r="2299" spans="2:7" x14ac:dyDescent="0.25">
      <c r="B2299" s="348" t="s">
        <v>1944</v>
      </c>
      <c r="C2299" s="293">
        <v>104.98</v>
      </c>
      <c r="D2299" s="230">
        <f t="shared" si="109"/>
        <v>3.2492354740061291E-3</v>
      </c>
      <c r="E2299" s="293">
        <v>-8.1937363437734057E-4</v>
      </c>
      <c r="F2299" s="266">
        <f t="shared" si="111"/>
        <v>2292</v>
      </c>
      <c r="G2299" s="230">
        <f t="shared" ca="1" si="110"/>
        <v>-4.4181995596680864E-3</v>
      </c>
    </row>
    <row r="2300" spans="2:7" x14ac:dyDescent="0.25">
      <c r="B2300" s="348" t="s">
        <v>1945</v>
      </c>
      <c r="C2300" s="293">
        <v>104.64</v>
      </c>
      <c r="D2300" s="230">
        <f t="shared" si="109"/>
        <v>-1.0590015128593033E-2</v>
      </c>
      <c r="E2300" s="293">
        <v>-8.2119394458712858E-4</v>
      </c>
      <c r="F2300" s="266">
        <f t="shared" si="111"/>
        <v>2293</v>
      </c>
      <c r="G2300" s="230">
        <f t="shared" ca="1" si="110"/>
        <v>2.1189292086909256E-2</v>
      </c>
    </row>
    <row r="2301" spans="2:7" x14ac:dyDescent="0.25">
      <c r="B2301" s="348" t="s">
        <v>1946</v>
      </c>
      <c r="C2301" s="293">
        <v>105.76</v>
      </c>
      <c r="D2301" s="230">
        <f t="shared" si="109"/>
        <v>4.6546974446661782E-3</v>
      </c>
      <c r="E2301" s="293">
        <v>-8.2690187431089246E-4</v>
      </c>
      <c r="F2301" s="266">
        <f t="shared" si="111"/>
        <v>2294</v>
      </c>
      <c r="G2301" s="230">
        <f t="shared" ca="1" si="110"/>
        <v>-2.7637010856042192E-2</v>
      </c>
    </row>
    <row r="2302" spans="2:7" x14ac:dyDescent="0.25">
      <c r="B2302" s="348" t="s">
        <v>1947</v>
      </c>
      <c r="C2302" s="293">
        <v>105.27</v>
      </c>
      <c r="D2302" s="230">
        <f t="shared" si="109"/>
        <v>7.6577007753422244E-3</v>
      </c>
      <c r="E2302" s="293">
        <v>-8.3233145288064136E-4</v>
      </c>
      <c r="F2302" s="266">
        <f t="shared" si="111"/>
        <v>2295</v>
      </c>
      <c r="G2302" s="230">
        <f t="shared" ca="1" si="110"/>
        <v>-5.9526142527278614E-3</v>
      </c>
    </row>
    <row r="2303" spans="2:7" x14ac:dyDescent="0.25">
      <c r="B2303" s="348" t="s">
        <v>1948</v>
      </c>
      <c r="C2303" s="293">
        <v>104.47</v>
      </c>
      <c r="D2303" s="230">
        <f t="shared" si="109"/>
        <v>1.5338893682292909E-3</v>
      </c>
      <c r="E2303" s="293">
        <v>-8.3363537513581054E-4</v>
      </c>
      <c r="F2303" s="266">
        <f t="shared" si="111"/>
        <v>2296</v>
      </c>
      <c r="G2303" s="230">
        <f t="shared" ca="1" si="110"/>
        <v>1.3502446491430247E-2</v>
      </c>
    </row>
    <row r="2304" spans="2:7" x14ac:dyDescent="0.25">
      <c r="B2304" s="348" t="s">
        <v>1949</v>
      </c>
      <c r="C2304" s="293">
        <v>104.31</v>
      </c>
      <c r="D2304" s="230">
        <f t="shared" si="109"/>
        <v>1.5362457993277623E-3</v>
      </c>
      <c r="E2304" s="293">
        <v>-8.4947332653750873E-4</v>
      </c>
      <c r="F2304" s="266">
        <f t="shared" si="111"/>
        <v>2297</v>
      </c>
      <c r="G2304" s="230">
        <f t="shared" ca="1" si="110"/>
        <v>1.7171722775880166E-2</v>
      </c>
    </row>
    <row r="2305" spans="2:7" x14ac:dyDescent="0.25">
      <c r="B2305" s="348" t="s">
        <v>1950</v>
      </c>
      <c r="C2305" s="293">
        <v>104.15</v>
      </c>
      <c r="D2305" s="230">
        <f t="shared" si="109"/>
        <v>-6.7165611207053999E-4</v>
      </c>
      <c r="E2305" s="293">
        <v>-8.5190969757209523E-4</v>
      </c>
      <c r="F2305" s="266">
        <f t="shared" si="111"/>
        <v>2298</v>
      </c>
      <c r="G2305" s="230">
        <f t="shared" ca="1" si="110"/>
        <v>-5.9672482060042853E-3</v>
      </c>
    </row>
    <row r="2306" spans="2:7" x14ac:dyDescent="0.25">
      <c r="B2306" s="348" t="s">
        <v>1951</v>
      </c>
      <c r="C2306" s="293">
        <v>104.22</v>
      </c>
      <c r="D2306" s="230">
        <f t="shared" si="109"/>
        <v>2.9833509768069089E-3</v>
      </c>
      <c r="E2306" s="293">
        <v>-8.534136546184401E-4</v>
      </c>
      <c r="F2306" s="266">
        <f t="shared" si="111"/>
        <v>2299</v>
      </c>
      <c r="G2306" s="230">
        <f t="shared" ca="1" si="110"/>
        <v>1.6596891964437741E-2</v>
      </c>
    </row>
    <row r="2307" spans="2:7" x14ac:dyDescent="0.25">
      <c r="B2307" s="348" t="s">
        <v>1952</v>
      </c>
      <c r="C2307" s="293">
        <v>103.91</v>
      </c>
      <c r="D2307" s="230">
        <f t="shared" si="109"/>
        <v>-3.452575045554851E-3</v>
      </c>
      <c r="E2307" s="293">
        <v>-8.5815244825837578E-4</v>
      </c>
      <c r="F2307" s="266">
        <f t="shared" si="111"/>
        <v>2300</v>
      </c>
      <c r="G2307" s="230">
        <f t="shared" ca="1" si="110"/>
        <v>7.9148264684243824E-3</v>
      </c>
    </row>
    <row r="2308" spans="2:7" x14ac:dyDescent="0.25">
      <c r="B2308" s="348" t="s">
        <v>1953</v>
      </c>
      <c r="C2308" s="293">
        <v>104.27</v>
      </c>
      <c r="D2308" s="230">
        <f t="shared" si="109"/>
        <v>2.1143680922632857E-3</v>
      </c>
      <c r="E2308" s="293">
        <v>-8.6368757040933275E-4</v>
      </c>
      <c r="F2308" s="266">
        <f t="shared" si="111"/>
        <v>2301</v>
      </c>
      <c r="G2308" s="230">
        <f t="shared" ca="1" si="110"/>
        <v>-6.0765404713284026E-3</v>
      </c>
    </row>
    <row r="2309" spans="2:7" x14ac:dyDescent="0.25">
      <c r="B2309" s="348" t="s">
        <v>1954</v>
      </c>
      <c r="C2309" s="293">
        <v>104.05</v>
      </c>
      <c r="D2309" s="230">
        <f t="shared" si="109"/>
        <v>-7.0617425326845451E-3</v>
      </c>
      <c r="E2309" s="293">
        <v>-8.7905062532467326E-4</v>
      </c>
      <c r="F2309" s="266">
        <f t="shared" si="111"/>
        <v>2302</v>
      </c>
      <c r="G2309" s="230">
        <f t="shared" ca="1" si="110"/>
        <v>-1.6059114798958003E-2</v>
      </c>
    </row>
    <row r="2310" spans="2:7" x14ac:dyDescent="0.25">
      <c r="B2310" s="348" t="s">
        <v>1955</v>
      </c>
      <c r="C2310" s="293">
        <v>104.79</v>
      </c>
      <c r="D2310" s="230">
        <f t="shared" si="109"/>
        <v>-1.4390519187358786E-2</v>
      </c>
      <c r="E2310" s="293">
        <v>-8.8122605363993856E-4</v>
      </c>
      <c r="F2310" s="266">
        <f t="shared" si="111"/>
        <v>2303</v>
      </c>
      <c r="G2310" s="230">
        <f t="shared" ca="1" si="110"/>
        <v>-5.1228111318249517E-3</v>
      </c>
    </row>
    <row r="2311" spans="2:7" x14ac:dyDescent="0.25">
      <c r="B2311" s="348" t="s">
        <v>1956</v>
      </c>
      <c r="C2311" s="293">
        <v>106.32</v>
      </c>
      <c r="D2311" s="230">
        <f t="shared" si="109"/>
        <v>1.9790783149560287E-3</v>
      </c>
      <c r="E2311" s="293">
        <v>-8.8446655610829872E-4</v>
      </c>
      <c r="F2311" s="266">
        <f t="shared" si="111"/>
        <v>2304</v>
      </c>
      <c r="G2311" s="230">
        <f t="shared" ca="1" si="110"/>
        <v>1.6320396207658502E-2</v>
      </c>
    </row>
    <row r="2312" spans="2:7" x14ac:dyDescent="0.25">
      <c r="B2312" s="348">
        <v>42320</v>
      </c>
      <c r="C2312" s="293">
        <v>106.11</v>
      </c>
      <c r="D2312" s="230">
        <f t="shared" si="109"/>
        <v>1.4156285390714007E-3</v>
      </c>
      <c r="E2312" s="293">
        <v>-8.8524952971114068E-4</v>
      </c>
      <c r="F2312" s="266">
        <f t="shared" si="111"/>
        <v>2305</v>
      </c>
      <c r="G2312" s="230">
        <f t="shared" ca="1" si="110"/>
        <v>-2.831063719320831E-2</v>
      </c>
    </row>
    <row r="2313" spans="2:7" x14ac:dyDescent="0.25">
      <c r="B2313" s="348">
        <v>42289</v>
      </c>
      <c r="C2313" s="293">
        <v>105.96</v>
      </c>
      <c r="D2313" s="230">
        <f t="shared" ref="D2313:D2376" si="112">C2313/C2314-1</f>
        <v>-2.8304557033687061E-4</v>
      </c>
      <c r="E2313" s="293">
        <v>-8.8668203582198402E-4</v>
      </c>
      <c r="F2313" s="266">
        <f t="shared" si="111"/>
        <v>2306</v>
      </c>
      <c r="G2313" s="230">
        <f t="shared" ref="G2313:G2376" ca="1" si="113">_xlfn.NORM.INV(RAND(),$M$10,$M$11)</f>
        <v>-2.0871445220081011E-2</v>
      </c>
    </row>
    <row r="2314" spans="2:7" x14ac:dyDescent="0.25">
      <c r="B2314" s="348">
        <v>42259</v>
      </c>
      <c r="C2314" s="293">
        <v>105.99</v>
      </c>
      <c r="D2314" s="230">
        <f t="shared" si="112"/>
        <v>-2.5409373235460997E-3</v>
      </c>
      <c r="E2314" s="293">
        <v>-8.9186176142697082E-4</v>
      </c>
      <c r="F2314" s="266">
        <f t="shared" ref="F2314:F2377" si="114">F2313+1</f>
        <v>2307</v>
      </c>
      <c r="G2314" s="230">
        <f t="shared" ca="1" si="113"/>
        <v>-1.4292962150792426E-2</v>
      </c>
    </row>
    <row r="2315" spans="2:7" x14ac:dyDescent="0.25">
      <c r="B2315" s="348">
        <v>42228</v>
      </c>
      <c r="C2315" s="293">
        <v>106.26</v>
      </c>
      <c r="D2315" s="230">
        <f t="shared" si="112"/>
        <v>-1.6202203499675938E-2</v>
      </c>
      <c r="E2315" s="293">
        <v>-9.0991810737028889E-4</v>
      </c>
      <c r="F2315" s="266">
        <f t="shared" si="114"/>
        <v>2308</v>
      </c>
      <c r="G2315" s="230">
        <f t="shared" ca="1" si="113"/>
        <v>-1.1390330499008443E-2</v>
      </c>
    </row>
    <row r="2316" spans="2:7" x14ac:dyDescent="0.25">
      <c r="B2316" s="348">
        <v>42197</v>
      </c>
      <c r="C2316" s="293">
        <v>108.01</v>
      </c>
      <c r="D2316" s="230">
        <f t="shared" si="112"/>
        <v>1.1898070076822309E-2</v>
      </c>
      <c r="E2316" s="293">
        <v>-9.1881055796860789E-4</v>
      </c>
      <c r="F2316" s="266">
        <f t="shared" si="114"/>
        <v>2309</v>
      </c>
      <c r="G2316" s="230">
        <f t="shared" ca="1" si="113"/>
        <v>1.6805459678182939E-3</v>
      </c>
    </row>
    <row r="2317" spans="2:7" x14ac:dyDescent="0.25">
      <c r="B2317" s="348">
        <v>42106</v>
      </c>
      <c r="C2317" s="293">
        <v>106.74</v>
      </c>
      <c r="D2317" s="230">
        <f t="shared" si="112"/>
        <v>-5.6823474615742553E-3</v>
      </c>
      <c r="E2317" s="293">
        <v>-9.1968117719176679E-4</v>
      </c>
      <c r="F2317" s="266">
        <f t="shared" si="114"/>
        <v>2310</v>
      </c>
      <c r="G2317" s="230">
        <f t="shared" ca="1" si="113"/>
        <v>4.0393973677759296E-3</v>
      </c>
    </row>
    <row r="2318" spans="2:7" x14ac:dyDescent="0.25">
      <c r="B2318" s="348">
        <v>42075</v>
      </c>
      <c r="C2318" s="293">
        <v>107.35</v>
      </c>
      <c r="D2318" s="230">
        <f t="shared" si="112"/>
        <v>-9.0464321979137896E-3</v>
      </c>
      <c r="E2318" s="293">
        <v>-9.4152107961087417E-4</v>
      </c>
      <c r="F2318" s="266">
        <f t="shared" si="114"/>
        <v>2311</v>
      </c>
      <c r="G2318" s="230">
        <f t="shared" ca="1" si="113"/>
        <v>-1.2175649107939879E-3</v>
      </c>
    </row>
    <row r="2319" spans="2:7" x14ac:dyDescent="0.25">
      <c r="B2319" s="348">
        <v>42047</v>
      </c>
      <c r="C2319" s="293">
        <v>108.33</v>
      </c>
      <c r="D2319" s="230">
        <f t="shared" si="112"/>
        <v>-7.2397360703813085E-3</v>
      </c>
      <c r="E2319" s="293">
        <v>-9.4848242811496064E-4</v>
      </c>
      <c r="F2319" s="266">
        <f t="shared" si="114"/>
        <v>2312</v>
      </c>
      <c r="G2319" s="230">
        <f t="shared" ca="1" si="113"/>
        <v>-2.559291247500152E-2</v>
      </c>
    </row>
    <row r="2320" spans="2:7" x14ac:dyDescent="0.25">
      <c r="B2320" s="348">
        <v>42016</v>
      </c>
      <c r="C2320" s="293">
        <v>109.12</v>
      </c>
      <c r="D2320" s="230">
        <f t="shared" si="112"/>
        <v>1.5164201321053117E-2</v>
      </c>
      <c r="E2320" s="293">
        <v>-9.4901216461051874E-4</v>
      </c>
      <c r="F2320" s="266">
        <f t="shared" si="114"/>
        <v>2313</v>
      </c>
      <c r="G2320" s="230">
        <f t="shared" ca="1" si="113"/>
        <v>-2.621608226734902E-2</v>
      </c>
    </row>
    <row r="2321" spans="2:7" x14ac:dyDescent="0.25">
      <c r="B2321" s="348" t="s">
        <v>1957</v>
      </c>
      <c r="C2321" s="293">
        <v>107.49</v>
      </c>
      <c r="D2321" s="230">
        <f t="shared" si="112"/>
        <v>5.8014410030877706E-3</v>
      </c>
      <c r="E2321" s="293">
        <v>-9.6907049987893235E-4</v>
      </c>
      <c r="F2321" s="266">
        <f t="shared" si="114"/>
        <v>2314</v>
      </c>
      <c r="G2321" s="230">
        <f t="shared" ca="1" si="113"/>
        <v>2.5933771449686054E-2</v>
      </c>
    </row>
    <row r="2322" spans="2:7" x14ac:dyDescent="0.25">
      <c r="B2322" s="348" t="s">
        <v>1958</v>
      </c>
      <c r="C2322" s="293">
        <v>106.87</v>
      </c>
      <c r="D2322" s="230">
        <f t="shared" si="112"/>
        <v>8.4285446712861756E-4</v>
      </c>
      <c r="E2322" s="293">
        <v>-9.7809076682309204E-4</v>
      </c>
      <c r="F2322" s="266">
        <f t="shared" si="114"/>
        <v>2315</v>
      </c>
      <c r="G2322" s="230">
        <f t="shared" ca="1" si="113"/>
        <v>1.2391733925408739E-2</v>
      </c>
    </row>
    <row r="2323" spans="2:7" x14ac:dyDescent="0.25">
      <c r="B2323" s="348" t="s">
        <v>1959</v>
      </c>
      <c r="C2323" s="293">
        <v>106.78</v>
      </c>
      <c r="D2323" s="230">
        <f t="shared" si="112"/>
        <v>1.0026485054861922E-2</v>
      </c>
      <c r="E2323" s="293">
        <v>-9.8280098280090211E-4</v>
      </c>
      <c r="F2323" s="266">
        <f t="shared" si="114"/>
        <v>2316</v>
      </c>
      <c r="G2323" s="230">
        <f t="shared" ca="1" si="113"/>
        <v>2.5047905904676815E-2</v>
      </c>
    </row>
    <row r="2324" spans="2:7" x14ac:dyDescent="0.25">
      <c r="B2324" s="348" t="s">
        <v>1960</v>
      </c>
      <c r="C2324" s="293">
        <v>105.72</v>
      </c>
      <c r="D2324" s="230">
        <f t="shared" si="112"/>
        <v>-1.0945832163906877E-2</v>
      </c>
      <c r="E2324" s="293">
        <v>-9.9230960059537576E-4</v>
      </c>
      <c r="F2324" s="266">
        <f t="shared" si="114"/>
        <v>2317</v>
      </c>
      <c r="G2324" s="230">
        <f t="shared" ca="1" si="113"/>
        <v>-5.2789193667269708E-3</v>
      </c>
    </row>
    <row r="2325" spans="2:7" x14ac:dyDescent="0.25">
      <c r="B2325" s="348" t="s">
        <v>1961</v>
      </c>
      <c r="C2325" s="293">
        <v>106.89</v>
      </c>
      <c r="D2325" s="230">
        <f t="shared" si="112"/>
        <v>6.5530799475754797E-4</v>
      </c>
      <c r="E2325" s="293">
        <v>-9.9532198666263394E-4</v>
      </c>
      <c r="F2325" s="266">
        <f t="shared" si="114"/>
        <v>2318</v>
      </c>
      <c r="G2325" s="230">
        <f t="shared" ca="1" si="113"/>
        <v>-2.0305154418048699E-2</v>
      </c>
    </row>
    <row r="2326" spans="2:7" x14ac:dyDescent="0.25">
      <c r="B2326" s="348" t="s">
        <v>1962</v>
      </c>
      <c r="C2326" s="293">
        <v>106.82</v>
      </c>
      <c r="D2326" s="230">
        <f t="shared" si="112"/>
        <v>2.3278091771242293E-2</v>
      </c>
      <c r="E2326" s="293">
        <v>-9.9927325581394832E-4</v>
      </c>
      <c r="F2326" s="266">
        <f t="shared" si="114"/>
        <v>2319</v>
      </c>
      <c r="G2326" s="230">
        <f t="shared" ca="1" si="113"/>
        <v>-4.3506234525268793E-3</v>
      </c>
    </row>
    <row r="2327" spans="2:7" x14ac:dyDescent="0.25">
      <c r="B2327" s="348" t="s">
        <v>1963</v>
      </c>
      <c r="C2327" s="293">
        <v>104.39</v>
      </c>
      <c r="D2327" s="230">
        <f t="shared" si="112"/>
        <v>4.3294208197037776E-3</v>
      </c>
      <c r="E2327" s="293">
        <v>-1.0018214936248215E-3</v>
      </c>
      <c r="F2327" s="266">
        <f t="shared" si="114"/>
        <v>2320</v>
      </c>
      <c r="G2327" s="230">
        <f t="shared" ca="1" si="113"/>
        <v>6.6869338324137299E-3</v>
      </c>
    </row>
    <row r="2328" spans="2:7" x14ac:dyDescent="0.25">
      <c r="B2328" s="348" t="s">
        <v>1964</v>
      </c>
      <c r="C2328" s="293">
        <v>103.94</v>
      </c>
      <c r="D2328" s="230">
        <f t="shared" si="112"/>
        <v>-2.686624448282493E-3</v>
      </c>
      <c r="E2328" s="293">
        <v>-1.0116337885686111E-3</v>
      </c>
      <c r="F2328" s="266">
        <f t="shared" si="114"/>
        <v>2321</v>
      </c>
      <c r="G2328" s="230">
        <f t="shared" ca="1" si="113"/>
        <v>9.9380023611896576E-3</v>
      </c>
    </row>
    <row r="2329" spans="2:7" x14ac:dyDescent="0.25">
      <c r="B2329" s="348" t="s">
        <v>1965</v>
      </c>
      <c r="C2329" s="293">
        <v>104.22</v>
      </c>
      <c r="D2329" s="230">
        <f t="shared" si="112"/>
        <v>4.2397379071110741E-3</v>
      </c>
      <c r="E2329" s="293">
        <v>-1.0127314814816213E-3</v>
      </c>
      <c r="F2329" s="266">
        <f t="shared" si="114"/>
        <v>2322</v>
      </c>
      <c r="G2329" s="230">
        <f t="shared" ca="1" si="113"/>
        <v>1.4589408397274234E-2</v>
      </c>
    </row>
    <row r="2330" spans="2:7" x14ac:dyDescent="0.25">
      <c r="B2330" s="348" t="s">
        <v>1966</v>
      </c>
      <c r="C2330" s="293">
        <v>103.78</v>
      </c>
      <c r="D2330" s="230">
        <f t="shared" si="112"/>
        <v>3.5779905231603237E-3</v>
      </c>
      <c r="E2330" s="293">
        <v>-1.0136847440445074E-3</v>
      </c>
      <c r="F2330" s="266">
        <f t="shared" si="114"/>
        <v>2323</v>
      </c>
      <c r="G2330" s="230">
        <f t="shared" ca="1" si="113"/>
        <v>6.4224786392740795E-3</v>
      </c>
    </row>
    <row r="2331" spans="2:7" x14ac:dyDescent="0.25">
      <c r="B2331" s="348" t="s">
        <v>1967</v>
      </c>
      <c r="C2331" s="293">
        <v>103.41</v>
      </c>
      <c r="D2331" s="230">
        <f t="shared" si="112"/>
        <v>-8.9131684876366801E-3</v>
      </c>
      <c r="E2331" s="293">
        <v>-1.0206685378921776E-3</v>
      </c>
      <c r="F2331" s="266">
        <f t="shared" si="114"/>
        <v>2324</v>
      </c>
      <c r="G2331" s="230">
        <f t="shared" ca="1" si="113"/>
        <v>-2.1441284112027406E-2</v>
      </c>
    </row>
    <row r="2332" spans="2:7" x14ac:dyDescent="0.25">
      <c r="B2332" s="348">
        <v>42319</v>
      </c>
      <c r="C2332" s="293">
        <v>104.34</v>
      </c>
      <c r="D2332" s="230">
        <f t="shared" si="112"/>
        <v>7.6731248801076291E-4</v>
      </c>
      <c r="E2332" s="293">
        <v>-1.0256410256410664E-3</v>
      </c>
      <c r="F2332" s="266">
        <f t="shared" si="114"/>
        <v>2325</v>
      </c>
      <c r="G2332" s="230">
        <f t="shared" ca="1" si="113"/>
        <v>-3.6660247945190322E-2</v>
      </c>
    </row>
    <row r="2333" spans="2:7" x14ac:dyDescent="0.25">
      <c r="B2333" s="348">
        <v>42288</v>
      </c>
      <c r="C2333" s="293">
        <v>104.26</v>
      </c>
      <c r="D2333" s="230">
        <f t="shared" si="112"/>
        <v>-7.5202284626367799E-3</v>
      </c>
      <c r="E2333" s="293">
        <v>-1.0570824524313016E-3</v>
      </c>
      <c r="F2333" s="266">
        <f t="shared" si="114"/>
        <v>2326</v>
      </c>
      <c r="G2333" s="230">
        <f t="shared" ca="1" si="113"/>
        <v>-2.9289664846543109E-3</v>
      </c>
    </row>
    <row r="2334" spans="2:7" x14ac:dyDescent="0.25">
      <c r="B2334" s="348">
        <v>42258</v>
      </c>
      <c r="C2334" s="293">
        <v>105.05</v>
      </c>
      <c r="D2334" s="230">
        <f t="shared" si="112"/>
        <v>-1.7030036492935441E-2</v>
      </c>
      <c r="E2334" s="293">
        <v>-1.0582010582009804E-3</v>
      </c>
      <c r="F2334" s="266">
        <f t="shared" si="114"/>
        <v>2327</v>
      </c>
      <c r="G2334" s="230">
        <f t="shared" ca="1" si="113"/>
        <v>-1.0215124465496928E-2</v>
      </c>
    </row>
    <row r="2335" spans="2:7" x14ac:dyDescent="0.25">
      <c r="B2335" s="348">
        <v>42166</v>
      </c>
      <c r="C2335" s="293">
        <v>106.87</v>
      </c>
      <c r="D2335" s="230">
        <f t="shared" si="112"/>
        <v>-1.4949079697280654E-3</v>
      </c>
      <c r="E2335" s="293">
        <v>-1.064153238066412E-3</v>
      </c>
      <c r="F2335" s="266">
        <f t="shared" si="114"/>
        <v>2328</v>
      </c>
      <c r="G2335" s="230">
        <f t="shared" ca="1" si="113"/>
        <v>-2.0886421196122718E-2</v>
      </c>
    </row>
    <row r="2336" spans="2:7" x14ac:dyDescent="0.25">
      <c r="B2336" s="348">
        <v>42135</v>
      </c>
      <c r="C2336" s="293">
        <v>107.03</v>
      </c>
      <c r="D2336" s="230">
        <f t="shared" si="112"/>
        <v>-3.9087947882736618E-3</v>
      </c>
      <c r="E2336" s="293">
        <v>-1.0643523825117907E-3</v>
      </c>
      <c r="F2336" s="266">
        <f t="shared" si="114"/>
        <v>2329</v>
      </c>
      <c r="G2336" s="230">
        <f t="shared" ca="1" si="113"/>
        <v>-1.0585885876570188E-2</v>
      </c>
    </row>
    <row r="2337" spans="2:7" x14ac:dyDescent="0.25">
      <c r="B2337" s="348">
        <v>42105</v>
      </c>
      <c r="C2337" s="293">
        <v>107.45</v>
      </c>
      <c r="D2337" s="230">
        <f t="shared" si="112"/>
        <v>-2.0432803937958655E-3</v>
      </c>
      <c r="E2337" s="293">
        <v>-1.0645266950540799E-3</v>
      </c>
      <c r="F2337" s="266">
        <f t="shared" si="114"/>
        <v>2330</v>
      </c>
      <c r="G2337" s="230">
        <f t="shared" ca="1" si="113"/>
        <v>2.3484979639652057E-2</v>
      </c>
    </row>
    <row r="2338" spans="2:7" x14ac:dyDescent="0.25">
      <c r="B2338" s="348">
        <v>42074</v>
      </c>
      <c r="C2338" s="293">
        <v>107.67</v>
      </c>
      <c r="D2338" s="230">
        <f t="shared" si="112"/>
        <v>-1.5764094955489361E-3</v>
      </c>
      <c r="E2338" s="293">
        <v>-1.0758998435054234E-3</v>
      </c>
      <c r="F2338" s="266">
        <f t="shared" si="114"/>
        <v>2331</v>
      </c>
      <c r="G2338" s="230">
        <f t="shared" ca="1" si="113"/>
        <v>1.9774834943512384E-2</v>
      </c>
    </row>
    <row r="2339" spans="2:7" x14ac:dyDescent="0.25">
      <c r="B2339" s="348">
        <v>42046</v>
      </c>
      <c r="C2339" s="293">
        <v>107.84</v>
      </c>
      <c r="D2339" s="230">
        <f t="shared" si="112"/>
        <v>4.0033516432362859E-3</v>
      </c>
      <c r="E2339" s="293">
        <v>-1.0795250089958852E-3</v>
      </c>
      <c r="F2339" s="266">
        <f t="shared" si="114"/>
        <v>2332</v>
      </c>
      <c r="G2339" s="230">
        <f t="shared" ca="1" si="113"/>
        <v>-3.8789015071583124E-3</v>
      </c>
    </row>
    <row r="2340" spans="2:7" x14ac:dyDescent="0.25">
      <c r="B2340" s="348" t="s">
        <v>1968</v>
      </c>
      <c r="C2340" s="293">
        <v>107.41</v>
      </c>
      <c r="D2340" s="230">
        <f t="shared" si="112"/>
        <v>-3.0629292741786163E-3</v>
      </c>
      <c r="E2340" s="293">
        <v>-1.0798429319373026E-3</v>
      </c>
      <c r="F2340" s="266">
        <f t="shared" si="114"/>
        <v>2333</v>
      </c>
      <c r="G2340" s="230">
        <f t="shared" ca="1" si="113"/>
        <v>1.0827684557466481E-3</v>
      </c>
    </row>
    <row r="2341" spans="2:7" x14ac:dyDescent="0.25">
      <c r="B2341" s="348" t="s">
        <v>1969</v>
      </c>
      <c r="C2341" s="293">
        <v>107.74</v>
      </c>
      <c r="D2341" s="230">
        <f t="shared" si="112"/>
        <v>-5.9051485513932356E-3</v>
      </c>
      <c r="E2341" s="293">
        <v>-1.0830625676914174E-3</v>
      </c>
      <c r="F2341" s="266">
        <f t="shared" si="114"/>
        <v>2334</v>
      </c>
      <c r="G2341" s="230">
        <f t="shared" ca="1" si="113"/>
        <v>4.2910325025952996E-2</v>
      </c>
    </row>
    <row r="2342" spans="2:7" x14ac:dyDescent="0.25">
      <c r="B2342" s="348" t="s">
        <v>1970</v>
      </c>
      <c r="C2342" s="293">
        <v>108.38</v>
      </c>
      <c r="D2342" s="230">
        <f t="shared" si="112"/>
        <v>5.1006213484188212E-3</v>
      </c>
      <c r="E2342" s="293">
        <v>-1.0845986984815426E-3</v>
      </c>
      <c r="F2342" s="266">
        <f t="shared" si="114"/>
        <v>2335</v>
      </c>
      <c r="G2342" s="230">
        <f t="shared" ca="1" si="113"/>
        <v>7.5964276369783574E-3</v>
      </c>
    </row>
    <row r="2343" spans="2:7" x14ac:dyDescent="0.25">
      <c r="B2343" s="348" t="s">
        <v>1971</v>
      </c>
      <c r="C2343" s="293">
        <v>107.83</v>
      </c>
      <c r="D2343" s="230">
        <f t="shared" si="112"/>
        <v>1.0590440487347585E-2</v>
      </c>
      <c r="E2343" s="293">
        <v>-1.0860979462875564E-3</v>
      </c>
      <c r="F2343" s="266">
        <f t="shared" si="114"/>
        <v>2336</v>
      </c>
      <c r="G2343" s="230">
        <f t="shared" ca="1" si="113"/>
        <v>2.7057783481617158E-2</v>
      </c>
    </row>
    <row r="2344" spans="2:7" x14ac:dyDescent="0.25">
      <c r="B2344" s="348" t="s">
        <v>1972</v>
      </c>
      <c r="C2344" s="293">
        <v>106.7</v>
      </c>
      <c r="D2344" s="230">
        <f t="shared" si="112"/>
        <v>2.3485204321278541E-3</v>
      </c>
      <c r="E2344" s="293">
        <v>-1.1014428901862106E-3</v>
      </c>
      <c r="F2344" s="266">
        <f t="shared" si="114"/>
        <v>2337</v>
      </c>
      <c r="G2344" s="230">
        <f t="shared" ca="1" si="113"/>
        <v>1.4067689972601926E-2</v>
      </c>
    </row>
    <row r="2345" spans="2:7" x14ac:dyDescent="0.25">
      <c r="B2345" s="348" t="s">
        <v>1973</v>
      </c>
      <c r="C2345" s="293">
        <v>106.45</v>
      </c>
      <c r="D2345" s="230">
        <f t="shared" si="112"/>
        <v>-1.7535763728657061E-2</v>
      </c>
      <c r="E2345" s="293">
        <v>-1.1014833308856664E-3</v>
      </c>
      <c r="F2345" s="266">
        <f t="shared" si="114"/>
        <v>2338</v>
      </c>
      <c r="G2345" s="230">
        <f t="shared" ca="1" si="113"/>
        <v>-4.4136321217963487E-2</v>
      </c>
    </row>
    <row r="2346" spans="2:7" x14ac:dyDescent="0.25">
      <c r="B2346" s="348" t="s">
        <v>1974</v>
      </c>
      <c r="C2346" s="293">
        <v>108.35</v>
      </c>
      <c r="D2346" s="230">
        <f t="shared" si="112"/>
        <v>1.0633336442495978E-2</v>
      </c>
      <c r="E2346" s="293">
        <v>-1.1319534282017152E-3</v>
      </c>
      <c r="F2346" s="266">
        <f t="shared" si="114"/>
        <v>2339</v>
      </c>
      <c r="G2346" s="230">
        <f t="shared" ca="1" si="113"/>
        <v>1.4278675383056801E-2</v>
      </c>
    </row>
    <row r="2347" spans="2:7" x14ac:dyDescent="0.25">
      <c r="B2347" s="348" t="s">
        <v>1975</v>
      </c>
      <c r="C2347" s="293">
        <v>107.21</v>
      </c>
      <c r="D2347" s="230">
        <f t="shared" si="112"/>
        <v>-9.9732200572537621E-3</v>
      </c>
      <c r="E2347" s="293">
        <v>-1.1329305135951984E-3</v>
      </c>
      <c r="F2347" s="266">
        <f t="shared" si="114"/>
        <v>2340</v>
      </c>
      <c r="G2347" s="230">
        <f t="shared" ca="1" si="113"/>
        <v>5.4853289687850776E-3</v>
      </c>
    </row>
    <row r="2348" spans="2:7" x14ac:dyDescent="0.25">
      <c r="B2348" s="348" t="s">
        <v>1976</v>
      </c>
      <c r="C2348" s="293">
        <v>108.29</v>
      </c>
      <c r="D2348" s="230">
        <f t="shared" si="112"/>
        <v>3.6951501154747213E-4</v>
      </c>
      <c r="E2348" s="293">
        <v>-1.1342155009451682E-3</v>
      </c>
      <c r="F2348" s="266">
        <f t="shared" si="114"/>
        <v>2341</v>
      </c>
      <c r="G2348" s="230">
        <f t="shared" ca="1" si="113"/>
        <v>-1.80765526669526E-2</v>
      </c>
    </row>
    <row r="2349" spans="2:7" x14ac:dyDescent="0.25">
      <c r="B2349" s="348" t="s">
        <v>1977</v>
      </c>
      <c r="C2349" s="293">
        <v>108.25</v>
      </c>
      <c r="D2349" s="230">
        <f t="shared" si="112"/>
        <v>3.6965160336399627E-4</v>
      </c>
      <c r="E2349" s="293">
        <v>-1.1420265780730521E-3</v>
      </c>
      <c r="F2349" s="266">
        <f t="shared" si="114"/>
        <v>2342</v>
      </c>
      <c r="G2349" s="230">
        <f t="shared" ca="1" si="113"/>
        <v>-8.7340719126608197E-3</v>
      </c>
    </row>
    <row r="2350" spans="2:7" x14ac:dyDescent="0.25">
      <c r="B2350" s="348" t="s">
        <v>1978</v>
      </c>
      <c r="C2350" s="293">
        <v>108.21</v>
      </c>
      <c r="D2350" s="230">
        <f t="shared" si="112"/>
        <v>-9.881965413121141E-3</v>
      </c>
      <c r="E2350" s="293">
        <v>-1.1477761836441447E-3</v>
      </c>
      <c r="F2350" s="266">
        <f t="shared" si="114"/>
        <v>2343</v>
      </c>
      <c r="G2350" s="230">
        <f t="shared" ca="1" si="113"/>
        <v>6.6767352723881247E-3</v>
      </c>
    </row>
    <row r="2351" spans="2:7" x14ac:dyDescent="0.25">
      <c r="B2351" s="348" t="s">
        <v>1979</v>
      </c>
      <c r="C2351" s="293">
        <v>109.29</v>
      </c>
      <c r="D2351" s="230">
        <f t="shared" si="112"/>
        <v>-4.1913439635534733E-3</v>
      </c>
      <c r="E2351" s="293">
        <v>-1.1629259216187071E-3</v>
      </c>
      <c r="F2351" s="266">
        <f t="shared" si="114"/>
        <v>2344</v>
      </c>
      <c r="G2351" s="230">
        <f t="shared" ca="1" si="113"/>
        <v>1.4149725483162191E-2</v>
      </c>
    </row>
    <row r="2352" spans="2:7" x14ac:dyDescent="0.25">
      <c r="B2352" s="348" t="s">
        <v>1980</v>
      </c>
      <c r="C2352" s="293">
        <v>109.75</v>
      </c>
      <c r="D2352" s="230">
        <f t="shared" si="112"/>
        <v>2.3746460864007002E-3</v>
      </c>
      <c r="E2352" s="293">
        <v>-1.175855761693323E-3</v>
      </c>
      <c r="F2352" s="266">
        <f t="shared" si="114"/>
        <v>2345</v>
      </c>
      <c r="G2352" s="230">
        <f t="shared" ca="1" si="113"/>
        <v>-3.626751775086192E-2</v>
      </c>
    </row>
    <row r="2353" spans="2:7" x14ac:dyDescent="0.25">
      <c r="B2353" s="348">
        <v>42348</v>
      </c>
      <c r="C2353" s="293">
        <v>109.49</v>
      </c>
      <c r="D2353" s="230">
        <f t="shared" si="112"/>
        <v>-1.4225263347438566E-2</v>
      </c>
      <c r="E2353" s="293">
        <v>-1.177749592317423E-3</v>
      </c>
      <c r="F2353" s="266">
        <f t="shared" si="114"/>
        <v>2346</v>
      </c>
      <c r="G2353" s="230">
        <f t="shared" ca="1" si="113"/>
        <v>7.5173057912060757E-3</v>
      </c>
    </row>
    <row r="2354" spans="2:7" x14ac:dyDescent="0.25">
      <c r="B2354" s="348">
        <v>42257</v>
      </c>
      <c r="C2354" s="293">
        <v>111.07</v>
      </c>
      <c r="D2354" s="230">
        <f t="shared" si="112"/>
        <v>4.3403562709105614E-3</v>
      </c>
      <c r="E2354" s="293">
        <v>-1.1780104712042494E-3</v>
      </c>
      <c r="F2354" s="266">
        <f t="shared" si="114"/>
        <v>2347</v>
      </c>
      <c r="G2354" s="230">
        <f t="shared" ca="1" si="113"/>
        <v>-1.8518655484761372E-2</v>
      </c>
    </row>
    <row r="2355" spans="2:7" x14ac:dyDescent="0.25">
      <c r="B2355" s="348">
        <v>42226</v>
      </c>
      <c r="C2355" s="293">
        <v>110.59</v>
      </c>
      <c r="D2355" s="230">
        <f t="shared" si="112"/>
        <v>1.6302871116746775E-3</v>
      </c>
      <c r="E2355" s="293">
        <v>-1.1834319526627946E-3</v>
      </c>
      <c r="F2355" s="266">
        <f t="shared" si="114"/>
        <v>2348</v>
      </c>
      <c r="G2355" s="230">
        <f t="shared" ca="1" si="113"/>
        <v>9.3320379472458231E-3</v>
      </c>
    </row>
    <row r="2356" spans="2:7" x14ac:dyDescent="0.25">
      <c r="B2356" s="348">
        <v>42195</v>
      </c>
      <c r="C2356" s="293">
        <v>110.41</v>
      </c>
      <c r="D2356" s="230">
        <f t="shared" si="112"/>
        <v>-1.752980957465744E-2</v>
      </c>
      <c r="E2356" s="293">
        <v>-1.1936735302895407E-3</v>
      </c>
      <c r="F2356" s="266">
        <f t="shared" si="114"/>
        <v>2349</v>
      </c>
      <c r="G2356" s="230">
        <f t="shared" ca="1" si="113"/>
        <v>-4.0383689763801708E-3</v>
      </c>
    </row>
    <row r="2357" spans="2:7" x14ac:dyDescent="0.25">
      <c r="B2357" s="348">
        <v>42165</v>
      </c>
      <c r="C2357" s="293">
        <v>112.38</v>
      </c>
      <c r="D2357" s="230">
        <f t="shared" si="112"/>
        <v>-1.5991471215351938E-3</v>
      </c>
      <c r="E2357" s="293">
        <v>-1.1940013372815361E-3</v>
      </c>
      <c r="F2357" s="266">
        <f t="shared" si="114"/>
        <v>2350</v>
      </c>
      <c r="G2357" s="230">
        <f t="shared" ca="1" si="113"/>
        <v>4.2465196893655289E-3</v>
      </c>
    </row>
    <row r="2358" spans="2:7" x14ac:dyDescent="0.25">
      <c r="B2358" s="348">
        <v>42134</v>
      </c>
      <c r="C2358" s="293">
        <v>112.56</v>
      </c>
      <c r="D2358" s="230">
        <f t="shared" si="112"/>
        <v>9.7821253890617577E-4</v>
      </c>
      <c r="E2358" s="293">
        <v>-1.2000768049155175E-3</v>
      </c>
      <c r="F2358" s="266">
        <f t="shared" si="114"/>
        <v>2351</v>
      </c>
      <c r="G2358" s="230">
        <f t="shared" ca="1" si="113"/>
        <v>7.911582126315219E-3</v>
      </c>
    </row>
    <row r="2359" spans="2:7" x14ac:dyDescent="0.25">
      <c r="B2359" s="348">
        <v>42014</v>
      </c>
      <c r="C2359" s="293">
        <v>112.45</v>
      </c>
      <c r="D2359" s="230">
        <f t="shared" si="112"/>
        <v>3.122212310437078E-3</v>
      </c>
      <c r="E2359" s="293">
        <v>-1.204707626725976E-3</v>
      </c>
      <c r="F2359" s="266">
        <f t="shared" si="114"/>
        <v>2352</v>
      </c>
      <c r="G2359" s="230">
        <f t="shared" ca="1" si="113"/>
        <v>-2.0741368235391515E-2</v>
      </c>
    </row>
    <row r="2360" spans="2:7" x14ac:dyDescent="0.25">
      <c r="B2360" s="348" t="s">
        <v>1981</v>
      </c>
      <c r="C2360" s="293">
        <v>112.1</v>
      </c>
      <c r="D2360" s="230">
        <f t="shared" si="112"/>
        <v>1.6226996645816172E-2</v>
      </c>
      <c r="E2360" s="293">
        <v>-1.2096077414895934E-3</v>
      </c>
      <c r="F2360" s="266">
        <f t="shared" si="114"/>
        <v>2353</v>
      </c>
      <c r="G2360" s="230">
        <f t="shared" ca="1" si="113"/>
        <v>-2.1099893397230414E-3</v>
      </c>
    </row>
    <row r="2361" spans="2:7" x14ac:dyDescent="0.25">
      <c r="B2361" s="348" t="s">
        <v>1982</v>
      </c>
      <c r="C2361" s="293">
        <v>110.31</v>
      </c>
      <c r="D2361" s="230">
        <f t="shared" si="112"/>
        <v>-7.8251484079870925E-3</v>
      </c>
      <c r="E2361" s="293">
        <v>-1.215312943082747E-3</v>
      </c>
      <c r="F2361" s="266">
        <f t="shared" si="114"/>
        <v>2354</v>
      </c>
      <c r="G2361" s="230">
        <f t="shared" ca="1" si="113"/>
        <v>8.5596070772663586E-3</v>
      </c>
    </row>
    <row r="2362" spans="2:7" x14ac:dyDescent="0.25">
      <c r="B2362" s="348" t="s">
        <v>1983</v>
      </c>
      <c r="C2362" s="293">
        <v>111.18</v>
      </c>
      <c r="D2362" s="230">
        <f t="shared" si="112"/>
        <v>-1.6715309100557074E-2</v>
      </c>
      <c r="E2362" s="293">
        <v>-1.2311771948102512E-3</v>
      </c>
      <c r="F2362" s="266">
        <f t="shared" si="114"/>
        <v>2355</v>
      </c>
      <c r="G2362" s="230">
        <f t="shared" ca="1" si="113"/>
        <v>2.0109504694007449E-3</v>
      </c>
    </row>
    <row r="2363" spans="2:7" x14ac:dyDescent="0.25">
      <c r="B2363" s="348" t="s">
        <v>1984</v>
      </c>
      <c r="C2363" s="293">
        <v>113.07</v>
      </c>
      <c r="D2363" s="230">
        <f t="shared" si="112"/>
        <v>2.0763744696217445E-2</v>
      </c>
      <c r="E2363" s="293">
        <v>-1.2326200571936008E-3</v>
      </c>
      <c r="F2363" s="266">
        <f t="shared" si="114"/>
        <v>2356</v>
      </c>
      <c r="G2363" s="230">
        <f t="shared" ca="1" si="113"/>
        <v>-1.1091760994441703E-2</v>
      </c>
    </row>
    <row r="2364" spans="2:7" x14ac:dyDescent="0.25">
      <c r="B2364" s="348" t="s">
        <v>1985</v>
      </c>
      <c r="C2364" s="293">
        <v>110.77</v>
      </c>
      <c r="D2364" s="230">
        <f t="shared" si="112"/>
        <v>-8.5921417703392899E-3</v>
      </c>
      <c r="E2364" s="293">
        <v>-1.2570710245127792E-3</v>
      </c>
      <c r="F2364" s="266">
        <f t="shared" si="114"/>
        <v>2357</v>
      </c>
      <c r="G2364" s="230">
        <f t="shared" ca="1" si="113"/>
        <v>3.316724850800686E-3</v>
      </c>
    </row>
    <row r="2365" spans="2:7" x14ac:dyDescent="0.25">
      <c r="B2365" s="348" t="s">
        <v>1986</v>
      </c>
      <c r="C2365" s="293">
        <v>111.73</v>
      </c>
      <c r="D2365" s="230">
        <f t="shared" si="112"/>
        <v>6.2139769452449478E-3</v>
      </c>
      <c r="E2365" s="293">
        <v>-1.2746069961762085E-3</v>
      </c>
      <c r="F2365" s="266">
        <f t="shared" si="114"/>
        <v>2358</v>
      </c>
      <c r="G2365" s="230">
        <f t="shared" ca="1" si="113"/>
        <v>-1.0948312468421914E-2</v>
      </c>
    </row>
    <row r="2366" spans="2:7" x14ac:dyDescent="0.25">
      <c r="B2366" s="348" t="s">
        <v>1987</v>
      </c>
      <c r="C2366" s="293">
        <v>111.04</v>
      </c>
      <c r="D2366" s="230">
        <f t="shared" si="112"/>
        <v>3.6036036036035668E-4</v>
      </c>
      <c r="E2366" s="293">
        <v>-1.2801365478983806E-3</v>
      </c>
      <c r="F2366" s="266">
        <f t="shared" si="114"/>
        <v>2359</v>
      </c>
      <c r="G2366" s="230">
        <f t="shared" ca="1" si="113"/>
        <v>1.8689813931632854E-2</v>
      </c>
    </row>
    <row r="2367" spans="2:7" x14ac:dyDescent="0.25">
      <c r="B2367" s="348" t="s">
        <v>1988</v>
      </c>
      <c r="C2367" s="293">
        <v>111</v>
      </c>
      <c r="D2367" s="230">
        <f t="shared" si="112"/>
        <v>1.9751952227836433E-2</v>
      </c>
      <c r="E2367" s="293">
        <v>-1.2946180876641789E-3</v>
      </c>
      <c r="F2367" s="266">
        <f t="shared" si="114"/>
        <v>2360</v>
      </c>
      <c r="G2367" s="230">
        <f t="shared" ca="1" si="113"/>
        <v>2.3831350940917294E-3</v>
      </c>
    </row>
    <row r="2368" spans="2:7" x14ac:dyDescent="0.25">
      <c r="B2368" s="348" t="s">
        <v>1989</v>
      </c>
      <c r="C2368" s="293">
        <v>108.85</v>
      </c>
      <c r="D2368" s="230">
        <f t="shared" si="112"/>
        <v>1.862249672468641E-2</v>
      </c>
      <c r="E2368" s="293">
        <v>-1.3179089178504411E-3</v>
      </c>
      <c r="F2368" s="266">
        <f t="shared" si="114"/>
        <v>2361</v>
      </c>
      <c r="G2368" s="230">
        <f t="shared" ca="1" si="113"/>
        <v>4.8631800922896437E-3</v>
      </c>
    </row>
    <row r="2369" spans="2:7" x14ac:dyDescent="0.25">
      <c r="B2369" s="348" t="s">
        <v>1990</v>
      </c>
      <c r="C2369" s="293">
        <v>106.86</v>
      </c>
      <c r="D2369" s="230">
        <f t="shared" si="112"/>
        <v>-2.9856316476954969E-3</v>
      </c>
      <c r="E2369" s="293">
        <v>-1.3416815742397503E-3</v>
      </c>
      <c r="F2369" s="266">
        <f t="shared" si="114"/>
        <v>2362</v>
      </c>
      <c r="G2369" s="230">
        <f t="shared" ca="1" si="113"/>
        <v>-1.8702638464041174E-2</v>
      </c>
    </row>
    <row r="2370" spans="2:7" x14ac:dyDescent="0.25">
      <c r="B2370" s="348" t="s">
        <v>1991</v>
      </c>
      <c r="C2370" s="293">
        <v>107.18</v>
      </c>
      <c r="D2370" s="230">
        <f t="shared" si="112"/>
        <v>2.2417246971286886E-2</v>
      </c>
      <c r="E2370" s="293">
        <v>-1.3433425523509124E-3</v>
      </c>
      <c r="F2370" s="266">
        <f t="shared" si="114"/>
        <v>2363</v>
      </c>
      <c r="G2370" s="230">
        <f t="shared" ca="1" si="113"/>
        <v>7.1170362817535749E-4</v>
      </c>
    </row>
    <row r="2371" spans="2:7" x14ac:dyDescent="0.25">
      <c r="B2371" s="348">
        <v>42317</v>
      </c>
      <c r="C2371" s="293">
        <v>104.83</v>
      </c>
      <c r="D2371" s="230">
        <f t="shared" si="112"/>
        <v>1.2654559505409502E-2</v>
      </c>
      <c r="E2371" s="293">
        <v>-1.3470681458003231E-3</v>
      </c>
      <c r="F2371" s="266">
        <f t="shared" si="114"/>
        <v>2364</v>
      </c>
      <c r="G2371" s="230">
        <f t="shared" ca="1" si="113"/>
        <v>4.0926040566286223E-2</v>
      </c>
    </row>
    <row r="2372" spans="2:7" x14ac:dyDescent="0.25">
      <c r="B2372" s="348">
        <v>42286</v>
      </c>
      <c r="C2372" s="293">
        <v>103.52</v>
      </c>
      <c r="D2372" s="230">
        <f t="shared" si="112"/>
        <v>-1.6063111871495117E-2</v>
      </c>
      <c r="E2372" s="293">
        <v>-1.3471355643789318E-3</v>
      </c>
      <c r="F2372" s="266">
        <f t="shared" si="114"/>
        <v>2365</v>
      </c>
      <c r="G2372" s="230">
        <f t="shared" ca="1" si="113"/>
        <v>-1.5626146657350376E-2</v>
      </c>
    </row>
    <row r="2373" spans="2:7" x14ac:dyDescent="0.25">
      <c r="B2373" s="348">
        <v>42256</v>
      </c>
      <c r="C2373" s="293">
        <v>105.21</v>
      </c>
      <c r="D2373" s="230">
        <f t="shared" si="112"/>
        <v>-4.3531749787073526E-3</v>
      </c>
      <c r="E2373" s="293">
        <v>-1.3550135501354532E-3</v>
      </c>
      <c r="F2373" s="266">
        <f t="shared" si="114"/>
        <v>2366</v>
      </c>
      <c r="G2373" s="230">
        <f t="shared" ca="1" si="113"/>
        <v>6.172359358445163E-3</v>
      </c>
    </row>
    <row r="2374" spans="2:7" x14ac:dyDescent="0.25">
      <c r="B2374" s="348">
        <v>42225</v>
      </c>
      <c r="C2374" s="293">
        <v>105.67</v>
      </c>
      <c r="D2374" s="230">
        <f t="shared" si="112"/>
        <v>2.0768933539412782E-2</v>
      </c>
      <c r="E2374" s="293">
        <v>-1.3555383423702327E-3</v>
      </c>
      <c r="F2374" s="266">
        <f t="shared" si="114"/>
        <v>2367</v>
      </c>
      <c r="G2374" s="230">
        <f t="shared" ca="1" si="113"/>
        <v>1.6857862027560844E-2</v>
      </c>
    </row>
    <row r="2375" spans="2:7" x14ac:dyDescent="0.25">
      <c r="B2375" s="348">
        <v>42194</v>
      </c>
      <c r="C2375" s="293">
        <v>103.52</v>
      </c>
      <c r="D2375" s="230">
        <f t="shared" si="112"/>
        <v>-3.4655371582594796E-3</v>
      </c>
      <c r="E2375" s="293">
        <v>-1.3656538067599033E-3</v>
      </c>
      <c r="F2375" s="266">
        <f t="shared" si="114"/>
        <v>2368</v>
      </c>
      <c r="G2375" s="230">
        <f t="shared" ca="1" si="113"/>
        <v>-6.0932245691750604E-2</v>
      </c>
    </row>
    <row r="2376" spans="2:7" x14ac:dyDescent="0.25">
      <c r="B2376" s="348">
        <v>42103</v>
      </c>
      <c r="C2376" s="293">
        <v>103.88</v>
      </c>
      <c r="D2376" s="230">
        <f t="shared" si="112"/>
        <v>-2.3133345871732214E-2</v>
      </c>
      <c r="E2376" s="293">
        <v>-1.369394043135852E-3</v>
      </c>
      <c r="F2376" s="266">
        <f t="shared" si="114"/>
        <v>2369</v>
      </c>
      <c r="G2376" s="230">
        <f t="shared" ca="1" si="113"/>
        <v>2.3950719037006046E-2</v>
      </c>
    </row>
    <row r="2377" spans="2:7" x14ac:dyDescent="0.25">
      <c r="B2377" s="348">
        <v>42072</v>
      </c>
      <c r="C2377" s="293">
        <v>106.34</v>
      </c>
      <c r="D2377" s="230">
        <f t="shared" ref="D2377:D2440" si="115">C2377/C2378-1</f>
        <v>2.3287143956890022E-2</v>
      </c>
      <c r="E2377" s="293">
        <v>-1.3793103448276334E-3</v>
      </c>
      <c r="F2377" s="266">
        <f t="shared" si="114"/>
        <v>2370</v>
      </c>
      <c r="G2377" s="230">
        <f t="shared" ref="G2377:G2440" ca="1" si="116">_xlfn.NORM.INV(RAND(),$M$10,$M$11)</f>
        <v>8.0831908220363319E-3</v>
      </c>
    </row>
    <row r="2378" spans="2:7" x14ac:dyDescent="0.25">
      <c r="B2378" s="348">
        <v>42044</v>
      </c>
      <c r="C2378" s="293">
        <v>103.92</v>
      </c>
      <c r="D2378" s="230">
        <f t="shared" si="115"/>
        <v>-1.7583664208735139E-2</v>
      </c>
      <c r="E2378" s="293">
        <v>-1.3811473388249951E-3</v>
      </c>
      <c r="F2378" s="266">
        <f t="shared" ref="F2378:F2441" si="117">F2377+1</f>
        <v>2371</v>
      </c>
      <c r="G2378" s="230">
        <f t="shared" ca="1" si="116"/>
        <v>-9.1161384419270429E-3</v>
      </c>
    </row>
    <row r="2379" spans="2:7" x14ac:dyDescent="0.25">
      <c r="B2379" s="348">
        <v>42013</v>
      </c>
      <c r="C2379" s="293">
        <v>105.78</v>
      </c>
      <c r="D2379" s="230">
        <f t="shared" si="115"/>
        <v>-1.3338307993657206E-2</v>
      </c>
      <c r="E2379" s="293">
        <v>-1.3821318000885041E-3</v>
      </c>
      <c r="F2379" s="266">
        <f t="shared" si="117"/>
        <v>2372</v>
      </c>
      <c r="G2379" s="230">
        <f t="shared" ca="1" si="116"/>
        <v>1.2494401637256033E-2</v>
      </c>
    </row>
    <row r="2380" spans="2:7" x14ac:dyDescent="0.25">
      <c r="B2380" s="348" t="s">
        <v>1992</v>
      </c>
      <c r="C2380" s="293">
        <v>107.21</v>
      </c>
      <c r="D2380" s="230">
        <f t="shared" si="115"/>
        <v>1.4573672754802702E-2</v>
      </c>
      <c r="E2380" s="293">
        <v>-1.3881177123821198E-3</v>
      </c>
      <c r="F2380" s="266">
        <f t="shared" si="117"/>
        <v>2373</v>
      </c>
      <c r="G2380" s="230">
        <f t="shared" ca="1" si="116"/>
        <v>1.5777482260310456E-2</v>
      </c>
    </row>
    <row r="2381" spans="2:7" x14ac:dyDescent="0.25">
      <c r="B2381" s="348" t="s">
        <v>1993</v>
      </c>
      <c r="C2381" s="293">
        <v>105.67</v>
      </c>
      <c r="D2381" s="230">
        <f t="shared" si="115"/>
        <v>2.2151286515767143E-2</v>
      </c>
      <c r="E2381" s="293">
        <v>-1.3883746760459115E-3</v>
      </c>
      <c r="F2381" s="266">
        <f t="shared" si="117"/>
        <v>2374</v>
      </c>
      <c r="G2381" s="230">
        <f t="shared" ca="1" si="116"/>
        <v>-3.5829855463908183E-3</v>
      </c>
    </row>
    <row r="2382" spans="2:7" x14ac:dyDescent="0.25">
      <c r="B2382" s="348" t="s">
        <v>1994</v>
      </c>
      <c r="C2382" s="293">
        <v>103.38</v>
      </c>
      <c r="D2382" s="230">
        <f t="shared" si="115"/>
        <v>7.7444336882859233E-4</v>
      </c>
      <c r="E2382" s="293">
        <v>-1.4090774250964389E-3</v>
      </c>
      <c r="F2382" s="266">
        <f t="shared" si="117"/>
        <v>2375</v>
      </c>
      <c r="G2382" s="230">
        <f t="shared" ca="1" si="116"/>
        <v>-3.868637724574046E-3</v>
      </c>
    </row>
    <row r="2383" spans="2:7" x14ac:dyDescent="0.25">
      <c r="B2383" s="348" t="s">
        <v>1995</v>
      </c>
      <c r="C2383" s="293">
        <v>103.3</v>
      </c>
      <c r="D2383" s="230">
        <f t="shared" si="115"/>
        <v>1.7834269386146406E-2</v>
      </c>
      <c r="E2383" s="293">
        <v>-1.4096238867175037E-3</v>
      </c>
      <c r="F2383" s="266">
        <f t="shared" si="117"/>
        <v>2376</v>
      </c>
      <c r="G2383" s="230">
        <f t="shared" ca="1" si="116"/>
        <v>7.4791595466836107E-3</v>
      </c>
    </row>
    <row r="2384" spans="2:7" x14ac:dyDescent="0.25">
      <c r="B2384" s="348" t="s">
        <v>1996</v>
      </c>
      <c r="C2384" s="293">
        <v>101.49</v>
      </c>
      <c r="D2384" s="230">
        <f t="shared" si="115"/>
        <v>-5.6823748407954788E-3</v>
      </c>
      <c r="E2384" s="293">
        <v>-1.4278065322148592E-3</v>
      </c>
      <c r="F2384" s="266">
        <f t="shared" si="117"/>
        <v>2377</v>
      </c>
      <c r="G2384" s="230">
        <f t="shared" ca="1" si="116"/>
        <v>-5.2702082977736384E-3</v>
      </c>
    </row>
    <row r="2385" spans="2:7" x14ac:dyDescent="0.25">
      <c r="B2385" s="348" t="s">
        <v>1997</v>
      </c>
      <c r="C2385" s="293">
        <v>102.07</v>
      </c>
      <c r="D2385" s="230">
        <f t="shared" si="115"/>
        <v>-5.4907407407407516E-2</v>
      </c>
      <c r="E2385" s="293">
        <v>-1.4284306964832405E-3</v>
      </c>
      <c r="F2385" s="266">
        <f t="shared" si="117"/>
        <v>2378</v>
      </c>
      <c r="G2385" s="230">
        <f t="shared" ca="1" si="116"/>
        <v>1.3189913120040397E-2</v>
      </c>
    </row>
    <row r="2386" spans="2:7" x14ac:dyDescent="0.25">
      <c r="B2386" s="348" t="s">
        <v>1998</v>
      </c>
      <c r="C2386" s="293">
        <v>108</v>
      </c>
      <c r="D2386" s="230">
        <f t="shared" si="115"/>
        <v>-1.2946180876641789E-3</v>
      </c>
      <c r="E2386" s="293">
        <v>-1.431161148745419E-3</v>
      </c>
      <c r="F2386" s="266">
        <f t="shared" si="117"/>
        <v>2379</v>
      </c>
      <c r="G2386" s="230">
        <f t="shared" ca="1" si="116"/>
        <v>-1.9399190993823923E-2</v>
      </c>
    </row>
    <row r="2387" spans="2:7" x14ac:dyDescent="0.25">
      <c r="B2387" s="348" t="s">
        <v>1999</v>
      </c>
      <c r="C2387" s="293">
        <v>108.14</v>
      </c>
      <c r="D2387" s="230">
        <f t="shared" si="115"/>
        <v>-1.3681138270704163E-2</v>
      </c>
      <c r="E2387" s="293">
        <v>-1.4337708172492691E-3</v>
      </c>
      <c r="F2387" s="266">
        <f t="shared" si="117"/>
        <v>2380</v>
      </c>
      <c r="G2387" s="230">
        <f t="shared" ca="1" si="116"/>
        <v>1.1703611562139254E-2</v>
      </c>
    </row>
    <row r="2388" spans="2:7" x14ac:dyDescent="0.25">
      <c r="B2388" s="348" t="s">
        <v>2000</v>
      </c>
      <c r="C2388" s="293">
        <v>109.64</v>
      </c>
      <c r="D2388" s="230">
        <f t="shared" si="115"/>
        <v>2.3811747128583471E-2</v>
      </c>
      <c r="E2388" s="293">
        <v>-1.4344458257625758E-3</v>
      </c>
      <c r="F2388" s="266">
        <f t="shared" si="117"/>
        <v>2381</v>
      </c>
      <c r="G2388" s="230">
        <f t="shared" ca="1" si="116"/>
        <v>2.1266359524028187E-2</v>
      </c>
    </row>
    <row r="2389" spans="2:7" x14ac:dyDescent="0.25">
      <c r="B2389" s="348" t="s">
        <v>2001</v>
      </c>
      <c r="C2389" s="293">
        <v>107.09</v>
      </c>
      <c r="D2389" s="230">
        <f t="shared" si="115"/>
        <v>-8.1504121515235672E-3</v>
      </c>
      <c r="E2389" s="293">
        <v>-1.4394012090969133E-3</v>
      </c>
      <c r="F2389" s="266">
        <f t="shared" si="117"/>
        <v>2382</v>
      </c>
      <c r="G2389" s="230">
        <f t="shared" ca="1" si="116"/>
        <v>-7.5076602264286182E-3</v>
      </c>
    </row>
    <row r="2390" spans="2:7" x14ac:dyDescent="0.25">
      <c r="B2390" s="348" t="s">
        <v>2002</v>
      </c>
      <c r="C2390" s="293">
        <v>107.97</v>
      </c>
      <c r="D2390" s="230">
        <f t="shared" si="115"/>
        <v>1.0198405340255956E-3</v>
      </c>
      <c r="E2390" s="293">
        <v>-1.4520373899628014E-3</v>
      </c>
      <c r="F2390" s="266">
        <f t="shared" si="117"/>
        <v>2383</v>
      </c>
      <c r="G2390" s="230">
        <f t="shared" ca="1" si="116"/>
        <v>-9.4225297036625716E-3</v>
      </c>
    </row>
    <row r="2391" spans="2:7" x14ac:dyDescent="0.25">
      <c r="B2391" s="348" t="s">
        <v>2003</v>
      </c>
      <c r="C2391" s="293">
        <v>107.86</v>
      </c>
      <c r="D2391" s="230">
        <f t="shared" si="115"/>
        <v>7.0961718020541298E-3</v>
      </c>
      <c r="E2391" s="293">
        <v>-1.458434613514803E-3</v>
      </c>
      <c r="F2391" s="266">
        <f t="shared" si="117"/>
        <v>2384</v>
      </c>
      <c r="G2391" s="230">
        <f t="shared" ca="1" si="116"/>
        <v>1.2446246409608461E-2</v>
      </c>
    </row>
    <row r="2392" spans="2:7" x14ac:dyDescent="0.25">
      <c r="B2392" s="348" t="s">
        <v>2004</v>
      </c>
      <c r="C2392" s="293">
        <v>107.1</v>
      </c>
      <c r="D2392" s="230">
        <f t="shared" si="115"/>
        <v>-1.1354195513708198E-2</v>
      </c>
      <c r="E2392" s="293">
        <v>-1.4725991374775482E-3</v>
      </c>
      <c r="F2392" s="266">
        <f t="shared" si="117"/>
        <v>2385</v>
      </c>
      <c r="G2392" s="230">
        <f t="shared" ca="1" si="116"/>
        <v>-2.6960151630134495E-2</v>
      </c>
    </row>
    <row r="2393" spans="2:7" x14ac:dyDescent="0.25">
      <c r="B2393" s="348">
        <v>42346</v>
      </c>
      <c r="C2393" s="293">
        <v>108.33</v>
      </c>
      <c r="D2393" s="230">
        <f t="shared" si="115"/>
        <v>2.0536975977390348E-2</v>
      </c>
      <c r="E2393" s="293">
        <v>-1.4949079697280654E-3</v>
      </c>
      <c r="F2393" s="266">
        <f t="shared" si="117"/>
        <v>2386</v>
      </c>
      <c r="G2393" s="230">
        <f t="shared" ca="1" si="116"/>
        <v>1.7038413179561285E-2</v>
      </c>
    </row>
    <row r="2394" spans="2:7" x14ac:dyDescent="0.25">
      <c r="B2394" s="348">
        <v>42316</v>
      </c>
      <c r="C2394" s="293">
        <v>106.15</v>
      </c>
      <c r="D2394" s="230">
        <f t="shared" si="115"/>
        <v>4.7326076668243733E-3</v>
      </c>
      <c r="E2394" s="293">
        <v>-1.501050735514986E-3</v>
      </c>
      <c r="F2394" s="266">
        <f t="shared" si="117"/>
        <v>2387</v>
      </c>
      <c r="G2394" s="230">
        <f t="shared" ca="1" si="116"/>
        <v>2.383561828590413E-2</v>
      </c>
    </row>
    <row r="2395" spans="2:7" x14ac:dyDescent="0.25">
      <c r="B2395" s="348">
        <v>42285</v>
      </c>
      <c r="C2395" s="293">
        <v>105.65</v>
      </c>
      <c r="D2395" s="230">
        <f t="shared" si="115"/>
        <v>-9.9334645300345192E-3</v>
      </c>
      <c r="E2395" s="293">
        <v>-1.5089458935114708E-3</v>
      </c>
      <c r="F2395" s="266">
        <f t="shared" si="117"/>
        <v>2388</v>
      </c>
      <c r="G2395" s="230">
        <f t="shared" ca="1" si="116"/>
        <v>6.0757145735588023E-3</v>
      </c>
    </row>
    <row r="2396" spans="2:7" x14ac:dyDescent="0.25">
      <c r="B2396" s="348">
        <v>42193</v>
      </c>
      <c r="C2396" s="293">
        <v>106.71</v>
      </c>
      <c r="D2396" s="230">
        <f t="shared" si="115"/>
        <v>-4.2922459643557342E-3</v>
      </c>
      <c r="E2396" s="293">
        <v>-1.5209125475286189E-3</v>
      </c>
      <c r="F2396" s="266">
        <f t="shared" si="117"/>
        <v>2389</v>
      </c>
      <c r="G2396" s="230">
        <f t="shared" ca="1" si="116"/>
        <v>-1.2746377446424264E-2</v>
      </c>
    </row>
    <row r="2397" spans="2:7" x14ac:dyDescent="0.25">
      <c r="B2397" s="348">
        <v>42163</v>
      </c>
      <c r="C2397" s="293">
        <v>107.17</v>
      </c>
      <c r="D2397" s="230">
        <f t="shared" si="115"/>
        <v>-6.5813867259917336E-3</v>
      </c>
      <c r="E2397" s="293">
        <v>-1.5270089711776347E-3</v>
      </c>
      <c r="F2397" s="266">
        <f t="shared" si="117"/>
        <v>2390</v>
      </c>
      <c r="G2397" s="230">
        <f t="shared" ca="1" si="116"/>
        <v>-2.3935804725837131E-2</v>
      </c>
    </row>
    <row r="2398" spans="2:7" x14ac:dyDescent="0.25">
      <c r="B2398" s="348">
        <v>42132</v>
      </c>
      <c r="C2398" s="293">
        <v>107.88</v>
      </c>
      <c r="D2398" s="230">
        <f t="shared" si="115"/>
        <v>2.772220634466982E-2</v>
      </c>
      <c r="E2398" s="293">
        <v>-1.5326738191444589E-3</v>
      </c>
      <c r="F2398" s="266">
        <f t="shared" si="117"/>
        <v>2391</v>
      </c>
      <c r="G2398" s="230">
        <f t="shared" ca="1" si="116"/>
        <v>-9.7711628209083291E-3</v>
      </c>
    </row>
    <row r="2399" spans="2:7" x14ac:dyDescent="0.25">
      <c r="B2399" s="348">
        <v>42102</v>
      </c>
      <c r="C2399" s="293">
        <v>104.97</v>
      </c>
      <c r="D2399" s="230">
        <f t="shared" si="115"/>
        <v>-1.8513323983169738E-2</v>
      </c>
      <c r="E2399" s="293">
        <v>-1.5384615384614886E-3</v>
      </c>
      <c r="F2399" s="266">
        <f t="shared" si="117"/>
        <v>2392</v>
      </c>
      <c r="G2399" s="230">
        <f t="shared" ca="1" si="116"/>
        <v>-5.0581317880917546E-3</v>
      </c>
    </row>
    <row r="2400" spans="2:7" x14ac:dyDescent="0.25">
      <c r="B2400" s="348">
        <v>42071</v>
      </c>
      <c r="C2400" s="293">
        <v>106.95</v>
      </c>
      <c r="D2400" s="230">
        <f t="shared" si="115"/>
        <v>9.3589143659333907E-4</v>
      </c>
      <c r="E2400" s="293">
        <v>-1.544726864204482E-3</v>
      </c>
      <c r="F2400" s="266">
        <f t="shared" si="117"/>
        <v>2393</v>
      </c>
      <c r="G2400" s="230">
        <f t="shared" ca="1" si="116"/>
        <v>7.0019619233669984E-3</v>
      </c>
    </row>
    <row r="2401" spans="2:7" x14ac:dyDescent="0.25">
      <c r="B2401" s="348" t="s">
        <v>2005</v>
      </c>
      <c r="C2401" s="293">
        <v>106.85</v>
      </c>
      <c r="D2401" s="230">
        <f t="shared" si="115"/>
        <v>1.3949516037198739E-2</v>
      </c>
      <c r="E2401" s="293">
        <v>-1.5465511908443474E-3</v>
      </c>
      <c r="F2401" s="266">
        <f t="shared" si="117"/>
        <v>2394</v>
      </c>
      <c r="G2401" s="230">
        <f t="shared" ca="1" si="116"/>
        <v>-3.3888201357145382E-2</v>
      </c>
    </row>
    <row r="2402" spans="2:7" x14ac:dyDescent="0.25">
      <c r="B2402" s="348" t="s">
        <v>2006</v>
      </c>
      <c r="C2402" s="293">
        <v>105.38</v>
      </c>
      <c r="D2402" s="230">
        <f t="shared" si="115"/>
        <v>-5.0042488905674976E-3</v>
      </c>
      <c r="E2402" s="293">
        <v>-1.5572494057864983E-3</v>
      </c>
      <c r="F2402" s="266">
        <f t="shared" si="117"/>
        <v>2395</v>
      </c>
      <c r="G2402" s="230">
        <f t="shared" ca="1" si="116"/>
        <v>-3.7844969440947854E-2</v>
      </c>
    </row>
    <row r="2403" spans="2:7" x14ac:dyDescent="0.25">
      <c r="B2403" s="348" t="s">
        <v>2007</v>
      </c>
      <c r="C2403" s="293">
        <v>105.91</v>
      </c>
      <c r="D2403" s="230">
        <f t="shared" si="115"/>
        <v>1.4755197853789426E-2</v>
      </c>
      <c r="E2403" s="293">
        <v>-1.5584415584416478E-3</v>
      </c>
      <c r="F2403" s="266">
        <f t="shared" si="117"/>
        <v>2396</v>
      </c>
      <c r="G2403" s="230">
        <f t="shared" ca="1" si="116"/>
        <v>1.0740923259176981E-2</v>
      </c>
    </row>
    <row r="2404" spans="2:7" x14ac:dyDescent="0.25">
      <c r="B2404" s="348" t="s">
        <v>2008</v>
      </c>
      <c r="C2404" s="293">
        <v>104.37</v>
      </c>
      <c r="D2404" s="230">
        <f t="shared" si="115"/>
        <v>-8.9260279175766843E-3</v>
      </c>
      <c r="E2404" s="293">
        <v>-1.5673981191222097E-3</v>
      </c>
      <c r="F2404" s="266">
        <f t="shared" si="117"/>
        <v>2397</v>
      </c>
      <c r="G2404" s="230">
        <f t="shared" ca="1" si="116"/>
        <v>1.5304061222095515E-2</v>
      </c>
    </row>
    <row r="2405" spans="2:7" x14ac:dyDescent="0.25">
      <c r="B2405" s="348" t="s">
        <v>2009</v>
      </c>
      <c r="C2405" s="293">
        <v>105.31</v>
      </c>
      <c r="D2405" s="230">
        <f t="shared" si="115"/>
        <v>-9.0335936764843749E-3</v>
      </c>
      <c r="E2405" s="293">
        <v>-1.571428571428557E-3</v>
      </c>
      <c r="F2405" s="266">
        <f t="shared" si="117"/>
        <v>2398</v>
      </c>
      <c r="G2405" s="230">
        <f t="shared" ca="1" si="116"/>
        <v>6.5282784577932974E-3</v>
      </c>
    </row>
    <row r="2406" spans="2:7" x14ac:dyDescent="0.25">
      <c r="B2406" s="348" t="s">
        <v>2010</v>
      </c>
      <c r="C2406" s="293">
        <v>106.27</v>
      </c>
      <c r="D2406" s="230">
        <f t="shared" si="115"/>
        <v>-3.7845178813943003E-2</v>
      </c>
      <c r="E2406" s="293">
        <v>-1.5764094955489361E-3</v>
      </c>
      <c r="F2406" s="266">
        <f t="shared" si="117"/>
        <v>2399</v>
      </c>
      <c r="G2406" s="230">
        <f t="shared" ca="1" si="116"/>
        <v>-1.8296685839113806E-2</v>
      </c>
    </row>
    <row r="2407" spans="2:7" x14ac:dyDescent="0.25">
      <c r="B2407" s="348" t="s">
        <v>2011</v>
      </c>
      <c r="C2407" s="293">
        <v>110.45</v>
      </c>
      <c r="D2407" s="230">
        <f t="shared" si="115"/>
        <v>7.6635343490558672E-3</v>
      </c>
      <c r="E2407" s="293">
        <v>-1.5841584158415856E-3</v>
      </c>
      <c r="F2407" s="266">
        <f t="shared" si="117"/>
        <v>2400</v>
      </c>
      <c r="G2407" s="230">
        <f t="shared" ca="1" si="116"/>
        <v>2.8787661762533098E-2</v>
      </c>
    </row>
    <row r="2408" spans="2:7" x14ac:dyDescent="0.25">
      <c r="B2408" s="348" t="s">
        <v>2012</v>
      </c>
      <c r="C2408" s="293">
        <v>109.61</v>
      </c>
      <c r="D2408" s="230">
        <f t="shared" si="115"/>
        <v>1.3874757191749243E-2</v>
      </c>
      <c r="E2408" s="293">
        <v>-1.5945911468299157E-3</v>
      </c>
      <c r="F2408" s="266">
        <f t="shared" si="117"/>
        <v>2401</v>
      </c>
      <c r="G2408" s="230">
        <f t="shared" ca="1" si="116"/>
        <v>-6.261238451905439E-3</v>
      </c>
    </row>
    <row r="2409" spans="2:7" x14ac:dyDescent="0.25">
      <c r="B2409" s="348" t="s">
        <v>2013</v>
      </c>
      <c r="C2409" s="293">
        <v>108.11</v>
      </c>
      <c r="D2409" s="230">
        <f t="shared" si="115"/>
        <v>1.4069974674045582E-2</v>
      </c>
      <c r="E2409" s="293">
        <v>-1.5957946118464461E-3</v>
      </c>
      <c r="F2409" s="266">
        <f t="shared" si="117"/>
        <v>2402</v>
      </c>
      <c r="G2409" s="230">
        <f t="shared" ca="1" si="116"/>
        <v>1.157030245153105E-2</v>
      </c>
    </row>
    <row r="2410" spans="2:7" x14ac:dyDescent="0.25">
      <c r="B2410" s="348" t="s">
        <v>2014</v>
      </c>
      <c r="C2410" s="293">
        <v>106.61</v>
      </c>
      <c r="D2410" s="230">
        <f t="shared" si="115"/>
        <v>3.7534015201279303E-4</v>
      </c>
      <c r="E2410" s="293">
        <v>-1.5991471215351938E-3</v>
      </c>
      <c r="F2410" s="266">
        <f t="shared" si="117"/>
        <v>2403</v>
      </c>
      <c r="G2410" s="230">
        <f t="shared" ca="1" si="116"/>
        <v>-6.4568562753977172E-3</v>
      </c>
    </row>
    <row r="2411" spans="2:7" x14ac:dyDescent="0.25">
      <c r="B2411" s="348" t="s">
        <v>2015</v>
      </c>
      <c r="C2411" s="293">
        <v>106.57</v>
      </c>
      <c r="D2411" s="230">
        <f t="shared" si="115"/>
        <v>-1.2051543524613018E-2</v>
      </c>
      <c r="E2411" s="293">
        <v>-1.6066100527886151E-3</v>
      </c>
      <c r="F2411" s="266">
        <f t="shared" si="117"/>
        <v>2404</v>
      </c>
      <c r="G2411" s="230">
        <f t="shared" ca="1" si="116"/>
        <v>-3.4814145800244362E-2</v>
      </c>
    </row>
    <row r="2412" spans="2:7" x14ac:dyDescent="0.25">
      <c r="B2412" s="348" t="s">
        <v>2016</v>
      </c>
      <c r="C2412" s="293">
        <v>107.87</v>
      </c>
      <c r="D2412" s="230">
        <f t="shared" si="115"/>
        <v>-4.2462845010614592E-3</v>
      </c>
      <c r="E2412" s="293">
        <v>-1.6144388789998132E-3</v>
      </c>
      <c r="F2412" s="266">
        <f t="shared" si="117"/>
        <v>2405</v>
      </c>
      <c r="G2412" s="230">
        <f t="shared" ca="1" si="116"/>
        <v>2.7352990345015836E-2</v>
      </c>
    </row>
    <row r="2413" spans="2:7" x14ac:dyDescent="0.25">
      <c r="B2413" s="348" t="s">
        <v>2017</v>
      </c>
      <c r="C2413" s="293">
        <v>108.33</v>
      </c>
      <c r="D2413" s="230">
        <f t="shared" si="115"/>
        <v>2.1884727855862485E-2</v>
      </c>
      <c r="E2413" s="293">
        <v>-1.6145773267212116E-3</v>
      </c>
      <c r="F2413" s="266">
        <f t="shared" si="117"/>
        <v>2406</v>
      </c>
      <c r="G2413" s="230">
        <f t="shared" ca="1" si="116"/>
        <v>-1.0443200525301261E-2</v>
      </c>
    </row>
    <row r="2414" spans="2:7" x14ac:dyDescent="0.25">
      <c r="B2414" s="348" t="s">
        <v>2018</v>
      </c>
      <c r="C2414" s="293">
        <v>106.01</v>
      </c>
      <c r="D2414" s="230">
        <f t="shared" si="115"/>
        <v>1.0292576003049669E-2</v>
      </c>
      <c r="E2414" s="293">
        <v>-1.6308376575240313E-3</v>
      </c>
      <c r="F2414" s="266">
        <f t="shared" si="117"/>
        <v>2407</v>
      </c>
      <c r="G2414" s="230">
        <f t="shared" ca="1" si="116"/>
        <v>5.4546608952826432E-2</v>
      </c>
    </row>
    <row r="2415" spans="2:7" x14ac:dyDescent="0.25">
      <c r="B2415" s="348" t="s">
        <v>2019</v>
      </c>
      <c r="C2415" s="293">
        <v>104.93</v>
      </c>
      <c r="D2415" s="230">
        <f t="shared" si="115"/>
        <v>2.0025274618450384E-2</v>
      </c>
      <c r="E2415" s="293">
        <v>-1.6325197943025671E-3</v>
      </c>
      <c r="F2415" s="266">
        <f t="shared" si="117"/>
        <v>2408</v>
      </c>
      <c r="G2415" s="230">
        <f t="shared" ca="1" si="116"/>
        <v>6.9713638917758792E-3</v>
      </c>
    </row>
    <row r="2416" spans="2:7" x14ac:dyDescent="0.25">
      <c r="B2416" s="348">
        <v>42284</v>
      </c>
      <c r="C2416" s="293">
        <v>102.87</v>
      </c>
      <c r="D2416" s="230">
        <f t="shared" si="115"/>
        <v>6.8513262210041503E-3</v>
      </c>
      <c r="E2416" s="293">
        <v>-1.6339869281045694E-3</v>
      </c>
      <c r="F2416" s="266">
        <f t="shared" si="117"/>
        <v>2409</v>
      </c>
      <c r="G2416" s="230">
        <f t="shared" ca="1" si="116"/>
        <v>2.3664371222192032E-2</v>
      </c>
    </row>
    <row r="2417" spans="2:7" x14ac:dyDescent="0.25">
      <c r="B2417" s="348">
        <v>42254</v>
      </c>
      <c r="C2417" s="293">
        <v>102.17</v>
      </c>
      <c r="D2417" s="230">
        <f t="shared" si="115"/>
        <v>-1.4183712852180563E-2</v>
      </c>
      <c r="E2417" s="293">
        <v>-1.6373311502251298E-3</v>
      </c>
      <c r="F2417" s="266">
        <f t="shared" si="117"/>
        <v>2410</v>
      </c>
      <c r="G2417" s="230">
        <f t="shared" ca="1" si="116"/>
        <v>-9.9615398047761148E-4</v>
      </c>
    </row>
    <row r="2418" spans="2:7" x14ac:dyDescent="0.25">
      <c r="B2418" s="348">
        <v>42223</v>
      </c>
      <c r="C2418" s="293">
        <v>103.64</v>
      </c>
      <c r="D2418" s="230">
        <f t="shared" si="115"/>
        <v>-1.9260400616333273E-3</v>
      </c>
      <c r="E2418" s="293">
        <v>-1.6752969844653354E-3</v>
      </c>
      <c r="F2418" s="266">
        <f t="shared" si="117"/>
        <v>2411</v>
      </c>
      <c r="G2418" s="230">
        <f t="shared" ca="1" si="116"/>
        <v>2.1053062912384631E-2</v>
      </c>
    </row>
    <row r="2419" spans="2:7" x14ac:dyDescent="0.25">
      <c r="B2419" s="348">
        <v>42192</v>
      </c>
      <c r="C2419" s="293">
        <v>103.84</v>
      </c>
      <c r="D2419" s="230">
        <f t="shared" si="115"/>
        <v>6.8845146901970189E-3</v>
      </c>
      <c r="E2419" s="293">
        <v>-1.7230434388318949E-3</v>
      </c>
      <c r="F2419" s="266">
        <f t="shared" si="117"/>
        <v>2412</v>
      </c>
      <c r="G2419" s="230">
        <f t="shared" ca="1" si="116"/>
        <v>2.1216291238150477E-2</v>
      </c>
    </row>
    <row r="2420" spans="2:7" x14ac:dyDescent="0.25">
      <c r="B2420" s="348">
        <v>42162</v>
      </c>
      <c r="C2420" s="293">
        <v>103.13</v>
      </c>
      <c r="D2420" s="230">
        <f t="shared" si="115"/>
        <v>8.7344720496873585E-4</v>
      </c>
      <c r="E2420" s="293">
        <v>-1.7241379310344307E-3</v>
      </c>
      <c r="F2420" s="266">
        <f t="shared" si="117"/>
        <v>2413</v>
      </c>
      <c r="G2420" s="230">
        <f t="shared" ca="1" si="116"/>
        <v>1.8467660673645553E-2</v>
      </c>
    </row>
    <row r="2421" spans="2:7" x14ac:dyDescent="0.25">
      <c r="B2421" s="348">
        <v>42070</v>
      </c>
      <c r="C2421" s="293">
        <v>103.04</v>
      </c>
      <c r="D2421" s="230">
        <f t="shared" si="115"/>
        <v>-1.1132437619961633E-2</v>
      </c>
      <c r="E2421" s="293">
        <v>-1.725490196078372E-3</v>
      </c>
      <c r="F2421" s="266">
        <f t="shared" si="117"/>
        <v>2414</v>
      </c>
      <c r="G2421" s="230">
        <f t="shared" ca="1" si="116"/>
        <v>1.6583434912138977E-2</v>
      </c>
    </row>
    <row r="2422" spans="2:7" x14ac:dyDescent="0.25">
      <c r="B2422" s="348">
        <v>42042</v>
      </c>
      <c r="C2422" s="293">
        <v>104.2</v>
      </c>
      <c r="D2422" s="230">
        <f t="shared" si="115"/>
        <v>5.4033191817830506E-3</v>
      </c>
      <c r="E2422" s="293">
        <v>-1.7271680504211684E-3</v>
      </c>
      <c r="F2422" s="266">
        <f t="shared" si="117"/>
        <v>2415</v>
      </c>
      <c r="G2422" s="230">
        <f t="shared" ca="1" si="116"/>
        <v>-4.9502623529313564E-3</v>
      </c>
    </row>
    <row r="2423" spans="2:7" x14ac:dyDescent="0.25">
      <c r="B2423" s="348">
        <v>42011</v>
      </c>
      <c r="C2423" s="293">
        <v>103.64</v>
      </c>
      <c r="D2423" s="230">
        <f t="shared" si="115"/>
        <v>1.1023314798556116E-2</v>
      </c>
      <c r="E2423" s="293">
        <v>-1.743071291615772E-3</v>
      </c>
      <c r="F2423" s="266">
        <f t="shared" si="117"/>
        <v>2416</v>
      </c>
      <c r="G2423" s="230">
        <f t="shared" ca="1" si="116"/>
        <v>1.8783053435867489E-2</v>
      </c>
    </row>
    <row r="2424" spans="2:7" x14ac:dyDescent="0.25">
      <c r="B2424" s="348" t="s">
        <v>2020</v>
      </c>
      <c r="C2424" s="293">
        <v>102.51</v>
      </c>
      <c r="D2424" s="230">
        <f t="shared" si="115"/>
        <v>-1.0330179571345743E-2</v>
      </c>
      <c r="E2424" s="293">
        <v>-1.7579445571332952E-3</v>
      </c>
      <c r="F2424" s="266">
        <f t="shared" si="117"/>
        <v>2417</v>
      </c>
      <c r="G2424" s="230">
        <f t="shared" ca="1" si="116"/>
        <v>9.247969835747152E-3</v>
      </c>
    </row>
    <row r="2425" spans="2:7" x14ac:dyDescent="0.25">
      <c r="B2425" s="348" t="s">
        <v>2021</v>
      </c>
      <c r="C2425" s="293">
        <v>103.58</v>
      </c>
      <c r="D2425" s="230">
        <f t="shared" si="115"/>
        <v>-1.1169451073985703E-2</v>
      </c>
      <c r="E2425" s="293">
        <v>-1.765366714812977E-3</v>
      </c>
      <c r="F2425" s="266">
        <f t="shared" si="117"/>
        <v>2418</v>
      </c>
      <c r="G2425" s="230">
        <f t="shared" ca="1" si="116"/>
        <v>-2.2320234337713948E-2</v>
      </c>
    </row>
    <row r="2426" spans="2:7" x14ac:dyDescent="0.25">
      <c r="B2426" s="348" t="s">
        <v>2022</v>
      </c>
      <c r="C2426" s="293">
        <v>104.75</v>
      </c>
      <c r="D2426" s="230">
        <f t="shared" si="115"/>
        <v>1.1784023954409362E-2</v>
      </c>
      <c r="E2426" s="293">
        <v>-1.7758204290382329E-3</v>
      </c>
      <c r="F2426" s="266">
        <f t="shared" si="117"/>
        <v>2419</v>
      </c>
      <c r="G2426" s="230">
        <f t="shared" ca="1" si="116"/>
        <v>-1.1304070304803068E-2</v>
      </c>
    </row>
    <row r="2427" spans="2:7" x14ac:dyDescent="0.25">
      <c r="B2427" s="348" t="s">
        <v>2023</v>
      </c>
      <c r="C2427" s="293">
        <v>103.53</v>
      </c>
      <c r="D2427" s="230">
        <f t="shared" si="115"/>
        <v>-2.3394019432129043E-2</v>
      </c>
      <c r="E2427" s="293">
        <v>-1.7960762641613393E-3</v>
      </c>
      <c r="F2427" s="266">
        <f t="shared" si="117"/>
        <v>2420</v>
      </c>
      <c r="G2427" s="230">
        <f t="shared" ca="1" si="116"/>
        <v>3.1099691817297208E-2</v>
      </c>
    </row>
    <row r="2428" spans="2:7" x14ac:dyDescent="0.25">
      <c r="B2428" s="348" t="s">
        <v>2024</v>
      </c>
      <c r="C2428" s="293">
        <v>106.01</v>
      </c>
      <c r="D2428" s="230">
        <f t="shared" si="115"/>
        <v>1.4352693522150961E-2</v>
      </c>
      <c r="E2428" s="293">
        <v>-1.7964539561040604E-3</v>
      </c>
      <c r="F2428" s="266">
        <f t="shared" si="117"/>
        <v>2421</v>
      </c>
      <c r="G2428" s="230">
        <f t="shared" ca="1" si="116"/>
        <v>7.3311399803350262E-3</v>
      </c>
    </row>
    <row r="2429" spans="2:7" x14ac:dyDescent="0.25">
      <c r="B2429" s="348" t="s">
        <v>2025</v>
      </c>
      <c r="C2429" s="293">
        <v>104.51</v>
      </c>
      <c r="D2429" s="230">
        <f t="shared" si="115"/>
        <v>-5.0456968773801014E-3</v>
      </c>
      <c r="E2429" s="293">
        <v>-1.8012117242508507E-3</v>
      </c>
      <c r="F2429" s="266">
        <f t="shared" si="117"/>
        <v>2422</v>
      </c>
      <c r="G2429" s="230">
        <f t="shared" ca="1" si="116"/>
        <v>-5.7518877782206518E-3</v>
      </c>
    </row>
    <row r="2430" spans="2:7" x14ac:dyDescent="0.25">
      <c r="B2430" s="348" t="s">
        <v>2026</v>
      </c>
      <c r="C2430" s="293">
        <v>105.04</v>
      </c>
      <c r="D2430" s="230">
        <f t="shared" si="115"/>
        <v>-2.3743945293950297E-3</v>
      </c>
      <c r="E2430" s="293">
        <v>-1.801552106430071E-3</v>
      </c>
      <c r="F2430" s="266">
        <f t="shared" si="117"/>
        <v>2423</v>
      </c>
      <c r="G2430" s="230">
        <f t="shared" ca="1" si="116"/>
        <v>-1.4161251227203062E-2</v>
      </c>
    </row>
    <row r="2431" spans="2:7" x14ac:dyDescent="0.25">
      <c r="B2431" s="348" t="s">
        <v>2027</v>
      </c>
      <c r="C2431" s="293">
        <v>105.29</v>
      </c>
      <c r="D2431" s="230">
        <f t="shared" si="115"/>
        <v>9.7822959624054295E-3</v>
      </c>
      <c r="E2431" s="293">
        <v>-1.8050541516245744E-3</v>
      </c>
      <c r="F2431" s="266">
        <f t="shared" si="117"/>
        <v>2424</v>
      </c>
      <c r="G2431" s="230">
        <f t="shared" ca="1" si="116"/>
        <v>1.008541708030527E-2</v>
      </c>
    </row>
    <row r="2432" spans="2:7" x14ac:dyDescent="0.25">
      <c r="B2432" s="348" t="s">
        <v>2028</v>
      </c>
      <c r="C2432" s="293">
        <v>104.27</v>
      </c>
      <c r="D2432" s="230">
        <f t="shared" si="115"/>
        <v>1.7466822794691472E-2</v>
      </c>
      <c r="E2432" s="293">
        <v>-1.8352168453588114E-3</v>
      </c>
      <c r="F2432" s="266">
        <f t="shared" si="117"/>
        <v>2425</v>
      </c>
      <c r="G2432" s="230">
        <f t="shared" ca="1" si="116"/>
        <v>-5.1684750374392258E-3</v>
      </c>
    </row>
    <row r="2433" spans="2:7" x14ac:dyDescent="0.25">
      <c r="B2433" s="348" t="s">
        <v>2029</v>
      </c>
      <c r="C2433" s="293">
        <v>102.48</v>
      </c>
      <c r="D2433" s="230">
        <f t="shared" si="115"/>
        <v>1.1548711874444839E-2</v>
      </c>
      <c r="E2433" s="293">
        <v>-1.847290640394017E-3</v>
      </c>
      <c r="F2433" s="266">
        <f t="shared" si="117"/>
        <v>2426</v>
      </c>
      <c r="G2433" s="230">
        <f t="shared" ca="1" si="116"/>
        <v>3.1246041564708137E-2</v>
      </c>
    </row>
    <row r="2434" spans="2:7" x14ac:dyDescent="0.25">
      <c r="B2434" s="348" t="s">
        <v>2030</v>
      </c>
      <c r="C2434" s="293">
        <v>101.31</v>
      </c>
      <c r="D2434" s="230">
        <f t="shared" si="115"/>
        <v>-1.0845986984815426E-3</v>
      </c>
      <c r="E2434" s="293">
        <v>-1.8484288354899681E-3</v>
      </c>
      <c r="F2434" s="266">
        <f t="shared" si="117"/>
        <v>2427</v>
      </c>
      <c r="G2434" s="230">
        <f t="shared" ca="1" si="116"/>
        <v>2.0529904314825993E-2</v>
      </c>
    </row>
    <row r="2435" spans="2:7" x14ac:dyDescent="0.25">
      <c r="B2435" s="348" t="s">
        <v>2031</v>
      </c>
      <c r="C2435" s="293">
        <v>101.42</v>
      </c>
      <c r="D2435" s="230">
        <f t="shared" si="115"/>
        <v>6.6501240694789576E-3</v>
      </c>
      <c r="E2435" s="293">
        <v>-1.8534249749015963E-3</v>
      </c>
      <c r="F2435" s="266">
        <f t="shared" si="117"/>
        <v>2428</v>
      </c>
      <c r="G2435" s="230">
        <f t="shared" ca="1" si="116"/>
        <v>1.0163193062273493E-2</v>
      </c>
    </row>
    <row r="2436" spans="2:7" x14ac:dyDescent="0.25">
      <c r="B2436" s="348">
        <v>42344</v>
      </c>
      <c r="C2436" s="293">
        <v>100.75</v>
      </c>
      <c r="D2436" s="230">
        <f t="shared" si="115"/>
        <v>-1.5921078335612404E-2</v>
      </c>
      <c r="E2436" s="293">
        <v>-1.862269641125236E-3</v>
      </c>
      <c r="F2436" s="266">
        <f t="shared" si="117"/>
        <v>2429</v>
      </c>
      <c r="G2436" s="230">
        <f t="shared" ca="1" si="116"/>
        <v>-3.6780408235661376E-3</v>
      </c>
    </row>
    <row r="2437" spans="2:7" x14ac:dyDescent="0.25">
      <c r="B2437" s="348">
        <v>42314</v>
      </c>
      <c r="C2437" s="293">
        <v>102.38</v>
      </c>
      <c r="D2437" s="230">
        <f t="shared" si="115"/>
        <v>-2.9757391963608826E-2</v>
      </c>
      <c r="E2437" s="293">
        <v>-1.876728565784247E-3</v>
      </c>
      <c r="F2437" s="266">
        <f t="shared" si="117"/>
        <v>2430</v>
      </c>
      <c r="G2437" s="230">
        <f t="shared" ca="1" si="116"/>
        <v>1.189667197048854E-3</v>
      </c>
    </row>
    <row r="2438" spans="2:7" x14ac:dyDescent="0.25">
      <c r="B2438" s="348">
        <v>42283</v>
      </c>
      <c r="C2438" s="293">
        <v>105.52</v>
      </c>
      <c r="D2438" s="230">
        <f t="shared" si="115"/>
        <v>3.5321821036106593E-2</v>
      </c>
      <c r="E2438" s="293">
        <v>-1.8774157923798773E-3</v>
      </c>
      <c r="F2438" s="266">
        <f t="shared" si="117"/>
        <v>2431</v>
      </c>
      <c r="G2438" s="230">
        <f t="shared" ca="1" si="116"/>
        <v>-2.1027504400910398E-2</v>
      </c>
    </row>
    <row r="2439" spans="2:7" x14ac:dyDescent="0.25">
      <c r="B2439" s="348">
        <v>42253</v>
      </c>
      <c r="C2439" s="293">
        <v>101.92</v>
      </c>
      <c r="D2439" s="230">
        <f t="shared" si="115"/>
        <v>-2.0565058620026888E-2</v>
      </c>
      <c r="E2439" s="293">
        <v>-1.8880497556641451E-3</v>
      </c>
      <c r="F2439" s="266">
        <f t="shared" si="117"/>
        <v>2432</v>
      </c>
      <c r="G2439" s="230">
        <f t="shared" ca="1" si="116"/>
        <v>2.6027561181808399E-2</v>
      </c>
    </row>
    <row r="2440" spans="2:7" x14ac:dyDescent="0.25">
      <c r="B2440" s="348">
        <v>42222</v>
      </c>
      <c r="C2440" s="293">
        <v>104.06</v>
      </c>
      <c r="D2440" s="230">
        <f t="shared" si="115"/>
        <v>-1.4394012090969133E-3</v>
      </c>
      <c r="E2440" s="293">
        <v>-1.8998716302952579E-3</v>
      </c>
      <c r="F2440" s="266">
        <f t="shared" si="117"/>
        <v>2433</v>
      </c>
      <c r="G2440" s="230">
        <f t="shared" ca="1" si="116"/>
        <v>2.9013463952719802E-2</v>
      </c>
    </row>
    <row r="2441" spans="2:7" x14ac:dyDescent="0.25">
      <c r="B2441" s="348">
        <v>42130</v>
      </c>
      <c r="C2441" s="293">
        <v>104.21</v>
      </c>
      <c r="D2441" s="230">
        <f t="shared" ref="D2441:D2504" si="118">C2441/C2442-1</f>
        <v>5.5968348933705947E-3</v>
      </c>
      <c r="E2441" s="293">
        <v>-1.9016468261514596E-3</v>
      </c>
      <c r="F2441" s="266">
        <f t="shared" si="117"/>
        <v>2434</v>
      </c>
      <c r="G2441" s="230">
        <f t="shared" ref="G2441:G2504" ca="1" si="119">_xlfn.NORM.INV(RAND(),$M$10,$M$11)</f>
        <v>-1.1879000463479212E-2</v>
      </c>
    </row>
    <row r="2442" spans="2:7" x14ac:dyDescent="0.25">
      <c r="B2442" s="348">
        <v>42100</v>
      </c>
      <c r="C2442" s="293">
        <v>103.63</v>
      </c>
      <c r="D2442" s="230">
        <f t="shared" si="118"/>
        <v>1.3000977517106493E-2</v>
      </c>
      <c r="E2442" s="293">
        <v>-1.9253462517856423E-3</v>
      </c>
      <c r="F2442" s="266">
        <f t="shared" ref="F2442:F2505" si="120">F2441+1</f>
        <v>2435</v>
      </c>
      <c r="G2442" s="230">
        <f t="shared" ca="1" si="119"/>
        <v>6.8826184688823315E-3</v>
      </c>
    </row>
    <row r="2443" spans="2:7" x14ac:dyDescent="0.25">
      <c r="B2443" s="348">
        <v>42069</v>
      </c>
      <c r="C2443" s="293">
        <v>102.3</v>
      </c>
      <c r="D2443" s="230">
        <f t="shared" si="118"/>
        <v>-5.8309037900875493E-3</v>
      </c>
      <c r="E2443" s="293">
        <v>-1.9260400616333273E-3</v>
      </c>
      <c r="F2443" s="266">
        <f t="shared" si="120"/>
        <v>2436</v>
      </c>
      <c r="G2443" s="230">
        <f t="shared" ca="1" si="119"/>
        <v>1.1734216972715065E-2</v>
      </c>
    </row>
    <row r="2444" spans="2:7" x14ac:dyDescent="0.25">
      <c r="B2444" s="348">
        <v>42041</v>
      </c>
      <c r="C2444" s="293">
        <v>102.9</v>
      </c>
      <c r="D2444" s="230">
        <f t="shared" si="118"/>
        <v>-2.6213684110911295E-2</v>
      </c>
      <c r="E2444" s="293">
        <v>-1.9299287410925459E-3</v>
      </c>
      <c r="F2444" s="266">
        <f t="shared" si="120"/>
        <v>2437</v>
      </c>
      <c r="G2444" s="230">
        <f t="shared" ca="1" si="119"/>
        <v>2.8693235612440929E-2</v>
      </c>
    </row>
    <row r="2445" spans="2:7" x14ac:dyDescent="0.25">
      <c r="B2445" s="348">
        <v>42010</v>
      </c>
      <c r="C2445" s="293">
        <v>105.67</v>
      </c>
      <c r="D2445" s="230">
        <f t="shared" si="118"/>
        <v>3.3232054690468527E-3</v>
      </c>
      <c r="E2445" s="293">
        <v>-1.9398642095053154E-3</v>
      </c>
      <c r="F2445" s="266">
        <f t="shared" si="120"/>
        <v>2438</v>
      </c>
      <c r="G2445" s="230">
        <f t="shared" ca="1" si="119"/>
        <v>3.849460807431562E-3</v>
      </c>
    </row>
    <row r="2446" spans="2:7" x14ac:dyDescent="0.25">
      <c r="B2446" s="348" t="s">
        <v>2032</v>
      </c>
      <c r="C2446" s="293">
        <v>105.32</v>
      </c>
      <c r="D2446" s="230">
        <f t="shared" si="118"/>
        <v>1.2887093671859917E-2</v>
      </c>
      <c r="E2446" s="293">
        <v>-1.9398642095053154E-3</v>
      </c>
      <c r="F2446" s="266">
        <f t="shared" si="120"/>
        <v>2439</v>
      </c>
      <c r="G2446" s="230">
        <f t="shared" ca="1" si="119"/>
        <v>8.3034216912228585E-3</v>
      </c>
    </row>
    <row r="2447" spans="2:7" x14ac:dyDescent="0.25">
      <c r="B2447" s="348" t="s">
        <v>2033</v>
      </c>
      <c r="C2447" s="293">
        <v>103.98</v>
      </c>
      <c r="D2447" s="230">
        <f t="shared" si="118"/>
        <v>3.958675292073055E-3</v>
      </c>
      <c r="E2447" s="293">
        <v>-1.9601437438744318E-3</v>
      </c>
      <c r="F2447" s="266">
        <f t="shared" si="120"/>
        <v>2440</v>
      </c>
      <c r="G2447" s="230">
        <f t="shared" ca="1" si="119"/>
        <v>2.1424999165223745E-2</v>
      </c>
    </row>
    <row r="2448" spans="2:7" x14ac:dyDescent="0.25">
      <c r="B2448" s="348" t="s">
        <v>2034</v>
      </c>
      <c r="C2448" s="293">
        <v>103.57</v>
      </c>
      <c r="D2448" s="230">
        <f t="shared" si="118"/>
        <v>-1.0509219451609875E-2</v>
      </c>
      <c r="E2448" s="293">
        <v>-1.9757521329142325E-3</v>
      </c>
      <c r="F2448" s="266">
        <f t="shared" si="120"/>
        <v>2441</v>
      </c>
      <c r="G2448" s="230">
        <f t="shared" ca="1" si="119"/>
        <v>-2.9319595927264415E-2</v>
      </c>
    </row>
    <row r="2449" spans="2:7" x14ac:dyDescent="0.25">
      <c r="B2449" s="348" t="s">
        <v>2035</v>
      </c>
      <c r="C2449" s="293">
        <v>104.67</v>
      </c>
      <c r="D2449" s="230">
        <f t="shared" si="118"/>
        <v>-8.6190566395150103E-3</v>
      </c>
      <c r="E2449" s="293">
        <v>-1.9883756500458372E-3</v>
      </c>
      <c r="F2449" s="266">
        <f t="shared" si="120"/>
        <v>2442</v>
      </c>
      <c r="G2449" s="230">
        <f t="shared" ca="1" si="119"/>
        <v>-6.6185440912076713E-4</v>
      </c>
    </row>
    <row r="2450" spans="2:7" x14ac:dyDescent="0.25">
      <c r="B2450" s="348" t="s">
        <v>2036</v>
      </c>
      <c r="C2450" s="293">
        <v>105.58</v>
      </c>
      <c r="D2450" s="230">
        <f t="shared" si="118"/>
        <v>4.6626700923018127E-3</v>
      </c>
      <c r="E2450" s="293">
        <v>-1.9960079840319889E-3</v>
      </c>
      <c r="F2450" s="266">
        <f t="shared" si="120"/>
        <v>2443</v>
      </c>
      <c r="G2450" s="230">
        <f t="shared" ca="1" si="119"/>
        <v>3.6529742696784322E-3</v>
      </c>
    </row>
    <row r="2451" spans="2:7" x14ac:dyDescent="0.25">
      <c r="B2451" s="348" t="s">
        <v>2037</v>
      </c>
      <c r="C2451" s="293">
        <v>105.09</v>
      </c>
      <c r="D2451" s="230">
        <f t="shared" si="118"/>
        <v>-6.7107750472589212E-3</v>
      </c>
      <c r="E2451" s="293">
        <v>-2.0066889632107676E-3</v>
      </c>
      <c r="F2451" s="266">
        <f t="shared" si="120"/>
        <v>2444</v>
      </c>
      <c r="G2451" s="230">
        <f t="shared" ca="1" si="119"/>
        <v>1.8574754993387274E-4</v>
      </c>
    </row>
    <row r="2452" spans="2:7" x14ac:dyDescent="0.25">
      <c r="B2452" s="348" t="s">
        <v>2038</v>
      </c>
      <c r="C2452" s="293">
        <v>105.8</v>
      </c>
      <c r="D2452" s="230">
        <f t="shared" si="118"/>
        <v>4.7281323877057524E-4</v>
      </c>
      <c r="E2452" s="293">
        <v>-2.0092735703247655E-3</v>
      </c>
      <c r="F2452" s="266">
        <f t="shared" si="120"/>
        <v>2445</v>
      </c>
      <c r="G2452" s="230">
        <f t="shared" ca="1" si="119"/>
        <v>-8.1125751126894831E-3</v>
      </c>
    </row>
    <row r="2453" spans="2:7" x14ac:dyDescent="0.25">
      <c r="B2453" s="348" t="s">
        <v>2039</v>
      </c>
      <c r="C2453" s="293">
        <v>105.75</v>
      </c>
      <c r="D2453" s="230">
        <f t="shared" si="118"/>
        <v>2.065437699063799E-2</v>
      </c>
      <c r="E2453" s="293">
        <v>-2.015579887781227E-3</v>
      </c>
      <c r="F2453" s="266">
        <f t="shared" si="120"/>
        <v>2446</v>
      </c>
      <c r="G2453" s="230">
        <f t="shared" ca="1" si="119"/>
        <v>2.501457323133045E-3</v>
      </c>
    </row>
    <row r="2454" spans="2:7" x14ac:dyDescent="0.25">
      <c r="B2454" s="348" t="s">
        <v>2040</v>
      </c>
      <c r="C2454" s="293">
        <v>103.61</v>
      </c>
      <c r="D2454" s="230">
        <f t="shared" si="118"/>
        <v>1.5286624203821653E-2</v>
      </c>
      <c r="E2454" s="293">
        <v>-2.018648466788453E-3</v>
      </c>
      <c r="F2454" s="266">
        <f t="shared" si="120"/>
        <v>2447</v>
      </c>
      <c r="G2454" s="230">
        <f t="shared" ca="1" si="119"/>
        <v>9.4733022956172939E-3</v>
      </c>
    </row>
    <row r="2455" spans="2:7" x14ac:dyDescent="0.25">
      <c r="B2455" s="348" t="s">
        <v>2041</v>
      </c>
      <c r="C2455" s="293">
        <v>102.05</v>
      </c>
      <c r="D2455" s="230">
        <f t="shared" si="118"/>
        <v>1.0796354992076207E-2</v>
      </c>
      <c r="E2455" s="293">
        <v>-2.0229885057471142E-3</v>
      </c>
      <c r="F2455" s="266">
        <f t="shared" si="120"/>
        <v>2448</v>
      </c>
      <c r="G2455" s="230">
        <f t="shared" ca="1" si="119"/>
        <v>1.1361121629766921E-2</v>
      </c>
    </row>
    <row r="2456" spans="2:7" x14ac:dyDescent="0.25">
      <c r="B2456" s="348" t="s">
        <v>2042</v>
      </c>
      <c r="C2456" s="293">
        <v>100.96</v>
      </c>
      <c r="D2456" s="230">
        <f t="shared" si="118"/>
        <v>3.6782980415548394E-3</v>
      </c>
      <c r="E2456" s="293">
        <v>-2.0231213872832221E-3</v>
      </c>
      <c r="F2456" s="266">
        <f t="shared" si="120"/>
        <v>2449</v>
      </c>
      <c r="G2456" s="230">
        <f t="shared" ca="1" si="119"/>
        <v>1.3017103625848202E-2</v>
      </c>
    </row>
    <row r="2457" spans="2:7" x14ac:dyDescent="0.25">
      <c r="B2457" s="348" t="s">
        <v>2043</v>
      </c>
      <c r="C2457" s="293">
        <v>100.59</v>
      </c>
      <c r="D2457" s="230">
        <f t="shared" si="118"/>
        <v>-1.0622602537621706E-2</v>
      </c>
      <c r="E2457" s="293">
        <v>-2.0297075375956819E-3</v>
      </c>
      <c r="F2457" s="266">
        <f t="shared" si="120"/>
        <v>2450</v>
      </c>
      <c r="G2457" s="230">
        <f t="shared" ca="1" si="119"/>
        <v>1.2229641950194211E-2</v>
      </c>
    </row>
    <row r="2458" spans="2:7" x14ac:dyDescent="0.25">
      <c r="B2458" s="348" t="s">
        <v>2044</v>
      </c>
      <c r="C2458" s="293">
        <v>101.67</v>
      </c>
      <c r="D2458" s="230">
        <f t="shared" si="118"/>
        <v>1.568431568431583E-2</v>
      </c>
      <c r="E2458" s="293">
        <v>-2.0385470719050947E-3</v>
      </c>
      <c r="F2458" s="266">
        <f t="shared" si="120"/>
        <v>2451</v>
      </c>
      <c r="G2458" s="230">
        <f t="shared" ca="1" si="119"/>
        <v>1.7469547283208348E-2</v>
      </c>
    </row>
    <row r="2459" spans="2:7" x14ac:dyDescent="0.25">
      <c r="B2459" s="348">
        <v>42343</v>
      </c>
      <c r="C2459" s="293">
        <v>100.1</v>
      </c>
      <c r="D2459" s="230">
        <f t="shared" si="118"/>
        <v>-1.4084507042253613E-2</v>
      </c>
      <c r="E2459" s="293">
        <v>-2.0432803937958655E-3</v>
      </c>
      <c r="F2459" s="266">
        <f t="shared" si="120"/>
        <v>2452</v>
      </c>
      <c r="G2459" s="230">
        <f t="shared" ca="1" si="119"/>
        <v>-9.5274188153542192E-3</v>
      </c>
    </row>
    <row r="2460" spans="2:7" x14ac:dyDescent="0.25">
      <c r="B2460" s="348">
        <v>42313</v>
      </c>
      <c r="C2460" s="293">
        <v>101.53</v>
      </c>
      <c r="D2460" s="230">
        <f t="shared" si="118"/>
        <v>1.8748766528517979E-3</v>
      </c>
      <c r="E2460" s="293">
        <v>-2.0435967302453451E-3</v>
      </c>
      <c r="F2460" s="266">
        <f t="shared" si="120"/>
        <v>2453</v>
      </c>
      <c r="G2460" s="230">
        <f t="shared" ca="1" si="119"/>
        <v>8.9416530474338025E-3</v>
      </c>
    </row>
    <row r="2461" spans="2:7" x14ac:dyDescent="0.25">
      <c r="B2461" s="348">
        <v>42221</v>
      </c>
      <c r="C2461" s="293">
        <v>101.34</v>
      </c>
      <c r="D2461" s="230">
        <f t="shared" si="118"/>
        <v>4.3607532210108157E-3</v>
      </c>
      <c r="E2461" s="293">
        <v>-2.0473822755191495E-3</v>
      </c>
      <c r="F2461" s="266">
        <f t="shared" si="120"/>
        <v>2454</v>
      </c>
      <c r="G2461" s="230">
        <f t="shared" ca="1" si="119"/>
        <v>-2.1047271232939847E-2</v>
      </c>
    </row>
    <row r="2462" spans="2:7" x14ac:dyDescent="0.25">
      <c r="B2462" s="348">
        <v>42190</v>
      </c>
      <c r="C2462" s="293">
        <v>100.9</v>
      </c>
      <c r="D2462" s="230">
        <f t="shared" si="118"/>
        <v>1.0819475055099392E-2</v>
      </c>
      <c r="E2462" s="293">
        <v>-2.0509815411661192E-3</v>
      </c>
      <c r="F2462" s="266">
        <f t="shared" si="120"/>
        <v>2455</v>
      </c>
      <c r="G2462" s="230">
        <f t="shared" ca="1" si="119"/>
        <v>3.4590342997628767E-2</v>
      </c>
    </row>
    <row r="2463" spans="2:7" x14ac:dyDescent="0.25">
      <c r="B2463" s="348">
        <v>42160</v>
      </c>
      <c r="C2463" s="293">
        <v>99.82</v>
      </c>
      <c r="D2463" s="230">
        <f t="shared" si="118"/>
        <v>-2.3000880884799901E-2</v>
      </c>
      <c r="E2463" s="293">
        <v>-2.051702913418163E-3</v>
      </c>
      <c r="F2463" s="266">
        <f t="shared" si="120"/>
        <v>2456</v>
      </c>
      <c r="G2463" s="230">
        <f t="shared" ca="1" si="119"/>
        <v>-1.4525469250773235E-2</v>
      </c>
    </row>
    <row r="2464" spans="2:7" x14ac:dyDescent="0.25">
      <c r="B2464" s="348">
        <v>42129</v>
      </c>
      <c r="C2464" s="293">
        <v>102.17</v>
      </c>
      <c r="D2464" s="230">
        <f t="shared" si="118"/>
        <v>6.8985907164680338E-3</v>
      </c>
      <c r="E2464" s="293">
        <v>-2.0618556701029744E-3</v>
      </c>
      <c r="F2464" s="266">
        <f t="shared" si="120"/>
        <v>2457</v>
      </c>
      <c r="G2464" s="230">
        <f t="shared" ca="1" si="119"/>
        <v>-9.2000755934398184E-3</v>
      </c>
    </row>
    <row r="2465" spans="2:7" x14ac:dyDescent="0.25">
      <c r="B2465" s="348">
        <v>42099</v>
      </c>
      <c r="C2465" s="293">
        <v>101.47</v>
      </c>
      <c r="D2465" s="230">
        <f t="shared" si="118"/>
        <v>4.7529458362214339E-3</v>
      </c>
      <c r="E2465" s="293">
        <v>-2.0709650697225968E-3</v>
      </c>
      <c r="F2465" s="266">
        <f t="shared" si="120"/>
        <v>2458</v>
      </c>
      <c r="G2465" s="230">
        <f t="shared" ca="1" si="119"/>
        <v>-1.5255201583126122E-2</v>
      </c>
    </row>
    <row r="2466" spans="2:7" x14ac:dyDescent="0.25">
      <c r="B2466" s="348" t="s">
        <v>2045</v>
      </c>
      <c r="C2466" s="293">
        <v>100.99</v>
      </c>
      <c r="D2466" s="230">
        <f t="shared" si="118"/>
        <v>-5.6124458448209014E-3</v>
      </c>
      <c r="E2466" s="293">
        <v>-2.09183139838931E-3</v>
      </c>
      <c r="F2466" s="266">
        <f t="shared" si="120"/>
        <v>2459</v>
      </c>
      <c r="G2466" s="230">
        <f t="shared" ca="1" si="119"/>
        <v>-1.1205703868194126E-4</v>
      </c>
    </row>
    <row r="2467" spans="2:7" x14ac:dyDescent="0.25">
      <c r="B2467" s="348" t="s">
        <v>2046</v>
      </c>
      <c r="C2467" s="293">
        <v>101.56</v>
      </c>
      <c r="D2467" s="230">
        <f t="shared" si="118"/>
        <v>1.7635270541082271E-2</v>
      </c>
      <c r="E2467" s="293">
        <v>-2.108814846056517E-3</v>
      </c>
      <c r="F2467" s="266">
        <f t="shared" si="120"/>
        <v>2460</v>
      </c>
      <c r="G2467" s="230">
        <f t="shared" ca="1" si="119"/>
        <v>1.7769168385069978E-2</v>
      </c>
    </row>
    <row r="2468" spans="2:7" x14ac:dyDescent="0.25">
      <c r="B2468" s="348" t="s">
        <v>2047</v>
      </c>
      <c r="C2468" s="293">
        <v>99.8</v>
      </c>
      <c r="D2468" s="230">
        <f t="shared" si="118"/>
        <v>-2.8973923468879059E-3</v>
      </c>
      <c r="E2468" s="293">
        <v>-2.1193924408335896E-3</v>
      </c>
      <c r="F2468" s="266">
        <f t="shared" si="120"/>
        <v>2461</v>
      </c>
      <c r="G2468" s="230">
        <f t="shared" ca="1" si="119"/>
        <v>5.1117049504827549E-3</v>
      </c>
    </row>
    <row r="2469" spans="2:7" x14ac:dyDescent="0.25">
      <c r="B2469" s="348" t="s">
        <v>2048</v>
      </c>
      <c r="C2469" s="293">
        <v>100.09</v>
      </c>
      <c r="D2469" s="230">
        <f t="shared" si="118"/>
        <v>2.0285423037716743E-2</v>
      </c>
      <c r="E2469" s="293">
        <v>-2.1200624860522321E-3</v>
      </c>
      <c r="F2469" s="266">
        <f t="shared" si="120"/>
        <v>2462</v>
      </c>
      <c r="G2469" s="230">
        <f t="shared" ca="1" si="119"/>
        <v>-4.0413354946390537E-3</v>
      </c>
    </row>
    <row r="2470" spans="2:7" x14ac:dyDescent="0.25">
      <c r="B2470" s="348" t="s">
        <v>2049</v>
      </c>
      <c r="C2470" s="293">
        <v>98.1</v>
      </c>
      <c r="D2470" s="230">
        <f t="shared" si="118"/>
        <v>-2.0664869721473522E-2</v>
      </c>
      <c r="E2470" s="293">
        <v>-2.1213261710062437E-3</v>
      </c>
      <c r="F2470" s="266">
        <f t="shared" si="120"/>
        <v>2463</v>
      </c>
      <c r="G2470" s="230">
        <f t="shared" ca="1" si="119"/>
        <v>-2.1460610503318281E-2</v>
      </c>
    </row>
    <row r="2471" spans="2:7" x14ac:dyDescent="0.25">
      <c r="B2471" s="348" t="s">
        <v>2050</v>
      </c>
      <c r="C2471" s="293">
        <v>100.17</v>
      </c>
      <c r="D2471" s="230">
        <f t="shared" si="118"/>
        <v>-1.8903036238981374E-2</v>
      </c>
      <c r="E2471" s="293">
        <v>-2.1422933814408962E-3</v>
      </c>
      <c r="F2471" s="266">
        <f t="shared" si="120"/>
        <v>2464</v>
      </c>
      <c r="G2471" s="230">
        <f t="shared" ca="1" si="119"/>
        <v>-8.08321274915086E-4</v>
      </c>
    </row>
    <row r="2472" spans="2:7" x14ac:dyDescent="0.25">
      <c r="B2472" s="348" t="s">
        <v>2051</v>
      </c>
      <c r="C2472" s="293">
        <v>102.1</v>
      </c>
      <c r="D2472" s="230">
        <f t="shared" si="118"/>
        <v>-5.8118081180811965E-2</v>
      </c>
      <c r="E2472" s="293">
        <v>-2.195389681668547E-3</v>
      </c>
      <c r="F2472" s="266">
        <f t="shared" si="120"/>
        <v>2465</v>
      </c>
      <c r="G2472" s="230">
        <f t="shared" ca="1" si="119"/>
        <v>-5.4091096529560703E-4</v>
      </c>
    </row>
    <row r="2473" spans="2:7" x14ac:dyDescent="0.25">
      <c r="B2473" s="348" t="s">
        <v>2052</v>
      </c>
      <c r="C2473" s="293">
        <v>108.4</v>
      </c>
      <c r="D2473" s="230">
        <f t="shared" si="118"/>
        <v>4.7270367967373605E-3</v>
      </c>
      <c r="E2473" s="293">
        <v>-2.2001047668936957E-3</v>
      </c>
      <c r="F2473" s="266">
        <f t="shared" si="120"/>
        <v>2466</v>
      </c>
      <c r="G2473" s="230">
        <f t="shared" ca="1" si="119"/>
        <v>-1.351604645247517E-2</v>
      </c>
    </row>
    <row r="2474" spans="2:7" x14ac:dyDescent="0.25">
      <c r="B2474" s="348" t="s">
        <v>2053</v>
      </c>
      <c r="C2474" s="293">
        <v>107.89</v>
      </c>
      <c r="D2474" s="230">
        <f t="shared" si="118"/>
        <v>-1.9449241116059279E-2</v>
      </c>
      <c r="E2474" s="293">
        <v>-2.2011675758444316E-3</v>
      </c>
      <c r="F2474" s="266">
        <f t="shared" si="120"/>
        <v>2467</v>
      </c>
      <c r="G2474" s="230">
        <f t="shared" ca="1" si="119"/>
        <v>-1.3686951905566895E-2</v>
      </c>
    </row>
    <row r="2475" spans="2:7" x14ac:dyDescent="0.25">
      <c r="B2475" s="348" t="s">
        <v>2054</v>
      </c>
      <c r="C2475" s="293">
        <v>110.03</v>
      </c>
      <c r="D2475" s="230">
        <f t="shared" si="118"/>
        <v>-2.5161690440329565E-2</v>
      </c>
      <c r="E2475" s="293">
        <v>-2.2016040257902825E-3</v>
      </c>
      <c r="F2475" s="266">
        <f t="shared" si="120"/>
        <v>2468</v>
      </c>
      <c r="G2475" s="230">
        <f t="shared" ca="1" si="119"/>
        <v>-9.4494090876976362E-3</v>
      </c>
    </row>
    <row r="2476" spans="2:7" x14ac:dyDescent="0.25">
      <c r="B2476" s="348" t="s">
        <v>2055</v>
      </c>
      <c r="C2476" s="293">
        <v>112.87</v>
      </c>
      <c r="D2476" s="230">
        <f t="shared" si="118"/>
        <v>-7.7362637362636821E-3</v>
      </c>
      <c r="E2476" s="293">
        <v>-2.2053418279833759E-3</v>
      </c>
      <c r="F2476" s="266">
        <f t="shared" si="120"/>
        <v>2469</v>
      </c>
      <c r="G2476" s="230">
        <f t="shared" ca="1" si="119"/>
        <v>-1.3787428135360866E-2</v>
      </c>
    </row>
    <row r="2477" spans="2:7" x14ac:dyDescent="0.25">
      <c r="B2477" s="348" t="s">
        <v>2056</v>
      </c>
      <c r="C2477" s="293">
        <v>113.75</v>
      </c>
      <c r="D2477" s="230">
        <f t="shared" si="118"/>
        <v>-2.8110047846889974E-2</v>
      </c>
      <c r="E2477" s="293">
        <v>-2.2172949002217113E-3</v>
      </c>
      <c r="F2477" s="266">
        <f t="shared" si="120"/>
        <v>2470</v>
      </c>
      <c r="G2477" s="230">
        <f t="shared" ca="1" si="119"/>
        <v>-7.8974624727438693E-3</v>
      </c>
    </row>
    <row r="2478" spans="2:7" x14ac:dyDescent="0.25">
      <c r="B2478" s="348" t="s">
        <v>2057</v>
      </c>
      <c r="C2478" s="293">
        <v>117.04</v>
      </c>
      <c r="D2478" s="230">
        <f t="shared" si="118"/>
        <v>1.0533586599896561E-2</v>
      </c>
      <c r="E2478" s="293">
        <v>-2.2269235051776137E-3</v>
      </c>
      <c r="F2478" s="266">
        <f t="shared" si="120"/>
        <v>2471</v>
      </c>
      <c r="G2478" s="230">
        <f t="shared" ca="1" si="119"/>
        <v>-1.5171041878975699E-2</v>
      </c>
    </row>
    <row r="2479" spans="2:7" x14ac:dyDescent="0.25">
      <c r="B2479" s="348">
        <v>42281</v>
      </c>
      <c r="C2479" s="293">
        <v>115.82</v>
      </c>
      <c r="D2479" s="230">
        <f t="shared" si="118"/>
        <v>8.641548565502255E-4</v>
      </c>
      <c r="E2479" s="293">
        <v>-2.2471910112359383E-3</v>
      </c>
      <c r="F2479" s="266">
        <f t="shared" si="120"/>
        <v>2472</v>
      </c>
      <c r="G2479" s="230">
        <f t="shared" ca="1" si="119"/>
        <v>-2.2662335929936753E-3</v>
      </c>
    </row>
    <row r="2480" spans="2:7" x14ac:dyDescent="0.25">
      <c r="B2480" s="348">
        <v>42251</v>
      </c>
      <c r="C2480" s="293">
        <v>115.72</v>
      </c>
      <c r="D2480" s="230">
        <f t="shared" si="118"/>
        <v>1.3845621322257085E-3</v>
      </c>
      <c r="E2480" s="293">
        <v>-2.2588551929638712E-3</v>
      </c>
      <c r="F2480" s="266">
        <f t="shared" si="120"/>
        <v>2473</v>
      </c>
      <c r="G2480" s="230">
        <f t="shared" ca="1" si="119"/>
        <v>2.2989592540649757E-2</v>
      </c>
    </row>
    <row r="2481" spans="2:7" x14ac:dyDescent="0.25">
      <c r="B2481" s="348">
        <v>42220</v>
      </c>
      <c r="C2481" s="293">
        <v>115.56</v>
      </c>
      <c r="D2481" s="230">
        <f t="shared" si="118"/>
        <v>2.0811654526535772E-3</v>
      </c>
      <c r="E2481" s="293">
        <v>-2.2945066810635684E-3</v>
      </c>
      <c r="F2481" s="266">
        <f t="shared" si="120"/>
        <v>2474</v>
      </c>
      <c r="G2481" s="230">
        <f t="shared" ca="1" si="119"/>
        <v>-4.6101091051374511E-3</v>
      </c>
    </row>
    <row r="2482" spans="2:7" x14ac:dyDescent="0.25">
      <c r="B2482" s="348">
        <v>42189</v>
      </c>
      <c r="C2482" s="293">
        <v>115.32</v>
      </c>
      <c r="D2482" s="230">
        <f t="shared" si="118"/>
        <v>-9.8737872413497962E-3</v>
      </c>
      <c r="E2482" s="293">
        <v>-2.3011782032400507E-3</v>
      </c>
      <c r="F2482" s="266">
        <f t="shared" si="120"/>
        <v>2475</v>
      </c>
      <c r="G2482" s="230">
        <f t="shared" ca="1" si="119"/>
        <v>-1.5333645806880502E-2</v>
      </c>
    </row>
    <row r="2483" spans="2:7" x14ac:dyDescent="0.25">
      <c r="B2483" s="348">
        <v>42159</v>
      </c>
      <c r="C2483" s="293">
        <v>116.47</v>
      </c>
      <c r="D2483" s="230">
        <f t="shared" si="118"/>
        <v>-1.8952156334231751E-2</v>
      </c>
      <c r="E2483" s="293">
        <v>-2.3068050749711633E-3</v>
      </c>
      <c r="F2483" s="266">
        <f t="shared" si="120"/>
        <v>2476</v>
      </c>
      <c r="G2483" s="230">
        <f t="shared" ca="1" si="119"/>
        <v>-2.2554672971466336E-2</v>
      </c>
    </row>
    <row r="2484" spans="2:7" x14ac:dyDescent="0.25">
      <c r="B2484" s="348">
        <v>42008</v>
      </c>
      <c r="C2484" s="293">
        <v>118.72</v>
      </c>
      <c r="D2484" s="230">
        <f t="shared" si="118"/>
        <v>6.8696463404291919E-3</v>
      </c>
      <c r="E2484" s="293">
        <v>-2.3194168323393827E-3</v>
      </c>
      <c r="F2484" s="266">
        <f t="shared" si="120"/>
        <v>2477</v>
      </c>
      <c r="G2484" s="230">
        <f t="shared" ca="1" si="119"/>
        <v>1.7686603216445725E-2</v>
      </c>
    </row>
    <row r="2485" spans="2:7" x14ac:dyDescent="0.25">
      <c r="B2485" s="348" t="s">
        <v>2058</v>
      </c>
      <c r="C2485" s="293">
        <v>117.91</v>
      </c>
      <c r="D2485" s="230">
        <f t="shared" si="118"/>
        <v>8.7261527932243066E-3</v>
      </c>
      <c r="E2485" s="293">
        <v>-2.3262056007872234E-3</v>
      </c>
      <c r="F2485" s="266">
        <f t="shared" si="120"/>
        <v>2478</v>
      </c>
      <c r="G2485" s="230">
        <f t="shared" ca="1" si="119"/>
        <v>-1.1574380642668674E-2</v>
      </c>
    </row>
    <row r="2486" spans="2:7" x14ac:dyDescent="0.25">
      <c r="B2486" s="348" t="s">
        <v>2059</v>
      </c>
      <c r="C2486" s="293">
        <v>116.89</v>
      </c>
      <c r="D2486" s="230">
        <f t="shared" si="118"/>
        <v>1.8382993552883864E-2</v>
      </c>
      <c r="E2486" s="293">
        <v>-2.3328847016599319E-3</v>
      </c>
      <c r="F2486" s="266">
        <f t="shared" si="120"/>
        <v>2479</v>
      </c>
      <c r="G2486" s="230">
        <f t="shared" ca="1" si="119"/>
        <v>-3.6225347329761131E-3</v>
      </c>
    </row>
    <row r="2487" spans="2:7" x14ac:dyDescent="0.25">
      <c r="B2487" s="348" t="s">
        <v>2060</v>
      </c>
      <c r="C2487" s="293">
        <v>114.78</v>
      </c>
      <c r="D2487" s="230">
        <f t="shared" si="118"/>
        <v>-3.1228899392302556E-2</v>
      </c>
      <c r="E2487" s="293">
        <v>-2.3388393509720107E-3</v>
      </c>
      <c r="F2487" s="266">
        <f t="shared" si="120"/>
        <v>2480</v>
      </c>
      <c r="G2487" s="230">
        <f t="shared" ca="1" si="119"/>
        <v>1.2669404653853881E-2</v>
      </c>
    </row>
    <row r="2488" spans="2:7" x14ac:dyDescent="0.25">
      <c r="B2488" s="348" t="s">
        <v>2061</v>
      </c>
      <c r="C2488" s="293">
        <v>118.48</v>
      </c>
      <c r="D2488" s="230">
        <f t="shared" si="118"/>
        <v>-4.4207808970635587E-2</v>
      </c>
      <c r="E2488" s="293">
        <v>-2.342148921635534E-3</v>
      </c>
      <c r="F2488" s="266">
        <f t="shared" si="120"/>
        <v>2481</v>
      </c>
      <c r="G2488" s="230">
        <f t="shared" ca="1" si="119"/>
        <v>4.3334299869748731E-3</v>
      </c>
    </row>
    <row r="2489" spans="2:7" x14ac:dyDescent="0.25">
      <c r="B2489" s="348" t="s">
        <v>2062</v>
      </c>
      <c r="C2489" s="293">
        <v>123.96</v>
      </c>
      <c r="D2489" s="230">
        <f t="shared" si="118"/>
        <v>1.3573180703188914E-2</v>
      </c>
      <c r="E2489" s="293">
        <v>-2.352326189231646E-3</v>
      </c>
      <c r="F2489" s="266">
        <f t="shared" si="120"/>
        <v>2482</v>
      </c>
      <c r="G2489" s="230">
        <f t="shared" ca="1" si="119"/>
        <v>-1.9305745790892115E-3</v>
      </c>
    </row>
    <row r="2490" spans="2:7" x14ac:dyDescent="0.25">
      <c r="B2490" s="348" t="s">
        <v>2063</v>
      </c>
      <c r="C2490" s="293">
        <v>122.3</v>
      </c>
      <c r="D2490" s="230">
        <f t="shared" si="118"/>
        <v>1.1078042328042326E-2</v>
      </c>
      <c r="E2490" s="293">
        <v>-2.3547141377037173E-3</v>
      </c>
      <c r="F2490" s="266">
        <f t="shared" si="120"/>
        <v>2483</v>
      </c>
      <c r="G2490" s="230">
        <f t="shared" ca="1" si="119"/>
        <v>-1.1819693174121473E-3</v>
      </c>
    </row>
    <row r="2491" spans="2:7" x14ac:dyDescent="0.25">
      <c r="B2491" s="348" t="s">
        <v>2064</v>
      </c>
      <c r="C2491" s="293">
        <v>120.96</v>
      </c>
      <c r="D2491" s="230">
        <f t="shared" si="118"/>
        <v>-1.1522431968619795E-2</v>
      </c>
      <c r="E2491" s="293">
        <v>-2.3720552396426786E-3</v>
      </c>
      <c r="F2491" s="266">
        <f t="shared" si="120"/>
        <v>2484</v>
      </c>
      <c r="G2491" s="230">
        <f t="shared" ca="1" si="119"/>
        <v>-4.0972609220143131E-3</v>
      </c>
    </row>
    <row r="2492" spans="2:7" x14ac:dyDescent="0.25">
      <c r="B2492" s="348" t="s">
        <v>2065</v>
      </c>
      <c r="C2492" s="293">
        <v>122.37</v>
      </c>
      <c r="D2492" s="230">
        <f t="shared" si="118"/>
        <v>2.7714789619551539E-2</v>
      </c>
      <c r="E2492" s="293">
        <v>-2.3743945293950297E-3</v>
      </c>
      <c r="F2492" s="266">
        <f t="shared" si="120"/>
        <v>2485</v>
      </c>
      <c r="G2492" s="230">
        <f t="shared" ca="1" si="119"/>
        <v>5.2668583017758514E-4</v>
      </c>
    </row>
    <row r="2493" spans="2:7" x14ac:dyDescent="0.25">
      <c r="B2493" s="348" t="s">
        <v>2066</v>
      </c>
      <c r="C2493" s="293">
        <v>119.07</v>
      </c>
      <c r="D2493" s="230">
        <f t="shared" si="118"/>
        <v>5.7437283554353513E-3</v>
      </c>
      <c r="E2493" s="293">
        <v>-2.3909985935300915E-3</v>
      </c>
      <c r="F2493" s="266">
        <f t="shared" si="120"/>
        <v>2486</v>
      </c>
      <c r="G2493" s="230">
        <f t="shared" ca="1" si="119"/>
        <v>-4.6026399949436105E-3</v>
      </c>
    </row>
    <row r="2494" spans="2:7" x14ac:dyDescent="0.25">
      <c r="B2494" s="348" t="s">
        <v>2067</v>
      </c>
      <c r="C2494" s="293">
        <v>118.39</v>
      </c>
      <c r="D2494" s="230">
        <f t="shared" si="118"/>
        <v>-1.8650530503978802E-2</v>
      </c>
      <c r="E2494" s="293">
        <v>-2.4050024050024099E-3</v>
      </c>
      <c r="F2494" s="266">
        <f t="shared" si="120"/>
        <v>2487</v>
      </c>
      <c r="G2494" s="230">
        <f t="shared" ca="1" si="119"/>
        <v>-5.4588181296295309E-3</v>
      </c>
    </row>
    <row r="2495" spans="2:7" x14ac:dyDescent="0.25">
      <c r="B2495" s="348" t="s">
        <v>2068</v>
      </c>
      <c r="C2495" s="293">
        <v>120.64</v>
      </c>
      <c r="D2495" s="230">
        <f t="shared" si="118"/>
        <v>-4.3740199719403128E-3</v>
      </c>
      <c r="E2495" s="293">
        <v>-2.4094063222821482E-3</v>
      </c>
      <c r="F2495" s="266">
        <f t="shared" si="120"/>
        <v>2488</v>
      </c>
      <c r="G2495" s="230">
        <f t="shared" ca="1" si="119"/>
        <v>-1.3678072350640192E-2</v>
      </c>
    </row>
    <row r="2496" spans="2:7" x14ac:dyDescent="0.25">
      <c r="B2496" s="348" t="s">
        <v>2069</v>
      </c>
      <c r="C2496" s="293">
        <v>121.17</v>
      </c>
      <c r="D2496" s="230">
        <f t="shared" si="118"/>
        <v>1.0929417653929629E-2</v>
      </c>
      <c r="E2496" s="293">
        <v>-2.4119633381572969E-3</v>
      </c>
      <c r="F2496" s="266">
        <f t="shared" si="120"/>
        <v>2489</v>
      </c>
      <c r="G2496" s="230">
        <f t="shared" ca="1" si="119"/>
        <v>-1.6552384868267864E-2</v>
      </c>
    </row>
    <row r="2497" spans="2:7" x14ac:dyDescent="0.25">
      <c r="B2497" s="348" t="s">
        <v>2070</v>
      </c>
      <c r="C2497" s="293">
        <v>119.86</v>
      </c>
      <c r="D2497" s="230">
        <f t="shared" si="118"/>
        <v>-2.4497436314804277E-2</v>
      </c>
      <c r="E2497" s="293">
        <v>-2.4143985952590485E-3</v>
      </c>
      <c r="F2497" s="266">
        <f t="shared" si="120"/>
        <v>2490</v>
      </c>
      <c r="G2497" s="230">
        <f t="shared" ca="1" si="119"/>
        <v>2.2554989812807399E-4</v>
      </c>
    </row>
    <row r="2498" spans="2:7" x14ac:dyDescent="0.25">
      <c r="B2498" s="348">
        <v>42341</v>
      </c>
      <c r="C2498" s="293">
        <v>122.87</v>
      </c>
      <c r="D2498" s="230">
        <f t="shared" si="118"/>
        <v>8.1453123727293075E-4</v>
      </c>
      <c r="E2498" s="293">
        <v>-2.4197451201807274E-3</v>
      </c>
      <c r="F2498" s="266">
        <f t="shared" si="120"/>
        <v>2491</v>
      </c>
      <c r="G2498" s="230">
        <f t="shared" ca="1" si="119"/>
        <v>-5.0033263866552328E-3</v>
      </c>
    </row>
    <row r="2499" spans="2:7" x14ac:dyDescent="0.25">
      <c r="B2499" s="348">
        <v>42311</v>
      </c>
      <c r="C2499" s="293">
        <v>122.77</v>
      </c>
      <c r="D2499" s="230">
        <f t="shared" si="118"/>
        <v>7.3361591131382298E-4</v>
      </c>
      <c r="E2499" s="293">
        <v>-2.425065476767907E-3</v>
      </c>
      <c r="F2499" s="266">
        <f t="shared" si="120"/>
        <v>2492</v>
      </c>
      <c r="G2499" s="230">
        <f t="shared" ca="1" si="119"/>
        <v>-3.0931731437426864E-3</v>
      </c>
    </row>
    <row r="2500" spans="2:7" x14ac:dyDescent="0.25">
      <c r="B2500" s="348">
        <v>42280</v>
      </c>
      <c r="C2500" s="293">
        <v>122.68</v>
      </c>
      <c r="D2500" s="230">
        <f t="shared" si="118"/>
        <v>-8.8066575098972866E-3</v>
      </c>
      <c r="E2500" s="293">
        <v>-2.4268379728765721E-3</v>
      </c>
      <c r="F2500" s="266">
        <f t="shared" si="120"/>
        <v>2493</v>
      </c>
      <c r="G2500" s="230">
        <f t="shared" ca="1" si="119"/>
        <v>1.7367435013023964E-2</v>
      </c>
    </row>
    <row r="2501" spans="2:7" x14ac:dyDescent="0.25">
      <c r="B2501" s="348">
        <v>42250</v>
      </c>
      <c r="C2501" s="293">
        <v>123.77</v>
      </c>
      <c r="D2501" s="230">
        <f t="shared" si="118"/>
        <v>-1.1500678859516E-2</v>
      </c>
      <c r="E2501" s="293">
        <v>-2.4531024531024848E-3</v>
      </c>
      <c r="F2501" s="266">
        <f t="shared" si="120"/>
        <v>2494</v>
      </c>
      <c r="G2501" s="230">
        <f t="shared" ca="1" si="119"/>
        <v>2.1638042483074896E-2</v>
      </c>
    </row>
    <row r="2502" spans="2:7" x14ac:dyDescent="0.25">
      <c r="B2502" s="348">
        <v>42127</v>
      </c>
      <c r="C2502" s="293">
        <v>125.21</v>
      </c>
      <c r="D2502" s="230">
        <f t="shared" si="118"/>
        <v>1.2534368429564902E-2</v>
      </c>
      <c r="E2502" s="293">
        <v>-2.4868344060854364E-3</v>
      </c>
      <c r="F2502" s="266">
        <f t="shared" si="120"/>
        <v>2495</v>
      </c>
      <c r="G2502" s="230">
        <f t="shared" ca="1" si="119"/>
        <v>7.8605075887146179E-3</v>
      </c>
    </row>
    <row r="2503" spans="2:7" x14ac:dyDescent="0.25">
      <c r="B2503" s="348">
        <v>42097</v>
      </c>
      <c r="C2503" s="293">
        <v>123.66</v>
      </c>
      <c r="D2503" s="230">
        <f t="shared" si="118"/>
        <v>-1.9194162436548257E-2</v>
      </c>
      <c r="E2503" s="293">
        <v>-2.4896265560165887E-3</v>
      </c>
      <c r="F2503" s="266">
        <f t="shared" si="120"/>
        <v>2496</v>
      </c>
      <c r="G2503" s="230">
        <f t="shared" ca="1" si="119"/>
        <v>-2.1166192708864023E-2</v>
      </c>
    </row>
    <row r="2504" spans="2:7" x14ac:dyDescent="0.25">
      <c r="B2504" s="348">
        <v>42066</v>
      </c>
      <c r="C2504" s="293">
        <v>126.08</v>
      </c>
      <c r="D2504" s="230">
        <f t="shared" si="118"/>
        <v>1.1959226262139744E-2</v>
      </c>
      <c r="E2504" s="293">
        <v>-2.4903154399558147E-3</v>
      </c>
      <c r="F2504" s="266">
        <f t="shared" si="120"/>
        <v>2497</v>
      </c>
      <c r="G2504" s="230">
        <f t="shared" ca="1" si="119"/>
        <v>-4.1343959967442834E-3</v>
      </c>
    </row>
    <row r="2505" spans="2:7" x14ac:dyDescent="0.25">
      <c r="B2505" s="348">
        <v>42038</v>
      </c>
      <c r="C2505" s="293">
        <v>124.59</v>
      </c>
      <c r="D2505" s="230">
        <f t="shared" ref="D2505:D2568" si="121">C2505/C2506-1</f>
        <v>8.0097087378641074E-3</v>
      </c>
      <c r="E2505" s="293">
        <v>-2.4948260709324321E-3</v>
      </c>
      <c r="F2505" s="266">
        <f t="shared" si="120"/>
        <v>2498</v>
      </c>
      <c r="G2505" s="230">
        <f t="shared" ref="G2505:G2568" ca="1" si="122">_xlfn.NORM.INV(RAND(),$M$10,$M$11)</f>
        <v>-1.6855302355981143E-2</v>
      </c>
    </row>
    <row r="2506" spans="2:7" x14ac:dyDescent="0.25">
      <c r="B2506" s="348" t="s">
        <v>2071</v>
      </c>
      <c r="C2506" s="293">
        <v>123.6</v>
      </c>
      <c r="D2506" s="230">
        <f t="shared" si="121"/>
        <v>7.4991848712095965E-3</v>
      </c>
      <c r="E2506" s="293">
        <v>-2.4964336661911224E-3</v>
      </c>
      <c r="F2506" s="266">
        <f t="shared" ref="F2506:F2569" si="123">F2505+1</f>
        <v>2499</v>
      </c>
      <c r="G2506" s="230">
        <f t="shared" ca="1" si="122"/>
        <v>5.0139674049270531E-3</v>
      </c>
    </row>
    <row r="2507" spans="2:7" x14ac:dyDescent="0.25">
      <c r="B2507" s="348" t="s">
        <v>2072</v>
      </c>
      <c r="C2507" s="293">
        <v>122.68</v>
      </c>
      <c r="D2507" s="230">
        <f t="shared" si="121"/>
        <v>-5.5123216601815628E-3</v>
      </c>
      <c r="E2507" s="293">
        <v>-2.5007814942168416E-3</v>
      </c>
      <c r="F2507" s="266">
        <f t="shared" si="123"/>
        <v>2500</v>
      </c>
      <c r="G2507" s="230">
        <f t="shared" ca="1" si="122"/>
        <v>-3.2592754234697964E-2</v>
      </c>
    </row>
    <row r="2508" spans="2:7" x14ac:dyDescent="0.25">
      <c r="B2508" s="348" t="s">
        <v>2073</v>
      </c>
      <c r="C2508" s="293">
        <v>123.36</v>
      </c>
      <c r="D2508" s="230">
        <f t="shared" si="121"/>
        <v>-8.8381809416679946E-3</v>
      </c>
      <c r="E2508" s="293">
        <v>-2.5290844714214167E-3</v>
      </c>
      <c r="F2508" s="266">
        <f t="shared" si="123"/>
        <v>2501</v>
      </c>
      <c r="G2508" s="230">
        <f t="shared" ca="1" si="122"/>
        <v>-1.0885110849820615E-2</v>
      </c>
    </row>
    <row r="2509" spans="2:7" x14ac:dyDescent="0.25">
      <c r="B2509" s="348" t="s">
        <v>2074</v>
      </c>
      <c r="C2509" s="293">
        <v>124.46</v>
      </c>
      <c r="D2509" s="230">
        <f t="shared" si="121"/>
        <v>1.6497876510944032E-2</v>
      </c>
      <c r="E2509" s="293">
        <v>-2.5325725444726999E-3</v>
      </c>
      <c r="F2509" s="266">
        <f t="shared" si="123"/>
        <v>2502</v>
      </c>
      <c r="G2509" s="230">
        <f t="shared" ca="1" si="122"/>
        <v>-1.5671075162819438E-2</v>
      </c>
    </row>
    <row r="2510" spans="2:7" x14ac:dyDescent="0.25">
      <c r="B2510" s="348" t="s">
        <v>2075</v>
      </c>
      <c r="C2510" s="293">
        <v>122.44</v>
      </c>
      <c r="D2510" s="230">
        <f t="shared" si="121"/>
        <v>5.0069769350733484E-3</v>
      </c>
      <c r="E2510" s="293">
        <v>-2.5339549969592978E-3</v>
      </c>
      <c r="F2510" s="266">
        <f t="shared" si="123"/>
        <v>2503</v>
      </c>
      <c r="G2510" s="230">
        <f t="shared" ca="1" si="122"/>
        <v>7.4785789878579062E-3</v>
      </c>
    </row>
    <row r="2511" spans="2:7" x14ac:dyDescent="0.25">
      <c r="B2511" s="348" t="s">
        <v>2076</v>
      </c>
      <c r="C2511" s="293">
        <v>121.83</v>
      </c>
      <c r="D2511" s="230">
        <f t="shared" si="121"/>
        <v>-4.1023957991459525E-4</v>
      </c>
      <c r="E2511" s="293">
        <v>-2.5371511417180415E-3</v>
      </c>
      <c r="F2511" s="266">
        <f t="shared" si="123"/>
        <v>2504</v>
      </c>
      <c r="G2511" s="230">
        <f t="shared" ca="1" si="122"/>
        <v>1.115312171258351E-2</v>
      </c>
    </row>
    <row r="2512" spans="2:7" x14ac:dyDescent="0.25">
      <c r="B2512" s="348" t="s">
        <v>2077</v>
      </c>
      <c r="C2512" s="293">
        <v>121.88</v>
      </c>
      <c r="D2512" s="230">
        <f t="shared" si="121"/>
        <v>-1.4394306970726189E-2</v>
      </c>
      <c r="E2512" s="293">
        <v>-2.5377132384041268E-3</v>
      </c>
      <c r="F2512" s="266">
        <f t="shared" si="123"/>
        <v>2505</v>
      </c>
      <c r="G2512" s="230">
        <f t="shared" ca="1" si="122"/>
        <v>1.5490073569006649E-2</v>
      </c>
    </row>
    <row r="2513" spans="2:7" x14ac:dyDescent="0.25">
      <c r="B2513" s="348" t="s">
        <v>2078</v>
      </c>
      <c r="C2513" s="293">
        <v>123.66</v>
      </c>
      <c r="D2513" s="230">
        <f t="shared" si="121"/>
        <v>-1.4190051020408156E-2</v>
      </c>
      <c r="E2513" s="293">
        <v>-2.5409373235460997E-3</v>
      </c>
      <c r="F2513" s="266">
        <f t="shared" si="123"/>
        <v>2506</v>
      </c>
      <c r="G2513" s="230">
        <f t="shared" ca="1" si="122"/>
        <v>2.2408115424893918E-2</v>
      </c>
    </row>
    <row r="2514" spans="2:7" x14ac:dyDescent="0.25">
      <c r="B2514" s="348" t="s">
        <v>2079</v>
      </c>
      <c r="C2514" s="293">
        <v>125.44</v>
      </c>
      <c r="D2514" s="230">
        <f t="shared" si="121"/>
        <v>1.1368217366766187E-2</v>
      </c>
      <c r="E2514" s="293">
        <v>-2.5469595670168932E-3</v>
      </c>
      <c r="F2514" s="266">
        <f t="shared" si="123"/>
        <v>2507</v>
      </c>
      <c r="G2514" s="230">
        <f t="shared" ca="1" si="122"/>
        <v>1.991339070814397E-2</v>
      </c>
    </row>
    <row r="2515" spans="2:7" x14ac:dyDescent="0.25">
      <c r="B2515" s="348" t="s">
        <v>2080</v>
      </c>
      <c r="C2515" s="293">
        <v>124.03</v>
      </c>
      <c r="D2515" s="230">
        <f t="shared" si="121"/>
        <v>1.2108492089117906E-3</v>
      </c>
      <c r="E2515" s="293">
        <v>-2.5471980821096807E-3</v>
      </c>
      <c r="F2515" s="266">
        <f t="shared" si="123"/>
        <v>2508</v>
      </c>
      <c r="G2515" s="230">
        <f t="shared" ca="1" si="122"/>
        <v>8.2523893886488967E-3</v>
      </c>
    </row>
    <row r="2516" spans="2:7" x14ac:dyDescent="0.25">
      <c r="B2516" s="348" t="s">
        <v>2081</v>
      </c>
      <c r="C2516" s="293">
        <v>123.88</v>
      </c>
      <c r="D2516" s="230">
        <f t="shared" si="121"/>
        <v>2.1437994722955045E-2</v>
      </c>
      <c r="E2516" s="293">
        <v>-2.5634452704434985E-3</v>
      </c>
      <c r="F2516" s="266">
        <f t="shared" si="123"/>
        <v>2509</v>
      </c>
      <c r="G2516" s="230">
        <f t="shared" ca="1" si="122"/>
        <v>8.6067096160380926E-3</v>
      </c>
    </row>
    <row r="2517" spans="2:7" x14ac:dyDescent="0.25">
      <c r="B2517" s="348">
        <v>42340</v>
      </c>
      <c r="C2517" s="293">
        <v>121.28</v>
      </c>
      <c r="D2517" s="230">
        <f t="shared" si="121"/>
        <v>1.3199665831244767E-2</v>
      </c>
      <c r="E2517" s="293">
        <v>-2.5645409471704017E-3</v>
      </c>
      <c r="F2517" s="266">
        <f t="shared" si="123"/>
        <v>2510</v>
      </c>
      <c r="G2517" s="230">
        <f t="shared" ca="1" si="122"/>
        <v>1.1907822221588779E-2</v>
      </c>
    </row>
    <row r="2518" spans="2:7" x14ac:dyDescent="0.25">
      <c r="B2518" s="348">
        <v>42310</v>
      </c>
      <c r="C2518" s="293">
        <v>119.7</v>
      </c>
      <c r="D2518" s="230">
        <f t="shared" si="121"/>
        <v>-6.5565607104323131E-3</v>
      </c>
      <c r="E2518" s="293">
        <v>-2.5826876614180039E-3</v>
      </c>
      <c r="F2518" s="266">
        <f t="shared" si="123"/>
        <v>2511</v>
      </c>
      <c r="G2518" s="230">
        <f t="shared" ca="1" si="122"/>
        <v>-8.4474775763241292E-3</v>
      </c>
    </row>
    <row r="2519" spans="2:7" x14ac:dyDescent="0.25">
      <c r="B2519" s="348">
        <v>42279</v>
      </c>
      <c r="C2519" s="293">
        <v>120.49</v>
      </c>
      <c r="D2519" s="230">
        <f t="shared" si="121"/>
        <v>-7.9861682858554106E-3</v>
      </c>
      <c r="E2519" s="293">
        <v>-2.5930101465614364E-3</v>
      </c>
      <c r="F2519" s="266">
        <f t="shared" si="123"/>
        <v>2512</v>
      </c>
      <c r="G2519" s="230">
        <f t="shared" ca="1" si="122"/>
        <v>1.3190181665384717E-2</v>
      </c>
    </row>
    <row r="2520" spans="2:7" x14ac:dyDescent="0.25">
      <c r="B2520" s="348">
        <v>42249</v>
      </c>
      <c r="C2520" s="293">
        <v>121.46</v>
      </c>
      <c r="D2520" s="230">
        <f t="shared" si="121"/>
        <v>7.0475084984660263E-3</v>
      </c>
      <c r="E2520" s="293">
        <v>-2.5974025974027093E-3</v>
      </c>
      <c r="F2520" s="266">
        <f t="shared" si="123"/>
        <v>2513</v>
      </c>
      <c r="G2520" s="230">
        <f t="shared" ca="1" si="122"/>
        <v>2.2730072405629542E-3</v>
      </c>
    </row>
    <row r="2521" spans="2:7" x14ac:dyDescent="0.25">
      <c r="B2521" s="348">
        <v>42157</v>
      </c>
      <c r="C2521" s="293">
        <v>120.61</v>
      </c>
      <c r="D2521" s="230">
        <f t="shared" si="121"/>
        <v>7.8549344029414936E-3</v>
      </c>
      <c r="E2521" s="293">
        <v>-2.6058631921823672E-3</v>
      </c>
      <c r="F2521" s="266">
        <f t="shared" si="123"/>
        <v>2514</v>
      </c>
      <c r="G2521" s="230">
        <f t="shared" ca="1" si="122"/>
        <v>-1.0247218480344158E-3</v>
      </c>
    </row>
    <row r="2522" spans="2:7" x14ac:dyDescent="0.25">
      <c r="B2522" s="348">
        <v>42126</v>
      </c>
      <c r="C2522" s="293">
        <v>119.67</v>
      </c>
      <c r="D2522" s="230">
        <f t="shared" si="121"/>
        <v>3.0749354005167984E-2</v>
      </c>
      <c r="E2522" s="293">
        <v>-2.6140567200986231E-3</v>
      </c>
      <c r="F2522" s="266">
        <f t="shared" si="123"/>
        <v>2515</v>
      </c>
      <c r="G2522" s="230">
        <f t="shared" ca="1" si="122"/>
        <v>-2.1307341695243558E-2</v>
      </c>
    </row>
    <row r="2523" spans="2:7" x14ac:dyDescent="0.25">
      <c r="B2523" s="348">
        <v>42096</v>
      </c>
      <c r="C2523" s="293">
        <v>116.1</v>
      </c>
      <c r="D2523" s="230">
        <f t="shared" si="121"/>
        <v>-3.7755277158058043E-3</v>
      </c>
      <c r="E2523" s="293">
        <v>-2.6184241847179157E-3</v>
      </c>
      <c r="F2523" s="266">
        <f t="shared" si="123"/>
        <v>2516</v>
      </c>
      <c r="G2523" s="230">
        <f t="shared" ca="1" si="122"/>
        <v>2.5440400492361882E-2</v>
      </c>
    </row>
    <row r="2524" spans="2:7" x14ac:dyDescent="0.25">
      <c r="B2524" s="348">
        <v>42065</v>
      </c>
      <c r="C2524" s="293">
        <v>116.54</v>
      </c>
      <c r="D2524" s="230">
        <f t="shared" si="121"/>
        <v>-5.7162358160565141E-3</v>
      </c>
      <c r="E2524" s="293">
        <v>-2.6275558952798539E-3</v>
      </c>
      <c r="F2524" s="266">
        <f t="shared" si="123"/>
        <v>2517</v>
      </c>
      <c r="G2524" s="230">
        <f t="shared" ca="1" si="122"/>
        <v>-2.9089178463149609E-2</v>
      </c>
    </row>
    <row r="2525" spans="2:7" x14ac:dyDescent="0.25">
      <c r="B2525" s="348">
        <v>42037</v>
      </c>
      <c r="C2525" s="293">
        <v>117.21</v>
      </c>
      <c r="D2525" s="230">
        <f t="shared" si="121"/>
        <v>3.059878659984161E-2</v>
      </c>
      <c r="E2525" s="293">
        <v>-2.6342451874367123E-3</v>
      </c>
      <c r="F2525" s="266">
        <f t="shared" si="123"/>
        <v>2518</v>
      </c>
      <c r="G2525" s="230">
        <f t="shared" ca="1" si="122"/>
        <v>9.2349363493083409E-4</v>
      </c>
    </row>
    <row r="2526" spans="2:7" x14ac:dyDescent="0.25">
      <c r="B2526" s="348" t="s">
        <v>2082</v>
      </c>
      <c r="C2526" s="293">
        <v>113.73</v>
      </c>
      <c r="D2526" s="230">
        <f t="shared" si="121"/>
        <v>6.3711176002123615E-3</v>
      </c>
      <c r="E2526" s="293">
        <v>-2.6350461133071157E-3</v>
      </c>
      <c r="F2526" s="266">
        <f t="shared" si="123"/>
        <v>2519</v>
      </c>
      <c r="G2526" s="230">
        <f t="shared" ca="1" si="122"/>
        <v>1.067789290600068E-2</v>
      </c>
    </row>
    <row r="2527" spans="2:7" x14ac:dyDescent="0.25">
      <c r="B2527" s="348" t="s">
        <v>2083</v>
      </c>
      <c r="C2527" s="293">
        <v>113.01</v>
      </c>
      <c r="D2527" s="230">
        <f t="shared" si="121"/>
        <v>-7.4653082733180387E-3</v>
      </c>
      <c r="E2527" s="293">
        <v>-2.6391027050801652E-3</v>
      </c>
      <c r="F2527" s="266">
        <f t="shared" si="123"/>
        <v>2520</v>
      </c>
      <c r="G2527" s="230">
        <f t="shared" ca="1" si="122"/>
        <v>1.8906080108174711E-2</v>
      </c>
    </row>
    <row r="2528" spans="2:7" x14ac:dyDescent="0.25">
      <c r="B2528" s="348" t="s">
        <v>2084</v>
      </c>
      <c r="C2528" s="293">
        <v>113.86</v>
      </c>
      <c r="D2528" s="230">
        <f t="shared" si="121"/>
        <v>1.4523745878998406E-2</v>
      </c>
      <c r="E2528" s="293">
        <v>-2.6422406200459214E-3</v>
      </c>
      <c r="F2528" s="266">
        <f t="shared" si="123"/>
        <v>2521</v>
      </c>
      <c r="G2528" s="230">
        <f t="shared" ca="1" si="122"/>
        <v>-2.2864079174756982E-2</v>
      </c>
    </row>
    <row r="2529" spans="2:7" x14ac:dyDescent="0.25">
      <c r="B2529" s="348" t="s">
        <v>2085</v>
      </c>
      <c r="C2529" s="293">
        <v>112.23</v>
      </c>
      <c r="D2529" s="230">
        <f t="shared" si="121"/>
        <v>-5.4058844381424942E-3</v>
      </c>
      <c r="E2529" s="293">
        <v>-2.6505463845618582E-3</v>
      </c>
      <c r="F2529" s="266">
        <f t="shared" si="123"/>
        <v>2522</v>
      </c>
      <c r="G2529" s="230">
        <f t="shared" ca="1" si="122"/>
        <v>3.8256049159632738E-2</v>
      </c>
    </row>
    <row r="2530" spans="2:7" x14ac:dyDescent="0.25">
      <c r="B2530" s="348" t="s">
        <v>2086</v>
      </c>
      <c r="C2530" s="293">
        <v>112.84</v>
      </c>
      <c r="D2530" s="230">
        <f t="shared" si="121"/>
        <v>1.2199497667743087E-2</v>
      </c>
      <c r="E2530" s="293">
        <v>-2.6572187776793266E-3</v>
      </c>
      <c r="F2530" s="266">
        <f t="shared" si="123"/>
        <v>2523</v>
      </c>
      <c r="G2530" s="230">
        <f t="shared" ca="1" si="122"/>
        <v>3.0225372562888445E-2</v>
      </c>
    </row>
    <row r="2531" spans="2:7" x14ac:dyDescent="0.25">
      <c r="B2531" s="348" t="s">
        <v>2087</v>
      </c>
      <c r="C2531" s="293">
        <v>111.48</v>
      </c>
      <c r="D2531" s="230">
        <f t="shared" si="121"/>
        <v>9.9655734734553914E-3</v>
      </c>
      <c r="E2531" s="293">
        <v>-2.6595744680851796E-3</v>
      </c>
      <c r="F2531" s="266">
        <f t="shared" si="123"/>
        <v>2524</v>
      </c>
      <c r="G2531" s="230">
        <f t="shared" ca="1" si="122"/>
        <v>-5.227674727061986E-3</v>
      </c>
    </row>
    <row r="2532" spans="2:7" x14ac:dyDescent="0.25">
      <c r="B2532" s="348" t="s">
        <v>2088</v>
      </c>
      <c r="C2532" s="293">
        <v>110.38</v>
      </c>
      <c r="D2532" s="230">
        <f t="shared" si="121"/>
        <v>-2.890695573622426E-3</v>
      </c>
      <c r="E2532" s="293">
        <v>-2.6746907388833785E-3</v>
      </c>
      <c r="F2532" s="266">
        <f t="shared" si="123"/>
        <v>2525</v>
      </c>
      <c r="G2532" s="230">
        <f t="shared" ca="1" si="122"/>
        <v>-2.0405761817108341E-2</v>
      </c>
    </row>
    <row r="2533" spans="2:7" x14ac:dyDescent="0.25">
      <c r="B2533" s="348" t="s">
        <v>2089</v>
      </c>
      <c r="C2533" s="293">
        <v>110.7</v>
      </c>
      <c r="D2533" s="230">
        <f t="shared" si="121"/>
        <v>1.0589738908161284E-2</v>
      </c>
      <c r="E2533" s="293">
        <v>-2.6769779892920065E-3</v>
      </c>
      <c r="F2533" s="266">
        <f t="shared" si="123"/>
        <v>2526</v>
      </c>
      <c r="G2533" s="230">
        <f t="shared" ca="1" si="122"/>
        <v>-7.1827930387083124E-3</v>
      </c>
    </row>
    <row r="2534" spans="2:7" x14ac:dyDescent="0.25">
      <c r="B2534" s="348" t="s">
        <v>2090</v>
      </c>
      <c r="C2534" s="293">
        <v>109.54</v>
      </c>
      <c r="D2534" s="230">
        <f t="shared" si="121"/>
        <v>5.2560776400499831E-2</v>
      </c>
      <c r="E2534" s="293">
        <v>-2.686624448282493E-3</v>
      </c>
      <c r="F2534" s="266">
        <f t="shared" si="123"/>
        <v>2527</v>
      </c>
      <c r="G2534" s="230">
        <f t="shared" ca="1" si="122"/>
        <v>-9.793673664129551E-3</v>
      </c>
    </row>
    <row r="2535" spans="2:7" x14ac:dyDescent="0.25">
      <c r="B2535" s="348" t="s">
        <v>2091</v>
      </c>
      <c r="C2535" s="293">
        <v>104.07</v>
      </c>
      <c r="D2535" s="230">
        <f t="shared" si="121"/>
        <v>-8.0068630254503947E-3</v>
      </c>
      <c r="E2535" s="293">
        <v>-2.6888747805952073E-3</v>
      </c>
      <c r="F2535" s="266">
        <f t="shared" si="123"/>
        <v>2528</v>
      </c>
      <c r="G2535" s="230">
        <f t="shared" ca="1" si="122"/>
        <v>-1.5864722567542448E-2</v>
      </c>
    </row>
    <row r="2536" spans="2:7" x14ac:dyDescent="0.25">
      <c r="B2536" s="348" t="s">
        <v>2092</v>
      </c>
      <c r="C2536" s="293">
        <v>104.91</v>
      </c>
      <c r="D2536" s="230">
        <f t="shared" si="121"/>
        <v>1.372113247656781E-2</v>
      </c>
      <c r="E2536" s="293">
        <v>-2.6894478721721793E-3</v>
      </c>
      <c r="F2536" s="266">
        <f t="shared" si="123"/>
        <v>2529</v>
      </c>
      <c r="G2536" s="230">
        <f t="shared" ca="1" si="122"/>
        <v>-1.7392042610179008E-2</v>
      </c>
    </row>
    <row r="2537" spans="2:7" x14ac:dyDescent="0.25">
      <c r="B2537" s="348" t="s">
        <v>2093</v>
      </c>
      <c r="C2537" s="293">
        <v>103.49</v>
      </c>
      <c r="D2537" s="230">
        <f t="shared" si="121"/>
        <v>-2.0537573348476279E-2</v>
      </c>
      <c r="E2537" s="293">
        <v>-2.6902813585920615E-3</v>
      </c>
      <c r="F2537" s="266">
        <f t="shared" si="123"/>
        <v>2530</v>
      </c>
      <c r="G2537" s="230">
        <f t="shared" ca="1" si="122"/>
        <v>-3.426540618799645E-2</v>
      </c>
    </row>
    <row r="2538" spans="2:7" x14ac:dyDescent="0.25">
      <c r="B2538" s="348" t="s">
        <v>2094</v>
      </c>
      <c r="C2538" s="293">
        <v>105.66</v>
      </c>
      <c r="D2538" s="230">
        <f t="shared" si="121"/>
        <v>1.3427968540187907E-2</v>
      </c>
      <c r="E2538" s="293">
        <v>-2.6924694993688547E-3</v>
      </c>
      <c r="F2538" s="266">
        <f t="shared" si="123"/>
        <v>2531</v>
      </c>
      <c r="G2538" s="230">
        <f t="shared" ca="1" si="122"/>
        <v>2.069173978500944E-2</v>
      </c>
    </row>
    <row r="2539" spans="2:7" x14ac:dyDescent="0.25">
      <c r="B2539" s="348">
        <v>42339</v>
      </c>
      <c r="C2539" s="293">
        <v>104.26</v>
      </c>
      <c r="D2539" s="230">
        <f t="shared" si="121"/>
        <v>4.6251686259395353E-3</v>
      </c>
      <c r="E2539" s="293">
        <v>-2.6995757809487042E-3</v>
      </c>
      <c r="F2539" s="266">
        <f t="shared" si="123"/>
        <v>2532</v>
      </c>
      <c r="G2539" s="230">
        <f t="shared" ca="1" si="122"/>
        <v>-1.0855029389207415E-2</v>
      </c>
    </row>
    <row r="2540" spans="2:7" x14ac:dyDescent="0.25">
      <c r="B2540" s="348">
        <v>42248</v>
      </c>
      <c r="C2540" s="293">
        <v>103.78</v>
      </c>
      <c r="D2540" s="230">
        <f t="shared" si="121"/>
        <v>1.5559252373030574E-2</v>
      </c>
      <c r="E2540" s="293">
        <v>-2.7011657662779909E-3</v>
      </c>
      <c r="F2540" s="266">
        <f t="shared" si="123"/>
        <v>2533</v>
      </c>
      <c r="G2540" s="230">
        <f t="shared" ca="1" si="122"/>
        <v>-7.9256424380624007E-3</v>
      </c>
    </row>
    <row r="2541" spans="2:7" x14ac:dyDescent="0.25">
      <c r="B2541" s="348">
        <v>42217</v>
      </c>
      <c r="C2541" s="293">
        <v>102.19</v>
      </c>
      <c r="D2541" s="230">
        <f t="shared" si="121"/>
        <v>7.1949536763256106E-3</v>
      </c>
      <c r="E2541" s="293">
        <v>-2.7014858171995337E-3</v>
      </c>
      <c r="F2541" s="266">
        <f t="shared" si="123"/>
        <v>2534</v>
      </c>
      <c r="G2541" s="230">
        <f t="shared" ca="1" si="122"/>
        <v>2.9678122210007075E-3</v>
      </c>
    </row>
    <row r="2542" spans="2:7" x14ac:dyDescent="0.25">
      <c r="B2542" s="348">
        <v>42186</v>
      </c>
      <c r="C2542" s="293">
        <v>101.46</v>
      </c>
      <c r="D2542" s="230">
        <f t="shared" si="121"/>
        <v>-7.5320356059865867E-3</v>
      </c>
      <c r="E2542" s="293">
        <v>-2.7021955338711878E-3</v>
      </c>
      <c r="F2542" s="266">
        <f t="shared" si="123"/>
        <v>2535</v>
      </c>
      <c r="G2542" s="230">
        <f t="shared" ca="1" si="122"/>
        <v>2.2596373680230784E-2</v>
      </c>
    </row>
    <row r="2543" spans="2:7" x14ac:dyDescent="0.25">
      <c r="B2543" s="348">
        <v>42156</v>
      </c>
      <c r="C2543" s="293">
        <v>102.23</v>
      </c>
      <c r="D2543" s="230">
        <f t="shared" si="121"/>
        <v>-2.3404661826518902E-2</v>
      </c>
      <c r="E2543" s="293">
        <v>-2.7040730099713306E-3</v>
      </c>
      <c r="F2543" s="266">
        <f t="shared" si="123"/>
        <v>2536</v>
      </c>
      <c r="G2543" s="230">
        <f t="shared" ca="1" si="122"/>
        <v>-1.5433264143717916E-2</v>
      </c>
    </row>
    <row r="2544" spans="2:7" x14ac:dyDescent="0.25">
      <c r="B2544" s="348">
        <v>42125</v>
      </c>
      <c r="C2544" s="293">
        <v>104.68</v>
      </c>
      <c r="D2544" s="230">
        <f t="shared" si="121"/>
        <v>1.8183558235238539E-3</v>
      </c>
      <c r="E2544" s="293">
        <v>-2.7105168052042883E-3</v>
      </c>
      <c r="F2544" s="266">
        <f t="shared" si="123"/>
        <v>2537</v>
      </c>
      <c r="G2544" s="230">
        <f t="shared" ca="1" si="122"/>
        <v>-2.2313166074547357E-2</v>
      </c>
    </row>
    <row r="2545" spans="2:7" x14ac:dyDescent="0.25">
      <c r="B2545" s="348">
        <v>42036</v>
      </c>
      <c r="C2545" s="293">
        <v>104.49</v>
      </c>
      <c r="D2545" s="230">
        <f t="shared" si="121"/>
        <v>8.7854798223594432E-3</v>
      </c>
      <c r="E2545" s="293">
        <v>-2.7154236060825676E-3</v>
      </c>
      <c r="F2545" s="266">
        <f t="shared" si="123"/>
        <v>2538</v>
      </c>
      <c r="G2545" s="230">
        <f t="shared" ca="1" si="122"/>
        <v>1.5616703379085569E-2</v>
      </c>
    </row>
    <row r="2546" spans="2:7" x14ac:dyDescent="0.25">
      <c r="B2546" s="348">
        <v>42005</v>
      </c>
      <c r="C2546" s="293">
        <v>103.58</v>
      </c>
      <c r="D2546" s="230">
        <f t="shared" si="121"/>
        <v>-4.9951969260326745E-3</v>
      </c>
      <c r="E2546" s="293">
        <v>-2.7162557459257108E-3</v>
      </c>
      <c r="F2546" s="266">
        <f t="shared" si="123"/>
        <v>2539</v>
      </c>
      <c r="G2546" s="230">
        <f t="shared" ca="1" si="122"/>
        <v>-7.0767619165796767E-3</v>
      </c>
    </row>
    <row r="2547" spans="2:7" x14ac:dyDescent="0.25">
      <c r="B2547" s="348" t="s">
        <v>2095</v>
      </c>
      <c r="C2547" s="293">
        <v>104.1</v>
      </c>
      <c r="D2547" s="230">
        <f t="shared" si="121"/>
        <v>4.8262548262547611E-3</v>
      </c>
      <c r="E2547" s="293">
        <v>-2.7314941272875704E-3</v>
      </c>
      <c r="F2547" s="266">
        <f t="shared" si="123"/>
        <v>2540</v>
      </c>
      <c r="G2547" s="230">
        <f t="shared" ca="1" si="122"/>
        <v>2.7221142214629575E-2</v>
      </c>
    </row>
    <row r="2548" spans="2:7" x14ac:dyDescent="0.25">
      <c r="B2548" s="348" t="s">
        <v>2096</v>
      </c>
      <c r="C2548" s="293">
        <v>103.6</v>
      </c>
      <c r="D2548" s="230">
        <f t="shared" si="121"/>
        <v>4.3625787687833206E-3</v>
      </c>
      <c r="E2548" s="293">
        <v>-2.7439024390242261E-3</v>
      </c>
      <c r="F2548" s="266">
        <f t="shared" si="123"/>
        <v>2541</v>
      </c>
      <c r="G2548" s="230">
        <f t="shared" ca="1" si="122"/>
        <v>2.5919075655016569E-2</v>
      </c>
    </row>
    <row r="2549" spans="2:7" x14ac:dyDescent="0.25">
      <c r="B2549" s="348" t="s">
        <v>2097</v>
      </c>
      <c r="C2549" s="293">
        <v>103.15</v>
      </c>
      <c r="D2549" s="230">
        <f t="shared" si="121"/>
        <v>4.9688230709274972E-3</v>
      </c>
      <c r="E2549" s="293">
        <v>-2.7482520308774738E-3</v>
      </c>
      <c r="F2549" s="266">
        <f t="shared" si="123"/>
        <v>2542</v>
      </c>
      <c r="G2549" s="230">
        <f t="shared" ca="1" si="122"/>
        <v>-1.9620692777521771E-2</v>
      </c>
    </row>
    <row r="2550" spans="2:7" x14ac:dyDescent="0.25">
      <c r="B2550" s="348" t="s">
        <v>2098</v>
      </c>
      <c r="C2550" s="293">
        <v>102.64</v>
      </c>
      <c r="D2550" s="230">
        <f t="shared" si="121"/>
        <v>3.5197497066874472E-3</v>
      </c>
      <c r="E2550" s="293">
        <v>-2.7677037602596988E-3</v>
      </c>
      <c r="F2550" s="266">
        <f t="shared" si="123"/>
        <v>2543</v>
      </c>
      <c r="G2550" s="230">
        <f t="shared" ca="1" si="122"/>
        <v>4.5480354770553186E-3</v>
      </c>
    </row>
    <row r="2551" spans="2:7" x14ac:dyDescent="0.25">
      <c r="B2551" s="348" t="s">
        <v>2099</v>
      </c>
      <c r="C2551" s="293">
        <v>102.28</v>
      </c>
      <c r="D2551" s="230">
        <f t="shared" si="121"/>
        <v>-1.2550685460513633E-2</v>
      </c>
      <c r="E2551" s="293">
        <v>-2.7798098024871543E-3</v>
      </c>
      <c r="F2551" s="266">
        <f t="shared" si="123"/>
        <v>2544</v>
      </c>
      <c r="G2551" s="230">
        <f t="shared" ca="1" si="122"/>
        <v>1.8909134463480394E-2</v>
      </c>
    </row>
    <row r="2552" spans="2:7" x14ac:dyDescent="0.25">
      <c r="B2552" s="348" t="s">
        <v>2100</v>
      </c>
      <c r="C2552" s="293">
        <v>103.58</v>
      </c>
      <c r="D2552" s="230">
        <f t="shared" si="121"/>
        <v>-4.8996061100970989E-3</v>
      </c>
      <c r="E2552" s="293">
        <v>-2.7818687612501947E-3</v>
      </c>
      <c r="F2552" s="266">
        <f t="shared" si="123"/>
        <v>2545</v>
      </c>
      <c r="G2552" s="230">
        <f t="shared" ca="1" si="122"/>
        <v>1.3391646224466272E-2</v>
      </c>
    </row>
    <row r="2553" spans="2:7" x14ac:dyDescent="0.25">
      <c r="B2553" s="348" t="s">
        <v>2101</v>
      </c>
      <c r="C2553" s="293">
        <v>104.09</v>
      </c>
      <c r="D2553" s="230">
        <f t="shared" si="121"/>
        <v>8.3309115567180569E-3</v>
      </c>
      <c r="E2553" s="293">
        <v>-2.7818991097923185E-3</v>
      </c>
      <c r="F2553" s="266">
        <f t="shared" si="123"/>
        <v>2546</v>
      </c>
      <c r="G2553" s="230">
        <f t="shared" ca="1" si="122"/>
        <v>-3.1042545539577411E-3</v>
      </c>
    </row>
    <row r="2554" spans="2:7" x14ac:dyDescent="0.25">
      <c r="B2554" s="348" t="s">
        <v>2102</v>
      </c>
      <c r="C2554" s="293">
        <v>103.23</v>
      </c>
      <c r="D2554" s="230">
        <f t="shared" si="121"/>
        <v>2.339645087736697E-2</v>
      </c>
      <c r="E2554" s="293">
        <v>-2.7887139107611869E-3</v>
      </c>
      <c r="F2554" s="266">
        <f t="shared" si="123"/>
        <v>2547</v>
      </c>
      <c r="G2554" s="230">
        <f t="shared" ca="1" si="122"/>
        <v>1.3360127688782036E-2</v>
      </c>
    </row>
    <row r="2555" spans="2:7" x14ac:dyDescent="0.25">
      <c r="B2555" s="348" t="s">
        <v>2103</v>
      </c>
      <c r="C2555" s="293">
        <v>100.87</v>
      </c>
      <c r="D2555" s="230">
        <f t="shared" si="121"/>
        <v>5.2820410603946488E-3</v>
      </c>
      <c r="E2555" s="293">
        <v>-2.7900279002790462E-3</v>
      </c>
      <c r="F2555" s="266">
        <f t="shared" si="123"/>
        <v>2548</v>
      </c>
      <c r="G2555" s="230">
        <f t="shared" ca="1" si="122"/>
        <v>-4.1297599312900043E-2</v>
      </c>
    </row>
    <row r="2556" spans="2:7" x14ac:dyDescent="0.25">
      <c r="B2556" s="348" t="s">
        <v>2104</v>
      </c>
      <c r="C2556" s="293">
        <v>100.34</v>
      </c>
      <c r="D2556" s="230">
        <f t="shared" si="121"/>
        <v>-2.9809220985691498E-3</v>
      </c>
      <c r="E2556" s="293">
        <v>-2.7935014335073172E-3</v>
      </c>
      <c r="F2556" s="266">
        <f t="shared" si="123"/>
        <v>2549</v>
      </c>
      <c r="G2556" s="230">
        <f t="shared" ca="1" si="122"/>
        <v>-6.6977930514941948E-3</v>
      </c>
    </row>
    <row r="2557" spans="2:7" x14ac:dyDescent="0.25">
      <c r="B2557" s="348" t="s">
        <v>2105</v>
      </c>
      <c r="C2557" s="293">
        <v>100.64</v>
      </c>
      <c r="D2557" s="230">
        <f t="shared" si="121"/>
        <v>-8.8635020681505639E-3</v>
      </c>
      <c r="E2557" s="293">
        <v>-2.7980535279805707E-3</v>
      </c>
      <c r="F2557" s="266">
        <f t="shared" si="123"/>
        <v>2550</v>
      </c>
      <c r="G2557" s="230">
        <f t="shared" ca="1" si="122"/>
        <v>7.9216651674799791E-3</v>
      </c>
    </row>
    <row r="2558" spans="2:7" x14ac:dyDescent="0.25">
      <c r="B2558" s="348" t="s">
        <v>2106</v>
      </c>
      <c r="C2558" s="293">
        <v>101.54</v>
      </c>
      <c r="D2558" s="230">
        <f t="shared" si="121"/>
        <v>-2.9457973291436845E-3</v>
      </c>
      <c r="E2558" s="293">
        <v>-2.8048958181552397E-3</v>
      </c>
      <c r="F2558" s="266">
        <f t="shared" si="123"/>
        <v>2551</v>
      </c>
      <c r="G2558" s="230">
        <f t="shared" ca="1" si="122"/>
        <v>7.868278072071154E-3</v>
      </c>
    </row>
    <row r="2559" spans="2:7" x14ac:dyDescent="0.25">
      <c r="B2559" s="348">
        <v>41985</v>
      </c>
      <c r="C2559" s="293">
        <v>101.84</v>
      </c>
      <c r="D2559" s="230">
        <f t="shared" si="121"/>
        <v>-5.7600312408474519E-3</v>
      </c>
      <c r="E2559" s="293">
        <v>-2.8215767634856004E-3</v>
      </c>
      <c r="F2559" s="266">
        <f t="shared" si="123"/>
        <v>2552</v>
      </c>
      <c r="G2559" s="230">
        <f t="shared" ca="1" si="122"/>
        <v>-1.1823534579031762E-2</v>
      </c>
    </row>
    <row r="2560" spans="2:7" x14ac:dyDescent="0.25">
      <c r="B2560" s="348">
        <v>41955</v>
      </c>
      <c r="C2560" s="293">
        <v>102.43</v>
      </c>
      <c r="D2560" s="230">
        <f t="shared" si="121"/>
        <v>-1.0624939631024732E-2</v>
      </c>
      <c r="E2560" s="293">
        <v>-2.8338056342723794E-3</v>
      </c>
      <c r="F2560" s="266">
        <f t="shared" si="123"/>
        <v>2553</v>
      </c>
      <c r="G2560" s="230">
        <f t="shared" ca="1" si="122"/>
        <v>2.3770536220440119E-2</v>
      </c>
    </row>
    <row r="2561" spans="2:7" x14ac:dyDescent="0.25">
      <c r="B2561" s="348">
        <v>41924</v>
      </c>
      <c r="C2561" s="293">
        <v>103.53</v>
      </c>
      <c r="D2561" s="230">
        <f t="shared" si="121"/>
        <v>-8.5232714039455981E-3</v>
      </c>
      <c r="E2561" s="293">
        <v>-2.8495827396702866E-3</v>
      </c>
      <c r="F2561" s="266">
        <f t="shared" si="123"/>
        <v>2554</v>
      </c>
      <c r="G2561" s="230">
        <f t="shared" ca="1" si="122"/>
        <v>-4.6973729670977467E-2</v>
      </c>
    </row>
    <row r="2562" spans="2:7" x14ac:dyDescent="0.25">
      <c r="B2562" s="348">
        <v>41894</v>
      </c>
      <c r="C2562" s="293">
        <v>104.42</v>
      </c>
      <c r="D2562" s="230">
        <f t="shared" si="121"/>
        <v>-2.0174533170685849E-2</v>
      </c>
      <c r="E2562" s="293">
        <v>-2.8664845254625648E-3</v>
      </c>
      <c r="F2562" s="266">
        <f t="shared" si="123"/>
        <v>2555</v>
      </c>
      <c r="G2562" s="230">
        <f t="shared" ca="1" si="122"/>
        <v>-4.2815357565568948E-4</v>
      </c>
    </row>
    <row r="2563" spans="2:7" x14ac:dyDescent="0.25">
      <c r="B2563" s="348">
        <v>41863</v>
      </c>
      <c r="C2563" s="293">
        <v>106.57</v>
      </c>
      <c r="D2563" s="230">
        <f t="shared" si="121"/>
        <v>-1.8059522712614129E-2</v>
      </c>
      <c r="E2563" s="293">
        <v>-2.8676119165206293E-3</v>
      </c>
      <c r="F2563" s="266">
        <f t="shared" si="123"/>
        <v>2556</v>
      </c>
      <c r="G2563" s="230">
        <f t="shared" ca="1" si="122"/>
        <v>7.7511825423833575E-3</v>
      </c>
    </row>
    <row r="2564" spans="2:7" x14ac:dyDescent="0.25">
      <c r="B2564" s="348">
        <v>41771</v>
      </c>
      <c r="C2564" s="293">
        <v>108.53</v>
      </c>
      <c r="D2564" s="230">
        <f t="shared" si="121"/>
        <v>-2.3396022676145045E-2</v>
      </c>
      <c r="E2564" s="293">
        <v>-2.8698147665014995E-3</v>
      </c>
      <c r="F2564" s="266">
        <f t="shared" si="123"/>
        <v>2557</v>
      </c>
      <c r="G2564" s="230">
        <f t="shared" ca="1" si="122"/>
        <v>3.287274122198904E-3</v>
      </c>
    </row>
    <row r="2565" spans="2:7" x14ac:dyDescent="0.25">
      <c r="B2565" s="348">
        <v>41741</v>
      </c>
      <c r="C2565" s="293">
        <v>111.13</v>
      </c>
      <c r="D2565" s="230">
        <f t="shared" si="121"/>
        <v>-1.9757521329142325E-3</v>
      </c>
      <c r="E2565" s="293">
        <v>-2.8727377190463921E-3</v>
      </c>
      <c r="F2565" s="266">
        <f t="shared" si="123"/>
        <v>2558</v>
      </c>
      <c r="G2565" s="230">
        <f t="shared" ca="1" si="122"/>
        <v>3.5098169401860356E-2</v>
      </c>
    </row>
    <row r="2566" spans="2:7" x14ac:dyDescent="0.25">
      <c r="B2566" s="348">
        <v>41710</v>
      </c>
      <c r="C2566" s="293">
        <v>111.35</v>
      </c>
      <c r="D2566" s="230">
        <f t="shared" si="121"/>
        <v>4.9638989169675796E-3</v>
      </c>
      <c r="E2566" s="293">
        <v>-2.8882653903284927E-3</v>
      </c>
      <c r="F2566" s="266">
        <f t="shared" si="123"/>
        <v>2559</v>
      </c>
      <c r="G2566" s="230">
        <f t="shared" ca="1" si="122"/>
        <v>9.7078583783601728E-3</v>
      </c>
    </row>
    <row r="2567" spans="2:7" x14ac:dyDescent="0.25">
      <c r="B2567" s="348">
        <v>41682</v>
      </c>
      <c r="C2567" s="293">
        <v>110.8</v>
      </c>
      <c r="D2567" s="230">
        <f t="shared" si="121"/>
        <v>-2.7900279002790462E-3</v>
      </c>
      <c r="E2567" s="293">
        <v>-2.8901734104045396E-3</v>
      </c>
      <c r="F2567" s="266">
        <f t="shared" si="123"/>
        <v>2560</v>
      </c>
      <c r="G2567" s="230">
        <f t="shared" ca="1" si="122"/>
        <v>8.4957834626782879E-3</v>
      </c>
    </row>
    <row r="2568" spans="2:7" x14ac:dyDescent="0.25">
      <c r="B2568" s="348">
        <v>41651</v>
      </c>
      <c r="C2568" s="293">
        <v>111.11</v>
      </c>
      <c r="D2568" s="230">
        <f t="shared" si="121"/>
        <v>1.1562272396212547E-2</v>
      </c>
      <c r="E2568" s="293">
        <v>-2.890695573622426E-3</v>
      </c>
      <c r="F2568" s="266">
        <f t="shared" si="123"/>
        <v>2561</v>
      </c>
      <c r="G2568" s="230">
        <f t="shared" ca="1" si="122"/>
        <v>9.7423648595215059E-3</v>
      </c>
    </row>
    <row r="2569" spans="2:7" x14ac:dyDescent="0.25">
      <c r="B2569" s="348" t="s">
        <v>2107</v>
      </c>
      <c r="C2569" s="293">
        <v>109.84</v>
      </c>
      <c r="D2569" s="230">
        <f t="shared" ref="D2569:D2632" si="124">C2569/C2570-1</f>
        <v>6.5982404692082053E-3</v>
      </c>
      <c r="E2569" s="293">
        <v>-2.8913672036349203E-3</v>
      </c>
      <c r="F2569" s="266">
        <f t="shared" si="123"/>
        <v>2562</v>
      </c>
      <c r="G2569" s="230">
        <f t="shared" ref="G2569:G2632" ca="1" si="125">_xlfn.NORM.INV(RAND(),$M$10,$M$11)</f>
        <v>2.6981792554733562E-2</v>
      </c>
    </row>
    <row r="2570" spans="2:7" x14ac:dyDescent="0.25">
      <c r="B2570" s="348" t="s">
        <v>2108</v>
      </c>
      <c r="C2570" s="293">
        <v>109.12</v>
      </c>
      <c r="D2570" s="230">
        <f t="shared" si="124"/>
        <v>3.7715021617148459E-3</v>
      </c>
      <c r="E2570" s="293">
        <v>-2.8973923468879059E-3</v>
      </c>
      <c r="F2570" s="266">
        <f t="shared" ref="F2570:F2633" si="126">F2569+1</f>
        <v>2563</v>
      </c>
      <c r="G2570" s="230">
        <f t="shared" ca="1" si="125"/>
        <v>2.4049735603805529E-2</v>
      </c>
    </row>
    <row r="2571" spans="2:7" x14ac:dyDescent="0.25">
      <c r="B2571" s="348" t="s">
        <v>2109</v>
      </c>
      <c r="C2571" s="293">
        <v>108.71</v>
      </c>
      <c r="D2571" s="230">
        <f t="shared" si="124"/>
        <v>-3.0264123257521813E-3</v>
      </c>
      <c r="E2571" s="293">
        <v>-2.8978507606859383E-3</v>
      </c>
      <c r="F2571" s="266">
        <f t="shared" si="126"/>
        <v>2564</v>
      </c>
      <c r="G2571" s="230">
        <f t="shared" ca="1" si="125"/>
        <v>-9.9609177709410906E-4</v>
      </c>
    </row>
    <row r="2572" spans="2:7" x14ac:dyDescent="0.25">
      <c r="B2572" s="348" t="s">
        <v>2110</v>
      </c>
      <c r="C2572" s="293">
        <v>109.04</v>
      </c>
      <c r="D2572" s="230">
        <f t="shared" si="124"/>
        <v>3.7742796649176125E-3</v>
      </c>
      <c r="E2572" s="293">
        <v>-2.9019152640743506E-3</v>
      </c>
      <c r="F2572" s="266">
        <f t="shared" si="126"/>
        <v>2565</v>
      </c>
      <c r="G2572" s="230">
        <f t="shared" ca="1" si="125"/>
        <v>1.4150649295039893E-2</v>
      </c>
    </row>
    <row r="2573" spans="2:7" x14ac:dyDescent="0.25">
      <c r="B2573" s="348" t="s">
        <v>2111</v>
      </c>
      <c r="C2573" s="293">
        <v>108.63</v>
      </c>
      <c r="D2573" s="230">
        <f t="shared" si="124"/>
        <v>1.267828843106189E-2</v>
      </c>
      <c r="E2573" s="293">
        <v>-2.9069767441859407E-3</v>
      </c>
      <c r="F2573" s="266">
        <f t="shared" si="126"/>
        <v>2566</v>
      </c>
      <c r="G2573" s="230">
        <f t="shared" ca="1" si="125"/>
        <v>1.7310045544947757E-2</v>
      </c>
    </row>
    <row r="2574" spans="2:7" x14ac:dyDescent="0.25">
      <c r="B2574" s="348" t="s">
        <v>2112</v>
      </c>
      <c r="C2574" s="293">
        <v>107.27</v>
      </c>
      <c r="D2574" s="230">
        <f t="shared" si="124"/>
        <v>3.7302993565235809E-4</v>
      </c>
      <c r="E2574" s="293">
        <v>-2.9088050314465264E-3</v>
      </c>
      <c r="F2574" s="266">
        <f t="shared" si="126"/>
        <v>2567</v>
      </c>
      <c r="G2574" s="230">
        <f t="shared" ca="1" si="125"/>
        <v>-1.6961323962252174E-2</v>
      </c>
    </row>
    <row r="2575" spans="2:7" x14ac:dyDescent="0.25">
      <c r="B2575" s="348" t="s">
        <v>2113</v>
      </c>
      <c r="C2575" s="293">
        <v>107.23</v>
      </c>
      <c r="D2575" s="230">
        <f t="shared" si="124"/>
        <v>1.2367824773414027E-2</v>
      </c>
      <c r="E2575" s="293">
        <v>-2.908912487295412E-3</v>
      </c>
      <c r="F2575" s="266">
        <f t="shared" si="126"/>
        <v>2568</v>
      </c>
      <c r="G2575" s="230">
        <f t="shared" ca="1" si="125"/>
        <v>-3.5537152234521592E-2</v>
      </c>
    </row>
    <row r="2576" spans="2:7" x14ac:dyDescent="0.25">
      <c r="B2576" s="348" t="s">
        <v>2114</v>
      </c>
      <c r="C2576" s="293">
        <v>105.92</v>
      </c>
      <c r="D2576" s="230">
        <f t="shared" si="124"/>
        <v>-2.3547141377037173E-3</v>
      </c>
      <c r="E2576" s="293">
        <v>-2.9109851386547314E-3</v>
      </c>
      <c r="F2576" s="266">
        <f t="shared" si="126"/>
        <v>2569</v>
      </c>
      <c r="G2576" s="230">
        <f t="shared" ca="1" si="125"/>
        <v>1.903850888724621E-2</v>
      </c>
    </row>
    <row r="2577" spans="2:7" x14ac:dyDescent="0.25">
      <c r="B2577" s="348" t="s">
        <v>2115</v>
      </c>
      <c r="C2577" s="293">
        <v>106.17</v>
      </c>
      <c r="D2577" s="230">
        <f t="shared" si="124"/>
        <v>3.6868973340895561E-3</v>
      </c>
      <c r="E2577" s="293">
        <v>-2.9283356405067629E-3</v>
      </c>
      <c r="F2577" s="266">
        <f t="shared" si="126"/>
        <v>2570</v>
      </c>
      <c r="G2577" s="230">
        <f t="shared" ca="1" si="125"/>
        <v>1.6607424219273685E-2</v>
      </c>
    </row>
    <row r="2578" spans="2:7" x14ac:dyDescent="0.25">
      <c r="B2578" s="348" t="s">
        <v>2116</v>
      </c>
      <c r="C2578" s="293">
        <v>105.78</v>
      </c>
      <c r="D2578" s="230">
        <f t="shared" si="124"/>
        <v>4.7290267662902785E-4</v>
      </c>
      <c r="E2578" s="293">
        <v>-2.9355105036236173E-3</v>
      </c>
      <c r="F2578" s="266">
        <f t="shared" si="126"/>
        <v>2571</v>
      </c>
      <c r="G2578" s="230">
        <f t="shared" ca="1" si="125"/>
        <v>2.8543498619170306E-2</v>
      </c>
    </row>
    <row r="2579" spans="2:7" x14ac:dyDescent="0.25">
      <c r="B2579" s="348" t="s">
        <v>2117</v>
      </c>
      <c r="C2579" s="293">
        <v>105.73</v>
      </c>
      <c r="D2579" s="230">
        <f t="shared" si="124"/>
        <v>9.0666157663676916E-3</v>
      </c>
      <c r="E2579" s="293">
        <v>-2.9432132963987945E-3</v>
      </c>
      <c r="F2579" s="266">
        <f t="shared" si="126"/>
        <v>2572</v>
      </c>
      <c r="G2579" s="230">
        <f t="shared" ca="1" si="125"/>
        <v>-7.6043663763181134E-3</v>
      </c>
    </row>
    <row r="2580" spans="2:7" x14ac:dyDescent="0.25">
      <c r="B2580" s="348" t="s">
        <v>2118</v>
      </c>
      <c r="C2580" s="293">
        <v>104.78</v>
      </c>
      <c r="D2580" s="230">
        <f t="shared" si="124"/>
        <v>4.9875311720697368E-3</v>
      </c>
      <c r="E2580" s="293">
        <v>-2.9457973291436845E-3</v>
      </c>
      <c r="F2580" s="266">
        <f t="shared" si="126"/>
        <v>2573</v>
      </c>
      <c r="G2580" s="230">
        <f t="shared" ca="1" si="125"/>
        <v>9.5378604721677099E-3</v>
      </c>
    </row>
    <row r="2581" spans="2:7" x14ac:dyDescent="0.25">
      <c r="B2581" s="348">
        <v>41984</v>
      </c>
      <c r="C2581" s="293">
        <v>104.26</v>
      </c>
      <c r="D2581" s="230">
        <f t="shared" si="124"/>
        <v>-2.2011675758444316E-3</v>
      </c>
      <c r="E2581" s="293">
        <v>-2.9459569280779752E-3</v>
      </c>
      <c r="F2581" s="266">
        <f t="shared" si="126"/>
        <v>2574</v>
      </c>
      <c r="G2581" s="230">
        <f t="shared" ca="1" si="125"/>
        <v>-3.554280890698403E-3</v>
      </c>
    </row>
    <row r="2582" spans="2:7" x14ac:dyDescent="0.25">
      <c r="B2582" s="348">
        <v>41954</v>
      </c>
      <c r="C2582" s="293">
        <v>104.49</v>
      </c>
      <c r="D2582" s="230">
        <f t="shared" si="124"/>
        <v>-2.7677037602596988E-3</v>
      </c>
      <c r="E2582" s="293">
        <v>-2.9786211866442702E-3</v>
      </c>
      <c r="F2582" s="266">
        <f t="shared" si="126"/>
        <v>2575</v>
      </c>
      <c r="G2582" s="230">
        <f t="shared" ca="1" si="125"/>
        <v>9.4266408710788271E-3</v>
      </c>
    </row>
    <row r="2583" spans="2:7" x14ac:dyDescent="0.25">
      <c r="B2583" s="348">
        <v>41923</v>
      </c>
      <c r="C2583" s="293">
        <v>104.78</v>
      </c>
      <c r="D2583" s="230">
        <f t="shared" si="124"/>
        <v>9.7330635058301418E-3</v>
      </c>
      <c r="E2583" s="293">
        <v>-2.9809220985691498E-3</v>
      </c>
      <c r="F2583" s="266">
        <f t="shared" si="126"/>
        <v>2576</v>
      </c>
      <c r="G2583" s="230">
        <f t="shared" ca="1" si="125"/>
        <v>1.3822384106542778E-2</v>
      </c>
    </row>
    <row r="2584" spans="2:7" x14ac:dyDescent="0.25">
      <c r="B2584" s="348">
        <v>41831</v>
      </c>
      <c r="C2584" s="293">
        <v>103.77</v>
      </c>
      <c r="D2584" s="230">
        <f t="shared" si="124"/>
        <v>-9.9227172979677869E-3</v>
      </c>
      <c r="E2584" s="293">
        <v>-2.9856316476954969E-3</v>
      </c>
      <c r="F2584" s="266">
        <f t="shared" si="126"/>
        <v>2577</v>
      </c>
      <c r="G2584" s="230">
        <f t="shared" ca="1" si="125"/>
        <v>-4.3061014840524558E-3</v>
      </c>
    </row>
    <row r="2585" spans="2:7" x14ac:dyDescent="0.25">
      <c r="B2585" s="348">
        <v>41770</v>
      </c>
      <c r="C2585" s="293">
        <v>104.81</v>
      </c>
      <c r="D2585" s="230">
        <f t="shared" si="124"/>
        <v>-1.0479607250755252E-2</v>
      </c>
      <c r="E2585" s="293">
        <v>-2.98628334261275E-3</v>
      </c>
      <c r="F2585" s="266">
        <f t="shared" si="126"/>
        <v>2578</v>
      </c>
      <c r="G2585" s="230">
        <f t="shared" ca="1" si="125"/>
        <v>1.3868946603225077E-3</v>
      </c>
    </row>
    <row r="2586" spans="2:7" x14ac:dyDescent="0.25">
      <c r="B2586" s="348">
        <v>41709</v>
      </c>
      <c r="C2586" s="293">
        <v>105.92</v>
      </c>
      <c r="D2586" s="230">
        <f t="shared" si="124"/>
        <v>2.176175607909947E-3</v>
      </c>
      <c r="E2586" s="293">
        <v>-2.9990213719732761E-3</v>
      </c>
      <c r="F2586" s="266">
        <f t="shared" si="126"/>
        <v>2579</v>
      </c>
      <c r="G2586" s="230">
        <f t="shared" ca="1" si="125"/>
        <v>5.5013346707806395E-3</v>
      </c>
    </row>
    <row r="2587" spans="2:7" x14ac:dyDescent="0.25">
      <c r="B2587" s="348" t="s">
        <v>2119</v>
      </c>
      <c r="C2587" s="293">
        <v>105.69</v>
      </c>
      <c r="D2587" s="230">
        <f t="shared" si="124"/>
        <v>6.0923369823893125E-3</v>
      </c>
      <c r="E2587" s="293">
        <v>-3.0003000300029559E-3</v>
      </c>
      <c r="F2587" s="266">
        <f t="shared" si="126"/>
        <v>2580</v>
      </c>
      <c r="G2587" s="230">
        <f t="shared" ca="1" si="125"/>
        <v>5.5889156168571937E-3</v>
      </c>
    </row>
    <row r="2588" spans="2:7" x14ac:dyDescent="0.25">
      <c r="B2588" s="348" t="s">
        <v>2120</v>
      </c>
      <c r="C2588" s="293">
        <v>105.05</v>
      </c>
      <c r="D2588" s="230">
        <f t="shared" si="124"/>
        <v>6.2260536398466293E-3</v>
      </c>
      <c r="E2588" s="293">
        <v>-3.0082484230956608E-3</v>
      </c>
      <c r="F2588" s="266">
        <f t="shared" si="126"/>
        <v>2581</v>
      </c>
      <c r="G2588" s="230">
        <f t="shared" ca="1" si="125"/>
        <v>1.0774128890614052E-2</v>
      </c>
    </row>
    <row r="2589" spans="2:7" x14ac:dyDescent="0.25">
      <c r="B2589" s="348" t="s">
        <v>2121</v>
      </c>
      <c r="C2589" s="293">
        <v>104.4</v>
      </c>
      <c r="D2589" s="230">
        <f t="shared" si="124"/>
        <v>5.5865921787709993E-3</v>
      </c>
      <c r="E2589" s="293">
        <v>-3.0153508771929571E-3</v>
      </c>
      <c r="F2589" s="266">
        <f t="shared" si="126"/>
        <v>2582</v>
      </c>
      <c r="G2589" s="230">
        <f t="shared" ca="1" si="125"/>
        <v>-6.8651513892723252E-4</v>
      </c>
    </row>
    <row r="2590" spans="2:7" x14ac:dyDescent="0.25">
      <c r="B2590" s="348" t="s">
        <v>2122</v>
      </c>
      <c r="C2590" s="293">
        <v>103.82</v>
      </c>
      <c r="D2590" s="230">
        <f t="shared" si="124"/>
        <v>-2.018648466788453E-3</v>
      </c>
      <c r="E2590" s="293">
        <v>-3.0264123257521813E-3</v>
      </c>
      <c r="F2590" s="266">
        <f t="shared" si="126"/>
        <v>2583</v>
      </c>
      <c r="G2590" s="230">
        <f t="shared" ca="1" si="125"/>
        <v>2.0263542457898097E-2</v>
      </c>
    </row>
    <row r="2591" spans="2:7" x14ac:dyDescent="0.25">
      <c r="B2591" s="348" t="s">
        <v>2123</v>
      </c>
      <c r="C2591" s="293">
        <v>104.03</v>
      </c>
      <c r="D2591" s="230">
        <f t="shared" si="124"/>
        <v>-9.7096620656830224E-3</v>
      </c>
      <c r="E2591" s="293">
        <v>-3.0422239706269227E-3</v>
      </c>
      <c r="F2591" s="266">
        <f t="shared" si="126"/>
        <v>2584</v>
      </c>
      <c r="G2591" s="230">
        <f t="shared" ca="1" si="125"/>
        <v>-4.2120617519039918E-3</v>
      </c>
    </row>
    <row r="2592" spans="2:7" x14ac:dyDescent="0.25">
      <c r="B2592" s="348" t="s">
        <v>2124</v>
      </c>
      <c r="C2592" s="293">
        <v>105.05</v>
      </c>
      <c r="D2592" s="230">
        <f t="shared" si="124"/>
        <v>-4.0025587133327378E-2</v>
      </c>
      <c r="E2592" s="293">
        <v>-3.0428769017980528E-3</v>
      </c>
      <c r="F2592" s="266">
        <f t="shared" si="126"/>
        <v>2585</v>
      </c>
      <c r="G2592" s="230">
        <f t="shared" ca="1" si="125"/>
        <v>-1.0099650347712326E-2</v>
      </c>
    </row>
    <row r="2593" spans="2:7" x14ac:dyDescent="0.25">
      <c r="B2593" s="348" t="s">
        <v>2125</v>
      </c>
      <c r="C2593" s="293">
        <v>109.43</v>
      </c>
      <c r="D2593" s="230">
        <f t="shared" si="124"/>
        <v>1.8048190529351693E-2</v>
      </c>
      <c r="E2593" s="293">
        <v>-3.0450669914737771E-3</v>
      </c>
      <c r="F2593" s="266">
        <f t="shared" si="126"/>
        <v>2586</v>
      </c>
      <c r="G2593" s="230">
        <f t="shared" ca="1" si="125"/>
        <v>2.0765526185586816E-2</v>
      </c>
    </row>
    <row r="2594" spans="2:7" x14ac:dyDescent="0.25">
      <c r="B2594" s="348" t="s">
        <v>2126</v>
      </c>
      <c r="C2594" s="293">
        <v>107.49</v>
      </c>
      <c r="D2594" s="230">
        <f t="shared" si="124"/>
        <v>3.0288507620051641E-2</v>
      </c>
      <c r="E2594" s="293">
        <v>-3.0586708684771091E-3</v>
      </c>
      <c r="F2594" s="266">
        <f t="shared" si="126"/>
        <v>2587</v>
      </c>
      <c r="G2594" s="230">
        <f t="shared" ca="1" si="125"/>
        <v>1.053507948287856E-3</v>
      </c>
    </row>
    <row r="2595" spans="2:7" x14ac:dyDescent="0.25">
      <c r="B2595" s="348" t="s">
        <v>2127</v>
      </c>
      <c r="C2595" s="293">
        <v>104.33</v>
      </c>
      <c r="D2595" s="230">
        <f t="shared" si="124"/>
        <v>-1.6775044764866687E-2</v>
      </c>
      <c r="E2595" s="293">
        <v>-3.0629292741786163E-3</v>
      </c>
      <c r="F2595" s="266">
        <f t="shared" si="126"/>
        <v>2588</v>
      </c>
      <c r="G2595" s="230">
        <f t="shared" ca="1" si="125"/>
        <v>-1.2844002266770346E-2</v>
      </c>
    </row>
    <row r="2596" spans="2:7" x14ac:dyDescent="0.25">
      <c r="B2596" s="348" t="s">
        <v>2128</v>
      </c>
      <c r="C2596" s="293">
        <v>106.11</v>
      </c>
      <c r="D2596" s="230">
        <f t="shared" si="124"/>
        <v>-1.2838403572425272E-2</v>
      </c>
      <c r="E2596" s="293">
        <v>-3.0634573304156865E-3</v>
      </c>
      <c r="F2596" s="266">
        <f t="shared" si="126"/>
        <v>2589</v>
      </c>
      <c r="G2596" s="230">
        <f t="shared" ca="1" si="125"/>
        <v>7.9997261242264802E-3</v>
      </c>
    </row>
    <row r="2597" spans="2:7" x14ac:dyDescent="0.25">
      <c r="B2597" s="348" t="s">
        <v>2129</v>
      </c>
      <c r="C2597" s="293">
        <v>107.49</v>
      </c>
      <c r="D2597" s="230">
        <f t="shared" si="124"/>
        <v>-1.1677087164398747E-2</v>
      </c>
      <c r="E2597" s="293">
        <v>-3.1266846361186484E-3</v>
      </c>
      <c r="F2597" s="266">
        <f t="shared" si="126"/>
        <v>2590</v>
      </c>
      <c r="G2597" s="230">
        <f t="shared" ca="1" si="125"/>
        <v>2.8323942506512011E-2</v>
      </c>
    </row>
    <row r="2598" spans="2:7" x14ac:dyDescent="0.25">
      <c r="B2598" s="348" t="s">
        <v>2130</v>
      </c>
      <c r="C2598" s="293">
        <v>108.76</v>
      </c>
      <c r="D2598" s="230">
        <f t="shared" si="124"/>
        <v>-7.6642335766422542E-3</v>
      </c>
      <c r="E2598" s="293">
        <v>-3.1423737007493235E-3</v>
      </c>
      <c r="F2598" s="266">
        <f t="shared" si="126"/>
        <v>2591</v>
      </c>
      <c r="G2598" s="230">
        <f t="shared" ca="1" si="125"/>
        <v>9.3685125959979618E-3</v>
      </c>
    </row>
    <row r="2599" spans="2:7" x14ac:dyDescent="0.25">
      <c r="B2599" s="348" t="s">
        <v>2131</v>
      </c>
      <c r="C2599" s="293">
        <v>109.6</v>
      </c>
      <c r="D2599" s="230">
        <f t="shared" si="124"/>
        <v>-2.7364772416305083E-4</v>
      </c>
      <c r="E2599" s="293">
        <v>-3.154574132492094E-3</v>
      </c>
      <c r="F2599" s="266">
        <f t="shared" si="126"/>
        <v>2592</v>
      </c>
      <c r="G2599" s="230">
        <f t="shared" ca="1" si="125"/>
        <v>1.3851401808673614E-3</v>
      </c>
    </row>
    <row r="2600" spans="2:7" x14ac:dyDescent="0.25">
      <c r="B2600" s="348">
        <v>41922</v>
      </c>
      <c r="C2600" s="293">
        <v>109.63</v>
      </c>
      <c r="D2600" s="230">
        <f t="shared" si="124"/>
        <v>-4.3592770865498176E-3</v>
      </c>
      <c r="E2600" s="293">
        <v>-3.1661389768371517E-3</v>
      </c>
      <c r="F2600" s="266">
        <f t="shared" si="126"/>
        <v>2593</v>
      </c>
      <c r="G2600" s="230">
        <f t="shared" ca="1" si="125"/>
        <v>6.8023115425140312E-3</v>
      </c>
    </row>
    <row r="2601" spans="2:7" x14ac:dyDescent="0.25">
      <c r="B2601" s="348">
        <v>41892</v>
      </c>
      <c r="C2601" s="293">
        <v>110.11</v>
      </c>
      <c r="D2601" s="230">
        <f t="shared" si="124"/>
        <v>-1.0602929283853091E-2</v>
      </c>
      <c r="E2601" s="293">
        <v>-3.1689170570405878E-3</v>
      </c>
      <c r="F2601" s="266">
        <f t="shared" si="126"/>
        <v>2594</v>
      </c>
      <c r="G2601" s="230">
        <f t="shared" ca="1" si="125"/>
        <v>8.0180138343566854E-3</v>
      </c>
    </row>
    <row r="2602" spans="2:7" x14ac:dyDescent="0.25">
      <c r="B2602" s="348">
        <v>41861</v>
      </c>
      <c r="C2602" s="293">
        <v>111.29</v>
      </c>
      <c r="D2602" s="230">
        <f t="shared" si="124"/>
        <v>-4.0355264292489368E-2</v>
      </c>
      <c r="E2602" s="293">
        <v>-3.1790886612506064E-3</v>
      </c>
      <c r="F2602" s="266">
        <f t="shared" si="126"/>
        <v>2595</v>
      </c>
      <c r="G2602" s="230">
        <f t="shared" ca="1" si="125"/>
        <v>-1.8598365752914445E-2</v>
      </c>
    </row>
    <row r="2603" spans="2:7" x14ac:dyDescent="0.25">
      <c r="B2603" s="348">
        <v>41830</v>
      </c>
      <c r="C2603" s="293">
        <v>115.97</v>
      </c>
      <c r="D2603" s="230">
        <f t="shared" si="124"/>
        <v>4.5041143352100299E-3</v>
      </c>
      <c r="E2603" s="293">
        <v>-3.180372557928357E-3</v>
      </c>
      <c r="F2603" s="266">
        <f t="shared" si="126"/>
        <v>2596</v>
      </c>
      <c r="G2603" s="230">
        <f t="shared" ca="1" si="125"/>
        <v>1.6790287469731283E-2</v>
      </c>
    </row>
    <row r="2604" spans="2:7" x14ac:dyDescent="0.25">
      <c r="B2604" s="348">
        <v>41649</v>
      </c>
      <c r="C2604" s="293">
        <v>115.45</v>
      </c>
      <c r="D2604" s="230">
        <f t="shared" si="124"/>
        <v>3.1724754244861542E-2</v>
      </c>
      <c r="E2604" s="293">
        <v>-3.1806615776082126E-3</v>
      </c>
      <c r="F2604" s="266">
        <f t="shared" si="126"/>
        <v>2597</v>
      </c>
      <c r="G2604" s="230">
        <f t="shared" ca="1" si="125"/>
        <v>3.0420698811852E-3</v>
      </c>
    </row>
    <row r="2605" spans="2:7" x14ac:dyDescent="0.25">
      <c r="B2605" s="348" t="s">
        <v>2132</v>
      </c>
      <c r="C2605" s="293">
        <v>111.9</v>
      </c>
      <c r="D2605" s="230">
        <f t="shared" si="124"/>
        <v>6.657070888808958E-3</v>
      </c>
      <c r="E2605" s="293">
        <v>-3.1849838627484583E-3</v>
      </c>
      <c r="F2605" s="266">
        <f t="shared" si="126"/>
        <v>2598</v>
      </c>
      <c r="G2605" s="230">
        <f t="shared" ca="1" si="125"/>
        <v>4.8271040764126501E-3</v>
      </c>
    </row>
    <row r="2606" spans="2:7" x14ac:dyDescent="0.25">
      <c r="B2606" s="348" t="s">
        <v>2133</v>
      </c>
      <c r="C2606" s="293">
        <v>111.16</v>
      </c>
      <c r="D2606" s="230">
        <f t="shared" si="124"/>
        <v>7.2490032620513567E-3</v>
      </c>
      <c r="E2606" s="293">
        <v>-3.1951499262657945E-3</v>
      </c>
      <c r="F2606" s="266">
        <f t="shared" si="126"/>
        <v>2599</v>
      </c>
      <c r="G2606" s="230">
        <f t="shared" ca="1" si="125"/>
        <v>-1.4466796310965506E-2</v>
      </c>
    </row>
    <row r="2607" spans="2:7" x14ac:dyDescent="0.25">
      <c r="B2607" s="348" t="s">
        <v>2134</v>
      </c>
      <c r="C2607" s="293">
        <v>110.36</v>
      </c>
      <c r="D2607" s="230">
        <f t="shared" si="124"/>
        <v>1.0345143275656721E-2</v>
      </c>
      <c r="E2607" s="293">
        <v>-3.2008535609496791E-3</v>
      </c>
      <c r="F2607" s="266">
        <f t="shared" si="126"/>
        <v>2600</v>
      </c>
      <c r="G2607" s="230">
        <f t="shared" ca="1" si="125"/>
        <v>2.6292920612730572E-2</v>
      </c>
    </row>
    <row r="2608" spans="2:7" x14ac:dyDescent="0.25">
      <c r="B2608" s="348" t="s">
        <v>2135</v>
      </c>
      <c r="C2608" s="293">
        <v>109.23</v>
      </c>
      <c r="D2608" s="230">
        <f t="shared" si="124"/>
        <v>-1.7185531761741868E-2</v>
      </c>
      <c r="E2608" s="293">
        <v>-3.2104505701316954E-3</v>
      </c>
      <c r="F2608" s="266">
        <f t="shared" si="126"/>
        <v>2601</v>
      </c>
      <c r="G2608" s="230">
        <f t="shared" ca="1" si="125"/>
        <v>-4.3802526237367675E-2</v>
      </c>
    </row>
    <row r="2609" spans="2:7" x14ac:dyDescent="0.25">
      <c r="B2609" s="348" t="s">
        <v>2136</v>
      </c>
      <c r="C2609" s="293">
        <v>111.14</v>
      </c>
      <c r="D2609" s="230">
        <f t="shared" si="124"/>
        <v>1.7206663005674416E-2</v>
      </c>
      <c r="E2609" s="293">
        <v>-3.2324419629737866E-3</v>
      </c>
      <c r="F2609" s="266">
        <f t="shared" si="126"/>
        <v>2602</v>
      </c>
      <c r="G2609" s="230">
        <f t="shared" ca="1" si="125"/>
        <v>1.2763002170506889E-2</v>
      </c>
    </row>
    <row r="2610" spans="2:7" x14ac:dyDescent="0.25">
      <c r="B2610" s="348" t="s">
        <v>2137</v>
      </c>
      <c r="C2610" s="293">
        <v>109.26</v>
      </c>
      <c r="D2610" s="230">
        <f t="shared" si="124"/>
        <v>2.1095111437219316E-3</v>
      </c>
      <c r="E2610" s="293">
        <v>-3.2383419689118176E-3</v>
      </c>
      <c r="F2610" s="266">
        <f t="shared" si="126"/>
        <v>2603</v>
      </c>
      <c r="G2610" s="230">
        <f t="shared" ca="1" si="125"/>
        <v>2.3227173596838256E-2</v>
      </c>
    </row>
    <row r="2611" spans="2:7" x14ac:dyDescent="0.25">
      <c r="B2611" s="348" t="s">
        <v>2138</v>
      </c>
      <c r="C2611" s="293">
        <v>109.03</v>
      </c>
      <c r="D2611" s="230">
        <f t="shared" si="124"/>
        <v>-1.1782833318227159E-2</v>
      </c>
      <c r="E2611" s="293">
        <v>-3.2543608435303684E-3</v>
      </c>
      <c r="F2611" s="266">
        <f t="shared" si="126"/>
        <v>2604</v>
      </c>
      <c r="G2611" s="230">
        <f t="shared" ca="1" si="125"/>
        <v>-5.7093148580661477E-3</v>
      </c>
    </row>
    <row r="2612" spans="2:7" x14ac:dyDescent="0.25">
      <c r="B2612" s="348" t="s">
        <v>2139</v>
      </c>
      <c r="C2612" s="293">
        <v>110.33</v>
      </c>
      <c r="D2612" s="230">
        <f t="shared" si="124"/>
        <v>1.1366761389678182E-2</v>
      </c>
      <c r="E2612" s="293">
        <v>-3.2560812104961423E-3</v>
      </c>
      <c r="F2612" s="266">
        <f t="shared" si="126"/>
        <v>2605</v>
      </c>
      <c r="G2612" s="230">
        <f t="shared" ca="1" si="125"/>
        <v>-2.1664779190925805E-2</v>
      </c>
    </row>
    <row r="2613" spans="2:7" x14ac:dyDescent="0.25">
      <c r="B2613" s="348" t="s">
        <v>2140</v>
      </c>
      <c r="C2613" s="293">
        <v>109.09</v>
      </c>
      <c r="D2613" s="230">
        <f t="shared" si="124"/>
        <v>2.5474713291972151E-2</v>
      </c>
      <c r="E2613" s="293">
        <v>-3.2573289902279035E-3</v>
      </c>
      <c r="F2613" s="266">
        <f t="shared" si="126"/>
        <v>2606</v>
      </c>
      <c r="G2613" s="230">
        <f t="shared" ca="1" si="125"/>
        <v>2.0080677321702364E-3</v>
      </c>
    </row>
    <row r="2614" spans="2:7" x14ac:dyDescent="0.25">
      <c r="B2614" s="348" t="s">
        <v>2141</v>
      </c>
      <c r="C2614" s="293">
        <v>106.38</v>
      </c>
      <c r="D2614" s="230">
        <f t="shared" si="124"/>
        <v>1.4108674928503318E-2</v>
      </c>
      <c r="E2614" s="293">
        <v>-3.2691800685473726E-3</v>
      </c>
      <c r="F2614" s="266">
        <f t="shared" si="126"/>
        <v>2607</v>
      </c>
      <c r="G2614" s="230">
        <f t="shared" ca="1" si="125"/>
        <v>1.0333754446016585E-2</v>
      </c>
    </row>
    <row r="2615" spans="2:7" x14ac:dyDescent="0.25">
      <c r="B2615" s="348" t="s">
        <v>2142</v>
      </c>
      <c r="C2615" s="293">
        <v>104.9</v>
      </c>
      <c r="D2615" s="230">
        <f t="shared" si="124"/>
        <v>-1.5485687470670917E-2</v>
      </c>
      <c r="E2615" s="293">
        <v>-3.2729486984320877E-3</v>
      </c>
      <c r="F2615" s="266">
        <f t="shared" si="126"/>
        <v>2608</v>
      </c>
      <c r="G2615" s="230">
        <f t="shared" ca="1" si="125"/>
        <v>-6.2235810921379047E-3</v>
      </c>
    </row>
    <row r="2616" spans="2:7" x14ac:dyDescent="0.25">
      <c r="B2616" s="348" t="s">
        <v>2143</v>
      </c>
      <c r="C2616" s="293">
        <v>106.55</v>
      </c>
      <c r="D2616" s="230">
        <f t="shared" si="124"/>
        <v>-1.1687227529913802E-2</v>
      </c>
      <c r="E2616" s="293">
        <v>-3.2806441992245805E-3</v>
      </c>
      <c r="F2616" s="266">
        <f t="shared" si="126"/>
        <v>2609</v>
      </c>
      <c r="G2616" s="230">
        <f t="shared" ca="1" si="125"/>
        <v>2.1279324362713237E-2</v>
      </c>
    </row>
    <row r="2617" spans="2:7" x14ac:dyDescent="0.25">
      <c r="B2617" s="348">
        <v>41982</v>
      </c>
      <c r="C2617" s="293">
        <v>107.81</v>
      </c>
      <c r="D2617" s="230">
        <f t="shared" si="124"/>
        <v>1.7654711020256286E-3</v>
      </c>
      <c r="E2617" s="293">
        <v>-3.2819166393173171E-3</v>
      </c>
      <c r="F2617" s="266">
        <f t="shared" si="126"/>
        <v>2610</v>
      </c>
      <c r="G2617" s="230">
        <f t="shared" ca="1" si="125"/>
        <v>2.3389089208961787E-2</v>
      </c>
    </row>
    <row r="2618" spans="2:7" x14ac:dyDescent="0.25">
      <c r="B2618" s="348">
        <v>41952</v>
      </c>
      <c r="C2618" s="293">
        <v>107.62</v>
      </c>
      <c r="D2618" s="230">
        <f t="shared" si="124"/>
        <v>-1.3203741059967022E-2</v>
      </c>
      <c r="E2618" s="293">
        <v>-3.2928779753504944E-3</v>
      </c>
      <c r="F2618" s="266">
        <f t="shared" si="126"/>
        <v>2611</v>
      </c>
      <c r="G2618" s="230">
        <f t="shared" ca="1" si="125"/>
        <v>6.1095764216302605E-3</v>
      </c>
    </row>
    <row r="2619" spans="2:7" x14ac:dyDescent="0.25">
      <c r="B2619" s="348">
        <v>41921</v>
      </c>
      <c r="C2619" s="293">
        <v>109.06</v>
      </c>
      <c r="D2619" s="230">
        <f t="shared" si="124"/>
        <v>-1.07936507936508E-2</v>
      </c>
      <c r="E2619" s="293">
        <v>-3.3072760072158092E-3</v>
      </c>
      <c r="F2619" s="266">
        <f t="shared" si="126"/>
        <v>2612</v>
      </c>
      <c r="G2619" s="230">
        <f t="shared" ca="1" si="125"/>
        <v>8.1091921476555209E-3</v>
      </c>
    </row>
    <row r="2620" spans="2:7" x14ac:dyDescent="0.25">
      <c r="B2620" s="348">
        <v>41891</v>
      </c>
      <c r="C2620" s="293">
        <v>110.25</v>
      </c>
      <c r="D2620" s="230">
        <f t="shared" si="124"/>
        <v>-7.9186538288490427E-3</v>
      </c>
      <c r="E2620" s="293">
        <v>-3.3155713439905199E-3</v>
      </c>
      <c r="F2620" s="266">
        <f t="shared" si="126"/>
        <v>2613</v>
      </c>
      <c r="G2620" s="230">
        <f t="shared" ca="1" si="125"/>
        <v>1.4948113660983182E-2</v>
      </c>
    </row>
    <row r="2621" spans="2:7" x14ac:dyDescent="0.25">
      <c r="B2621" s="348">
        <v>41860</v>
      </c>
      <c r="C2621" s="293">
        <v>111.13</v>
      </c>
      <c r="D2621" s="230">
        <f t="shared" si="124"/>
        <v>1.8513426816973766E-2</v>
      </c>
      <c r="E2621" s="293">
        <v>-3.3250207813798616E-3</v>
      </c>
      <c r="F2621" s="266">
        <f t="shared" si="126"/>
        <v>2614</v>
      </c>
      <c r="G2621" s="230">
        <f t="shared" ca="1" si="125"/>
        <v>4.5370004590319195E-3</v>
      </c>
    </row>
    <row r="2622" spans="2:7" x14ac:dyDescent="0.25">
      <c r="B2622" s="348">
        <v>41768</v>
      </c>
      <c r="C2622" s="293">
        <v>109.11</v>
      </c>
      <c r="D2622" s="230">
        <f t="shared" si="124"/>
        <v>8.2239881722416808E-3</v>
      </c>
      <c r="E2622" s="293">
        <v>-3.3347228011670893E-3</v>
      </c>
      <c r="F2622" s="266">
        <f t="shared" si="126"/>
        <v>2615</v>
      </c>
      <c r="G2622" s="230">
        <f t="shared" ca="1" si="125"/>
        <v>-1.3779853114521349E-2</v>
      </c>
    </row>
    <row r="2623" spans="2:7" x14ac:dyDescent="0.25">
      <c r="B2623" s="348">
        <v>41738</v>
      </c>
      <c r="C2623" s="293">
        <v>108.22</v>
      </c>
      <c r="D2623" s="230">
        <f t="shared" si="124"/>
        <v>0</v>
      </c>
      <c r="E2623" s="293">
        <v>-3.3362989323842962E-3</v>
      </c>
      <c r="F2623" s="266">
        <f t="shared" si="126"/>
        <v>2616</v>
      </c>
      <c r="G2623" s="230">
        <f t="shared" ca="1" si="125"/>
        <v>7.0688890232034019E-3</v>
      </c>
    </row>
    <row r="2624" spans="2:7" x14ac:dyDescent="0.25">
      <c r="B2624" s="348">
        <v>41707</v>
      </c>
      <c r="C2624" s="293">
        <v>108.22</v>
      </c>
      <c r="D2624" s="230">
        <f t="shared" si="124"/>
        <v>2.8805019488544525E-2</v>
      </c>
      <c r="E2624" s="293">
        <v>-3.3363973717359663E-3</v>
      </c>
      <c r="F2624" s="266">
        <f t="shared" si="126"/>
        <v>2617</v>
      </c>
      <c r="G2624" s="230">
        <f t="shared" ca="1" si="125"/>
        <v>3.2464159855501634E-2</v>
      </c>
    </row>
    <row r="2625" spans="2:7" x14ac:dyDescent="0.25">
      <c r="B2625" s="348">
        <v>41679</v>
      </c>
      <c r="C2625" s="293">
        <v>105.19</v>
      </c>
      <c r="D2625" s="230">
        <f t="shared" si="124"/>
        <v>-8.5768143261074625E-3</v>
      </c>
      <c r="E2625" s="293">
        <v>-3.3408153677506602E-3</v>
      </c>
      <c r="F2625" s="266">
        <f t="shared" si="126"/>
        <v>2618</v>
      </c>
      <c r="G2625" s="230">
        <f t="shared" ca="1" si="125"/>
        <v>2.8257000883454578E-2</v>
      </c>
    </row>
    <row r="2626" spans="2:7" x14ac:dyDescent="0.25">
      <c r="B2626" s="348">
        <v>41648</v>
      </c>
      <c r="C2626" s="293">
        <v>106.1</v>
      </c>
      <c r="D2626" s="230">
        <f t="shared" si="124"/>
        <v>1.1322891111529287E-3</v>
      </c>
      <c r="E2626" s="293">
        <v>-3.3409813629594609E-3</v>
      </c>
      <c r="F2626" s="266">
        <f t="shared" si="126"/>
        <v>2619</v>
      </c>
      <c r="G2626" s="230">
        <f t="shared" ca="1" si="125"/>
        <v>-1.7284726201722056E-2</v>
      </c>
    </row>
    <row r="2627" spans="2:7" x14ac:dyDescent="0.25">
      <c r="B2627" s="348" t="s">
        <v>2144</v>
      </c>
      <c r="C2627" s="293">
        <v>105.98</v>
      </c>
      <c r="D2627" s="230">
        <f t="shared" si="124"/>
        <v>1.1935453069798596E-2</v>
      </c>
      <c r="E2627" s="293">
        <v>-3.3472120173074771E-3</v>
      </c>
      <c r="F2627" s="266">
        <f t="shared" si="126"/>
        <v>2620</v>
      </c>
      <c r="G2627" s="230">
        <f t="shared" ca="1" si="125"/>
        <v>-8.0112791682098936E-3</v>
      </c>
    </row>
    <row r="2628" spans="2:7" x14ac:dyDescent="0.25">
      <c r="B2628" s="348" t="s">
        <v>2145</v>
      </c>
      <c r="C2628" s="293">
        <v>104.73</v>
      </c>
      <c r="D2628" s="230">
        <f t="shared" si="124"/>
        <v>1.3941330235260008E-2</v>
      </c>
      <c r="E2628" s="293">
        <v>-3.4070200459550559E-3</v>
      </c>
      <c r="F2628" s="266">
        <f t="shared" si="126"/>
        <v>2621</v>
      </c>
      <c r="G2628" s="230">
        <f t="shared" ca="1" si="125"/>
        <v>4.4761284535224599E-2</v>
      </c>
    </row>
    <row r="2629" spans="2:7" x14ac:dyDescent="0.25">
      <c r="B2629" s="348" t="s">
        <v>2146</v>
      </c>
      <c r="C2629" s="293">
        <v>103.29</v>
      </c>
      <c r="D2629" s="230">
        <f t="shared" si="124"/>
        <v>-8.0668395275136362E-3</v>
      </c>
      <c r="E2629" s="293">
        <v>-3.437358661239176E-3</v>
      </c>
      <c r="F2629" s="266">
        <f t="shared" si="126"/>
        <v>2622</v>
      </c>
      <c r="G2629" s="230">
        <f t="shared" ca="1" si="125"/>
        <v>-1.3269864194116512E-2</v>
      </c>
    </row>
    <row r="2630" spans="2:7" x14ac:dyDescent="0.25">
      <c r="B2630" s="348" t="s">
        <v>2147</v>
      </c>
      <c r="C2630" s="293">
        <v>104.13</v>
      </c>
      <c r="D2630" s="230">
        <f t="shared" si="124"/>
        <v>-2.8727377190463921E-3</v>
      </c>
      <c r="E2630" s="293">
        <v>-3.4386245501798474E-3</v>
      </c>
      <c r="F2630" s="266">
        <f t="shared" si="126"/>
        <v>2623</v>
      </c>
      <c r="G2630" s="230">
        <f t="shared" ca="1" si="125"/>
        <v>2.0036025650472453E-2</v>
      </c>
    </row>
    <row r="2631" spans="2:7" x14ac:dyDescent="0.25">
      <c r="B2631" s="348" t="s">
        <v>2148</v>
      </c>
      <c r="C2631" s="293">
        <v>104.43</v>
      </c>
      <c r="D2631" s="230">
        <f t="shared" si="124"/>
        <v>1.0547706599574269E-2</v>
      </c>
      <c r="E2631" s="293">
        <v>-3.452575045554851E-3</v>
      </c>
      <c r="F2631" s="266">
        <f t="shared" si="126"/>
        <v>2624</v>
      </c>
      <c r="G2631" s="230">
        <f t="shared" ca="1" si="125"/>
        <v>4.0984289428385147E-2</v>
      </c>
    </row>
    <row r="2632" spans="2:7" x14ac:dyDescent="0.25">
      <c r="B2632" s="348" t="s">
        <v>2149</v>
      </c>
      <c r="C2632" s="293">
        <v>103.34</v>
      </c>
      <c r="D2632" s="230">
        <f t="shared" si="124"/>
        <v>-1.8352168453588114E-3</v>
      </c>
      <c r="E2632" s="293">
        <v>-3.4532374100719743E-3</v>
      </c>
      <c r="F2632" s="266">
        <f t="shared" si="126"/>
        <v>2625</v>
      </c>
      <c r="G2632" s="230">
        <f t="shared" ca="1" si="125"/>
        <v>1.8203143617675895E-2</v>
      </c>
    </row>
    <row r="2633" spans="2:7" x14ac:dyDescent="0.25">
      <c r="B2633" s="348" t="s">
        <v>2150</v>
      </c>
      <c r="C2633" s="293">
        <v>103.53</v>
      </c>
      <c r="D2633" s="230">
        <f t="shared" ref="D2633:D2696" si="127">C2633/C2634-1</f>
        <v>8.671083398285262E-3</v>
      </c>
      <c r="E2633" s="293">
        <v>-3.4606067597184875E-3</v>
      </c>
      <c r="F2633" s="266">
        <f t="shared" si="126"/>
        <v>2626</v>
      </c>
      <c r="G2633" s="230">
        <f t="shared" ref="G2633:G2696" ca="1" si="128">_xlfn.NORM.INV(RAND(),$M$10,$M$11)</f>
        <v>-2.2406330673543466E-2</v>
      </c>
    </row>
    <row r="2634" spans="2:7" x14ac:dyDescent="0.25">
      <c r="B2634" s="348" t="s">
        <v>2151</v>
      </c>
      <c r="C2634" s="293">
        <v>102.64</v>
      </c>
      <c r="D2634" s="230">
        <f t="shared" si="127"/>
        <v>-3.8955979742893998E-4</v>
      </c>
      <c r="E2634" s="293">
        <v>-3.4655371582594796E-3</v>
      </c>
      <c r="F2634" s="266">
        <f t="shared" ref="F2634:F2697" si="129">F2633+1</f>
        <v>2627</v>
      </c>
      <c r="G2634" s="230">
        <f t="shared" ca="1" si="128"/>
        <v>1.8221116861844786E-2</v>
      </c>
    </row>
    <row r="2635" spans="2:7" x14ac:dyDescent="0.25">
      <c r="B2635" s="348" t="s">
        <v>2152</v>
      </c>
      <c r="C2635" s="293">
        <v>102.68</v>
      </c>
      <c r="D2635" s="230">
        <f t="shared" si="127"/>
        <v>3.0282309270295293E-3</v>
      </c>
      <c r="E2635" s="293">
        <v>-3.4672649398327371E-3</v>
      </c>
      <c r="F2635" s="266">
        <f t="shared" si="129"/>
        <v>2628</v>
      </c>
      <c r="G2635" s="230">
        <f t="shared" ca="1" si="128"/>
        <v>8.1069724311769766E-3</v>
      </c>
    </row>
    <row r="2636" spans="2:7" x14ac:dyDescent="0.25">
      <c r="B2636" s="348" t="s">
        <v>2153</v>
      </c>
      <c r="C2636" s="293">
        <v>102.37</v>
      </c>
      <c r="D2636" s="230">
        <f t="shared" si="127"/>
        <v>-7.7541921101095257E-3</v>
      </c>
      <c r="E2636" s="293">
        <v>-3.4679722562218629E-3</v>
      </c>
      <c r="F2636" s="266">
        <f t="shared" si="129"/>
        <v>2629</v>
      </c>
      <c r="G2636" s="230">
        <f t="shared" ca="1" si="128"/>
        <v>-1.3080990392193041E-2</v>
      </c>
    </row>
    <row r="2637" spans="2:7" x14ac:dyDescent="0.25">
      <c r="B2637" s="348" t="s">
        <v>2154</v>
      </c>
      <c r="C2637" s="293">
        <v>103.17</v>
      </c>
      <c r="D2637" s="230">
        <f t="shared" si="127"/>
        <v>1.1966650318783634E-2</v>
      </c>
      <c r="E2637" s="293">
        <v>-3.4688497294297349E-3</v>
      </c>
      <c r="F2637" s="266">
        <f t="shared" si="129"/>
        <v>2630</v>
      </c>
      <c r="G2637" s="230">
        <f t="shared" ca="1" si="128"/>
        <v>1.3173388878839939E-2</v>
      </c>
    </row>
    <row r="2638" spans="2:7" x14ac:dyDescent="0.25">
      <c r="B2638" s="348">
        <v>41981</v>
      </c>
      <c r="C2638" s="293">
        <v>101.95</v>
      </c>
      <c r="D2638" s="230">
        <f t="shared" si="127"/>
        <v>1.4734774066798018E-3</v>
      </c>
      <c r="E2638" s="293">
        <v>-3.4751181540172427E-3</v>
      </c>
      <c r="F2638" s="266">
        <f t="shared" si="129"/>
        <v>2631</v>
      </c>
      <c r="G2638" s="230">
        <f t="shared" ca="1" si="128"/>
        <v>-1.8800089655102779E-3</v>
      </c>
    </row>
    <row r="2639" spans="2:7" x14ac:dyDescent="0.25">
      <c r="B2639" s="348">
        <v>41951</v>
      </c>
      <c r="C2639" s="293">
        <v>101.8</v>
      </c>
      <c r="D2639" s="230">
        <f t="shared" si="127"/>
        <v>-9.3421564811211333E-3</v>
      </c>
      <c r="E2639" s="293">
        <v>-3.4837770382695199E-3</v>
      </c>
      <c r="F2639" s="266">
        <f t="shared" si="129"/>
        <v>2632</v>
      </c>
      <c r="G2639" s="230">
        <f t="shared" ca="1" si="128"/>
        <v>1.896787360594288E-3</v>
      </c>
    </row>
    <row r="2640" spans="2:7" x14ac:dyDescent="0.25">
      <c r="B2640" s="348">
        <v>41859</v>
      </c>
      <c r="C2640" s="293">
        <v>102.76</v>
      </c>
      <c r="D2640" s="230">
        <f t="shared" si="127"/>
        <v>-8.2995560702566751E-3</v>
      </c>
      <c r="E2640" s="293">
        <v>-3.5060177917319857E-3</v>
      </c>
      <c r="F2640" s="266">
        <f t="shared" si="129"/>
        <v>2633</v>
      </c>
      <c r="G2640" s="230">
        <f t="shared" ca="1" si="128"/>
        <v>-1.8096063963759831E-2</v>
      </c>
    </row>
    <row r="2641" spans="2:7" x14ac:dyDescent="0.25">
      <c r="B2641" s="348">
        <v>41828</v>
      </c>
      <c r="C2641" s="293">
        <v>103.62</v>
      </c>
      <c r="D2641" s="230">
        <f t="shared" si="127"/>
        <v>2.2245865170713586E-3</v>
      </c>
      <c r="E2641" s="293">
        <v>-3.5153503632529004E-3</v>
      </c>
      <c r="F2641" s="266">
        <f t="shared" si="129"/>
        <v>2634</v>
      </c>
      <c r="G2641" s="230">
        <f t="shared" ca="1" si="128"/>
        <v>-5.6806248113952608E-2</v>
      </c>
    </row>
    <row r="2642" spans="2:7" x14ac:dyDescent="0.25">
      <c r="B2642" s="348">
        <v>41798</v>
      </c>
      <c r="C2642" s="293">
        <v>103.39</v>
      </c>
      <c r="D2642" s="230">
        <f t="shared" si="127"/>
        <v>3.3967391304348116E-3</v>
      </c>
      <c r="E2642" s="293">
        <v>-3.5280603872660521E-3</v>
      </c>
      <c r="F2642" s="266">
        <f t="shared" si="129"/>
        <v>2635</v>
      </c>
      <c r="G2642" s="230">
        <f t="shared" ca="1" si="128"/>
        <v>4.3588402225724993E-2</v>
      </c>
    </row>
    <row r="2643" spans="2:7" x14ac:dyDescent="0.25">
      <c r="B2643" s="348">
        <v>41767</v>
      </c>
      <c r="C2643" s="293">
        <v>103.04</v>
      </c>
      <c r="D2643" s="230">
        <f t="shared" si="127"/>
        <v>1.6525712063770737E-3</v>
      </c>
      <c r="E2643" s="293">
        <v>-3.5299182092123349E-3</v>
      </c>
      <c r="F2643" s="266">
        <f t="shared" si="129"/>
        <v>2636</v>
      </c>
      <c r="G2643" s="230">
        <f t="shared" ca="1" si="128"/>
        <v>3.3609540951580738E-2</v>
      </c>
    </row>
    <row r="2644" spans="2:7" x14ac:dyDescent="0.25">
      <c r="B2644" s="348">
        <v>41737</v>
      </c>
      <c r="C2644" s="293">
        <v>102.87</v>
      </c>
      <c r="D2644" s="230">
        <f t="shared" si="127"/>
        <v>2.358208955223895E-2</v>
      </c>
      <c r="E2644" s="293">
        <v>-3.5314174378958674E-3</v>
      </c>
      <c r="F2644" s="266">
        <f t="shared" si="129"/>
        <v>2637</v>
      </c>
      <c r="G2644" s="230">
        <f t="shared" ca="1" si="128"/>
        <v>-2.6345994437260864E-2</v>
      </c>
    </row>
    <row r="2645" spans="2:7" x14ac:dyDescent="0.25">
      <c r="B2645" s="348">
        <v>41647</v>
      </c>
      <c r="C2645" s="293">
        <v>100.5</v>
      </c>
      <c r="D2645" s="230">
        <f t="shared" si="127"/>
        <v>-1.5478056426332265E-2</v>
      </c>
      <c r="E2645" s="293">
        <v>-3.5530990919857564E-3</v>
      </c>
      <c r="F2645" s="266">
        <f t="shared" si="129"/>
        <v>2638</v>
      </c>
      <c r="G2645" s="230">
        <f t="shared" ca="1" si="128"/>
        <v>4.2938810989447337E-2</v>
      </c>
    </row>
    <row r="2646" spans="2:7" x14ac:dyDescent="0.25">
      <c r="B2646" s="348" t="s">
        <v>2155</v>
      </c>
      <c r="C2646" s="293">
        <v>102.08</v>
      </c>
      <c r="D2646" s="230">
        <f t="shared" si="127"/>
        <v>-1.1523191633581842E-2</v>
      </c>
      <c r="E2646" s="293">
        <v>-3.5740469208210834E-3</v>
      </c>
      <c r="F2646" s="266">
        <f t="shared" si="129"/>
        <v>2639</v>
      </c>
      <c r="G2646" s="230">
        <f t="shared" ca="1" si="128"/>
        <v>3.9064452715026551E-3</v>
      </c>
    </row>
    <row r="2647" spans="2:7" x14ac:dyDescent="0.25">
      <c r="B2647" s="348" t="s">
        <v>2156</v>
      </c>
      <c r="C2647" s="293">
        <v>103.27</v>
      </c>
      <c r="D2647" s="230">
        <f t="shared" si="127"/>
        <v>-1.1297271421732979E-2</v>
      </c>
      <c r="E2647" s="293">
        <v>-3.582395087001089E-3</v>
      </c>
      <c r="F2647" s="266">
        <f t="shared" si="129"/>
        <v>2640</v>
      </c>
      <c r="G2647" s="230">
        <f t="shared" ca="1" si="128"/>
        <v>2.9130229881808779E-2</v>
      </c>
    </row>
    <row r="2648" spans="2:7" x14ac:dyDescent="0.25">
      <c r="B2648" s="348" t="s">
        <v>2157</v>
      </c>
      <c r="C2648" s="293">
        <v>104.45</v>
      </c>
      <c r="D2648" s="230">
        <f t="shared" si="127"/>
        <v>1.0936895083236697E-2</v>
      </c>
      <c r="E2648" s="293">
        <v>-3.5877703826955321E-3</v>
      </c>
      <c r="F2648" s="266">
        <f t="shared" si="129"/>
        <v>2641</v>
      </c>
      <c r="G2648" s="230">
        <f t="shared" ca="1" si="128"/>
        <v>1.6315251777728294E-2</v>
      </c>
    </row>
    <row r="2649" spans="2:7" x14ac:dyDescent="0.25">
      <c r="B2649" s="348" t="s">
        <v>2158</v>
      </c>
      <c r="C2649" s="293">
        <v>103.32</v>
      </c>
      <c r="D2649" s="230">
        <f t="shared" si="127"/>
        <v>-4.4748520710059192E-2</v>
      </c>
      <c r="E2649" s="293">
        <v>-3.5887236250432553E-3</v>
      </c>
      <c r="F2649" s="266">
        <f t="shared" si="129"/>
        <v>2642</v>
      </c>
      <c r="G2649" s="230">
        <f t="shared" ca="1" si="128"/>
        <v>-4.071216311092498E-3</v>
      </c>
    </row>
    <row r="2650" spans="2:7" x14ac:dyDescent="0.25">
      <c r="B2650" s="348" t="s">
        <v>2159</v>
      </c>
      <c r="C2650" s="293">
        <v>108.16</v>
      </c>
      <c r="D2650" s="230">
        <f t="shared" si="127"/>
        <v>1.0463378176382543E-2</v>
      </c>
      <c r="E2650" s="293">
        <v>-3.616920899512599E-3</v>
      </c>
      <c r="F2650" s="266">
        <f t="shared" si="129"/>
        <v>2643</v>
      </c>
      <c r="G2650" s="230">
        <f t="shared" ca="1" si="128"/>
        <v>-3.0684198811667722E-2</v>
      </c>
    </row>
    <row r="2651" spans="2:7" x14ac:dyDescent="0.25">
      <c r="B2651" s="348" t="s">
        <v>2160</v>
      </c>
      <c r="C2651" s="293">
        <v>107.04</v>
      </c>
      <c r="D2651" s="230">
        <f t="shared" si="127"/>
        <v>2.1666507588050221E-2</v>
      </c>
      <c r="E2651" s="293">
        <v>-3.6193923230783964E-3</v>
      </c>
      <c r="F2651" s="266">
        <f t="shared" si="129"/>
        <v>2644</v>
      </c>
      <c r="G2651" s="230">
        <f t="shared" ca="1" si="128"/>
        <v>-4.0002269852006528E-2</v>
      </c>
    </row>
    <row r="2652" spans="2:7" x14ac:dyDescent="0.25">
      <c r="B2652" s="348" t="s">
        <v>2161</v>
      </c>
      <c r="C2652" s="293">
        <v>104.77</v>
      </c>
      <c r="D2652" s="230">
        <f t="shared" si="127"/>
        <v>2.5347426110784887E-2</v>
      </c>
      <c r="E2652" s="293">
        <v>-3.6290322580645462E-3</v>
      </c>
      <c r="F2652" s="266">
        <f t="shared" si="129"/>
        <v>2645</v>
      </c>
      <c r="G2652" s="230">
        <f t="shared" ca="1" si="128"/>
        <v>-1.0805152208235268E-2</v>
      </c>
    </row>
    <row r="2653" spans="2:7" x14ac:dyDescent="0.25">
      <c r="B2653" s="348" t="s">
        <v>2162</v>
      </c>
      <c r="C2653" s="293">
        <v>102.18</v>
      </c>
      <c r="D2653" s="230">
        <f t="shared" si="127"/>
        <v>-3.8022813688212143E-3</v>
      </c>
      <c r="E2653" s="293">
        <v>-3.6354193715918415E-3</v>
      </c>
      <c r="F2653" s="266">
        <f t="shared" si="129"/>
        <v>2646</v>
      </c>
      <c r="G2653" s="230">
        <f t="shared" ca="1" si="128"/>
        <v>-4.4095832434283645E-2</v>
      </c>
    </row>
    <row r="2654" spans="2:7" x14ac:dyDescent="0.25">
      <c r="B2654" s="348" t="s">
        <v>2163</v>
      </c>
      <c r="C2654" s="293">
        <v>102.57</v>
      </c>
      <c r="D2654" s="230">
        <f t="shared" si="127"/>
        <v>1.806451612903226E-2</v>
      </c>
      <c r="E2654" s="293">
        <v>-3.6422501011735831E-3</v>
      </c>
      <c r="F2654" s="266">
        <f t="shared" si="129"/>
        <v>2647</v>
      </c>
      <c r="G2654" s="230">
        <f t="shared" ca="1" si="128"/>
        <v>3.4808109569578603E-2</v>
      </c>
    </row>
    <row r="2655" spans="2:7" x14ac:dyDescent="0.25">
      <c r="B2655" s="348" t="s">
        <v>2164</v>
      </c>
      <c r="C2655" s="293">
        <v>100.75</v>
      </c>
      <c r="D2655" s="230">
        <f t="shared" si="127"/>
        <v>3.785991830228097E-3</v>
      </c>
      <c r="E2655" s="293">
        <v>-3.655520911729937E-3</v>
      </c>
      <c r="F2655" s="266">
        <f t="shared" si="129"/>
        <v>2648</v>
      </c>
      <c r="G2655" s="230">
        <f t="shared" ca="1" si="128"/>
        <v>-7.6197432382848476E-4</v>
      </c>
    </row>
    <row r="2656" spans="2:7" x14ac:dyDescent="0.25">
      <c r="B2656" s="348" t="s">
        <v>2165</v>
      </c>
      <c r="C2656" s="293">
        <v>100.37</v>
      </c>
      <c r="D2656" s="230">
        <f t="shared" si="127"/>
        <v>-9.9532198666263394E-4</v>
      </c>
      <c r="E2656" s="293">
        <v>-3.6686028737388243E-3</v>
      </c>
      <c r="F2656" s="266">
        <f t="shared" si="129"/>
        <v>2649</v>
      </c>
      <c r="G2656" s="230">
        <f t="shared" ca="1" si="128"/>
        <v>7.7596148515127819E-3</v>
      </c>
    </row>
    <row r="2657" spans="2:7" x14ac:dyDescent="0.25">
      <c r="B2657" s="348" t="s">
        <v>2166</v>
      </c>
      <c r="C2657" s="293">
        <v>100.47</v>
      </c>
      <c r="D2657" s="230">
        <f t="shared" si="127"/>
        <v>-5.5429080471147696E-3</v>
      </c>
      <c r="E2657" s="293">
        <v>-3.7021801727683545E-3</v>
      </c>
      <c r="F2657" s="266">
        <f t="shared" si="129"/>
        <v>2650</v>
      </c>
      <c r="G2657" s="230">
        <f t="shared" ca="1" si="128"/>
        <v>-1.4008619129202341E-2</v>
      </c>
    </row>
    <row r="2658" spans="2:7" x14ac:dyDescent="0.25">
      <c r="B2658" s="348" t="s">
        <v>2167</v>
      </c>
      <c r="C2658" s="293">
        <v>101.03</v>
      </c>
      <c r="D2658" s="230">
        <f t="shared" si="127"/>
        <v>-2.5371406521319639E-2</v>
      </c>
      <c r="E2658" s="293">
        <v>-3.7195994277540168E-3</v>
      </c>
      <c r="F2658" s="266">
        <f t="shared" si="129"/>
        <v>2651</v>
      </c>
      <c r="G2658" s="230">
        <f t="shared" ca="1" si="128"/>
        <v>6.3942346485662729E-2</v>
      </c>
    </row>
    <row r="2659" spans="2:7" x14ac:dyDescent="0.25">
      <c r="B2659" s="348">
        <v>41950</v>
      </c>
      <c r="C2659" s="293">
        <v>103.66</v>
      </c>
      <c r="D2659" s="230">
        <f t="shared" si="127"/>
        <v>1.4881535147836189E-2</v>
      </c>
      <c r="E2659" s="293">
        <v>-3.7241846292743741E-3</v>
      </c>
      <c r="F2659" s="266">
        <f t="shared" si="129"/>
        <v>2652</v>
      </c>
      <c r="G2659" s="230">
        <f t="shared" ca="1" si="128"/>
        <v>1.0231000980086499E-2</v>
      </c>
    </row>
    <row r="2660" spans="2:7" x14ac:dyDescent="0.25">
      <c r="B2660" s="348">
        <v>41919</v>
      </c>
      <c r="C2660" s="293">
        <v>102.14</v>
      </c>
      <c r="D2660" s="230">
        <f t="shared" si="127"/>
        <v>-9.7809076682309204E-4</v>
      </c>
      <c r="E2660" s="293">
        <v>-3.7335722819593631E-3</v>
      </c>
      <c r="F2660" s="266">
        <f t="shared" si="129"/>
        <v>2653</v>
      </c>
      <c r="G2660" s="230">
        <f t="shared" ca="1" si="128"/>
        <v>-1.0230112678054423E-2</v>
      </c>
    </row>
    <row r="2661" spans="2:7" x14ac:dyDescent="0.25">
      <c r="B2661" s="348">
        <v>41889</v>
      </c>
      <c r="C2661" s="293">
        <v>102.24</v>
      </c>
      <c r="D2661" s="230">
        <f t="shared" si="127"/>
        <v>-8.1490104772992122E-3</v>
      </c>
      <c r="E2661" s="293">
        <v>-3.7610299435844041E-3</v>
      </c>
      <c r="F2661" s="266">
        <f t="shared" si="129"/>
        <v>2654</v>
      </c>
      <c r="G2661" s="230">
        <f t="shared" ca="1" si="128"/>
        <v>1.0823381140869774E-2</v>
      </c>
    </row>
    <row r="2662" spans="2:7" x14ac:dyDescent="0.25">
      <c r="B2662" s="348">
        <v>41858</v>
      </c>
      <c r="C2662" s="293">
        <v>103.08</v>
      </c>
      <c r="D2662" s="230">
        <f t="shared" si="127"/>
        <v>-1.40602582496413E-2</v>
      </c>
      <c r="E2662" s="293">
        <v>-3.7638530703282269E-3</v>
      </c>
      <c r="F2662" s="266">
        <f t="shared" si="129"/>
        <v>2655</v>
      </c>
      <c r="G2662" s="230">
        <f t="shared" ca="1" si="128"/>
        <v>-3.4239294093248423E-3</v>
      </c>
    </row>
    <row r="2663" spans="2:7" x14ac:dyDescent="0.25">
      <c r="B2663" s="348">
        <v>41827</v>
      </c>
      <c r="C2663" s="293">
        <v>104.55</v>
      </c>
      <c r="D2663" s="230">
        <f t="shared" si="127"/>
        <v>1.980101443620752E-2</v>
      </c>
      <c r="E2663" s="293">
        <v>-3.7663837693968638E-3</v>
      </c>
      <c r="F2663" s="266">
        <f t="shared" si="129"/>
        <v>2656</v>
      </c>
      <c r="G2663" s="230">
        <f t="shared" ca="1" si="128"/>
        <v>2.7607044939850466E-2</v>
      </c>
    </row>
    <row r="2664" spans="2:7" x14ac:dyDescent="0.25">
      <c r="B2664" s="348">
        <v>41736</v>
      </c>
      <c r="C2664" s="293">
        <v>102.52</v>
      </c>
      <c r="D2664" s="230">
        <f t="shared" si="127"/>
        <v>-1.5745007680491585E-2</v>
      </c>
      <c r="E2664" s="293">
        <v>-3.7755277158058043E-3</v>
      </c>
      <c r="F2664" s="266">
        <f t="shared" si="129"/>
        <v>2657</v>
      </c>
      <c r="G2664" s="230">
        <f t="shared" ca="1" si="128"/>
        <v>-2.6074064452156813E-2</v>
      </c>
    </row>
    <row r="2665" spans="2:7" x14ac:dyDescent="0.25">
      <c r="B2665" s="348">
        <v>41705</v>
      </c>
      <c r="C2665" s="293">
        <v>104.16</v>
      </c>
      <c r="D2665" s="230">
        <f t="shared" si="127"/>
        <v>2.7117641258258551E-2</v>
      </c>
      <c r="E2665" s="293">
        <v>-3.780718336483857E-3</v>
      </c>
      <c r="F2665" s="266">
        <f t="shared" si="129"/>
        <v>2658</v>
      </c>
      <c r="G2665" s="230">
        <f t="shared" ca="1" si="128"/>
        <v>-1.0206906238247966E-2</v>
      </c>
    </row>
    <row r="2666" spans="2:7" x14ac:dyDescent="0.25">
      <c r="B2666" s="348">
        <v>41677</v>
      </c>
      <c r="C2666" s="293">
        <v>101.41</v>
      </c>
      <c r="D2666" s="230">
        <f t="shared" si="127"/>
        <v>4.9549103161232733E-3</v>
      </c>
      <c r="E2666" s="293">
        <v>-3.8022813688212143E-3</v>
      </c>
      <c r="F2666" s="266">
        <f t="shared" si="129"/>
        <v>2659</v>
      </c>
      <c r="G2666" s="230">
        <f t="shared" ca="1" si="128"/>
        <v>2.6914219065166051E-3</v>
      </c>
    </row>
    <row r="2667" spans="2:7" x14ac:dyDescent="0.25">
      <c r="B2667" s="348">
        <v>41646</v>
      </c>
      <c r="C2667" s="293">
        <v>100.91</v>
      </c>
      <c r="D2667" s="230">
        <f t="shared" si="127"/>
        <v>-1.5031722791605695E-2</v>
      </c>
      <c r="E2667" s="293">
        <v>-3.8098959605333826E-3</v>
      </c>
      <c r="F2667" s="266">
        <f t="shared" si="129"/>
        <v>2660</v>
      </c>
      <c r="G2667" s="230">
        <f t="shared" ca="1" si="128"/>
        <v>5.5362283073476237E-3</v>
      </c>
    </row>
    <row r="2668" spans="2:7" x14ac:dyDescent="0.25">
      <c r="B2668" s="348" t="s">
        <v>2168</v>
      </c>
      <c r="C2668" s="293">
        <v>102.45</v>
      </c>
      <c r="D2668" s="230">
        <f t="shared" si="127"/>
        <v>7.8147894891089642E-4</v>
      </c>
      <c r="E2668" s="293">
        <v>-3.8109246506652372E-3</v>
      </c>
      <c r="F2668" s="266">
        <f t="shared" si="129"/>
        <v>2661</v>
      </c>
      <c r="G2668" s="230">
        <f t="shared" ca="1" si="128"/>
        <v>-1.4384288953161118E-2</v>
      </c>
    </row>
    <row r="2669" spans="2:7" x14ac:dyDescent="0.25">
      <c r="B2669" s="348" t="s">
        <v>2169</v>
      </c>
      <c r="C2669" s="293">
        <v>102.37</v>
      </c>
      <c r="D2669" s="230">
        <f t="shared" si="127"/>
        <v>1.9621513944223068E-2</v>
      </c>
      <c r="E2669" s="293">
        <v>-3.8232145588010802E-3</v>
      </c>
      <c r="F2669" s="266">
        <f t="shared" si="129"/>
        <v>2662</v>
      </c>
      <c r="G2669" s="230">
        <f t="shared" ca="1" si="128"/>
        <v>1.0574105524900948E-2</v>
      </c>
    </row>
    <row r="2670" spans="2:7" x14ac:dyDescent="0.25">
      <c r="B2670" s="348" t="s">
        <v>2170</v>
      </c>
      <c r="C2670" s="293">
        <v>100.4</v>
      </c>
      <c r="D2670" s="230">
        <f t="shared" si="127"/>
        <v>1.1892763555734875E-2</v>
      </c>
      <c r="E2670" s="293">
        <v>-3.8290126169104877E-3</v>
      </c>
      <c r="F2670" s="266">
        <f t="shared" si="129"/>
        <v>2663</v>
      </c>
      <c r="G2670" s="230">
        <f t="shared" ca="1" si="128"/>
        <v>1.1583121602281343E-2</v>
      </c>
    </row>
    <row r="2671" spans="2:7" x14ac:dyDescent="0.25">
      <c r="B2671" s="348" t="s">
        <v>2171</v>
      </c>
      <c r="C2671" s="293">
        <v>99.22</v>
      </c>
      <c r="D2671" s="230">
        <f t="shared" si="127"/>
        <v>-4.0152579803253152E-3</v>
      </c>
      <c r="E2671" s="293">
        <v>-3.8461538461539435E-3</v>
      </c>
      <c r="F2671" s="266">
        <f t="shared" si="129"/>
        <v>2664</v>
      </c>
      <c r="G2671" s="230">
        <f t="shared" ca="1" si="128"/>
        <v>2.0699607063296294E-2</v>
      </c>
    </row>
    <row r="2672" spans="2:7" x14ac:dyDescent="0.25">
      <c r="B2672" s="348" t="s">
        <v>2172</v>
      </c>
      <c r="C2672" s="293">
        <v>99.62</v>
      </c>
      <c r="D2672" s="230">
        <f t="shared" si="127"/>
        <v>-2.0072260136483333E-4</v>
      </c>
      <c r="E2672" s="293">
        <v>-3.8474991255682545E-3</v>
      </c>
      <c r="F2672" s="266">
        <f t="shared" si="129"/>
        <v>2665</v>
      </c>
      <c r="G2672" s="230">
        <f t="shared" ca="1" si="128"/>
        <v>3.0016251096077445E-2</v>
      </c>
    </row>
    <row r="2673" spans="2:7" x14ac:dyDescent="0.25">
      <c r="B2673" s="348" t="s">
        <v>2173</v>
      </c>
      <c r="C2673" s="293">
        <v>99.64</v>
      </c>
      <c r="D2673" s="230">
        <f t="shared" si="127"/>
        <v>-1.0034773969200272E-2</v>
      </c>
      <c r="E2673" s="293">
        <v>-3.8488952245190333E-3</v>
      </c>
      <c r="F2673" s="266">
        <f t="shared" si="129"/>
        <v>2666</v>
      </c>
      <c r="G2673" s="230">
        <f t="shared" ca="1" si="128"/>
        <v>7.0451898170962972E-3</v>
      </c>
    </row>
    <row r="2674" spans="2:7" x14ac:dyDescent="0.25">
      <c r="B2674" s="348" t="s">
        <v>2174</v>
      </c>
      <c r="C2674" s="293">
        <v>100.65</v>
      </c>
      <c r="D2674" s="230">
        <f t="shared" si="127"/>
        <v>-6.9499602859401932E-4</v>
      </c>
      <c r="E2674" s="293">
        <v>-3.8944180008653184E-3</v>
      </c>
      <c r="F2674" s="266">
        <f t="shared" si="129"/>
        <v>2667</v>
      </c>
      <c r="G2674" s="230">
        <f t="shared" ca="1" si="128"/>
        <v>-3.1872923740795131E-2</v>
      </c>
    </row>
    <row r="2675" spans="2:7" x14ac:dyDescent="0.25">
      <c r="B2675" s="348" t="s">
        <v>2175</v>
      </c>
      <c r="C2675" s="293">
        <v>100.72</v>
      </c>
      <c r="D2675" s="230">
        <f t="shared" si="127"/>
        <v>1.2566602995878196E-2</v>
      </c>
      <c r="E2675" s="293">
        <v>-3.8984893353823935E-3</v>
      </c>
      <c r="F2675" s="266">
        <f t="shared" si="129"/>
        <v>2668</v>
      </c>
      <c r="G2675" s="230">
        <f t="shared" ca="1" si="128"/>
        <v>3.2001468095320118E-2</v>
      </c>
    </row>
    <row r="2676" spans="2:7" x14ac:dyDescent="0.25">
      <c r="B2676" s="348" t="s">
        <v>2176</v>
      </c>
      <c r="C2676" s="293">
        <v>99.47</v>
      </c>
      <c r="D2676" s="230">
        <f t="shared" si="127"/>
        <v>-1.0445682451253435E-2</v>
      </c>
      <c r="E2676" s="293">
        <v>-3.9087947882736618E-3</v>
      </c>
      <c r="F2676" s="266">
        <f t="shared" si="129"/>
        <v>2669</v>
      </c>
      <c r="G2676" s="230">
        <f t="shared" ca="1" si="128"/>
        <v>-2.6715299142640578E-2</v>
      </c>
    </row>
    <row r="2677" spans="2:7" x14ac:dyDescent="0.25">
      <c r="B2677" s="348" t="s">
        <v>2177</v>
      </c>
      <c r="C2677" s="293">
        <v>100.52</v>
      </c>
      <c r="D2677" s="230">
        <f t="shared" si="127"/>
        <v>0</v>
      </c>
      <c r="E2677" s="293">
        <v>-3.9127457693436396E-3</v>
      </c>
      <c r="F2677" s="266">
        <f t="shared" si="129"/>
        <v>2670</v>
      </c>
      <c r="G2677" s="230">
        <f t="shared" ca="1" si="128"/>
        <v>-1.2343116300686352E-2</v>
      </c>
    </row>
    <row r="2678" spans="2:7" x14ac:dyDescent="0.25">
      <c r="B2678" s="348" t="s">
        <v>2178</v>
      </c>
      <c r="C2678" s="293">
        <v>100.52</v>
      </c>
      <c r="D2678" s="230">
        <f t="shared" si="127"/>
        <v>1.075917546505778E-2</v>
      </c>
      <c r="E2678" s="293">
        <v>-3.9174469711446003E-3</v>
      </c>
      <c r="F2678" s="266">
        <f t="shared" si="129"/>
        <v>2671</v>
      </c>
      <c r="G2678" s="230">
        <f t="shared" ca="1" si="128"/>
        <v>2.1130896091721821E-2</v>
      </c>
    </row>
    <row r="2679" spans="2:7" x14ac:dyDescent="0.25">
      <c r="B2679" s="348" t="s">
        <v>2179</v>
      </c>
      <c r="C2679" s="293">
        <v>99.45</v>
      </c>
      <c r="D2679" s="230">
        <f t="shared" si="127"/>
        <v>-3.3072760072158092E-3</v>
      </c>
      <c r="E2679" s="293">
        <v>-3.9229778696133755E-3</v>
      </c>
      <c r="F2679" s="266">
        <f t="shared" si="129"/>
        <v>2672</v>
      </c>
      <c r="G2679" s="230">
        <f t="shared" ca="1" si="128"/>
        <v>3.6734009667639789E-2</v>
      </c>
    </row>
    <row r="2680" spans="2:7" x14ac:dyDescent="0.25">
      <c r="B2680" s="348">
        <v>41979</v>
      </c>
      <c r="C2680" s="293">
        <v>99.78</v>
      </c>
      <c r="D2680" s="230">
        <f t="shared" si="127"/>
        <v>8.4899939357185872E-3</v>
      </c>
      <c r="E2680" s="293">
        <v>-3.9372558901348276E-3</v>
      </c>
      <c r="F2680" s="266">
        <f t="shared" si="129"/>
        <v>2673</v>
      </c>
      <c r="G2680" s="230">
        <f t="shared" ca="1" si="128"/>
        <v>-1.088538733250323E-2</v>
      </c>
    </row>
    <row r="2681" spans="2:7" x14ac:dyDescent="0.25">
      <c r="B2681" s="348">
        <v>41949</v>
      </c>
      <c r="C2681" s="293">
        <v>98.94</v>
      </c>
      <c r="D2681" s="230">
        <f t="shared" si="127"/>
        <v>5.0792360828930683E-3</v>
      </c>
      <c r="E2681" s="293">
        <v>-3.9431358306527553E-3</v>
      </c>
      <c r="F2681" s="266">
        <f t="shared" si="129"/>
        <v>2674</v>
      </c>
      <c r="G2681" s="230">
        <f t="shared" ca="1" si="128"/>
        <v>8.1653957802606454E-4</v>
      </c>
    </row>
    <row r="2682" spans="2:7" x14ac:dyDescent="0.25">
      <c r="B2682" s="348">
        <v>41918</v>
      </c>
      <c r="C2682" s="293">
        <v>98.44</v>
      </c>
      <c r="D2682" s="230">
        <f t="shared" si="127"/>
        <v>2.5951016154246886E-2</v>
      </c>
      <c r="E2682" s="293">
        <v>-3.9609562880180693E-3</v>
      </c>
      <c r="F2682" s="266">
        <f t="shared" si="129"/>
        <v>2675</v>
      </c>
      <c r="G2682" s="230">
        <f t="shared" ca="1" si="128"/>
        <v>-1.2104347150026522E-2</v>
      </c>
    </row>
    <row r="2683" spans="2:7" x14ac:dyDescent="0.25">
      <c r="B2683" s="348">
        <v>41888</v>
      </c>
      <c r="C2683" s="293">
        <v>95.95</v>
      </c>
      <c r="D2683" s="230">
        <f t="shared" si="127"/>
        <v>5.0277574107049361E-3</v>
      </c>
      <c r="E2683" s="293">
        <v>-3.9956803455722945E-3</v>
      </c>
      <c r="F2683" s="266">
        <f t="shared" si="129"/>
        <v>2676</v>
      </c>
      <c r="G2683" s="230">
        <f t="shared" ca="1" si="128"/>
        <v>7.4075795788696927E-3</v>
      </c>
    </row>
    <row r="2684" spans="2:7" x14ac:dyDescent="0.25">
      <c r="B2684" s="348">
        <v>41796</v>
      </c>
      <c r="C2684" s="293">
        <v>95.47</v>
      </c>
      <c r="D2684" s="230">
        <f t="shared" si="127"/>
        <v>1.6395187905887232E-2</v>
      </c>
      <c r="E2684" s="293">
        <v>-4.0033516432361749E-3</v>
      </c>
      <c r="F2684" s="266">
        <f t="shared" si="129"/>
        <v>2677</v>
      </c>
      <c r="G2684" s="230">
        <f t="shared" ca="1" si="128"/>
        <v>6.0798073370393561E-3</v>
      </c>
    </row>
    <row r="2685" spans="2:7" x14ac:dyDescent="0.25">
      <c r="B2685" s="348">
        <v>41765</v>
      </c>
      <c r="C2685" s="293">
        <v>93.93</v>
      </c>
      <c r="D2685" s="230">
        <f t="shared" si="127"/>
        <v>1.8101018859744133E-2</v>
      </c>
      <c r="E2685" s="293">
        <v>-4.0049557726106189E-3</v>
      </c>
      <c r="F2685" s="266">
        <f t="shared" si="129"/>
        <v>2678</v>
      </c>
      <c r="G2685" s="230">
        <f t="shared" ca="1" si="128"/>
        <v>-2.4669418173944503E-2</v>
      </c>
    </row>
    <row r="2686" spans="2:7" x14ac:dyDescent="0.25">
      <c r="B2686" s="348">
        <v>41735</v>
      </c>
      <c r="C2686" s="293">
        <v>92.26</v>
      </c>
      <c r="D2686" s="230">
        <f t="shared" si="127"/>
        <v>-4.3168573278652422E-3</v>
      </c>
      <c r="E2686" s="293">
        <v>-4.0152579803253152E-3</v>
      </c>
      <c r="F2686" s="266">
        <f t="shared" si="129"/>
        <v>2679</v>
      </c>
      <c r="G2686" s="230">
        <f t="shared" ca="1" si="128"/>
        <v>5.6419969438819715E-3</v>
      </c>
    </row>
    <row r="2687" spans="2:7" x14ac:dyDescent="0.25">
      <c r="B2687" s="348">
        <v>41704</v>
      </c>
      <c r="C2687" s="293">
        <v>92.66</v>
      </c>
      <c r="D2687" s="230">
        <f t="shared" si="127"/>
        <v>-9.8311605043812644E-3</v>
      </c>
      <c r="E2687" s="293">
        <v>-4.0284360189573043E-3</v>
      </c>
      <c r="F2687" s="266">
        <f t="shared" si="129"/>
        <v>2680</v>
      </c>
      <c r="G2687" s="230">
        <f t="shared" ca="1" si="128"/>
        <v>1.0120445021345742E-2</v>
      </c>
    </row>
    <row r="2688" spans="2:7" x14ac:dyDescent="0.25">
      <c r="B2688" s="348">
        <v>41676</v>
      </c>
      <c r="C2688" s="293">
        <v>93.58</v>
      </c>
      <c r="D2688" s="230">
        <f t="shared" si="127"/>
        <v>-1.4013275734906738E-2</v>
      </c>
      <c r="E2688" s="293">
        <v>-4.0292493657664297E-3</v>
      </c>
      <c r="F2688" s="266">
        <f t="shared" si="129"/>
        <v>2681</v>
      </c>
      <c r="G2688" s="230">
        <f t="shared" ca="1" si="128"/>
        <v>3.1863435332493369E-4</v>
      </c>
    </row>
    <row r="2689" spans="2:7" x14ac:dyDescent="0.25">
      <c r="B2689" s="348" t="s">
        <v>2180</v>
      </c>
      <c r="C2689" s="293">
        <v>94.91</v>
      </c>
      <c r="D2689" s="230">
        <f t="shared" si="127"/>
        <v>1.2805463664496974E-2</v>
      </c>
      <c r="E2689" s="293">
        <v>-4.0325707638618757E-3</v>
      </c>
      <c r="F2689" s="266">
        <f t="shared" si="129"/>
        <v>2682</v>
      </c>
      <c r="G2689" s="230">
        <f t="shared" ca="1" si="128"/>
        <v>-2.5032987148821392E-2</v>
      </c>
    </row>
    <row r="2690" spans="2:7" x14ac:dyDescent="0.25">
      <c r="B2690" s="348" t="s">
        <v>2181</v>
      </c>
      <c r="C2690" s="293">
        <v>93.71</v>
      </c>
      <c r="D2690" s="230">
        <f t="shared" si="127"/>
        <v>-2.8106202032773364E-2</v>
      </c>
      <c r="E2690" s="293">
        <v>-4.0399239543725818E-3</v>
      </c>
      <c r="F2690" s="266">
        <f t="shared" si="129"/>
        <v>2683</v>
      </c>
      <c r="G2690" s="230">
        <f t="shared" ca="1" si="128"/>
        <v>2.2050677124960442E-2</v>
      </c>
    </row>
    <row r="2691" spans="2:7" x14ac:dyDescent="0.25">
      <c r="B2691" s="348" t="s">
        <v>2182</v>
      </c>
      <c r="C2691" s="293">
        <v>96.42</v>
      </c>
      <c r="D2691" s="230">
        <f t="shared" si="127"/>
        <v>1.1858537097281907E-2</v>
      </c>
      <c r="E2691" s="293">
        <v>-4.0404040404040664E-3</v>
      </c>
      <c r="F2691" s="266">
        <f t="shared" si="129"/>
        <v>2684</v>
      </c>
      <c r="G2691" s="230">
        <f t="shared" ca="1" si="128"/>
        <v>-1.3597594545113957E-2</v>
      </c>
    </row>
    <row r="2692" spans="2:7" x14ac:dyDescent="0.25">
      <c r="B2692" s="348" t="s">
        <v>2183</v>
      </c>
      <c r="C2692" s="293">
        <v>95.29</v>
      </c>
      <c r="D2692" s="230">
        <f t="shared" si="127"/>
        <v>4.3212478920742203E-3</v>
      </c>
      <c r="E2692" s="293">
        <v>-4.0421792618627883E-3</v>
      </c>
      <c r="F2692" s="266">
        <f t="shared" si="129"/>
        <v>2685</v>
      </c>
      <c r="G2692" s="230">
        <f t="shared" ca="1" si="128"/>
        <v>1.4344611063795051E-2</v>
      </c>
    </row>
    <row r="2693" spans="2:7" x14ac:dyDescent="0.25">
      <c r="B2693" s="348" t="s">
        <v>2184</v>
      </c>
      <c r="C2693" s="293">
        <v>94.88</v>
      </c>
      <c r="D2693" s="230">
        <f t="shared" si="127"/>
        <v>3.2651284283848447E-2</v>
      </c>
      <c r="E2693" s="293">
        <v>-4.0505828887571482E-3</v>
      </c>
      <c r="F2693" s="266">
        <f t="shared" si="129"/>
        <v>2686</v>
      </c>
      <c r="G2693" s="230">
        <f t="shared" ca="1" si="128"/>
        <v>-3.7191480825971898E-3</v>
      </c>
    </row>
    <row r="2694" spans="2:7" x14ac:dyDescent="0.25">
      <c r="B2694" s="348" t="s">
        <v>2185</v>
      </c>
      <c r="C2694" s="293">
        <v>91.88</v>
      </c>
      <c r="D2694" s="230">
        <f t="shared" si="127"/>
        <v>1.3456871828810835E-2</v>
      </c>
      <c r="E2694" s="293">
        <v>-4.0517451793994352E-3</v>
      </c>
      <c r="F2694" s="266">
        <f t="shared" si="129"/>
        <v>2687</v>
      </c>
      <c r="G2694" s="230">
        <f t="shared" ca="1" si="128"/>
        <v>-2.0772867449358891E-2</v>
      </c>
    </row>
    <row r="2695" spans="2:7" x14ac:dyDescent="0.25">
      <c r="B2695" s="348" t="s">
        <v>2186</v>
      </c>
      <c r="C2695" s="293">
        <v>90.66</v>
      </c>
      <c r="D2695" s="230">
        <f t="shared" si="127"/>
        <v>-1.9467878001297789E-2</v>
      </c>
      <c r="E2695" s="293">
        <v>-4.0595399188090298E-3</v>
      </c>
      <c r="F2695" s="266">
        <f t="shared" si="129"/>
        <v>2688</v>
      </c>
      <c r="G2695" s="230">
        <f t="shared" ca="1" si="128"/>
        <v>1.5561641931380722E-2</v>
      </c>
    </row>
    <row r="2696" spans="2:7" x14ac:dyDescent="0.25">
      <c r="B2696" s="348" t="s">
        <v>2187</v>
      </c>
      <c r="C2696" s="293">
        <v>92.46</v>
      </c>
      <c r="D2696" s="230">
        <f t="shared" si="127"/>
        <v>-3.1266846361186484E-3</v>
      </c>
      <c r="E2696" s="293">
        <v>-4.0672952486595637E-3</v>
      </c>
      <c r="F2696" s="266">
        <f t="shared" si="129"/>
        <v>2689</v>
      </c>
      <c r="G2696" s="230">
        <f t="shared" ca="1" si="128"/>
        <v>-1.9334590632067786E-2</v>
      </c>
    </row>
    <row r="2697" spans="2:7" x14ac:dyDescent="0.25">
      <c r="B2697" s="348" t="s">
        <v>2188</v>
      </c>
      <c r="C2697" s="293">
        <v>92.75</v>
      </c>
      <c r="D2697" s="230">
        <f t="shared" ref="D2697:D2760" si="130">C2697/C2698-1</f>
        <v>2.6222615622925494E-2</v>
      </c>
      <c r="E2697" s="293">
        <v>-4.0959932783699582E-3</v>
      </c>
      <c r="F2697" s="266">
        <f t="shared" si="129"/>
        <v>2690</v>
      </c>
      <c r="G2697" s="230">
        <f t="shared" ref="G2697:G2760" ca="1" si="131">_xlfn.NORM.INV(RAND(),$M$10,$M$11)</f>
        <v>4.2849730914020764E-2</v>
      </c>
    </row>
    <row r="2698" spans="2:7" x14ac:dyDescent="0.25">
      <c r="B2698" s="348" t="s">
        <v>2189</v>
      </c>
      <c r="C2698" s="293">
        <v>90.38</v>
      </c>
      <c r="D2698" s="230">
        <f t="shared" si="130"/>
        <v>-4.1366143402630562E-2</v>
      </c>
      <c r="E2698" s="293">
        <v>-4.1071978642571727E-3</v>
      </c>
      <c r="F2698" s="266">
        <f t="shared" ref="F2698:F2761" si="132">F2697+1</f>
        <v>2691</v>
      </c>
      <c r="G2698" s="230">
        <f t="shared" ca="1" si="131"/>
        <v>-1.2100499260648875E-2</v>
      </c>
    </row>
    <row r="2699" spans="2:7" x14ac:dyDescent="0.25">
      <c r="B2699" s="348" t="s">
        <v>2190</v>
      </c>
      <c r="C2699" s="293">
        <v>94.28</v>
      </c>
      <c r="D2699" s="230">
        <f t="shared" si="130"/>
        <v>-2.6435357290375938E-2</v>
      </c>
      <c r="E2699" s="293">
        <v>-4.1092719064707017E-3</v>
      </c>
      <c r="F2699" s="266">
        <f t="shared" si="132"/>
        <v>2692</v>
      </c>
      <c r="G2699" s="230">
        <f t="shared" ca="1" si="131"/>
        <v>-1.3156236817032695E-2</v>
      </c>
    </row>
    <row r="2700" spans="2:7" x14ac:dyDescent="0.25">
      <c r="B2700" s="348" t="s">
        <v>2191</v>
      </c>
      <c r="C2700" s="293">
        <v>96.84</v>
      </c>
      <c r="D2700" s="230">
        <f t="shared" si="130"/>
        <v>-1.5353329944077232E-2</v>
      </c>
      <c r="E2700" s="293">
        <v>-4.111090809427953E-3</v>
      </c>
      <c r="F2700" s="266">
        <f t="shared" si="132"/>
        <v>2693</v>
      </c>
      <c r="G2700" s="230">
        <f t="shared" ca="1" si="131"/>
        <v>-4.9182381248960301E-2</v>
      </c>
    </row>
    <row r="2701" spans="2:7" x14ac:dyDescent="0.25">
      <c r="B2701" s="348" t="s">
        <v>2192</v>
      </c>
      <c r="C2701" s="293">
        <v>98.35</v>
      </c>
      <c r="D2701" s="230">
        <f t="shared" si="130"/>
        <v>-8.7683934690586662E-3</v>
      </c>
      <c r="E2701" s="293">
        <v>-4.1188142625218083E-3</v>
      </c>
      <c r="F2701" s="266">
        <f t="shared" si="132"/>
        <v>2694</v>
      </c>
      <c r="G2701" s="230">
        <f t="shared" ca="1" si="131"/>
        <v>6.8501256473122761E-3</v>
      </c>
    </row>
    <row r="2702" spans="2:7" x14ac:dyDescent="0.25">
      <c r="B2702" s="348" t="s">
        <v>2193</v>
      </c>
      <c r="C2702" s="293">
        <v>99.22</v>
      </c>
      <c r="D2702" s="230">
        <f t="shared" si="130"/>
        <v>3.3649338472757639E-2</v>
      </c>
      <c r="E2702" s="293">
        <v>-4.1324503311258587E-3</v>
      </c>
      <c r="F2702" s="266">
        <f t="shared" si="132"/>
        <v>2695</v>
      </c>
      <c r="G2702" s="230">
        <f t="shared" ca="1" si="131"/>
        <v>-2.101634011492063E-2</v>
      </c>
    </row>
    <row r="2703" spans="2:7" x14ac:dyDescent="0.25">
      <c r="B2703" s="348">
        <v>41978</v>
      </c>
      <c r="C2703" s="293">
        <v>95.99</v>
      </c>
      <c r="D2703" s="230">
        <f t="shared" si="130"/>
        <v>-3.9431358306527553E-3</v>
      </c>
      <c r="E2703" s="293">
        <v>-4.1396285522486975E-3</v>
      </c>
      <c r="F2703" s="266">
        <f t="shared" si="132"/>
        <v>2696</v>
      </c>
      <c r="G2703" s="230">
        <f t="shared" ca="1" si="131"/>
        <v>3.707452406167331E-2</v>
      </c>
    </row>
    <row r="2704" spans="2:7" x14ac:dyDescent="0.25">
      <c r="B2704" s="348">
        <v>41887</v>
      </c>
      <c r="C2704" s="293">
        <v>96.37</v>
      </c>
      <c r="D2704" s="230">
        <f t="shared" si="130"/>
        <v>5.9498956158665628E-3</v>
      </c>
      <c r="E2704" s="293">
        <v>-4.1421207658320913E-3</v>
      </c>
      <c r="F2704" s="266">
        <f t="shared" si="132"/>
        <v>2697</v>
      </c>
      <c r="G2704" s="230">
        <f t="shared" ca="1" si="131"/>
        <v>1.3757694060776754E-2</v>
      </c>
    </row>
    <row r="2705" spans="2:7" x14ac:dyDescent="0.25">
      <c r="B2705" s="348">
        <v>41856</v>
      </c>
      <c r="C2705" s="293">
        <v>95.8</v>
      </c>
      <c r="D2705" s="230">
        <f t="shared" si="130"/>
        <v>9.5900516387394941E-3</v>
      </c>
      <c r="E2705" s="293">
        <v>-4.144814752157E-3</v>
      </c>
      <c r="F2705" s="266">
        <f t="shared" si="132"/>
        <v>2698</v>
      </c>
      <c r="G2705" s="230">
        <f t="shared" ca="1" si="131"/>
        <v>2.3879794147597069E-2</v>
      </c>
    </row>
    <row r="2706" spans="2:7" x14ac:dyDescent="0.25">
      <c r="B2706" s="348">
        <v>41825</v>
      </c>
      <c r="C2706" s="293">
        <v>94.89</v>
      </c>
      <c r="D2706" s="230">
        <f t="shared" si="130"/>
        <v>-1.698953693152383E-2</v>
      </c>
      <c r="E2706" s="293">
        <v>-4.1589305607129257E-3</v>
      </c>
      <c r="F2706" s="266">
        <f t="shared" si="132"/>
        <v>2699</v>
      </c>
      <c r="G2706" s="230">
        <f t="shared" ca="1" si="131"/>
        <v>1.8129310594789332E-2</v>
      </c>
    </row>
    <row r="2707" spans="2:7" x14ac:dyDescent="0.25">
      <c r="B2707" s="348">
        <v>41795</v>
      </c>
      <c r="C2707" s="293">
        <v>96.53</v>
      </c>
      <c r="D2707" s="230">
        <f t="shared" si="130"/>
        <v>-1.1368291683736209E-2</v>
      </c>
      <c r="E2707" s="293">
        <v>-4.1666666666666519E-3</v>
      </c>
      <c r="F2707" s="266">
        <f t="shared" si="132"/>
        <v>2700</v>
      </c>
      <c r="G2707" s="230">
        <f t="shared" ca="1" si="131"/>
        <v>2.4162476129316254E-2</v>
      </c>
    </row>
    <row r="2708" spans="2:7" x14ac:dyDescent="0.25">
      <c r="B2708" s="348">
        <v>41764</v>
      </c>
      <c r="C2708" s="293">
        <v>97.64</v>
      </c>
      <c r="D2708" s="230">
        <f t="shared" si="130"/>
        <v>-1.4633161772126368E-2</v>
      </c>
      <c r="E2708" s="293">
        <v>-4.1821561338288848E-3</v>
      </c>
      <c r="F2708" s="266">
        <f t="shared" si="132"/>
        <v>2701</v>
      </c>
      <c r="G2708" s="230">
        <f t="shared" ca="1" si="131"/>
        <v>-5.8697374840334729E-3</v>
      </c>
    </row>
    <row r="2709" spans="2:7" x14ac:dyDescent="0.25">
      <c r="B2709" s="348">
        <v>41675</v>
      </c>
      <c r="C2709" s="293">
        <v>99.09</v>
      </c>
      <c r="D2709" s="230">
        <f t="shared" si="130"/>
        <v>1.1741882785378799E-2</v>
      </c>
      <c r="E2709" s="293">
        <v>-4.1852678571429047E-3</v>
      </c>
      <c r="F2709" s="266">
        <f t="shared" si="132"/>
        <v>2702</v>
      </c>
      <c r="G2709" s="230">
        <f t="shared" ca="1" si="131"/>
        <v>1.0882713463040141E-2</v>
      </c>
    </row>
    <row r="2710" spans="2:7" x14ac:dyDescent="0.25">
      <c r="B2710" s="348" t="s">
        <v>2194</v>
      </c>
      <c r="C2710" s="293">
        <v>97.94</v>
      </c>
      <c r="D2710" s="230">
        <f t="shared" si="130"/>
        <v>-4.6747967479675578E-3</v>
      </c>
      <c r="E2710" s="293">
        <v>-4.1913439635534733E-3</v>
      </c>
      <c r="F2710" s="266">
        <f t="shared" si="132"/>
        <v>2703</v>
      </c>
      <c r="G2710" s="230">
        <f t="shared" ca="1" si="131"/>
        <v>1.5168297411498727E-3</v>
      </c>
    </row>
    <row r="2711" spans="2:7" x14ac:dyDescent="0.25">
      <c r="B2711" s="348" t="s">
        <v>2195</v>
      </c>
      <c r="C2711" s="293">
        <v>98.4</v>
      </c>
      <c r="D2711" s="230">
        <f t="shared" si="130"/>
        <v>-9.0634441087612538E-3</v>
      </c>
      <c r="E2711" s="293">
        <v>-4.2130604875111333E-3</v>
      </c>
      <c r="F2711" s="266">
        <f t="shared" si="132"/>
        <v>2704</v>
      </c>
      <c r="G2711" s="230">
        <f t="shared" ca="1" si="131"/>
        <v>-7.0567058834848963E-3</v>
      </c>
    </row>
    <row r="2712" spans="2:7" x14ac:dyDescent="0.25">
      <c r="B2712" s="348" t="s">
        <v>2196</v>
      </c>
      <c r="C2712" s="293">
        <v>99.3</v>
      </c>
      <c r="D2712" s="230">
        <f t="shared" si="130"/>
        <v>1.9926047658175738E-2</v>
      </c>
      <c r="E2712" s="293">
        <v>-4.2225534028811351E-3</v>
      </c>
      <c r="F2712" s="266">
        <f t="shared" si="132"/>
        <v>2705</v>
      </c>
      <c r="G2712" s="230">
        <f t="shared" ca="1" si="131"/>
        <v>5.9325105570164141E-3</v>
      </c>
    </row>
    <row r="2713" spans="2:7" x14ac:dyDescent="0.25">
      <c r="B2713" s="348" t="s">
        <v>2197</v>
      </c>
      <c r="C2713" s="293">
        <v>97.36</v>
      </c>
      <c r="D2713" s="230">
        <f t="shared" si="130"/>
        <v>-1.0367960967676337E-2</v>
      </c>
      <c r="E2713" s="293">
        <v>-4.229607250755274E-3</v>
      </c>
      <c r="F2713" s="266">
        <f t="shared" si="132"/>
        <v>2706</v>
      </c>
      <c r="G2713" s="230">
        <f t="shared" ca="1" si="131"/>
        <v>1.2293602805454173E-2</v>
      </c>
    </row>
    <row r="2714" spans="2:7" x14ac:dyDescent="0.25">
      <c r="B2714" s="348" t="s">
        <v>2198</v>
      </c>
      <c r="C2714" s="293">
        <v>98.38</v>
      </c>
      <c r="D2714" s="230">
        <f t="shared" si="130"/>
        <v>-1.105749899477293E-2</v>
      </c>
      <c r="E2714" s="293">
        <v>-4.24292318409214E-3</v>
      </c>
      <c r="F2714" s="266">
        <f t="shared" si="132"/>
        <v>2707</v>
      </c>
      <c r="G2714" s="230">
        <f t="shared" ca="1" si="131"/>
        <v>1.4556662540333727E-2</v>
      </c>
    </row>
    <row r="2715" spans="2:7" x14ac:dyDescent="0.25">
      <c r="B2715" s="348" t="s">
        <v>2199</v>
      </c>
      <c r="C2715" s="293">
        <v>99.48</v>
      </c>
      <c r="D2715" s="230">
        <f t="shared" si="130"/>
        <v>-2.8610487257103689E-2</v>
      </c>
      <c r="E2715" s="293">
        <v>-4.2462845010614592E-3</v>
      </c>
      <c r="F2715" s="266">
        <f t="shared" si="132"/>
        <v>2708</v>
      </c>
      <c r="G2715" s="230">
        <f t="shared" ca="1" si="131"/>
        <v>1.5312060845775903E-2</v>
      </c>
    </row>
    <row r="2716" spans="2:7" x14ac:dyDescent="0.25">
      <c r="B2716" s="348" t="s">
        <v>2200</v>
      </c>
      <c r="C2716" s="293">
        <v>102.41</v>
      </c>
      <c r="D2716" s="230">
        <f t="shared" si="130"/>
        <v>-6.7728720983158852E-2</v>
      </c>
      <c r="E2716" s="293">
        <v>-4.2540707055890303E-3</v>
      </c>
      <c r="F2716" s="266">
        <f t="shared" si="132"/>
        <v>2709</v>
      </c>
      <c r="G2716" s="230">
        <f t="shared" ca="1" si="131"/>
        <v>1.7639583242405207E-2</v>
      </c>
    </row>
    <row r="2717" spans="2:7" x14ac:dyDescent="0.25">
      <c r="B2717" s="348" t="s">
        <v>2201</v>
      </c>
      <c r="C2717" s="293">
        <v>109.85</v>
      </c>
      <c r="D2717" s="230">
        <f t="shared" si="130"/>
        <v>2.4051458935396619E-2</v>
      </c>
      <c r="E2717" s="293">
        <v>-4.2543134010872841E-3</v>
      </c>
      <c r="F2717" s="266">
        <f t="shared" si="132"/>
        <v>2710</v>
      </c>
      <c r="G2717" s="230">
        <f t="shared" ca="1" si="131"/>
        <v>-6.6146800205239679E-4</v>
      </c>
    </row>
    <row r="2718" spans="2:7" x14ac:dyDescent="0.25">
      <c r="B2718" s="348" t="s">
        <v>2202</v>
      </c>
      <c r="C2718" s="293">
        <v>107.27</v>
      </c>
      <c r="D2718" s="230">
        <f t="shared" si="130"/>
        <v>-2.79111916628908E-2</v>
      </c>
      <c r="E2718" s="293">
        <v>-4.2587384491763469E-3</v>
      </c>
      <c r="F2718" s="266">
        <f t="shared" si="132"/>
        <v>2711</v>
      </c>
      <c r="G2718" s="230">
        <f t="shared" ca="1" si="131"/>
        <v>1.1716013535749996E-2</v>
      </c>
    </row>
    <row r="2719" spans="2:7" x14ac:dyDescent="0.25">
      <c r="B2719" s="348" t="s">
        <v>2203</v>
      </c>
      <c r="C2719" s="293">
        <v>110.35</v>
      </c>
      <c r="D2719" s="230">
        <f t="shared" si="130"/>
        <v>3.5955689072474595E-2</v>
      </c>
      <c r="E2719" s="293">
        <v>-4.2616451932607768E-3</v>
      </c>
      <c r="F2719" s="266">
        <f t="shared" si="132"/>
        <v>2712</v>
      </c>
      <c r="G2719" s="230">
        <f t="shared" ca="1" si="131"/>
        <v>1.8314881913353787E-2</v>
      </c>
    </row>
    <row r="2720" spans="2:7" x14ac:dyDescent="0.25">
      <c r="B2720" s="348">
        <v>41947</v>
      </c>
      <c r="C2720" s="293">
        <v>106.52</v>
      </c>
      <c r="D2720" s="230">
        <f t="shared" si="130"/>
        <v>1.2355065576886481E-2</v>
      </c>
      <c r="E2720" s="293">
        <v>-4.2627091885065749E-3</v>
      </c>
      <c r="F2720" s="266">
        <f t="shared" si="132"/>
        <v>2713</v>
      </c>
      <c r="G2720" s="230">
        <f t="shared" ca="1" si="131"/>
        <v>1.6859679913615443E-2</v>
      </c>
    </row>
    <row r="2721" spans="2:7" x14ac:dyDescent="0.25">
      <c r="B2721" s="348">
        <v>41916</v>
      </c>
      <c r="C2721" s="293">
        <v>105.22</v>
      </c>
      <c r="D2721" s="230">
        <f t="shared" si="130"/>
        <v>1.2120046171604448E-2</v>
      </c>
      <c r="E2721" s="293">
        <v>-4.2788824565819228E-3</v>
      </c>
      <c r="F2721" s="266">
        <f t="shared" si="132"/>
        <v>2714</v>
      </c>
      <c r="G2721" s="230">
        <f t="shared" ca="1" si="131"/>
        <v>-1.3673517219826123E-3</v>
      </c>
    </row>
    <row r="2722" spans="2:7" x14ac:dyDescent="0.25">
      <c r="B2722" s="348">
        <v>41886</v>
      </c>
      <c r="C2722" s="293">
        <v>103.96</v>
      </c>
      <c r="D2722" s="230">
        <f t="shared" si="130"/>
        <v>-4.405286343612369E-3</v>
      </c>
      <c r="E2722" s="293">
        <v>-4.2810375220349028E-3</v>
      </c>
      <c r="F2722" s="266">
        <f t="shared" si="132"/>
        <v>2715</v>
      </c>
      <c r="G2722" s="230">
        <f t="shared" ca="1" si="131"/>
        <v>-3.5741206661278361E-3</v>
      </c>
    </row>
    <row r="2723" spans="2:7" x14ac:dyDescent="0.25">
      <c r="B2723" s="348">
        <v>41824</v>
      </c>
      <c r="C2723" s="293">
        <v>104.42</v>
      </c>
      <c r="D2723" s="230">
        <f t="shared" si="130"/>
        <v>6.3608326908248802E-3</v>
      </c>
      <c r="E2723" s="293">
        <v>-4.2922459643557342E-3</v>
      </c>
      <c r="F2723" s="266">
        <f t="shared" si="132"/>
        <v>2716</v>
      </c>
      <c r="G2723" s="230">
        <f t="shared" ca="1" si="131"/>
        <v>-1.0309062505514907E-2</v>
      </c>
    </row>
    <row r="2724" spans="2:7" x14ac:dyDescent="0.25">
      <c r="B2724" s="348">
        <v>41733</v>
      </c>
      <c r="C2724" s="293">
        <v>103.76</v>
      </c>
      <c r="D2724" s="230">
        <f t="shared" si="130"/>
        <v>-1.3500665525765343E-2</v>
      </c>
      <c r="E2724" s="293">
        <v>-4.2957962565204344E-3</v>
      </c>
      <c r="F2724" s="266">
        <f t="shared" si="132"/>
        <v>2717</v>
      </c>
      <c r="G2724" s="230">
        <f t="shared" ca="1" si="131"/>
        <v>6.5280916335263865E-3</v>
      </c>
    </row>
    <row r="2725" spans="2:7" x14ac:dyDescent="0.25">
      <c r="B2725" s="348">
        <v>41702</v>
      </c>
      <c r="C2725" s="293">
        <v>105.18</v>
      </c>
      <c r="D2725" s="230">
        <f t="shared" si="130"/>
        <v>-8.7644896805201267E-3</v>
      </c>
      <c r="E2725" s="293">
        <v>-4.296133479868236E-3</v>
      </c>
      <c r="F2725" s="266">
        <f t="shared" si="132"/>
        <v>2718</v>
      </c>
      <c r="G2725" s="230">
        <f t="shared" ca="1" si="131"/>
        <v>-1.0589962380531273E-2</v>
      </c>
    </row>
    <row r="2726" spans="2:7" x14ac:dyDescent="0.25">
      <c r="B2726" s="348">
        <v>41674</v>
      </c>
      <c r="C2726" s="293">
        <v>106.11</v>
      </c>
      <c r="D2726" s="230">
        <f t="shared" si="130"/>
        <v>8.6501901140683124E-3</v>
      </c>
      <c r="E2726" s="293">
        <v>-4.2964554242749253E-3</v>
      </c>
      <c r="F2726" s="266">
        <f t="shared" si="132"/>
        <v>2719</v>
      </c>
      <c r="G2726" s="230">
        <f t="shared" ca="1" si="131"/>
        <v>1.2647540868158502E-2</v>
      </c>
    </row>
    <row r="2727" spans="2:7" x14ac:dyDescent="0.25">
      <c r="B2727" s="348">
        <v>41643</v>
      </c>
      <c r="C2727" s="293">
        <v>105.2</v>
      </c>
      <c r="D2727" s="230">
        <f t="shared" si="130"/>
        <v>3.2891507118311347E-2</v>
      </c>
      <c r="E2727" s="293">
        <v>-4.2989417989418577E-3</v>
      </c>
      <c r="F2727" s="266">
        <f t="shared" si="132"/>
        <v>2720</v>
      </c>
      <c r="G2727" s="230">
        <f t="shared" ca="1" si="131"/>
        <v>1.5684569753426726E-2</v>
      </c>
    </row>
    <row r="2728" spans="2:7" x14ac:dyDescent="0.25">
      <c r="B2728" s="348" t="s">
        <v>2204</v>
      </c>
      <c r="C2728" s="293">
        <v>101.85</v>
      </c>
      <c r="D2728" s="230">
        <f t="shared" si="130"/>
        <v>-1.6037097864940675E-2</v>
      </c>
      <c r="E2728" s="293">
        <v>-4.3168573278652422E-3</v>
      </c>
      <c r="F2728" s="266">
        <f t="shared" si="132"/>
        <v>2721</v>
      </c>
      <c r="G2728" s="230">
        <f t="shared" ca="1" si="131"/>
        <v>-1.9452377926789804E-2</v>
      </c>
    </row>
    <row r="2729" spans="2:7" x14ac:dyDescent="0.25">
      <c r="B2729" s="348" t="s">
        <v>2205</v>
      </c>
      <c r="C2729" s="293">
        <v>103.51</v>
      </c>
      <c r="D2729" s="230">
        <f t="shared" si="130"/>
        <v>-2.4094063222821482E-3</v>
      </c>
      <c r="E2729" s="293">
        <v>-4.3193485572666779E-3</v>
      </c>
      <c r="F2729" s="266">
        <f t="shared" si="132"/>
        <v>2722</v>
      </c>
      <c r="G2729" s="230">
        <f t="shared" ca="1" si="131"/>
        <v>-2.9788023922747084E-2</v>
      </c>
    </row>
    <row r="2730" spans="2:7" x14ac:dyDescent="0.25">
      <c r="B2730" s="348" t="s">
        <v>2206</v>
      </c>
      <c r="C2730" s="293">
        <v>103.76</v>
      </c>
      <c r="D2730" s="230">
        <f t="shared" si="130"/>
        <v>1.4370906246945037E-2</v>
      </c>
      <c r="E2730" s="293">
        <v>-4.3376710043376843E-3</v>
      </c>
      <c r="F2730" s="266">
        <f t="shared" si="132"/>
        <v>2723</v>
      </c>
      <c r="G2730" s="230">
        <f t="shared" ca="1" si="131"/>
        <v>-1.6369417394076928E-2</v>
      </c>
    </row>
    <row r="2731" spans="2:7" x14ac:dyDescent="0.25">
      <c r="B2731" s="348" t="s">
        <v>2207</v>
      </c>
      <c r="C2731" s="293">
        <v>102.29</v>
      </c>
      <c r="D2731" s="230">
        <f t="shared" si="130"/>
        <v>-5.3481135744846142E-3</v>
      </c>
      <c r="E2731" s="293">
        <v>-4.338754015831503E-3</v>
      </c>
      <c r="F2731" s="266">
        <f t="shared" si="132"/>
        <v>2724</v>
      </c>
      <c r="G2731" s="230">
        <f t="shared" ca="1" si="131"/>
        <v>-1.3257642660142418E-2</v>
      </c>
    </row>
    <row r="2732" spans="2:7" x14ac:dyDescent="0.25">
      <c r="B2732" s="348" t="s">
        <v>2208</v>
      </c>
      <c r="C2732" s="293">
        <v>102.84</v>
      </c>
      <c r="D2732" s="230">
        <f t="shared" si="130"/>
        <v>-2.5490381881929314E-2</v>
      </c>
      <c r="E2732" s="293">
        <v>-4.3394406943104702E-3</v>
      </c>
      <c r="F2732" s="266">
        <f t="shared" si="132"/>
        <v>2725</v>
      </c>
      <c r="G2732" s="230">
        <f t="shared" ca="1" si="131"/>
        <v>-1.3376262983909648E-2</v>
      </c>
    </row>
    <row r="2733" spans="2:7" x14ac:dyDescent="0.25">
      <c r="B2733" s="348" t="s">
        <v>2209</v>
      </c>
      <c r="C2733" s="293">
        <v>105.53</v>
      </c>
      <c r="D2733" s="230">
        <f t="shared" si="130"/>
        <v>-1.1983896638891545E-2</v>
      </c>
      <c r="E2733" s="293">
        <v>-4.3527325487667801E-3</v>
      </c>
      <c r="F2733" s="266">
        <f t="shared" si="132"/>
        <v>2726</v>
      </c>
      <c r="G2733" s="230">
        <f t="shared" ca="1" si="131"/>
        <v>1.7371495241724204E-2</v>
      </c>
    </row>
    <row r="2734" spans="2:7" x14ac:dyDescent="0.25">
      <c r="B2734" s="348" t="s">
        <v>2210</v>
      </c>
      <c r="C2734" s="293">
        <v>106.81</v>
      </c>
      <c r="D2734" s="230">
        <f t="shared" si="130"/>
        <v>2.5342594330768353E-3</v>
      </c>
      <c r="E2734" s="293">
        <v>-4.3531749787073526E-3</v>
      </c>
      <c r="F2734" s="266">
        <f t="shared" si="132"/>
        <v>2727</v>
      </c>
      <c r="G2734" s="230">
        <f t="shared" ca="1" si="131"/>
        <v>4.1009009238697925E-3</v>
      </c>
    </row>
    <row r="2735" spans="2:7" x14ac:dyDescent="0.25">
      <c r="B2735" s="348" t="s">
        <v>2211</v>
      </c>
      <c r="C2735" s="293">
        <v>106.54</v>
      </c>
      <c r="D2735" s="230">
        <f t="shared" si="130"/>
        <v>2.8676257603553301E-2</v>
      </c>
      <c r="E2735" s="293">
        <v>-4.3546134253552582E-3</v>
      </c>
      <c r="F2735" s="266">
        <f t="shared" si="132"/>
        <v>2728</v>
      </c>
      <c r="G2735" s="230">
        <f t="shared" ca="1" si="131"/>
        <v>-2.6661683462884563E-2</v>
      </c>
    </row>
    <row r="2736" spans="2:7" x14ac:dyDescent="0.25">
      <c r="B2736" s="348" t="s">
        <v>2212</v>
      </c>
      <c r="C2736" s="293">
        <v>103.57</v>
      </c>
      <c r="D2736" s="230">
        <f t="shared" si="130"/>
        <v>1.3305938753546576E-2</v>
      </c>
      <c r="E2736" s="293">
        <v>-4.3592770865498176E-3</v>
      </c>
      <c r="F2736" s="266">
        <f t="shared" si="132"/>
        <v>2729</v>
      </c>
      <c r="G2736" s="230">
        <f t="shared" ca="1" si="131"/>
        <v>1.908137362739705E-2</v>
      </c>
    </row>
    <row r="2737" spans="2:7" x14ac:dyDescent="0.25">
      <c r="B2737" s="348" t="s">
        <v>2213</v>
      </c>
      <c r="C2737" s="293">
        <v>102.21</v>
      </c>
      <c r="D2737" s="230">
        <f t="shared" si="130"/>
        <v>8.6844962005327986E-3</v>
      </c>
      <c r="E2737" s="293">
        <v>-4.3602670663579479E-3</v>
      </c>
      <c r="F2737" s="266">
        <f t="shared" si="132"/>
        <v>2730</v>
      </c>
      <c r="G2737" s="230">
        <f t="shared" ca="1" si="131"/>
        <v>1.669689320005821E-2</v>
      </c>
    </row>
    <row r="2738" spans="2:7" x14ac:dyDescent="0.25">
      <c r="B2738" s="348" t="s">
        <v>2214</v>
      </c>
      <c r="C2738" s="293">
        <v>101.33</v>
      </c>
      <c r="D2738" s="230">
        <f t="shared" si="130"/>
        <v>-1.3051524301159079E-2</v>
      </c>
      <c r="E2738" s="293">
        <v>-4.37232802176446E-3</v>
      </c>
      <c r="F2738" s="266">
        <f t="shared" si="132"/>
        <v>2731</v>
      </c>
      <c r="G2738" s="230">
        <f t="shared" ca="1" si="131"/>
        <v>5.9995188699940357E-3</v>
      </c>
    </row>
    <row r="2739" spans="2:7" x14ac:dyDescent="0.25">
      <c r="B2739" s="348" t="s">
        <v>2215</v>
      </c>
      <c r="C2739" s="293">
        <v>102.67</v>
      </c>
      <c r="D2739" s="230">
        <f t="shared" si="130"/>
        <v>-2.8390271600264971E-2</v>
      </c>
      <c r="E2739" s="293">
        <v>-4.3740199719403128E-3</v>
      </c>
      <c r="F2739" s="266">
        <f t="shared" si="132"/>
        <v>2732</v>
      </c>
      <c r="G2739" s="230">
        <f t="shared" ca="1" si="131"/>
        <v>8.1426193144737147E-3</v>
      </c>
    </row>
    <row r="2740" spans="2:7" x14ac:dyDescent="0.25">
      <c r="B2740" s="348" t="s">
        <v>2216</v>
      </c>
      <c r="C2740" s="293">
        <v>105.67</v>
      </c>
      <c r="D2740" s="230">
        <f t="shared" si="130"/>
        <v>-5.6459960478026927E-3</v>
      </c>
      <c r="E2740" s="293">
        <v>-4.3983110485573684E-3</v>
      </c>
      <c r="F2740" s="266">
        <f t="shared" si="132"/>
        <v>2733</v>
      </c>
      <c r="G2740" s="230">
        <f t="shared" ca="1" si="131"/>
        <v>-8.1516513267319325E-3</v>
      </c>
    </row>
    <row r="2741" spans="2:7" x14ac:dyDescent="0.25">
      <c r="B2741" s="348">
        <v>41976</v>
      </c>
      <c r="C2741" s="293">
        <v>106.27</v>
      </c>
      <c r="D2741" s="230">
        <f t="shared" si="130"/>
        <v>1.2384490806897075E-2</v>
      </c>
      <c r="E2741" s="293">
        <v>-4.405286343612369E-3</v>
      </c>
      <c r="F2741" s="266">
        <f t="shared" si="132"/>
        <v>2734</v>
      </c>
      <c r="G2741" s="230">
        <f t="shared" ca="1" si="131"/>
        <v>-1.1729924609692013E-2</v>
      </c>
    </row>
    <row r="2742" spans="2:7" x14ac:dyDescent="0.25">
      <c r="B2742" s="348">
        <v>41946</v>
      </c>
      <c r="C2742" s="293">
        <v>104.97</v>
      </c>
      <c r="D2742" s="230">
        <f t="shared" si="130"/>
        <v>4.6898928024501352E-3</v>
      </c>
      <c r="E2742" s="293">
        <v>-4.4114121313834076E-3</v>
      </c>
      <c r="F2742" s="266">
        <f t="shared" si="132"/>
        <v>2735</v>
      </c>
      <c r="G2742" s="230">
        <f t="shared" ca="1" si="131"/>
        <v>2.6416538699797869E-3</v>
      </c>
    </row>
    <row r="2743" spans="2:7" x14ac:dyDescent="0.25">
      <c r="B2743" s="348">
        <v>41915</v>
      </c>
      <c r="C2743" s="293">
        <v>104.48</v>
      </c>
      <c r="D2743" s="230">
        <f t="shared" si="130"/>
        <v>-1.4339622641509342E-2</v>
      </c>
      <c r="E2743" s="293">
        <v>-4.4150110375276164E-3</v>
      </c>
      <c r="F2743" s="266">
        <f t="shared" si="132"/>
        <v>2736</v>
      </c>
      <c r="G2743" s="230">
        <f t="shared" ca="1" si="131"/>
        <v>-1.2746366234467269E-2</v>
      </c>
    </row>
    <row r="2744" spans="2:7" x14ac:dyDescent="0.25">
      <c r="B2744" s="348">
        <v>41823</v>
      </c>
      <c r="C2744" s="293">
        <v>106</v>
      </c>
      <c r="D2744" s="230">
        <f t="shared" si="130"/>
        <v>-3.3375889111800117E-2</v>
      </c>
      <c r="E2744" s="293">
        <v>-4.4229995979091496E-3</v>
      </c>
      <c r="F2744" s="266">
        <f t="shared" si="132"/>
        <v>2737</v>
      </c>
      <c r="G2744" s="230">
        <f t="shared" ca="1" si="131"/>
        <v>-2.932959921892575E-2</v>
      </c>
    </row>
    <row r="2745" spans="2:7" x14ac:dyDescent="0.25">
      <c r="B2745" s="348">
        <v>41793</v>
      </c>
      <c r="C2745" s="293">
        <v>109.66</v>
      </c>
      <c r="D2745" s="230">
        <f t="shared" si="130"/>
        <v>-9.5736994219652871E-3</v>
      </c>
      <c r="E2745" s="293">
        <v>-4.4247787610618428E-3</v>
      </c>
      <c r="F2745" s="266">
        <f t="shared" si="132"/>
        <v>2738</v>
      </c>
      <c r="G2745" s="230">
        <f t="shared" ca="1" si="131"/>
        <v>2.0960309036024874E-2</v>
      </c>
    </row>
    <row r="2746" spans="2:7" x14ac:dyDescent="0.25">
      <c r="B2746" s="348">
        <v>41762</v>
      </c>
      <c r="C2746" s="293">
        <v>110.72</v>
      </c>
      <c r="D2746" s="230">
        <f t="shared" si="130"/>
        <v>3.8988122223229116E-3</v>
      </c>
      <c r="E2746" s="293">
        <v>-4.4718909710391719E-3</v>
      </c>
      <c r="F2746" s="266">
        <f t="shared" si="132"/>
        <v>2739</v>
      </c>
      <c r="G2746" s="230">
        <f t="shared" ca="1" si="131"/>
        <v>2.3255415470910999E-2</v>
      </c>
    </row>
    <row r="2747" spans="2:7" x14ac:dyDescent="0.25">
      <c r="B2747" s="348">
        <v>41732</v>
      </c>
      <c r="C2747" s="293">
        <v>110.29</v>
      </c>
      <c r="D2747" s="230">
        <f t="shared" si="130"/>
        <v>3.9140724558530682E-3</v>
      </c>
      <c r="E2747" s="293">
        <v>-4.4740973312402676E-3</v>
      </c>
      <c r="F2747" s="266">
        <f t="shared" si="132"/>
        <v>2740</v>
      </c>
      <c r="G2747" s="230">
        <f t="shared" ca="1" si="131"/>
        <v>3.5747560004656107E-2</v>
      </c>
    </row>
    <row r="2748" spans="2:7" x14ac:dyDescent="0.25">
      <c r="B2748" s="348">
        <v>41701</v>
      </c>
      <c r="C2748" s="293">
        <v>109.86</v>
      </c>
      <c r="D2748" s="230">
        <f t="shared" si="130"/>
        <v>-1.893195213430976E-2</v>
      </c>
      <c r="E2748" s="293">
        <v>-4.5074758135443815E-3</v>
      </c>
      <c r="F2748" s="266">
        <f t="shared" si="132"/>
        <v>2741</v>
      </c>
      <c r="G2748" s="230">
        <f t="shared" ca="1" si="131"/>
        <v>2.5968008345694807E-2</v>
      </c>
    </row>
    <row r="2749" spans="2:7" x14ac:dyDescent="0.25">
      <c r="B2749" s="348" t="s">
        <v>2217</v>
      </c>
      <c r="C2749" s="293">
        <v>111.98</v>
      </c>
      <c r="D2749" s="230">
        <f t="shared" si="130"/>
        <v>-9.6400459892100887E-3</v>
      </c>
      <c r="E2749" s="293">
        <v>-4.5136365375052501E-3</v>
      </c>
      <c r="F2749" s="266">
        <f t="shared" si="132"/>
        <v>2742</v>
      </c>
      <c r="G2749" s="230">
        <f t="shared" ca="1" si="131"/>
        <v>1.4093074810133775E-2</v>
      </c>
    </row>
    <row r="2750" spans="2:7" x14ac:dyDescent="0.25">
      <c r="B2750" s="348" t="s">
        <v>2218</v>
      </c>
      <c r="C2750" s="293">
        <v>113.07</v>
      </c>
      <c r="D2750" s="230">
        <f t="shared" si="130"/>
        <v>1.1359570661896301E-2</v>
      </c>
      <c r="E2750" s="293">
        <v>-4.5399515738497875E-3</v>
      </c>
      <c r="F2750" s="266">
        <f t="shared" si="132"/>
        <v>2743</v>
      </c>
      <c r="G2750" s="230">
        <f t="shared" ca="1" si="131"/>
        <v>1.3051141164648742E-3</v>
      </c>
    </row>
    <row r="2751" spans="2:7" x14ac:dyDescent="0.25">
      <c r="B2751" s="348" t="s">
        <v>2219</v>
      </c>
      <c r="C2751" s="293">
        <v>111.8</v>
      </c>
      <c r="D2751" s="230">
        <f t="shared" si="130"/>
        <v>3.2222324808420133E-2</v>
      </c>
      <c r="E2751" s="293">
        <v>-4.5472518782126992E-3</v>
      </c>
      <c r="F2751" s="266">
        <f t="shared" si="132"/>
        <v>2744</v>
      </c>
      <c r="G2751" s="230">
        <f t="shared" ca="1" si="131"/>
        <v>1.0832619322831923E-2</v>
      </c>
    </row>
    <row r="2752" spans="2:7" x14ac:dyDescent="0.25">
      <c r="B2752" s="348" t="s">
        <v>2220</v>
      </c>
      <c r="C2752" s="293">
        <v>108.31</v>
      </c>
      <c r="D2752" s="230">
        <f t="shared" si="130"/>
        <v>1.0637305216012027E-2</v>
      </c>
      <c r="E2752" s="293">
        <v>-4.5523520485586388E-3</v>
      </c>
      <c r="F2752" s="266">
        <f t="shared" si="132"/>
        <v>2745</v>
      </c>
      <c r="G2752" s="230">
        <f t="shared" ca="1" si="131"/>
        <v>-2.5341114821337198E-2</v>
      </c>
    </row>
    <row r="2753" spans="2:7" x14ac:dyDescent="0.25">
      <c r="B2753" s="348" t="s">
        <v>2221</v>
      </c>
      <c r="C2753" s="293">
        <v>107.17</v>
      </c>
      <c r="D2753" s="230">
        <f t="shared" si="130"/>
        <v>1.1323959611210688E-2</v>
      </c>
      <c r="E2753" s="293">
        <v>-4.5558086560364419E-3</v>
      </c>
      <c r="F2753" s="266">
        <f t="shared" si="132"/>
        <v>2746</v>
      </c>
      <c r="G2753" s="230">
        <f t="shared" ca="1" si="131"/>
        <v>-3.0477021483990278E-2</v>
      </c>
    </row>
    <row r="2754" spans="2:7" x14ac:dyDescent="0.25">
      <c r="B2754" s="348" t="s">
        <v>2222</v>
      </c>
      <c r="C2754" s="293">
        <v>105.97</v>
      </c>
      <c r="D2754" s="230">
        <f t="shared" si="130"/>
        <v>-6.6012825348926718E-4</v>
      </c>
      <c r="E2754" s="293">
        <v>-4.5590040329650527E-3</v>
      </c>
      <c r="F2754" s="266">
        <f t="shared" si="132"/>
        <v>2747</v>
      </c>
      <c r="G2754" s="230">
        <f t="shared" ca="1" si="131"/>
        <v>9.277056237168662E-3</v>
      </c>
    </row>
    <row r="2755" spans="2:7" x14ac:dyDescent="0.25">
      <c r="B2755" s="348" t="s">
        <v>2223</v>
      </c>
      <c r="C2755" s="293">
        <v>106.04</v>
      </c>
      <c r="D2755" s="230">
        <f t="shared" si="130"/>
        <v>1.5222594542843471E-2</v>
      </c>
      <c r="E2755" s="293">
        <v>-4.5782463928967232E-3</v>
      </c>
      <c r="F2755" s="266">
        <f t="shared" si="132"/>
        <v>2748</v>
      </c>
      <c r="G2755" s="230">
        <f t="shared" ca="1" si="131"/>
        <v>-2.7681848665319243E-3</v>
      </c>
    </row>
    <row r="2756" spans="2:7" x14ac:dyDescent="0.25">
      <c r="B2756" s="348" t="s">
        <v>2224</v>
      </c>
      <c r="C2756" s="293">
        <v>104.45</v>
      </c>
      <c r="D2756" s="230">
        <f t="shared" si="130"/>
        <v>-7.0348892480273095E-3</v>
      </c>
      <c r="E2756" s="293">
        <v>-4.5929680076021162E-3</v>
      </c>
      <c r="F2756" s="266">
        <f t="shared" si="132"/>
        <v>2749</v>
      </c>
      <c r="G2756" s="230">
        <f t="shared" ca="1" si="131"/>
        <v>-4.5616920035740109E-3</v>
      </c>
    </row>
    <row r="2757" spans="2:7" x14ac:dyDescent="0.25">
      <c r="B2757" s="348" t="s">
        <v>2225</v>
      </c>
      <c r="C2757" s="293">
        <v>105.19</v>
      </c>
      <c r="D2757" s="230">
        <f t="shared" si="130"/>
        <v>-4.9191183426354756E-3</v>
      </c>
      <c r="E2757" s="293">
        <v>-4.5969463142340183E-3</v>
      </c>
      <c r="F2757" s="266">
        <f t="shared" si="132"/>
        <v>2750</v>
      </c>
      <c r="G2757" s="230">
        <f t="shared" ca="1" si="131"/>
        <v>4.4142675178385406E-3</v>
      </c>
    </row>
    <row r="2758" spans="2:7" x14ac:dyDescent="0.25">
      <c r="B2758" s="348" t="s">
        <v>2226</v>
      </c>
      <c r="C2758" s="293">
        <v>105.71</v>
      </c>
      <c r="D2758" s="230">
        <f t="shared" si="130"/>
        <v>1.5465898174831905E-2</v>
      </c>
      <c r="E2758" s="293">
        <v>-4.6000407083248707E-3</v>
      </c>
      <c r="F2758" s="266">
        <f t="shared" si="132"/>
        <v>2751</v>
      </c>
      <c r="G2758" s="230">
        <f t="shared" ca="1" si="131"/>
        <v>-2.2160504131953335E-2</v>
      </c>
    </row>
    <row r="2759" spans="2:7" x14ac:dyDescent="0.25">
      <c r="B2759" s="348" t="s">
        <v>2227</v>
      </c>
      <c r="C2759" s="293">
        <v>104.1</v>
      </c>
      <c r="D2759" s="230">
        <f t="shared" si="130"/>
        <v>-1.2895884695619197E-2</v>
      </c>
      <c r="E2759" s="293">
        <v>-4.6087776264794877E-3</v>
      </c>
      <c r="F2759" s="266">
        <f t="shared" si="132"/>
        <v>2752</v>
      </c>
      <c r="G2759" s="230">
        <f t="shared" ca="1" si="131"/>
        <v>2.2019384946659393E-2</v>
      </c>
    </row>
    <row r="2760" spans="2:7" x14ac:dyDescent="0.25">
      <c r="B2760" s="348">
        <v>41975</v>
      </c>
      <c r="C2760" s="293">
        <v>105.46</v>
      </c>
      <c r="D2760" s="230">
        <f t="shared" si="130"/>
        <v>-1.2311771948102512E-3</v>
      </c>
      <c r="E2760" s="293">
        <v>-4.6167163604886596E-3</v>
      </c>
      <c r="F2760" s="266">
        <f t="shared" si="132"/>
        <v>2753</v>
      </c>
      <c r="G2760" s="230">
        <f t="shared" ca="1" si="131"/>
        <v>6.5872058080772913E-3</v>
      </c>
    </row>
    <row r="2761" spans="2:7" x14ac:dyDescent="0.25">
      <c r="B2761" s="348">
        <v>41945</v>
      </c>
      <c r="C2761" s="293">
        <v>105.59</v>
      </c>
      <c r="D2761" s="230">
        <f t="shared" ref="D2761:D2824" si="133">C2761/C2762-1</f>
        <v>-9.4696969696883571E-5</v>
      </c>
      <c r="E2761" s="293">
        <v>-4.6252595808947694E-3</v>
      </c>
      <c r="F2761" s="266">
        <f t="shared" si="132"/>
        <v>2754</v>
      </c>
      <c r="G2761" s="230">
        <f t="shared" ref="G2761:G2824" ca="1" si="134">_xlfn.NORM.INV(RAND(),$M$10,$M$11)</f>
        <v>3.1509234810726881E-3</v>
      </c>
    </row>
    <row r="2762" spans="2:7" x14ac:dyDescent="0.25">
      <c r="B2762" s="348">
        <v>41914</v>
      </c>
      <c r="C2762" s="293">
        <v>105.6</v>
      </c>
      <c r="D2762" s="230">
        <f t="shared" si="133"/>
        <v>2.7537745703161143E-3</v>
      </c>
      <c r="E2762" s="293">
        <v>-4.62573591253157E-3</v>
      </c>
      <c r="F2762" s="266">
        <f t="shared" ref="F2762:F2825" si="135">F2761+1</f>
        <v>2755</v>
      </c>
      <c r="G2762" s="230">
        <f t="shared" ca="1" si="134"/>
        <v>1.023804314143192E-5</v>
      </c>
    </row>
    <row r="2763" spans="2:7" x14ac:dyDescent="0.25">
      <c r="B2763" s="348">
        <v>41822</v>
      </c>
      <c r="C2763" s="293">
        <v>105.31</v>
      </c>
      <c r="D2763" s="230">
        <f t="shared" si="133"/>
        <v>-1.2101313320825424E-2</v>
      </c>
      <c r="E2763" s="293">
        <v>-4.6371833404895701E-3</v>
      </c>
      <c r="F2763" s="266">
        <f t="shared" si="135"/>
        <v>2756</v>
      </c>
      <c r="G2763" s="230">
        <f t="shared" ca="1" si="134"/>
        <v>1.004854278810015E-2</v>
      </c>
    </row>
    <row r="2764" spans="2:7" x14ac:dyDescent="0.25">
      <c r="B2764" s="348">
        <v>41792</v>
      </c>
      <c r="C2764" s="293">
        <v>106.6</v>
      </c>
      <c r="D2764" s="230">
        <f t="shared" si="133"/>
        <v>1.4465169394746846E-2</v>
      </c>
      <c r="E2764" s="293">
        <v>-4.6491033872039234E-3</v>
      </c>
      <c r="F2764" s="266">
        <f t="shared" si="135"/>
        <v>2757</v>
      </c>
      <c r="G2764" s="230">
        <f t="shared" ca="1" si="134"/>
        <v>1.5263376274036398E-2</v>
      </c>
    </row>
    <row r="2765" spans="2:7" x14ac:dyDescent="0.25">
      <c r="B2765" s="348">
        <v>41761</v>
      </c>
      <c r="C2765" s="293">
        <v>105.08</v>
      </c>
      <c r="D2765" s="230">
        <f t="shared" si="133"/>
        <v>8.638894221539628E-3</v>
      </c>
      <c r="E2765" s="293">
        <v>-4.661675377878427E-3</v>
      </c>
      <c r="F2765" s="266">
        <f t="shared" si="135"/>
        <v>2758</v>
      </c>
      <c r="G2765" s="230">
        <f t="shared" ca="1" si="134"/>
        <v>2.7516120617627218E-2</v>
      </c>
    </row>
    <row r="2766" spans="2:7" x14ac:dyDescent="0.25">
      <c r="B2766" s="348">
        <v>41731</v>
      </c>
      <c r="C2766" s="293">
        <v>104.18</v>
      </c>
      <c r="D2766" s="230">
        <f t="shared" si="133"/>
        <v>-1.8281191104410066E-2</v>
      </c>
      <c r="E2766" s="293">
        <v>-4.6698872785828627E-3</v>
      </c>
      <c r="F2766" s="266">
        <f t="shared" si="135"/>
        <v>2759</v>
      </c>
      <c r="G2766" s="230">
        <f t="shared" ca="1" si="134"/>
        <v>8.8587057553226219E-3</v>
      </c>
    </row>
    <row r="2767" spans="2:7" x14ac:dyDescent="0.25">
      <c r="B2767" s="348">
        <v>41700</v>
      </c>
      <c r="C2767" s="293">
        <v>106.12</v>
      </c>
      <c r="D2767" s="230">
        <f t="shared" si="133"/>
        <v>-1.5767019105917157E-2</v>
      </c>
      <c r="E2767" s="293">
        <v>-4.6747967479675578E-3</v>
      </c>
      <c r="F2767" s="266">
        <f t="shared" si="135"/>
        <v>2760</v>
      </c>
      <c r="G2767" s="230">
        <f t="shared" ca="1" si="134"/>
        <v>9.6364261773302668E-3</v>
      </c>
    </row>
    <row r="2768" spans="2:7" x14ac:dyDescent="0.25">
      <c r="B2768" s="348" t="s">
        <v>2228</v>
      </c>
      <c r="C2768" s="293">
        <v>107.82</v>
      </c>
      <c r="D2768" s="230">
        <f t="shared" si="133"/>
        <v>6.7226890756302282E-3</v>
      </c>
      <c r="E2768" s="293">
        <v>-4.729897933781424E-3</v>
      </c>
      <c r="F2768" s="266">
        <f t="shared" si="135"/>
        <v>2761</v>
      </c>
      <c r="G2768" s="230">
        <f t="shared" ca="1" si="134"/>
        <v>8.9750427168959687E-3</v>
      </c>
    </row>
    <row r="2769" spans="2:7" x14ac:dyDescent="0.25">
      <c r="B2769" s="348" t="s">
        <v>2229</v>
      </c>
      <c r="C2769" s="293">
        <v>107.1</v>
      </c>
      <c r="D2769" s="230">
        <f t="shared" si="133"/>
        <v>-5.5991041433367528E-4</v>
      </c>
      <c r="E2769" s="293">
        <v>-4.7326076668243733E-3</v>
      </c>
      <c r="F2769" s="266">
        <f t="shared" si="135"/>
        <v>2762</v>
      </c>
      <c r="G2769" s="230">
        <f t="shared" ca="1" si="134"/>
        <v>1.2208689407908691E-2</v>
      </c>
    </row>
    <row r="2770" spans="2:7" x14ac:dyDescent="0.25">
      <c r="B2770" s="348" t="s">
        <v>2230</v>
      </c>
      <c r="C2770" s="293">
        <v>107.16</v>
      </c>
      <c r="D2770" s="230">
        <f t="shared" si="133"/>
        <v>6.953580154106298E-3</v>
      </c>
      <c r="E2770" s="293">
        <v>-4.7480875758375563E-3</v>
      </c>
      <c r="F2770" s="266">
        <f t="shared" si="135"/>
        <v>2763</v>
      </c>
      <c r="G2770" s="230">
        <f t="shared" ca="1" si="134"/>
        <v>-2.9785346850604473E-2</v>
      </c>
    </row>
    <row r="2771" spans="2:7" x14ac:dyDescent="0.25">
      <c r="B2771" s="348" t="s">
        <v>2231</v>
      </c>
      <c r="C2771" s="293">
        <v>106.42</v>
      </c>
      <c r="D2771" s="230">
        <f t="shared" si="133"/>
        <v>-5.2346232940736481E-3</v>
      </c>
      <c r="E2771" s="293">
        <v>-4.7608742696386708E-3</v>
      </c>
      <c r="F2771" s="266">
        <f t="shared" si="135"/>
        <v>2764</v>
      </c>
      <c r="G2771" s="230">
        <f t="shared" ca="1" si="134"/>
        <v>-3.1905698628036334E-2</v>
      </c>
    </row>
    <row r="2772" spans="2:7" x14ac:dyDescent="0.25">
      <c r="B2772" s="348" t="s">
        <v>2232</v>
      </c>
      <c r="C2772" s="293">
        <v>106.98</v>
      </c>
      <c r="D2772" s="230">
        <f t="shared" si="133"/>
        <v>-4.0033516432361749E-3</v>
      </c>
      <c r="E2772" s="293">
        <v>-4.7678795483060421E-3</v>
      </c>
      <c r="F2772" s="266">
        <f t="shared" si="135"/>
        <v>2765</v>
      </c>
      <c r="G2772" s="230">
        <f t="shared" ca="1" si="134"/>
        <v>-3.1128051998257342E-2</v>
      </c>
    </row>
    <row r="2773" spans="2:7" x14ac:dyDescent="0.25">
      <c r="B2773" s="348" t="s">
        <v>2233</v>
      </c>
      <c r="C2773" s="293">
        <v>107.41</v>
      </c>
      <c r="D2773" s="230">
        <f t="shared" si="133"/>
        <v>-9.7722872683692064E-3</v>
      </c>
      <c r="E2773" s="293">
        <v>-4.7991071428570287E-3</v>
      </c>
      <c r="F2773" s="266">
        <f t="shared" si="135"/>
        <v>2766</v>
      </c>
      <c r="G2773" s="230">
        <f t="shared" ca="1" si="134"/>
        <v>-1.1013271828987615E-3</v>
      </c>
    </row>
    <row r="2774" spans="2:7" x14ac:dyDescent="0.25">
      <c r="B2774" s="348" t="s">
        <v>2234</v>
      </c>
      <c r="C2774" s="293">
        <v>108.47</v>
      </c>
      <c r="D2774" s="230">
        <f t="shared" si="133"/>
        <v>9.2276460274987038E-4</v>
      </c>
      <c r="E2774" s="293">
        <v>-4.8166392993979068E-3</v>
      </c>
      <c r="F2774" s="266">
        <f t="shared" si="135"/>
        <v>2767</v>
      </c>
      <c r="G2774" s="230">
        <f t="shared" ca="1" si="134"/>
        <v>-2.1244783689532573E-2</v>
      </c>
    </row>
    <row r="2775" spans="2:7" x14ac:dyDescent="0.25">
      <c r="B2775" s="348" t="s">
        <v>2235</v>
      </c>
      <c r="C2775" s="293">
        <v>108.37</v>
      </c>
      <c r="D2775" s="230">
        <f t="shared" si="133"/>
        <v>1.1197163385275655E-2</v>
      </c>
      <c r="E2775" s="293">
        <v>-4.8260941920452716E-3</v>
      </c>
      <c r="F2775" s="266">
        <f t="shared" si="135"/>
        <v>2768</v>
      </c>
      <c r="G2775" s="230">
        <f t="shared" ca="1" si="134"/>
        <v>-4.217067215810371E-2</v>
      </c>
    </row>
    <row r="2776" spans="2:7" x14ac:dyDescent="0.25">
      <c r="B2776" s="348" t="s">
        <v>2236</v>
      </c>
      <c r="C2776" s="293">
        <v>107.17</v>
      </c>
      <c r="D2776" s="230">
        <f t="shared" si="133"/>
        <v>-2.6058631921823672E-3</v>
      </c>
      <c r="E2776" s="293">
        <v>-4.8370136698212551E-3</v>
      </c>
      <c r="F2776" s="266">
        <f t="shared" si="135"/>
        <v>2769</v>
      </c>
      <c r="G2776" s="230">
        <f t="shared" ca="1" si="134"/>
        <v>-2.6247389993920928E-2</v>
      </c>
    </row>
    <row r="2777" spans="2:7" x14ac:dyDescent="0.25">
      <c r="B2777" s="348" t="s">
        <v>2237</v>
      </c>
      <c r="C2777" s="293">
        <v>107.45</v>
      </c>
      <c r="D2777" s="230">
        <f t="shared" si="133"/>
        <v>3.6861912573579181E-2</v>
      </c>
      <c r="E2777" s="293">
        <v>-4.8377343277565821E-3</v>
      </c>
      <c r="F2777" s="266">
        <f t="shared" si="135"/>
        <v>2770</v>
      </c>
      <c r="G2777" s="230">
        <f t="shared" ca="1" si="134"/>
        <v>5.2431798257389639E-3</v>
      </c>
    </row>
    <row r="2778" spans="2:7" x14ac:dyDescent="0.25">
      <c r="B2778" s="348" t="s">
        <v>2238</v>
      </c>
      <c r="C2778" s="293">
        <v>103.63</v>
      </c>
      <c r="D2778" s="230">
        <f t="shared" si="133"/>
        <v>-3.3031631986563448E-2</v>
      </c>
      <c r="E2778" s="293">
        <v>-4.8410166134887911E-3</v>
      </c>
      <c r="F2778" s="266">
        <f t="shared" si="135"/>
        <v>2771</v>
      </c>
      <c r="G2778" s="230">
        <f t="shared" ca="1" si="134"/>
        <v>-9.6715229807995892E-3</v>
      </c>
    </row>
    <row r="2779" spans="2:7" x14ac:dyDescent="0.25">
      <c r="B2779" s="348" t="s">
        <v>2239</v>
      </c>
      <c r="C2779" s="293">
        <v>107.17</v>
      </c>
      <c r="D2779" s="230">
        <f t="shared" si="133"/>
        <v>1.9404546751640828E-2</v>
      </c>
      <c r="E2779" s="293">
        <v>-4.8420188756667093E-3</v>
      </c>
      <c r="F2779" s="266">
        <f t="shared" si="135"/>
        <v>2772</v>
      </c>
      <c r="G2779" s="230">
        <f t="shared" ca="1" si="134"/>
        <v>-5.77884718838637E-3</v>
      </c>
    </row>
    <row r="2780" spans="2:7" x14ac:dyDescent="0.25">
      <c r="B2780" s="348" t="s">
        <v>2240</v>
      </c>
      <c r="C2780" s="293">
        <v>105.13</v>
      </c>
      <c r="D2780" s="230">
        <f t="shared" si="133"/>
        <v>1.2813102119460407E-2</v>
      </c>
      <c r="E2780" s="293">
        <v>-4.8436811977102812E-3</v>
      </c>
      <c r="F2780" s="266">
        <f t="shared" si="135"/>
        <v>2773</v>
      </c>
      <c r="G2780" s="230">
        <f t="shared" ca="1" si="134"/>
        <v>4.9034267726990313E-3</v>
      </c>
    </row>
    <row r="2781" spans="2:7" x14ac:dyDescent="0.25">
      <c r="B2781" s="348" t="s">
        <v>2241</v>
      </c>
      <c r="C2781" s="293">
        <v>103.8</v>
      </c>
      <c r="D2781" s="230">
        <f t="shared" si="133"/>
        <v>-1.3964092333998313E-2</v>
      </c>
      <c r="E2781" s="293">
        <v>-4.8530601240228677E-3</v>
      </c>
      <c r="F2781" s="266">
        <f t="shared" si="135"/>
        <v>2774</v>
      </c>
      <c r="G2781" s="230">
        <f t="shared" ca="1" si="134"/>
        <v>7.3576033897155904E-3</v>
      </c>
    </row>
    <row r="2782" spans="2:7" x14ac:dyDescent="0.25">
      <c r="B2782" s="348" t="s">
        <v>2242</v>
      </c>
      <c r="C2782" s="293">
        <v>105.27</v>
      </c>
      <c r="D2782" s="230">
        <f t="shared" si="133"/>
        <v>1.4650602409638447E-2</v>
      </c>
      <c r="E2782" s="293">
        <v>-4.8550520686743148E-3</v>
      </c>
      <c r="F2782" s="266">
        <f t="shared" si="135"/>
        <v>2775</v>
      </c>
      <c r="G2782" s="230">
        <f t="shared" ca="1" si="134"/>
        <v>4.3060290504912772E-3</v>
      </c>
    </row>
    <row r="2783" spans="2:7" x14ac:dyDescent="0.25">
      <c r="B2783" s="348">
        <v>41913</v>
      </c>
      <c r="C2783" s="293">
        <v>103.75</v>
      </c>
      <c r="D2783" s="230">
        <f t="shared" si="133"/>
        <v>2.2973772431473138E-2</v>
      </c>
      <c r="E2783" s="293">
        <v>-4.8669547418693782E-3</v>
      </c>
      <c r="F2783" s="266">
        <f t="shared" si="135"/>
        <v>2776</v>
      </c>
      <c r="G2783" s="230">
        <f t="shared" ca="1" si="134"/>
        <v>3.9790214223008095E-2</v>
      </c>
    </row>
    <row r="2784" spans="2:7" x14ac:dyDescent="0.25">
      <c r="B2784" s="348">
        <v>41883</v>
      </c>
      <c r="C2784" s="293">
        <v>101.42</v>
      </c>
      <c r="D2784" s="230">
        <f t="shared" si="133"/>
        <v>-1.1404620333365867E-2</v>
      </c>
      <c r="E2784" s="293">
        <v>-4.8996061100970989E-3</v>
      </c>
      <c r="F2784" s="266">
        <f t="shared" si="135"/>
        <v>2777</v>
      </c>
      <c r="G2784" s="230">
        <f t="shared" ca="1" si="134"/>
        <v>-1.9168652172822043E-2</v>
      </c>
    </row>
    <row r="2785" spans="2:7" x14ac:dyDescent="0.25">
      <c r="B2785" s="348">
        <v>41852</v>
      </c>
      <c r="C2785" s="293">
        <v>102.59</v>
      </c>
      <c r="D2785" s="230">
        <f t="shared" si="133"/>
        <v>-5.5253974408684403E-3</v>
      </c>
      <c r="E2785" s="293">
        <v>-4.905567819475154E-3</v>
      </c>
      <c r="F2785" s="266">
        <f t="shared" si="135"/>
        <v>2778</v>
      </c>
      <c r="G2785" s="230">
        <f t="shared" ca="1" si="134"/>
        <v>6.3581068743414997E-4</v>
      </c>
    </row>
    <row r="2786" spans="2:7" x14ac:dyDescent="0.25">
      <c r="B2786" s="348">
        <v>41821</v>
      </c>
      <c r="C2786" s="293">
        <v>103.16</v>
      </c>
      <c r="D2786" s="230">
        <f t="shared" si="133"/>
        <v>-1.3955266679411271E-2</v>
      </c>
      <c r="E2786" s="293">
        <v>-4.9173878835562235E-3</v>
      </c>
      <c r="F2786" s="266">
        <f t="shared" si="135"/>
        <v>2779</v>
      </c>
      <c r="G2786" s="230">
        <f t="shared" ca="1" si="134"/>
        <v>7.2652289548879321E-3</v>
      </c>
    </row>
    <row r="2787" spans="2:7" x14ac:dyDescent="0.25">
      <c r="B2787" s="348">
        <v>41791</v>
      </c>
      <c r="C2787" s="293">
        <v>104.62</v>
      </c>
      <c r="D2787" s="230">
        <f t="shared" si="133"/>
        <v>2.4913760061326951E-3</v>
      </c>
      <c r="E2787" s="293">
        <v>-4.9191183426354756E-3</v>
      </c>
      <c r="F2787" s="266">
        <f t="shared" si="135"/>
        <v>2780</v>
      </c>
      <c r="G2787" s="230">
        <f t="shared" ca="1" si="134"/>
        <v>-1.3084547067731598E-2</v>
      </c>
    </row>
    <row r="2788" spans="2:7" x14ac:dyDescent="0.25">
      <c r="B2788" s="348">
        <v>41699</v>
      </c>
      <c r="C2788" s="293">
        <v>104.36</v>
      </c>
      <c r="D2788" s="230">
        <f t="shared" si="133"/>
        <v>6.5586419753085323E-3</v>
      </c>
      <c r="E2788" s="293">
        <v>-4.9280123683447252E-3</v>
      </c>
      <c r="F2788" s="266">
        <f t="shared" si="135"/>
        <v>2781</v>
      </c>
      <c r="G2788" s="230">
        <f t="shared" ca="1" si="134"/>
        <v>7.426109974050841E-3</v>
      </c>
    </row>
    <row r="2789" spans="2:7" x14ac:dyDescent="0.25">
      <c r="B2789" s="348">
        <v>41671</v>
      </c>
      <c r="C2789" s="293">
        <v>103.68</v>
      </c>
      <c r="D2789" s="230">
        <f t="shared" si="133"/>
        <v>4.8248576667009324E-4</v>
      </c>
      <c r="E2789" s="293">
        <v>-4.947495961227899E-3</v>
      </c>
      <c r="F2789" s="266">
        <f t="shared" si="135"/>
        <v>2782</v>
      </c>
      <c r="G2789" s="230">
        <f t="shared" ca="1" si="134"/>
        <v>-3.3891300536798681E-2</v>
      </c>
    </row>
    <row r="2790" spans="2:7" x14ac:dyDescent="0.25">
      <c r="B2790" s="348">
        <v>41640</v>
      </c>
      <c r="C2790" s="293">
        <v>103.63</v>
      </c>
      <c r="D2790" s="230">
        <f t="shared" si="133"/>
        <v>-1.1635670004768728E-2</v>
      </c>
      <c r="E2790" s="293">
        <v>-4.952048823016586E-3</v>
      </c>
      <c r="F2790" s="266">
        <f t="shared" si="135"/>
        <v>2783</v>
      </c>
      <c r="G2790" s="230">
        <f t="shared" ca="1" si="134"/>
        <v>3.9034896729133489E-2</v>
      </c>
    </row>
    <row r="2791" spans="2:7" x14ac:dyDescent="0.25">
      <c r="B2791" s="348" t="s">
        <v>2243</v>
      </c>
      <c r="C2791" s="293">
        <v>104.85</v>
      </c>
      <c r="D2791" s="230">
        <f t="shared" si="133"/>
        <v>1.382711274415005E-2</v>
      </c>
      <c r="E2791" s="293">
        <v>-4.9543423353408667E-3</v>
      </c>
      <c r="F2791" s="266">
        <f t="shared" si="135"/>
        <v>2784</v>
      </c>
      <c r="G2791" s="230">
        <f t="shared" ca="1" si="134"/>
        <v>-3.5666990385347208E-2</v>
      </c>
    </row>
    <row r="2792" spans="2:7" x14ac:dyDescent="0.25">
      <c r="B2792" s="348" t="s">
        <v>2244</v>
      </c>
      <c r="C2792" s="293">
        <v>103.42</v>
      </c>
      <c r="D2792" s="230">
        <f t="shared" si="133"/>
        <v>-6.3412759415834019E-3</v>
      </c>
      <c r="E2792" s="293">
        <v>-4.9678012879484923E-3</v>
      </c>
      <c r="F2792" s="266">
        <f t="shared" si="135"/>
        <v>2785</v>
      </c>
      <c r="G2792" s="230">
        <f t="shared" ca="1" si="134"/>
        <v>-2.2034560760146295E-2</v>
      </c>
    </row>
    <row r="2793" spans="2:7" x14ac:dyDescent="0.25">
      <c r="B2793" s="348" t="s">
        <v>2245</v>
      </c>
      <c r="C2793" s="293">
        <v>104.08</v>
      </c>
      <c r="D2793" s="230">
        <f t="shared" si="133"/>
        <v>1.1860781644954299E-2</v>
      </c>
      <c r="E2793" s="293">
        <v>-4.9739113473447061E-3</v>
      </c>
      <c r="F2793" s="266">
        <f t="shared" si="135"/>
        <v>2786</v>
      </c>
      <c r="G2793" s="230">
        <f t="shared" ca="1" si="134"/>
        <v>-9.052094572257436E-3</v>
      </c>
    </row>
    <row r="2794" spans="2:7" x14ac:dyDescent="0.25">
      <c r="B2794" s="348" t="s">
        <v>2246</v>
      </c>
      <c r="C2794" s="293">
        <v>102.86</v>
      </c>
      <c r="D2794" s="230">
        <f t="shared" si="133"/>
        <v>1.5700602350153137E-2</v>
      </c>
      <c r="E2794" s="293">
        <v>-4.9853372434017773E-3</v>
      </c>
      <c r="F2794" s="266">
        <f t="shared" si="135"/>
        <v>2787</v>
      </c>
      <c r="G2794" s="230">
        <f t="shared" ca="1" si="134"/>
        <v>-2.3483377112872858E-3</v>
      </c>
    </row>
    <row r="2795" spans="2:7" x14ac:dyDescent="0.25">
      <c r="B2795" s="348" t="s">
        <v>2247</v>
      </c>
      <c r="C2795" s="293">
        <v>101.27</v>
      </c>
      <c r="D2795" s="230">
        <f t="shared" si="133"/>
        <v>-2.1545893719806752E-2</v>
      </c>
      <c r="E2795" s="293">
        <v>-4.9893086243762985E-3</v>
      </c>
      <c r="F2795" s="266">
        <f t="shared" si="135"/>
        <v>2788</v>
      </c>
      <c r="G2795" s="230">
        <f t="shared" ca="1" si="134"/>
        <v>-2.5588360141927176E-2</v>
      </c>
    </row>
    <row r="2796" spans="2:7" x14ac:dyDescent="0.25">
      <c r="B2796" s="348" t="s">
        <v>2248</v>
      </c>
      <c r="C2796" s="293">
        <v>103.5</v>
      </c>
      <c r="D2796" s="230">
        <f t="shared" si="133"/>
        <v>5.6354450058297978E-3</v>
      </c>
      <c r="E2796" s="293">
        <v>-4.993635562518306E-3</v>
      </c>
      <c r="F2796" s="266">
        <f t="shared" si="135"/>
        <v>2789</v>
      </c>
      <c r="G2796" s="230">
        <f t="shared" ca="1" si="134"/>
        <v>2.9517738407112019E-2</v>
      </c>
    </row>
    <row r="2797" spans="2:7" x14ac:dyDescent="0.25">
      <c r="B2797" s="348" t="s">
        <v>2249</v>
      </c>
      <c r="C2797" s="293">
        <v>102.92</v>
      </c>
      <c r="D2797" s="230">
        <f t="shared" si="133"/>
        <v>3.7290868776456376E-2</v>
      </c>
      <c r="E2797" s="293">
        <v>-4.9950049950049369E-3</v>
      </c>
      <c r="F2797" s="266">
        <f t="shared" si="135"/>
        <v>2790</v>
      </c>
      <c r="G2797" s="230">
        <f t="shared" ca="1" si="134"/>
        <v>1.1428482668732493E-3</v>
      </c>
    </row>
    <row r="2798" spans="2:7" x14ac:dyDescent="0.25">
      <c r="B2798" s="348" t="s">
        <v>2250</v>
      </c>
      <c r="C2798" s="293">
        <v>99.22</v>
      </c>
      <c r="D2798" s="230">
        <f t="shared" si="133"/>
        <v>1.431200163565749E-2</v>
      </c>
      <c r="E2798" s="293">
        <v>-4.9951969260326745E-3</v>
      </c>
      <c r="F2798" s="266">
        <f t="shared" si="135"/>
        <v>2791</v>
      </c>
      <c r="G2798" s="230">
        <f t="shared" ca="1" si="134"/>
        <v>-1.5670703314922062E-2</v>
      </c>
    </row>
    <row r="2799" spans="2:7" x14ac:dyDescent="0.25">
      <c r="B2799" s="348" t="s">
        <v>2251</v>
      </c>
      <c r="C2799" s="293">
        <v>97.82</v>
      </c>
      <c r="D2799" s="230">
        <f t="shared" si="133"/>
        <v>7.3112964679229453E-3</v>
      </c>
      <c r="E2799" s="293">
        <v>-4.9955595026642818E-3</v>
      </c>
      <c r="F2799" s="266">
        <f t="shared" si="135"/>
        <v>2792</v>
      </c>
      <c r="G2799" s="230">
        <f t="shared" ca="1" si="134"/>
        <v>-1.9590760502157564E-2</v>
      </c>
    </row>
    <row r="2800" spans="2:7" x14ac:dyDescent="0.25">
      <c r="B2800" s="348" t="s">
        <v>2252</v>
      </c>
      <c r="C2800" s="293">
        <v>97.11</v>
      </c>
      <c r="D2800" s="230">
        <f t="shared" si="133"/>
        <v>-1.1804212882873699E-2</v>
      </c>
      <c r="E2800" s="293">
        <v>-5.0042488905674976E-3</v>
      </c>
      <c r="F2800" s="266">
        <f t="shared" si="135"/>
        <v>2793</v>
      </c>
      <c r="G2800" s="230">
        <f t="shared" ca="1" si="134"/>
        <v>4.9711427241673758E-3</v>
      </c>
    </row>
    <row r="2801" spans="2:7" x14ac:dyDescent="0.25">
      <c r="B2801" s="348" t="s">
        <v>2253</v>
      </c>
      <c r="C2801" s="293">
        <v>98.27</v>
      </c>
      <c r="D2801" s="230">
        <f t="shared" si="133"/>
        <v>1.0280662074637625E-2</v>
      </c>
      <c r="E2801" s="293">
        <v>-5.0061299550469007E-3</v>
      </c>
      <c r="F2801" s="266">
        <f t="shared" si="135"/>
        <v>2794</v>
      </c>
      <c r="G2801" s="230">
        <f t="shared" ca="1" si="134"/>
        <v>2.5714011428025436E-2</v>
      </c>
    </row>
    <row r="2802" spans="2:7" x14ac:dyDescent="0.25">
      <c r="B2802" s="348" t="s">
        <v>2254</v>
      </c>
      <c r="C2802" s="293">
        <v>97.27</v>
      </c>
      <c r="D2802" s="230">
        <f t="shared" si="133"/>
        <v>1.5874673629242775E-2</v>
      </c>
      <c r="E2802" s="293">
        <v>-5.0097276264591262E-3</v>
      </c>
      <c r="F2802" s="266">
        <f t="shared" si="135"/>
        <v>2795</v>
      </c>
      <c r="G2802" s="230">
        <f t="shared" ca="1" si="134"/>
        <v>-9.9540024610273955E-5</v>
      </c>
    </row>
    <row r="2803" spans="2:7" x14ac:dyDescent="0.25">
      <c r="B2803" s="348">
        <v>41620</v>
      </c>
      <c r="C2803" s="293">
        <v>95.75</v>
      </c>
      <c r="D2803" s="230">
        <f t="shared" si="133"/>
        <v>-1.5322912381735887E-2</v>
      </c>
      <c r="E2803" s="293">
        <v>-5.018400802944134E-3</v>
      </c>
      <c r="F2803" s="266">
        <f t="shared" si="135"/>
        <v>2796</v>
      </c>
      <c r="G2803" s="230">
        <f t="shared" ca="1" si="134"/>
        <v>1.3452859921005178E-2</v>
      </c>
    </row>
    <row r="2804" spans="2:7" x14ac:dyDescent="0.25">
      <c r="B2804" s="348">
        <v>41590</v>
      </c>
      <c r="C2804" s="293">
        <v>97.24</v>
      </c>
      <c r="D2804" s="230">
        <f t="shared" si="133"/>
        <v>3.7159372419488523E-3</v>
      </c>
      <c r="E2804" s="293">
        <v>-5.0456968773801014E-3</v>
      </c>
      <c r="F2804" s="266">
        <f t="shared" si="135"/>
        <v>2797</v>
      </c>
      <c r="G2804" s="230">
        <f t="shared" ca="1" si="134"/>
        <v>3.9545405255553886E-3</v>
      </c>
    </row>
    <row r="2805" spans="2:7" x14ac:dyDescent="0.25">
      <c r="B2805" s="348">
        <v>41559</v>
      </c>
      <c r="C2805" s="293">
        <v>96.88</v>
      </c>
      <c r="D2805" s="230">
        <f t="shared" si="133"/>
        <v>1.8717139852786557E-2</v>
      </c>
      <c r="E2805" s="293">
        <v>-5.0525464834276779E-3</v>
      </c>
      <c r="F2805" s="266">
        <f t="shared" si="135"/>
        <v>2798</v>
      </c>
      <c r="G2805" s="230">
        <f t="shared" ca="1" si="134"/>
        <v>-1.1612845993464042E-2</v>
      </c>
    </row>
    <row r="2806" spans="2:7" x14ac:dyDescent="0.25">
      <c r="B2806" s="348">
        <v>41529</v>
      </c>
      <c r="C2806" s="293">
        <v>95.1</v>
      </c>
      <c r="D2806" s="230">
        <f t="shared" si="133"/>
        <v>2.7108759045253228E-2</v>
      </c>
      <c r="E2806" s="293">
        <v>-5.0666666666665527E-3</v>
      </c>
      <c r="F2806" s="266">
        <f t="shared" si="135"/>
        <v>2799</v>
      </c>
      <c r="G2806" s="230">
        <f t="shared" ca="1" si="134"/>
        <v>4.0724791811178988E-3</v>
      </c>
    </row>
    <row r="2807" spans="2:7" x14ac:dyDescent="0.25">
      <c r="B2807" s="348">
        <v>41437</v>
      </c>
      <c r="C2807" s="293">
        <v>92.59</v>
      </c>
      <c r="D2807" s="230">
        <f t="shared" si="133"/>
        <v>1.8394286950875749E-3</v>
      </c>
      <c r="E2807" s="293">
        <v>-5.0729232720354567E-3</v>
      </c>
      <c r="F2807" s="266">
        <f t="shared" si="135"/>
        <v>2800</v>
      </c>
      <c r="G2807" s="230">
        <f t="shared" ca="1" si="134"/>
        <v>3.3213709980125915E-3</v>
      </c>
    </row>
    <row r="2808" spans="2:7" x14ac:dyDescent="0.25">
      <c r="B2808" s="348">
        <v>41406</v>
      </c>
      <c r="C2808" s="293">
        <v>92.42</v>
      </c>
      <c r="D2808" s="230">
        <f t="shared" si="133"/>
        <v>3.1477260392924755E-3</v>
      </c>
      <c r="E2808" s="293">
        <v>-5.0754060324824657E-3</v>
      </c>
      <c r="F2808" s="266">
        <f t="shared" si="135"/>
        <v>2801</v>
      </c>
      <c r="G2808" s="230">
        <f t="shared" ca="1" si="134"/>
        <v>6.8894715406378074E-3</v>
      </c>
    </row>
    <row r="2809" spans="2:7" x14ac:dyDescent="0.25">
      <c r="B2809" s="348">
        <v>41376</v>
      </c>
      <c r="C2809" s="293">
        <v>92.13</v>
      </c>
      <c r="D2809" s="230">
        <f t="shared" si="133"/>
        <v>1.846119831969939E-2</v>
      </c>
      <c r="E2809" s="293">
        <v>-5.0816696914700588E-3</v>
      </c>
      <c r="F2809" s="266">
        <f t="shared" si="135"/>
        <v>2802</v>
      </c>
      <c r="G2809" s="230">
        <f t="shared" ca="1" si="134"/>
        <v>1.4516272127480313E-2</v>
      </c>
    </row>
    <row r="2810" spans="2:7" x14ac:dyDescent="0.25">
      <c r="B2810" s="348">
        <v>41345</v>
      </c>
      <c r="C2810" s="293">
        <v>90.46</v>
      </c>
      <c r="D2810" s="230">
        <f t="shared" si="133"/>
        <v>2.5490413388007394E-3</v>
      </c>
      <c r="E2810" s="293">
        <v>-5.0991501416429719E-3</v>
      </c>
      <c r="F2810" s="266">
        <f t="shared" si="135"/>
        <v>2803</v>
      </c>
      <c r="G2810" s="230">
        <f t="shared" ca="1" si="134"/>
        <v>9.1161505791238859E-4</v>
      </c>
    </row>
    <row r="2811" spans="2:7" x14ac:dyDescent="0.25">
      <c r="B2811" s="348">
        <v>41317</v>
      </c>
      <c r="C2811" s="293">
        <v>90.23</v>
      </c>
      <c r="D2811" s="230">
        <f t="shared" si="133"/>
        <v>2.2088808337109134E-2</v>
      </c>
      <c r="E2811" s="293">
        <v>-5.1085568326947328E-3</v>
      </c>
      <c r="F2811" s="266">
        <f t="shared" si="135"/>
        <v>2804</v>
      </c>
      <c r="G2811" s="230">
        <f t="shared" ca="1" si="134"/>
        <v>-2.0843103163943007E-2</v>
      </c>
    </row>
    <row r="2812" spans="2:7" x14ac:dyDescent="0.25">
      <c r="B2812" s="348" t="s">
        <v>2255</v>
      </c>
      <c r="C2812" s="293">
        <v>88.28</v>
      </c>
      <c r="D2812" s="230">
        <f t="shared" si="133"/>
        <v>-3.7241846292743741E-3</v>
      </c>
      <c r="E2812" s="293">
        <v>-5.1214515657009851E-3</v>
      </c>
      <c r="F2812" s="266">
        <f t="shared" si="135"/>
        <v>2805</v>
      </c>
      <c r="G2812" s="230">
        <f t="shared" ca="1" si="134"/>
        <v>1.8617660941045375E-2</v>
      </c>
    </row>
    <row r="2813" spans="2:7" x14ac:dyDescent="0.25">
      <c r="B2813" s="348" t="s">
        <v>2256</v>
      </c>
      <c r="C2813" s="293">
        <v>88.61</v>
      </c>
      <c r="D2813" s="230">
        <f t="shared" si="133"/>
        <v>5.9030536950845924E-3</v>
      </c>
      <c r="E2813" s="293">
        <v>-5.135000828225933E-3</v>
      </c>
      <c r="F2813" s="266">
        <f t="shared" si="135"/>
        <v>2806</v>
      </c>
      <c r="G2813" s="230">
        <f t="shared" ca="1" si="134"/>
        <v>1.6294448966686331E-2</v>
      </c>
    </row>
    <row r="2814" spans="2:7" x14ac:dyDescent="0.25">
      <c r="B2814" s="348" t="s">
        <v>2257</v>
      </c>
      <c r="C2814" s="293">
        <v>88.09</v>
      </c>
      <c r="D2814" s="230">
        <f t="shared" si="133"/>
        <v>-1.0669362084456457E-2</v>
      </c>
      <c r="E2814" s="293">
        <v>-5.1538801354733543E-3</v>
      </c>
      <c r="F2814" s="266">
        <f t="shared" si="135"/>
        <v>2807</v>
      </c>
      <c r="G2814" s="230">
        <f t="shared" ca="1" si="134"/>
        <v>3.1647619536505793E-2</v>
      </c>
    </row>
    <row r="2815" spans="2:7" x14ac:dyDescent="0.25">
      <c r="B2815" s="348" t="s">
        <v>2258</v>
      </c>
      <c r="C2815" s="293">
        <v>89.04</v>
      </c>
      <c r="D2815" s="230">
        <f t="shared" si="133"/>
        <v>-8.2423702383603858E-3</v>
      </c>
      <c r="E2815" s="293">
        <v>-5.1601013591338063E-3</v>
      </c>
      <c r="F2815" s="266">
        <f t="shared" si="135"/>
        <v>2808</v>
      </c>
      <c r="G2815" s="230">
        <f t="shared" ca="1" si="134"/>
        <v>1.2120126590792061E-2</v>
      </c>
    </row>
    <row r="2816" spans="2:7" x14ac:dyDescent="0.25">
      <c r="B2816" s="348" t="s">
        <v>2259</v>
      </c>
      <c r="C2816" s="293">
        <v>89.78</v>
      </c>
      <c r="D2816" s="230">
        <f t="shared" si="133"/>
        <v>1.7853157777281137E-3</v>
      </c>
      <c r="E2816" s="293">
        <v>-5.1813471502590858E-3</v>
      </c>
      <c r="F2816" s="266">
        <f t="shared" si="135"/>
        <v>2809</v>
      </c>
      <c r="G2816" s="230">
        <f t="shared" ca="1" si="134"/>
        <v>-1.4525547023985135E-2</v>
      </c>
    </row>
    <row r="2817" spans="2:7" x14ac:dyDescent="0.25">
      <c r="B2817" s="348" t="s">
        <v>2260</v>
      </c>
      <c r="C2817" s="293">
        <v>89.62</v>
      </c>
      <c r="D2817" s="230">
        <f t="shared" si="133"/>
        <v>-8.9186176142697082E-4</v>
      </c>
      <c r="E2817" s="293">
        <v>-5.1964627586834622E-3</v>
      </c>
      <c r="F2817" s="266">
        <f t="shared" si="135"/>
        <v>2810</v>
      </c>
      <c r="G2817" s="230">
        <f t="shared" ca="1" si="134"/>
        <v>1.7437023944174242E-2</v>
      </c>
    </row>
    <row r="2818" spans="2:7" x14ac:dyDescent="0.25">
      <c r="B2818" s="348" t="s">
        <v>2261</v>
      </c>
      <c r="C2818" s="293">
        <v>89.7</v>
      </c>
      <c r="D2818" s="230">
        <f t="shared" si="133"/>
        <v>-9.6058297449485019E-3</v>
      </c>
      <c r="E2818" s="293">
        <v>-5.1996672212978323E-3</v>
      </c>
      <c r="F2818" s="266">
        <f t="shared" si="135"/>
        <v>2811</v>
      </c>
      <c r="G2818" s="230">
        <f t="shared" ca="1" si="134"/>
        <v>-4.1793423704805335E-2</v>
      </c>
    </row>
    <row r="2819" spans="2:7" x14ac:dyDescent="0.25">
      <c r="B2819" s="348" t="s">
        <v>2262</v>
      </c>
      <c r="C2819" s="293">
        <v>90.57</v>
      </c>
      <c r="D2819" s="230">
        <f t="shared" si="133"/>
        <v>-1.0272101409682155E-2</v>
      </c>
      <c r="E2819" s="293">
        <v>-5.2025457116881002E-3</v>
      </c>
      <c r="F2819" s="266">
        <f t="shared" si="135"/>
        <v>2812</v>
      </c>
      <c r="G2819" s="230">
        <f t="shared" ca="1" si="134"/>
        <v>8.9417273240886067E-3</v>
      </c>
    </row>
    <row r="2820" spans="2:7" x14ac:dyDescent="0.25">
      <c r="B2820" s="348" t="s">
        <v>2263</v>
      </c>
      <c r="C2820" s="293">
        <v>91.51</v>
      </c>
      <c r="D2820" s="230">
        <f t="shared" si="133"/>
        <v>-8.4516198938130449E-3</v>
      </c>
      <c r="E2820" s="293">
        <v>-5.203619909502244E-3</v>
      </c>
      <c r="F2820" s="266">
        <f t="shared" si="135"/>
        <v>2813</v>
      </c>
      <c r="G2820" s="230">
        <f t="shared" ca="1" si="134"/>
        <v>-1.4083781284977104E-3</v>
      </c>
    </row>
    <row r="2821" spans="2:7" x14ac:dyDescent="0.25">
      <c r="B2821" s="348" t="s">
        <v>2264</v>
      </c>
      <c r="C2821" s="293">
        <v>92.29</v>
      </c>
      <c r="D2821" s="230">
        <f t="shared" si="133"/>
        <v>1.217372230752356E-2</v>
      </c>
      <c r="E2821" s="293">
        <v>-5.207821558416037E-3</v>
      </c>
      <c r="F2821" s="266">
        <f t="shared" si="135"/>
        <v>2814</v>
      </c>
      <c r="G2821" s="230">
        <f t="shared" ca="1" si="134"/>
        <v>1.4464916617702816E-2</v>
      </c>
    </row>
    <row r="2822" spans="2:7" x14ac:dyDescent="0.25">
      <c r="B2822" s="348" t="s">
        <v>2265</v>
      </c>
      <c r="C2822" s="293">
        <v>91.18</v>
      </c>
      <c r="D2822" s="230">
        <f t="shared" si="133"/>
        <v>8.293707840318465E-3</v>
      </c>
      <c r="E2822" s="293">
        <v>-5.2172495312627909E-3</v>
      </c>
      <c r="F2822" s="266">
        <f t="shared" si="135"/>
        <v>2815</v>
      </c>
      <c r="G2822" s="230">
        <f t="shared" ca="1" si="134"/>
        <v>-1.9393437078045285E-2</v>
      </c>
    </row>
    <row r="2823" spans="2:7" x14ac:dyDescent="0.25">
      <c r="B2823" s="348" t="s">
        <v>2266</v>
      </c>
      <c r="C2823" s="293">
        <v>90.43</v>
      </c>
      <c r="D2823" s="230">
        <f t="shared" si="133"/>
        <v>-6.6305669134703038E-4</v>
      </c>
      <c r="E2823" s="293">
        <v>-5.2346232940736481E-3</v>
      </c>
      <c r="F2823" s="266">
        <f t="shared" si="135"/>
        <v>2816</v>
      </c>
      <c r="G2823" s="230">
        <f t="shared" ca="1" si="134"/>
        <v>-2.9021791521556137E-2</v>
      </c>
    </row>
    <row r="2824" spans="2:7" x14ac:dyDescent="0.25">
      <c r="B2824" s="348">
        <v>41619</v>
      </c>
      <c r="C2824" s="293">
        <v>90.49</v>
      </c>
      <c r="D2824" s="230">
        <f t="shared" si="133"/>
        <v>2.1040974529347167E-3</v>
      </c>
      <c r="E2824" s="293">
        <v>-5.2373375762396757E-3</v>
      </c>
      <c r="F2824" s="266">
        <f t="shared" si="135"/>
        <v>2817</v>
      </c>
      <c r="G2824" s="230">
        <f t="shared" ca="1" si="134"/>
        <v>2.9063952396967935E-2</v>
      </c>
    </row>
    <row r="2825" spans="2:7" x14ac:dyDescent="0.25">
      <c r="B2825" s="348">
        <v>41589</v>
      </c>
      <c r="C2825" s="293">
        <v>90.3</v>
      </c>
      <c r="D2825" s="230">
        <f t="shared" ref="D2825:D2888" si="136">C2825/C2826-1</f>
        <v>1.1075423634943071E-4</v>
      </c>
      <c r="E2825" s="293">
        <v>-5.2454102660171031E-3</v>
      </c>
      <c r="F2825" s="266">
        <f t="shared" si="135"/>
        <v>2818</v>
      </c>
      <c r="G2825" s="230">
        <f t="shared" ref="G2825:G2888" ca="1" si="137">_xlfn.NORM.INV(RAND(),$M$10,$M$11)</f>
        <v>8.4309315644995348E-3</v>
      </c>
    </row>
    <row r="2826" spans="2:7" x14ac:dyDescent="0.25">
      <c r="B2826" s="348">
        <v>41497</v>
      </c>
      <c r="C2826" s="293">
        <v>90.29</v>
      </c>
      <c r="D2826" s="230">
        <f t="shared" si="136"/>
        <v>-8.8524952971114068E-4</v>
      </c>
      <c r="E2826" s="293">
        <v>-5.2690812359320605E-3</v>
      </c>
      <c r="F2826" s="266">
        <f t="shared" ref="F2826:F2889" si="138">F2825+1</f>
        <v>2819</v>
      </c>
      <c r="G2826" s="230">
        <f t="shared" ca="1" si="137"/>
        <v>-3.6688308414334424E-2</v>
      </c>
    </row>
    <row r="2827" spans="2:7" x14ac:dyDescent="0.25">
      <c r="B2827" s="348">
        <v>41466</v>
      </c>
      <c r="C2827" s="293">
        <v>90.37</v>
      </c>
      <c r="D2827" s="230">
        <f t="shared" si="136"/>
        <v>-8.8446655610829872E-4</v>
      </c>
      <c r="E2827" s="293">
        <v>-5.2708106143222189E-3</v>
      </c>
      <c r="F2827" s="266">
        <f t="shared" si="138"/>
        <v>2820</v>
      </c>
      <c r="G2827" s="230">
        <f t="shared" ca="1" si="137"/>
        <v>-1.4095751939132452E-2</v>
      </c>
    </row>
    <row r="2828" spans="2:7" x14ac:dyDescent="0.25">
      <c r="B2828" s="348">
        <v>41436</v>
      </c>
      <c r="C2828" s="293">
        <v>90.45</v>
      </c>
      <c r="D2828" s="230">
        <f t="shared" si="136"/>
        <v>4.7767162852700995E-3</v>
      </c>
      <c r="E2828" s="293">
        <v>-5.2726724917142587E-3</v>
      </c>
      <c r="F2828" s="266">
        <f t="shared" si="138"/>
        <v>2821</v>
      </c>
      <c r="G2828" s="230">
        <f t="shared" ca="1" si="137"/>
        <v>-2.7438236648879892E-2</v>
      </c>
    </row>
    <row r="2829" spans="2:7" x14ac:dyDescent="0.25">
      <c r="B2829" s="348">
        <v>41405</v>
      </c>
      <c r="C2829" s="293">
        <v>90.02</v>
      </c>
      <c r="D2829" s="230">
        <f t="shared" si="136"/>
        <v>-1.0225398570643307E-2</v>
      </c>
      <c r="E2829" s="293">
        <v>-5.2876287719937354E-3</v>
      </c>
      <c r="F2829" s="266">
        <f t="shared" si="138"/>
        <v>2822</v>
      </c>
      <c r="G2829" s="230">
        <f t="shared" ca="1" si="137"/>
        <v>1.3837677250836196E-3</v>
      </c>
    </row>
    <row r="2830" spans="2:7" x14ac:dyDescent="0.25">
      <c r="B2830" s="348">
        <v>41344</v>
      </c>
      <c r="C2830" s="293">
        <v>90.95</v>
      </c>
      <c r="D2830" s="230">
        <f t="shared" si="136"/>
        <v>5.1945181255526052E-3</v>
      </c>
      <c r="E2830" s="293">
        <v>-5.2898391007272227E-3</v>
      </c>
      <c r="F2830" s="266">
        <f t="shared" si="138"/>
        <v>2823</v>
      </c>
      <c r="G2830" s="230">
        <f t="shared" ca="1" si="137"/>
        <v>-7.1747488359259187E-3</v>
      </c>
    </row>
    <row r="2831" spans="2:7" x14ac:dyDescent="0.25">
      <c r="B2831" s="348">
        <v>41285</v>
      </c>
      <c r="C2831" s="293">
        <v>90.48</v>
      </c>
      <c r="D2831" s="230">
        <f t="shared" si="136"/>
        <v>1.0159651669085834E-2</v>
      </c>
      <c r="E2831" s="293">
        <v>-5.3191489361701372E-3</v>
      </c>
      <c r="F2831" s="266">
        <f t="shared" si="138"/>
        <v>2824</v>
      </c>
      <c r="G2831" s="230">
        <f t="shared" ca="1" si="137"/>
        <v>-2.5169634171035946E-2</v>
      </c>
    </row>
    <row r="2832" spans="2:7" x14ac:dyDescent="0.25">
      <c r="B2832" s="348" t="s">
        <v>2267</v>
      </c>
      <c r="C2832" s="293">
        <v>89.57</v>
      </c>
      <c r="D2832" s="230">
        <f t="shared" si="136"/>
        <v>2.013648059066897E-3</v>
      </c>
      <c r="E2832" s="293">
        <v>-5.3371042788066259E-3</v>
      </c>
      <c r="F2832" s="266">
        <f t="shared" si="138"/>
        <v>2825</v>
      </c>
      <c r="G2832" s="230">
        <f t="shared" ca="1" si="137"/>
        <v>-2.6202208896050185E-3</v>
      </c>
    </row>
    <row r="2833" spans="2:7" x14ac:dyDescent="0.25">
      <c r="B2833" s="348" t="s">
        <v>2268</v>
      </c>
      <c r="C2833" s="293">
        <v>89.39</v>
      </c>
      <c r="D2833" s="230">
        <f t="shared" si="136"/>
        <v>-2.0168804121451278E-2</v>
      </c>
      <c r="E2833" s="293">
        <v>-5.3372149442018069E-3</v>
      </c>
      <c r="F2833" s="266">
        <f t="shared" si="138"/>
        <v>2826</v>
      </c>
      <c r="G2833" s="230">
        <f t="shared" ca="1" si="137"/>
        <v>4.8144501899133101E-2</v>
      </c>
    </row>
    <row r="2834" spans="2:7" x14ac:dyDescent="0.25">
      <c r="B2834" s="348" t="s">
        <v>2269</v>
      </c>
      <c r="C2834" s="293">
        <v>91.23</v>
      </c>
      <c r="D2834" s="230">
        <f t="shared" si="136"/>
        <v>5.6216931216932498E-3</v>
      </c>
      <c r="E2834" s="293">
        <v>-5.3481135744846142E-3</v>
      </c>
      <c r="F2834" s="266">
        <f t="shared" si="138"/>
        <v>2827</v>
      </c>
      <c r="G2834" s="230">
        <f t="shared" ca="1" si="137"/>
        <v>-1.5021757183548564E-2</v>
      </c>
    </row>
    <row r="2835" spans="2:7" x14ac:dyDescent="0.25">
      <c r="B2835" s="348" t="s">
        <v>2270</v>
      </c>
      <c r="C2835" s="293">
        <v>90.72</v>
      </c>
      <c r="D2835" s="230">
        <f t="shared" si="136"/>
        <v>5.6534752244763453E-3</v>
      </c>
      <c r="E2835" s="293">
        <v>-5.3544235398143014E-3</v>
      </c>
      <c r="F2835" s="266">
        <f t="shared" si="138"/>
        <v>2828</v>
      </c>
      <c r="G2835" s="230">
        <f t="shared" ca="1" si="137"/>
        <v>-8.1106737534295979E-4</v>
      </c>
    </row>
    <row r="2836" spans="2:7" x14ac:dyDescent="0.25">
      <c r="B2836" s="348" t="s">
        <v>2271</v>
      </c>
      <c r="C2836" s="293">
        <v>90.21</v>
      </c>
      <c r="D2836" s="230">
        <f t="shared" si="136"/>
        <v>2.1862256456728568E-2</v>
      </c>
      <c r="E2836" s="293">
        <v>-5.3574161947037569E-3</v>
      </c>
      <c r="F2836" s="266">
        <f t="shared" si="138"/>
        <v>2829</v>
      </c>
      <c r="G2836" s="230">
        <f t="shared" ca="1" si="137"/>
        <v>2.1865650730793315E-2</v>
      </c>
    </row>
    <row r="2837" spans="2:7" x14ac:dyDescent="0.25">
      <c r="B2837" s="348" t="s">
        <v>2272</v>
      </c>
      <c r="C2837" s="293">
        <v>88.28</v>
      </c>
      <c r="D2837" s="230">
        <f t="shared" si="136"/>
        <v>-4.3864399436802759E-2</v>
      </c>
      <c r="E2837" s="293">
        <v>-5.3608247422680666E-3</v>
      </c>
      <c r="F2837" s="266">
        <f t="shared" si="138"/>
        <v>2830</v>
      </c>
      <c r="G2837" s="230">
        <f t="shared" ca="1" si="137"/>
        <v>-4.070743620869015E-3</v>
      </c>
    </row>
    <row r="2838" spans="2:7" x14ac:dyDescent="0.25">
      <c r="B2838" s="348" t="s">
        <v>2273</v>
      </c>
      <c r="C2838" s="293">
        <v>92.33</v>
      </c>
      <c r="D2838" s="230">
        <f t="shared" si="136"/>
        <v>-4.3509789702683155E-2</v>
      </c>
      <c r="E2838" s="293">
        <v>-5.3701572688914512E-3</v>
      </c>
      <c r="F2838" s="266">
        <f t="shared" si="138"/>
        <v>2831</v>
      </c>
      <c r="G2838" s="230">
        <f t="shared" ca="1" si="137"/>
        <v>-2.4684086536981266E-2</v>
      </c>
    </row>
    <row r="2839" spans="2:7" x14ac:dyDescent="0.25">
      <c r="B2839" s="348" t="s">
        <v>2274</v>
      </c>
      <c r="C2839" s="293">
        <v>96.53</v>
      </c>
      <c r="D2839" s="230">
        <f t="shared" si="136"/>
        <v>1.7390387858347456E-2</v>
      </c>
      <c r="E2839" s="293">
        <v>-5.3836882282041199E-3</v>
      </c>
      <c r="F2839" s="266">
        <f t="shared" si="138"/>
        <v>2832</v>
      </c>
      <c r="G2839" s="230">
        <f t="shared" ca="1" si="137"/>
        <v>9.1701765433129846E-4</v>
      </c>
    </row>
    <row r="2840" spans="2:7" x14ac:dyDescent="0.25">
      <c r="B2840" s="348" t="s">
        <v>2275</v>
      </c>
      <c r="C2840" s="293">
        <v>94.88</v>
      </c>
      <c r="D2840" s="230">
        <f t="shared" si="136"/>
        <v>-7.3723012111648334E-4</v>
      </c>
      <c r="E2840" s="293">
        <v>-5.3961246014225805E-3</v>
      </c>
      <c r="F2840" s="266">
        <f t="shared" si="138"/>
        <v>2833</v>
      </c>
      <c r="G2840" s="230">
        <f t="shared" ca="1" si="137"/>
        <v>-1.7778682016659341E-3</v>
      </c>
    </row>
    <row r="2841" spans="2:7" x14ac:dyDescent="0.25">
      <c r="B2841" s="348" t="s">
        <v>2276</v>
      </c>
      <c r="C2841" s="293">
        <v>94.95</v>
      </c>
      <c r="D2841" s="230">
        <f t="shared" si="136"/>
        <v>2.3057860144380937E-2</v>
      </c>
      <c r="E2841" s="293">
        <v>-5.4058844381424942E-3</v>
      </c>
      <c r="F2841" s="266">
        <f t="shared" si="138"/>
        <v>2834</v>
      </c>
      <c r="G2841" s="230">
        <f t="shared" ca="1" si="137"/>
        <v>-7.7919292268214205E-3</v>
      </c>
    </row>
    <row r="2842" spans="2:7" x14ac:dyDescent="0.25">
      <c r="B2842" s="348" t="s">
        <v>2277</v>
      </c>
      <c r="C2842" s="293">
        <v>92.81</v>
      </c>
      <c r="D2842" s="230">
        <f t="shared" si="136"/>
        <v>-3.0603718404010771E-2</v>
      </c>
      <c r="E2842" s="293">
        <v>-5.4151624548736121E-3</v>
      </c>
      <c r="F2842" s="266">
        <f t="shared" si="138"/>
        <v>2835</v>
      </c>
      <c r="G2842" s="230">
        <f t="shared" ca="1" si="137"/>
        <v>-2.3245019272843108E-2</v>
      </c>
    </row>
    <row r="2843" spans="2:7" x14ac:dyDescent="0.25">
      <c r="B2843" s="348" t="s">
        <v>2278</v>
      </c>
      <c r="C2843" s="293">
        <v>95.74</v>
      </c>
      <c r="D2843" s="230">
        <f t="shared" si="136"/>
        <v>1.894423158790981E-2</v>
      </c>
      <c r="E2843" s="293">
        <v>-5.4219707685054797E-3</v>
      </c>
      <c r="F2843" s="266">
        <f t="shared" si="138"/>
        <v>2836</v>
      </c>
      <c r="G2843" s="230">
        <f t="shared" ca="1" si="137"/>
        <v>-3.6365696971830827E-2</v>
      </c>
    </row>
    <row r="2844" spans="2:7" x14ac:dyDescent="0.25">
      <c r="B2844" s="348" t="s">
        <v>2279</v>
      </c>
      <c r="C2844" s="293">
        <v>93.96</v>
      </c>
      <c r="D2844" s="230">
        <f t="shared" si="136"/>
        <v>2.6324412889131565E-2</v>
      </c>
      <c r="E2844" s="293">
        <v>-5.4303556882974169E-3</v>
      </c>
      <c r="F2844" s="266">
        <f t="shared" si="138"/>
        <v>2837</v>
      </c>
      <c r="G2844" s="230">
        <f t="shared" ca="1" si="137"/>
        <v>-2.7251734590134358E-2</v>
      </c>
    </row>
    <row r="2845" spans="2:7" x14ac:dyDescent="0.25">
      <c r="B2845" s="348">
        <v>41588</v>
      </c>
      <c r="C2845" s="293">
        <v>91.55</v>
      </c>
      <c r="D2845" s="230">
        <f t="shared" si="136"/>
        <v>1.6883261135177019E-2</v>
      </c>
      <c r="E2845" s="293">
        <v>-5.4615384615385176E-3</v>
      </c>
      <c r="F2845" s="266">
        <f t="shared" si="138"/>
        <v>2838</v>
      </c>
      <c r="G2845" s="230">
        <f t="shared" ca="1" si="137"/>
        <v>1.3470320108343778E-2</v>
      </c>
    </row>
    <row r="2846" spans="2:7" x14ac:dyDescent="0.25">
      <c r="B2846" s="348">
        <v>41557</v>
      </c>
      <c r="C2846" s="293">
        <v>90.03</v>
      </c>
      <c r="D2846" s="230">
        <f t="shared" si="136"/>
        <v>6.1466249441215481E-3</v>
      </c>
      <c r="E2846" s="293">
        <v>-5.4916588954512235E-3</v>
      </c>
      <c r="F2846" s="266">
        <f t="shared" si="138"/>
        <v>2839</v>
      </c>
      <c r="G2846" s="230">
        <f t="shared" ca="1" si="137"/>
        <v>6.2731415315023208E-3</v>
      </c>
    </row>
    <row r="2847" spans="2:7" x14ac:dyDescent="0.25">
      <c r="B2847" s="348">
        <v>41527</v>
      </c>
      <c r="C2847" s="293">
        <v>89.48</v>
      </c>
      <c r="D2847" s="230">
        <f t="shared" si="136"/>
        <v>-1.2906784335355748E-2</v>
      </c>
      <c r="E2847" s="293">
        <v>-5.4926192928252959E-3</v>
      </c>
      <c r="F2847" s="266">
        <f t="shared" si="138"/>
        <v>2840</v>
      </c>
      <c r="G2847" s="230">
        <f t="shared" ca="1" si="137"/>
        <v>-2.7277960415397914E-3</v>
      </c>
    </row>
    <row r="2848" spans="2:7" x14ac:dyDescent="0.25">
      <c r="B2848" s="348">
        <v>41496</v>
      </c>
      <c r="C2848" s="293">
        <v>90.65</v>
      </c>
      <c r="D2848" s="230">
        <f t="shared" si="136"/>
        <v>2.9873865899536778E-3</v>
      </c>
      <c r="E2848" s="293">
        <v>-5.5020632737277086E-3</v>
      </c>
      <c r="F2848" s="266">
        <f t="shared" si="138"/>
        <v>2841</v>
      </c>
      <c r="G2848" s="230">
        <f t="shared" ca="1" si="137"/>
        <v>9.6371618949648262E-3</v>
      </c>
    </row>
    <row r="2849" spans="2:7" x14ac:dyDescent="0.25">
      <c r="B2849" s="348">
        <v>41465</v>
      </c>
      <c r="C2849" s="293">
        <v>90.38</v>
      </c>
      <c r="D2849" s="230">
        <f t="shared" si="136"/>
        <v>-1.8774157923798773E-3</v>
      </c>
      <c r="E2849" s="293">
        <v>-5.5096418732781816E-3</v>
      </c>
      <c r="F2849" s="266">
        <f t="shared" si="138"/>
        <v>2842</v>
      </c>
      <c r="G2849" s="230">
        <f t="shared" ca="1" si="137"/>
        <v>-1.4516176621505923E-3</v>
      </c>
    </row>
    <row r="2850" spans="2:7" x14ac:dyDescent="0.25">
      <c r="B2850" s="348">
        <v>41374</v>
      </c>
      <c r="C2850" s="293">
        <v>90.55</v>
      </c>
      <c r="D2850" s="230">
        <f t="shared" si="136"/>
        <v>-4.5074758135443815E-3</v>
      </c>
      <c r="E2850" s="293">
        <v>-5.5123216601815628E-3</v>
      </c>
      <c r="F2850" s="266">
        <f t="shared" si="138"/>
        <v>2843</v>
      </c>
      <c r="G2850" s="230">
        <f t="shared" ca="1" si="137"/>
        <v>6.0538926148503789E-3</v>
      </c>
    </row>
    <row r="2851" spans="2:7" x14ac:dyDescent="0.25">
      <c r="B2851" s="348">
        <v>41343</v>
      </c>
      <c r="C2851" s="293">
        <v>90.96</v>
      </c>
      <c r="D2851" s="230">
        <f t="shared" si="136"/>
        <v>2.8145133943709766E-2</v>
      </c>
      <c r="E2851" s="293">
        <v>-5.51800248310097E-3</v>
      </c>
      <c r="F2851" s="266">
        <f t="shared" si="138"/>
        <v>2844</v>
      </c>
      <c r="G2851" s="230">
        <f t="shared" ca="1" si="137"/>
        <v>-3.3867251491934082E-5</v>
      </c>
    </row>
    <row r="2852" spans="2:7" x14ac:dyDescent="0.25">
      <c r="B2852" s="348">
        <v>41284</v>
      </c>
      <c r="C2852" s="293">
        <v>88.47</v>
      </c>
      <c r="D2852" s="230">
        <f t="shared" si="136"/>
        <v>-2.5930101465614364E-3</v>
      </c>
      <c r="E2852" s="293">
        <v>-5.5182562310310823E-3</v>
      </c>
      <c r="F2852" s="266">
        <f t="shared" si="138"/>
        <v>2845</v>
      </c>
      <c r="G2852" s="230">
        <f t="shared" ca="1" si="137"/>
        <v>-2.0005623075194288E-2</v>
      </c>
    </row>
    <row r="2853" spans="2:7" x14ac:dyDescent="0.25">
      <c r="B2853" s="348" t="s">
        <v>2280</v>
      </c>
      <c r="C2853" s="293">
        <v>88.7</v>
      </c>
      <c r="D2853" s="230">
        <f t="shared" si="136"/>
        <v>-5.828289621161109E-3</v>
      </c>
      <c r="E2853" s="293">
        <v>-5.5248618784531356E-3</v>
      </c>
      <c r="F2853" s="266">
        <f t="shared" si="138"/>
        <v>2846</v>
      </c>
      <c r="G2853" s="230">
        <f t="shared" ca="1" si="137"/>
        <v>2.6327604924115629E-2</v>
      </c>
    </row>
    <row r="2854" spans="2:7" x14ac:dyDescent="0.25">
      <c r="B2854" s="348" t="s">
        <v>2281</v>
      </c>
      <c r="C2854" s="293">
        <v>89.22</v>
      </c>
      <c r="D2854" s="230">
        <f t="shared" si="136"/>
        <v>-5.018400802944134E-3</v>
      </c>
      <c r="E2854" s="293">
        <v>-5.5253974408684403E-3</v>
      </c>
      <c r="F2854" s="266">
        <f t="shared" si="138"/>
        <v>2847</v>
      </c>
      <c r="G2854" s="230">
        <f t="shared" ca="1" si="137"/>
        <v>-2.3965762324367333E-2</v>
      </c>
    </row>
    <row r="2855" spans="2:7" x14ac:dyDescent="0.25">
      <c r="B2855" s="348" t="s">
        <v>2282</v>
      </c>
      <c r="C2855" s="293">
        <v>89.67</v>
      </c>
      <c r="D2855" s="230">
        <f t="shared" si="136"/>
        <v>5.6072670180553619E-3</v>
      </c>
      <c r="E2855" s="293">
        <v>-5.5264688772542758E-3</v>
      </c>
      <c r="F2855" s="266">
        <f t="shared" si="138"/>
        <v>2848</v>
      </c>
      <c r="G2855" s="230">
        <f t="shared" ca="1" si="137"/>
        <v>-6.4929234233230774E-3</v>
      </c>
    </row>
    <row r="2856" spans="2:7" x14ac:dyDescent="0.25">
      <c r="B2856" s="348" t="s">
        <v>2283</v>
      </c>
      <c r="C2856" s="293">
        <v>89.17</v>
      </c>
      <c r="D2856" s="230">
        <f t="shared" si="136"/>
        <v>-4.7991071428570287E-3</v>
      </c>
      <c r="E2856" s="293">
        <v>-5.5301296720060567E-3</v>
      </c>
      <c r="F2856" s="266">
        <f t="shared" si="138"/>
        <v>2849</v>
      </c>
      <c r="G2856" s="230">
        <f t="shared" ca="1" si="137"/>
        <v>-2.1842225715132037E-2</v>
      </c>
    </row>
    <row r="2857" spans="2:7" x14ac:dyDescent="0.25">
      <c r="B2857" s="348" t="s">
        <v>2284</v>
      </c>
      <c r="C2857" s="293">
        <v>89.6</v>
      </c>
      <c r="D2857" s="230">
        <f t="shared" si="136"/>
        <v>-1.1692036179130838E-2</v>
      </c>
      <c r="E2857" s="293">
        <v>-5.5411170499680695E-3</v>
      </c>
      <c r="F2857" s="266">
        <f t="shared" si="138"/>
        <v>2850</v>
      </c>
      <c r="G2857" s="230">
        <f t="shared" ca="1" si="137"/>
        <v>2.5110499979237016E-3</v>
      </c>
    </row>
    <row r="2858" spans="2:7" x14ac:dyDescent="0.25">
      <c r="B2858" s="348" t="s">
        <v>2285</v>
      </c>
      <c r="C2858" s="293">
        <v>90.66</v>
      </c>
      <c r="D2858" s="230">
        <f t="shared" si="136"/>
        <v>1.819407008086249E-2</v>
      </c>
      <c r="E2858" s="293">
        <v>-5.5429080471147696E-3</v>
      </c>
      <c r="F2858" s="266">
        <f t="shared" si="138"/>
        <v>2851</v>
      </c>
      <c r="G2858" s="230">
        <f t="shared" ca="1" si="137"/>
        <v>2.8044190625640896E-3</v>
      </c>
    </row>
    <row r="2859" spans="2:7" x14ac:dyDescent="0.25">
      <c r="B2859" s="348" t="s">
        <v>2286</v>
      </c>
      <c r="C2859" s="293">
        <v>89.04</v>
      </c>
      <c r="D2859" s="230">
        <f t="shared" si="136"/>
        <v>6.1016949152543631E-3</v>
      </c>
      <c r="E2859" s="293">
        <v>-5.5517002081886258E-3</v>
      </c>
      <c r="F2859" s="266">
        <f t="shared" si="138"/>
        <v>2852</v>
      </c>
      <c r="G2859" s="230">
        <f t="shared" ca="1" si="137"/>
        <v>1.9118675068112282E-4</v>
      </c>
    </row>
    <row r="2860" spans="2:7" x14ac:dyDescent="0.25">
      <c r="B2860" s="348" t="s">
        <v>2287</v>
      </c>
      <c r="C2860" s="293">
        <v>88.5</v>
      </c>
      <c r="D2860" s="230">
        <f t="shared" si="136"/>
        <v>-1.8084988350160813E-2</v>
      </c>
      <c r="E2860" s="293">
        <v>-5.5555555555556468E-3</v>
      </c>
      <c r="F2860" s="266">
        <f t="shared" si="138"/>
        <v>2853</v>
      </c>
      <c r="G2860" s="230">
        <f t="shared" ca="1" si="137"/>
        <v>-2.44840371621622E-4</v>
      </c>
    </row>
    <row r="2861" spans="2:7" x14ac:dyDescent="0.25">
      <c r="B2861" s="348" t="s">
        <v>2288</v>
      </c>
      <c r="C2861" s="293">
        <v>90.13</v>
      </c>
      <c r="D2861" s="230">
        <f t="shared" si="136"/>
        <v>1.2128017967433902E-2</v>
      </c>
      <c r="E2861" s="293">
        <v>-5.5646481178396323E-3</v>
      </c>
      <c r="F2861" s="266">
        <f t="shared" si="138"/>
        <v>2854</v>
      </c>
      <c r="G2861" s="230">
        <f t="shared" ca="1" si="137"/>
        <v>-4.83383919422768E-2</v>
      </c>
    </row>
    <row r="2862" spans="2:7" x14ac:dyDescent="0.25">
      <c r="B2862" s="348" t="s">
        <v>2289</v>
      </c>
      <c r="C2862" s="293">
        <v>89.05</v>
      </c>
      <c r="D2862" s="230">
        <f t="shared" si="136"/>
        <v>5.1481875073798644E-2</v>
      </c>
      <c r="E2862" s="293">
        <v>-5.5647465784327554E-3</v>
      </c>
      <c r="F2862" s="266">
        <f t="shared" si="138"/>
        <v>2855</v>
      </c>
      <c r="G2862" s="230">
        <f t="shared" ca="1" si="137"/>
        <v>-1.8393462495794564E-2</v>
      </c>
    </row>
    <row r="2863" spans="2:7" x14ac:dyDescent="0.25">
      <c r="B2863" s="348" t="s">
        <v>2290</v>
      </c>
      <c r="C2863" s="293">
        <v>84.69</v>
      </c>
      <c r="D2863" s="230">
        <f t="shared" si="136"/>
        <v>-8.4299262381454243E-3</v>
      </c>
      <c r="E2863" s="293">
        <v>-5.5685814771394559E-3</v>
      </c>
      <c r="F2863" s="266">
        <f t="shared" si="138"/>
        <v>2856</v>
      </c>
      <c r="G2863" s="230">
        <f t="shared" ca="1" si="137"/>
        <v>6.0014435756565454E-4</v>
      </c>
    </row>
    <row r="2864" spans="2:7" x14ac:dyDescent="0.25">
      <c r="B2864" s="348" t="s">
        <v>2291</v>
      </c>
      <c r="C2864" s="293">
        <v>85.41</v>
      </c>
      <c r="D2864" s="230">
        <f t="shared" si="136"/>
        <v>-3.4697106690777635E-2</v>
      </c>
      <c r="E2864" s="293">
        <v>-5.5756899916363789E-3</v>
      </c>
      <c r="F2864" s="266">
        <f t="shared" si="138"/>
        <v>2857</v>
      </c>
      <c r="G2864" s="230">
        <f t="shared" ca="1" si="137"/>
        <v>7.644982360014708E-3</v>
      </c>
    </row>
    <row r="2865" spans="2:7" x14ac:dyDescent="0.25">
      <c r="B2865" s="348">
        <v>41617</v>
      </c>
      <c r="C2865" s="293">
        <v>88.48</v>
      </c>
      <c r="D2865" s="230">
        <f t="shared" si="136"/>
        <v>-6.5124635077475901E-3</v>
      </c>
      <c r="E2865" s="293">
        <v>-5.5957099557006895E-3</v>
      </c>
      <c r="F2865" s="266">
        <f t="shared" si="138"/>
        <v>2858</v>
      </c>
      <c r="G2865" s="230">
        <f t="shared" ca="1" si="137"/>
        <v>4.3967279813513062E-3</v>
      </c>
    </row>
    <row r="2866" spans="2:7" x14ac:dyDescent="0.25">
      <c r="B2866" s="348">
        <v>41587</v>
      </c>
      <c r="C2866" s="293">
        <v>89.06</v>
      </c>
      <c r="D2866" s="230">
        <f t="shared" si="136"/>
        <v>6.2139871200994623E-3</v>
      </c>
      <c r="E2866" s="293">
        <v>-5.6064474145267607E-3</v>
      </c>
      <c r="F2866" s="266">
        <f t="shared" si="138"/>
        <v>2859</v>
      </c>
      <c r="G2866" s="230">
        <f t="shared" ca="1" si="137"/>
        <v>-1.0809435362632827E-2</v>
      </c>
    </row>
    <row r="2867" spans="2:7" x14ac:dyDescent="0.25">
      <c r="B2867" s="348">
        <v>41556</v>
      </c>
      <c r="C2867" s="293">
        <v>88.51</v>
      </c>
      <c r="D2867" s="230">
        <f t="shared" si="136"/>
        <v>7.6275045537341768E-3</v>
      </c>
      <c r="E2867" s="293">
        <v>-5.6124458448209014E-3</v>
      </c>
      <c r="F2867" s="266">
        <f t="shared" si="138"/>
        <v>2860</v>
      </c>
      <c r="G2867" s="230">
        <f t="shared" ca="1" si="137"/>
        <v>-5.6098321833839265E-3</v>
      </c>
    </row>
    <row r="2868" spans="2:7" x14ac:dyDescent="0.25">
      <c r="B2868" s="348">
        <v>41434</v>
      </c>
      <c r="C2868" s="293">
        <v>87.84</v>
      </c>
      <c r="D2868" s="230">
        <f t="shared" si="136"/>
        <v>-9.0991810737028889E-4</v>
      </c>
      <c r="E2868" s="293">
        <v>-5.6184349808647838E-3</v>
      </c>
      <c r="F2868" s="266">
        <f t="shared" si="138"/>
        <v>2861</v>
      </c>
      <c r="G2868" s="230">
        <f t="shared" ca="1" si="137"/>
        <v>1.0434214732797108E-2</v>
      </c>
    </row>
    <row r="2869" spans="2:7" x14ac:dyDescent="0.25">
      <c r="B2869" s="348">
        <v>41403</v>
      </c>
      <c r="C2869" s="293">
        <v>87.92</v>
      </c>
      <c r="D2869" s="230">
        <f t="shared" si="136"/>
        <v>-2.5709219858155996E-2</v>
      </c>
      <c r="E2869" s="293">
        <v>-5.6196688409433371E-3</v>
      </c>
      <c r="F2869" s="266">
        <f t="shared" si="138"/>
        <v>2862</v>
      </c>
      <c r="G2869" s="230">
        <f t="shared" ca="1" si="137"/>
        <v>7.9833759154619467E-3</v>
      </c>
    </row>
    <row r="2870" spans="2:7" x14ac:dyDescent="0.25">
      <c r="B2870" s="348">
        <v>41373</v>
      </c>
      <c r="C2870" s="293">
        <v>90.24</v>
      </c>
      <c r="D2870" s="230">
        <f t="shared" si="136"/>
        <v>4.0053404539386328E-3</v>
      </c>
      <c r="E2870" s="293">
        <v>-5.6205657421910526E-3</v>
      </c>
      <c r="F2870" s="266">
        <f t="shared" si="138"/>
        <v>2863</v>
      </c>
      <c r="G2870" s="230">
        <f t="shared" ca="1" si="137"/>
        <v>-4.7115726664119801E-3</v>
      </c>
    </row>
    <row r="2871" spans="2:7" x14ac:dyDescent="0.25">
      <c r="B2871" s="348">
        <v>41342</v>
      </c>
      <c r="C2871" s="293">
        <v>89.88</v>
      </c>
      <c r="D2871" s="230">
        <f t="shared" si="136"/>
        <v>-1.0459099416492368E-2</v>
      </c>
      <c r="E2871" s="293">
        <v>-5.6219255094870357E-3</v>
      </c>
      <c r="F2871" s="266">
        <f t="shared" si="138"/>
        <v>2864</v>
      </c>
      <c r="G2871" s="230">
        <f t="shared" ca="1" si="137"/>
        <v>4.315855744845009E-3</v>
      </c>
    </row>
    <row r="2872" spans="2:7" x14ac:dyDescent="0.25">
      <c r="B2872" s="348">
        <v>41314</v>
      </c>
      <c r="C2872" s="293">
        <v>90.83</v>
      </c>
      <c r="D2872" s="230">
        <f t="shared" si="136"/>
        <v>1.764641005845391E-3</v>
      </c>
      <c r="E2872" s="293">
        <v>-5.6227348169224367E-3</v>
      </c>
      <c r="F2872" s="266">
        <f t="shared" si="138"/>
        <v>2865</v>
      </c>
      <c r="G2872" s="230">
        <f t="shared" ca="1" si="137"/>
        <v>-6.7938481687960387E-3</v>
      </c>
    </row>
    <row r="2873" spans="2:7" x14ac:dyDescent="0.25">
      <c r="B2873" s="348" t="s">
        <v>2292</v>
      </c>
      <c r="C2873" s="293">
        <v>90.67</v>
      </c>
      <c r="D2873" s="230">
        <f t="shared" si="136"/>
        <v>2.1403627351582744E-2</v>
      </c>
      <c r="E2873" s="293">
        <v>-5.6265335476773926E-3</v>
      </c>
      <c r="F2873" s="266">
        <f t="shared" si="138"/>
        <v>2866</v>
      </c>
      <c r="G2873" s="230">
        <f t="shared" ca="1" si="137"/>
        <v>-1.3755806508837799E-2</v>
      </c>
    </row>
    <row r="2874" spans="2:7" x14ac:dyDescent="0.25">
      <c r="B2874" s="348" t="s">
        <v>2293</v>
      </c>
      <c r="C2874" s="293">
        <v>88.77</v>
      </c>
      <c r="D2874" s="230">
        <f t="shared" si="136"/>
        <v>4.1855203619909354E-3</v>
      </c>
      <c r="E2874" s="293">
        <v>-5.6400615279439403E-3</v>
      </c>
      <c r="F2874" s="266">
        <f t="shared" si="138"/>
        <v>2867</v>
      </c>
      <c r="G2874" s="230">
        <f t="shared" ca="1" si="137"/>
        <v>-3.665944624298376E-3</v>
      </c>
    </row>
    <row r="2875" spans="2:7" x14ac:dyDescent="0.25">
      <c r="B2875" s="348" t="s">
        <v>2294</v>
      </c>
      <c r="C2875" s="293">
        <v>88.4</v>
      </c>
      <c r="D2875" s="230">
        <f t="shared" si="136"/>
        <v>3.6342321219226426E-2</v>
      </c>
      <c r="E2875" s="293">
        <v>-5.6429548563611265E-3</v>
      </c>
      <c r="F2875" s="266">
        <f t="shared" si="138"/>
        <v>2868</v>
      </c>
      <c r="G2875" s="230">
        <f t="shared" ca="1" si="137"/>
        <v>-2.6453995674707569E-2</v>
      </c>
    </row>
    <row r="2876" spans="2:7" x14ac:dyDescent="0.25">
      <c r="B2876" s="348" t="s">
        <v>2295</v>
      </c>
      <c r="C2876" s="293">
        <v>85.3</v>
      </c>
      <c r="D2876" s="230">
        <f t="shared" si="136"/>
        <v>-9.0613382899628059E-3</v>
      </c>
      <c r="E2876" s="293">
        <v>-5.6459960478026927E-3</v>
      </c>
      <c r="F2876" s="266">
        <f t="shared" si="138"/>
        <v>2869</v>
      </c>
      <c r="G2876" s="230">
        <f t="shared" ca="1" si="137"/>
        <v>-2.2698754331441445E-2</v>
      </c>
    </row>
    <row r="2877" spans="2:7" x14ac:dyDescent="0.25">
      <c r="B2877" s="348" t="s">
        <v>2296</v>
      </c>
      <c r="C2877" s="293">
        <v>86.08</v>
      </c>
      <c r="D2877" s="230">
        <f t="shared" si="136"/>
        <v>2.4274155164207389E-2</v>
      </c>
      <c r="E2877" s="293">
        <v>-5.664169559656429E-3</v>
      </c>
      <c r="F2877" s="266">
        <f t="shared" si="138"/>
        <v>2870</v>
      </c>
      <c r="G2877" s="230">
        <f t="shared" ca="1" si="137"/>
        <v>1.4078520227829131E-2</v>
      </c>
    </row>
    <row r="2878" spans="2:7" x14ac:dyDescent="0.25">
      <c r="B2878" s="348" t="s">
        <v>2297</v>
      </c>
      <c r="C2878" s="293">
        <v>84.04</v>
      </c>
      <c r="D2878" s="230">
        <f t="shared" si="136"/>
        <v>7.9155672823221224E-3</v>
      </c>
      <c r="E2878" s="293">
        <v>-5.6717476072315476E-3</v>
      </c>
      <c r="F2878" s="266">
        <f t="shared" si="138"/>
        <v>2871</v>
      </c>
      <c r="G2878" s="230">
        <f t="shared" ca="1" si="137"/>
        <v>9.2627785146720413E-4</v>
      </c>
    </row>
    <row r="2879" spans="2:7" x14ac:dyDescent="0.25">
      <c r="B2879" s="348" t="s">
        <v>2298</v>
      </c>
      <c r="C2879" s="293">
        <v>83.38</v>
      </c>
      <c r="D2879" s="230">
        <f t="shared" si="136"/>
        <v>6.1542174490163415E-3</v>
      </c>
      <c r="E2879" s="293">
        <v>-5.6823474615742553E-3</v>
      </c>
      <c r="F2879" s="266">
        <f t="shared" si="138"/>
        <v>2872</v>
      </c>
      <c r="G2879" s="230">
        <f t="shared" ca="1" si="137"/>
        <v>-4.0527840068255404E-3</v>
      </c>
    </row>
    <row r="2880" spans="2:7" x14ac:dyDescent="0.25">
      <c r="B2880" s="348" t="s">
        <v>2299</v>
      </c>
      <c r="C2880" s="293">
        <v>82.87</v>
      </c>
      <c r="D2880" s="230">
        <f t="shared" si="136"/>
        <v>-1.4039262343842895E-2</v>
      </c>
      <c r="E2880" s="293">
        <v>-5.6823748407954788E-3</v>
      </c>
      <c r="F2880" s="266">
        <f t="shared" si="138"/>
        <v>2873</v>
      </c>
      <c r="G2880" s="230">
        <f t="shared" ca="1" si="137"/>
        <v>3.603036237079791E-2</v>
      </c>
    </row>
    <row r="2881" spans="2:7" x14ac:dyDescent="0.25">
      <c r="B2881" s="348" t="s">
        <v>2300</v>
      </c>
      <c r="C2881" s="293">
        <v>84.05</v>
      </c>
      <c r="D2881" s="230">
        <f t="shared" si="136"/>
        <v>-1.7878008880579555E-2</v>
      </c>
      <c r="E2881" s="293">
        <v>-5.6980056980058258E-3</v>
      </c>
      <c r="F2881" s="266">
        <f t="shared" si="138"/>
        <v>2874</v>
      </c>
      <c r="G2881" s="230">
        <f t="shared" ca="1" si="137"/>
        <v>-5.1397926157974783E-2</v>
      </c>
    </row>
    <row r="2882" spans="2:7" x14ac:dyDescent="0.25">
      <c r="B2882" s="348" t="s">
        <v>2301</v>
      </c>
      <c r="C2882" s="293">
        <v>85.58</v>
      </c>
      <c r="D2882" s="230">
        <f t="shared" si="136"/>
        <v>-1.1683607898127502E-4</v>
      </c>
      <c r="E2882" s="293">
        <v>-5.7127061641942811E-3</v>
      </c>
      <c r="F2882" s="266">
        <f t="shared" si="138"/>
        <v>2875</v>
      </c>
      <c r="G2882" s="230">
        <f t="shared" ca="1" si="137"/>
        <v>-2.5671656748525611E-2</v>
      </c>
    </row>
    <row r="2883" spans="2:7" x14ac:dyDescent="0.25">
      <c r="B2883" s="348" t="s">
        <v>2302</v>
      </c>
      <c r="C2883" s="293">
        <v>85.59</v>
      </c>
      <c r="D2883" s="230">
        <f t="shared" si="136"/>
        <v>-7.8822302074880168E-3</v>
      </c>
      <c r="E2883" s="293">
        <v>-5.7162358160565141E-3</v>
      </c>
      <c r="F2883" s="266">
        <f t="shared" si="138"/>
        <v>2876</v>
      </c>
      <c r="G2883" s="230">
        <f t="shared" ca="1" si="137"/>
        <v>2.0738626378357591E-3</v>
      </c>
    </row>
    <row r="2884" spans="2:7" x14ac:dyDescent="0.25">
      <c r="B2884" s="348" t="s">
        <v>2303</v>
      </c>
      <c r="C2884" s="293">
        <v>86.27</v>
      </c>
      <c r="D2884" s="230">
        <f t="shared" si="136"/>
        <v>-1.596897456370483E-2</v>
      </c>
      <c r="E2884" s="293">
        <v>-5.7367149758453806E-3</v>
      </c>
      <c r="F2884" s="266">
        <f t="shared" si="138"/>
        <v>2877</v>
      </c>
      <c r="G2884" s="230">
        <f t="shared" ca="1" si="137"/>
        <v>1.2620008551340626E-2</v>
      </c>
    </row>
    <row r="2885" spans="2:7" x14ac:dyDescent="0.25">
      <c r="B2885" s="348" t="s">
        <v>2304</v>
      </c>
      <c r="C2885" s="293">
        <v>87.67</v>
      </c>
      <c r="D2885" s="230">
        <f t="shared" si="136"/>
        <v>2.8266479005395251E-2</v>
      </c>
      <c r="E2885" s="293">
        <v>-5.7377049180329376E-3</v>
      </c>
      <c r="F2885" s="266">
        <f t="shared" si="138"/>
        <v>2878</v>
      </c>
      <c r="G2885" s="230">
        <f t="shared" ca="1" si="137"/>
        <v>2.0801025624861483E-2</v>
      </c>
    </row>
    <row r="2886" spans="2:7" x14ac:dyDescent="0.25">
      <c r="B2886" s="348">
        <v>41616</v>
      </c>
      <c r="C2886" s="293">
        <v>85.26</v>
      </c>
      <c r="D2886" s="230">
        <f t="shared" si="136"/>
        <v>1.6937022900763488E-2</v>
      </c>
      <c r="E2886" s="293">
        <v>-5.7471264367816577E-3</v>
      </c>
      <c r="F2886" s="266">
        <f t="shared" si="138"/>
        <v>2879</v>
      </c>
      <c r="G2886" s="230">
        <f t="shared" ca="1" si="137"/>
        <v>-3.0736475586345693E-2</v>
      </c>
    </row>
    <row r="2887" spans="2:7" x14ac:dyDescent="0.25">
      <c r="B2887" s="348">
        <v>41494</v>
      </c>
      <c r="C2887" s="293">
        <v>83.84</v>
      </c>
      <c r="D2887" s="230">
        <f t="shared" si="136"/>
        <v>-8.631902565921612E-3</v>
      </c>
      <c r="E2887" s="293">
        <v>-5.7600312408474519E-3</v>
      </c>
      <c r="F2887" s="266">
        <f t="shared" si="138"/>
        <v>2880</v>
      </c>
      <c r="G2887" s="230">
        <f t="shared" ca="1" si="137"/>
        <v>2.8566408828709115E-3</v>
      </c>
    </row>
    <row r="2888" spans="2:7" x14ac:dyDescent="0.25">
      <c r="B2888" s="348">
        <v>41463</v>
      </c>
      <c r="C2888" s="293">
        <v>84.57</v>
      </c>
      <c r="D2888" s="230">
        <f t="shared" si="136"/>
        <v>-5.9087686126224614E-4</v>
      </c>
      <c r="E2888" s="293">
        <v>-5.8053359683793992E-3</v>
      </c>
      <c r="F2888" s="266">
        <f t="shared" si="138"/>
        <v>2881</v>
      </c>
      <c r="G2888" s="230">
        <f t="shared" ca="1" si="137"/>
        <v>-5.9384235295540776E-3</v>
      </c>
    </row>
    <row r="2889" spans="2:7" x14ac:dyDescent="0.25">
      <c r="B2889" s="348">
        <v>41433</v>
      </c>
      <c r="C2889" s="293">
        <v>84.62</v>
      </c>
      <c r="D2889" s="230">
        <f t="shared" ref="D2889:D2952" si="139">C2889/C2890-1</f>
        <v>4.6301792710434775E-3</v>
      </c>
      <c r="E2889" s="293">
        <v>-5.8126017205301084E-3</v>
      </c>
      <c r="F2889" s="266">
        <f t="shared" si="138"/>
        <v>2882</v>
      </c>
      <c r="G2889" s="230">
        <f t="shared" ref="G2889:G2952" ca="1" si="140">_xlfn.NORM.INV(RAND(),$M$10,$M$11)</f>
        <v>-7.3716394396469414E-3</v>
      </c>
    </row>
    <row r="2890" spans="2:7" x14ac:dyDescent="0.25">
      <c r="B2890" s="348">
        <v>41402</v>
      </c>
      <c r="C2890" s="293">
        <v>84.23</v>
      </c>
      <c r="D2890" s="230">
        <f t="shared" si="139"/>
        <v>2.3948456114758043E-2</v>
      </c>
      <c r="E2890" s="293">
        <v>-5.8255659121172476E-3</v>
      </c>
      <c r="F2890" s="266">
        <f t="shared" ref="F2890:F2953" si="141">F2889+1</f>
        <v>2883</v>
      </c>
      <c r="G2890" s="230">
        <f t="shared" ca="1" si="140"/>
        <v>-1.4731929612580264E-2</v>
      </c>
    </row>
    <row r="2891" spans="2:7" x14ac:dyDescent="0.25">
      <c r="B2891" s="348">
        <v>41313</v>
      </c>
      <c r="C2891" s="293">
        <v>82.26</v>
      </c>
      <c r="D2891" s="230">
        <f t="shared" si="139"/>
        <v>5.2547965293903154E-3</v>
      </c>
      <c r="E2891" s="293">
        <v>-5.828289621161109E-3</v>
      </c>
      <c r="F2891" s="266">
        <f t="shared" si="141"/>
        <v>2884</v>
      </c>
      <c r="G2891" s="230">
        <f t="shared" ca="1" si="140"/>
        <v>-1.2766786895190277E-2</v>
      </c>
    </row>
    <row r="2892" spans="2:7" x14ac:dyDescent="0.25">
      <c r="B2892" s="348">
        <v>41282</v>
      </c>
      <c r="C2892" s="293">
        <v>81.83</v>
      </c>
      <c r="D2892" s="230">
        <f t="shared" si="139"/>
        <v>-3.5314174378958674E-3</v>
      </c>
      <c r="E2892" s="293">
        <v>-5.8309037900874383E-3</v>
      </c>
      <c r="F2892" s="266">
        <f t="shared" si="141"/>
        <v>2885</v>
      </c>
      <c r="G2892" s="230">
        <f t="shared" ca="1" si="140"/>
        <v>-5.4244337948766491E-3</v>
      </c>
    </row>
    <row r="2893" spans="2:7" x14ac:dyDescent="0.25">
      <c r="B2893" s="348" t="s">
        <v>2305</v>
      </c>
      <c r="C2893" s="293">
        <v>82.12</v>
      </c>
      <c r="D2893" s="230">
        <f t="shared" si="139"/>
        <v>4.5715013370686508E-2</v>
      </c>
      <c r="E2893" s="293">
        <v>-5.8309037900875493E-3</v>
      </c>
      <c r="F2893" s="266">
        <f t="shared" si="141"/>
        <v>2886</v>
      </c>
      <c r="G2893" s="230">
        <f t="shared" ca="1" si="140"/>
        <v>-8.294331157641199E-3</v>
      </c>
    </row>
    <row r="2894" spans="2:7" x14ac:dyDescent="0.25">
      <c r="B2894" s="348" t="s">
        <v>2306</v>
      </c>
      <c r="C2894" s="293">
        <v>78.53</v>
      </c>
      <c r="D2894" s="230">
        <f t="shared" si="139"/>
        <v>2.6401777545418836E-2</v>
      </c>
      <c r="E2894" s="293">
        <v>-5.8479532163743242E-3</v>
      </c>
      <c r="F2894" s="266">
        <f t="shared" si="141"/>
        <v>2887</v>
      </c>
      <c r="G2894" s="230">
        <f t="shared" ca="1" si="140"/>
        <v>-1.7238368196815922E-2</v>
      </c>
    </row>
    <row r="2895" spans="2:7" x14ac:dyDescent="0.25">
      <c r="B2895" s="348" t="s">
        <v>2307</v>
      </c>
      <c r="C2895" s="293">
        <v>76.510000000000005</v>
      </c>
      <c r="D2895" s="230">
        <f t="shared" si="139"/>
        <v>6.8277017592851097E-2</v>
      </c>
      <c r="E2895" s="293">
        <v>-5.8539304961904293E-3</v>
      </c>
      <c r="F2895" s="266">
        <f t="shared" si="141"/>
        <v>2888</v>
      </c>
      <c r="G2895" s="230">
        <f t="shared" ca="1" si="140"/>
        <v>1.934680712370767E-2</v>
      </c>
    </row>
    <row r="2896" spans="2:7" x14ac:dyDescent="0.25">
      <c r="B2896" s="348" t="s">
        <v>2308</v>
      </c>
      <c r="C2896" s="293">
        <v>71.62</v>
      </c>
      <c r="D2896" s="230">
        <f t="shared" si="139"/>
        <v>1.5166548547129732E-2</v>
      </c>
      <c r="E2896" s="293">
        <v>-5.8562836340613211E-3</v>
      </c>
      <c r="F2896" s="266">
        <f t="shared" si="141"/>
        <v>2889</v>
      </c>
      <c r="G2896" s="230">
        <f t="shared" ca="1" si="140"/>
        <v>2.3268585100856762E-2</v>
      </c>
    </row>
    <row r="2897" spans="2:7" x14ac:dyDescent="0.25">
      <c r="B2897" s="348" t="s">
        <v>2309</v>
      </c>
      <c r="C2897" s="293">
        <v>70.55</v>
      </c>
      <c r="D2897" s="230">
        <f t="shared" si="139"/>
        <v>-4.1049340763898323E-2</v>
      </c>
      <c r="E2897" s="293">
        <v>-5.8731871029606975E-3</v>
      </c>
      <c r="F2897" s="266">
        <f t="shared" si="141"/>
        <v>2890</v>
      </c>
      <c r="G2897" s="230">
        <f t="shared" ca="1" si="140"/>
        <v>-1.0267583253470024E-3</v>
      </c>
    </row>
    <row r="2898" spans="2:7" x14ac:dyDescent="0.25">
      <c r="B2898" s="348" t="s">
        <v>2310</v>
      </c>
      <c r="C2898" s="293">
        <v>73.569999999999993</v>
      </c>
      <c r="D2898" s="230">
        <f t="shared" si="139"/>
        <v>2.1238200999444512E-2</v>
      </c>
      <c r="E2898" s="293">
        <v>-5.896873285792692E-3</v>
      </c>
      <c r="F2898" s="266">
        <f t="shared" si="141"/>
        <v>2891</v>
      </c>
      <c r="G2898" s="230">
        <f t="shared" ca="1" si="140"/>
        <v>1.7005022352517572E-2</v>
      </c>
    </row>
    <row r="2899" spans="2:7" x14ac:dyDescent="0.25">
      <c r="B2899" s="348" t="s">
        <v>2311</v>
      </c>
      <c r="C2899" s="293">
        <v>72.040000000000006</v>
      </c>
      <c r="D2899" s="230">
        <f t="shared" si="139"/>
        <v>-2.2258414766558099E-2</v>
      </c>
      <c r="E2899" s="293">
        <v>-5.9051485513932356E-3</v>
      </c>
      <c r="F2899" s="266">
        <f t="shared" si="141"/>
        <v>2892</v>
      </c>
      <c r="G2899" s="230">
        <f t="shared" ca="1" si="140"/>
        <v>-3.3776357758559129E-3</v>
      </c>
    </row>
    <row r="2900" spans="2:7" x14ac:dyDescent="0.25">
      <c r="B2900" s="348" t="s">
        <v>2312</v>
      </c>
      <c r="C2900" s="293">
        <v>73.680000000000007</v>
      </c>
      <c r="D2900" s="230">
        <f t="shared" si="139"/>
        <v>3.9514920288867827E-3</v>
      </c>
      <c r="E2900" s="293">
        <v>-5.9226570665428246E-3</v>
      </c>
      <c r="F2900" s="266">
        <f t="shared" si="141"/>
        <v>2893</v>
      </c>
      <c r="G2900" s="230">
        <f t="shared" ca="1" si="140"/>
        <v>-3.8604358597119498E-2</v>
      </c>
    </row>
    <row r="2901" spans="2:7" x14ac:dyDescent="0.25">
      <c r="B2901" s="348" t="s">
        <v>2313</v>
      </c>
      <c r="C2901" s="293">
        <v>73.39</v>
      </c>
      <c r="D2901" s="230">
        <f t="shared" si="139"/>
        <v>1.4374568071872984E-2</v>
      </c>
      <c r="E2901" s="293">
        <v>-5.9278469874496365E-3</v>
      </c>
      <c r="F2901" s="266">
        <f t="shared" si="141"/>
        <v>2894</v>
      </c>
      <c r="G2901" s="230">
        <f t="shared" ca="1" si="140"/>
        <v>-6.9940342911758296E-4</v>
      </c>
    </row>
    <row r="2902" spans="2:7" x14ac:dyDescent="0.25">
      <c r="B2902" s="348" t="s">
        <v>2314</v>
      </c>
      <c r="C2902" s="293">
        <v>72.349999999999994</v>
      </c>
      <c r="D2902" s="230">
        <f t="shared" si="139"/>
        <v>-3.1689170570405878E-3</v>
      </c>
      <c r="E2902" s="293">
        <v>-5.9510442398382768E-3</v>
      </c>
      <c r="F2902" s="266">
        <f t="shared" si="141"/>
        <v>2895</v>
      </c>
      <c r="G2902" s="230">
        <f t="shared" ca="1" si="140"/>
        <v>7.5050755388076356E-3</v>
      </c>
    </row>
    <row r="2903" spans="2:7" x14ac:dyDescent="0.25">
      <c r="B2903" s="348" t="s">
        <v>2315</v>
      </c>
      <c r="C2903" s="293">
        <v>72.58</v>
      </c>
      <c r="D2903" s="230">
        <f t="shared" si="139"/>
        <v>3.1112373916749592E-2</v>
      </c>
      <c r="E2903" s="293">
        <v>-5.9530896535301414E-3</v>
      </c>
      <c r="F2903" s="266">
        <f t="shared" si="141"/>
        <v>2896</v>
      </c>
      <c r="G2903" s="230">
        <f t="shared" ca="1" si="140"/>
        <v>1.0063248498546795E-3</v>
      </c>
    </row>
    <row r="2904" spans="2:7" x14ac:dyDescent="0.25">
      <c r="B2904" s="348" t="s">
        <v>2316</v>
      </c>
      <c r="C2904" s="293">
        <v>70.39</v>
      </c>
      <c r="D2904" s="230">
        <f t="shared" si="139"/>
        <v>-1.7036726714146022E-2</v>
      </c>
      <c r="E2904" s="293">
        <v>-5.9630292188432854E-3</v>
      </c>
      <c r="F2904" s="266">
        <f t="shared" si="141"/>
        <v>2897</v>
      </c>
      <c r="G2904" s="230">
        <f t="shared" ca="1" si="140"/>
        <v>-1.1350657664559274E-2</v>
      </c>
    </row>
    <row r="2905" spans="2:7" x14ac:dyDescent="0.25">
      <c r="B2905" s="348" t="s">
        <v>2317</v>
      </c>
      <c r="C2905" s="293">
        <v>71.61</v>
      </c>
      <c r="D2905" s="230">
        <f t="shared" si="139"/>
        <v>1.6898608349900535E-2</v>
      </c>
      <c r="E2905" s="293">
        <v>-5.9637287969888098E-3</v>
      </c>
      <c r="F2905" s="266">
        <f t="shared" si="141"/>
        <v>2898</v>
      </c>
      <c r="G2905" s="230">
        <f t="shared" ca="1" si="140"/>
        <v>-1.6889625891448976E-2</v>
      </c>
    </row>
    <row r="2906" spans="2:7" x14ac:dyDescent="0.25">
      <c r="B2906" s="348">
        <v>41615</v>
      </c>
      <c r="C2906" s="293">
        <v>70.42</v>
      </c>
      <c r="D2906" s="230">
        <f t="shared" si="139"/>
        <v>3.1794871794871726E-2</v>
      </c>
      <c r="E2906" s="293">
        <v>-5.9794889622803993E-3</v>
      </c>
      <c r="F2906" s="266">
        <f t="shared" si="141"/>
        <v>2899</v>
      </c>
      <c r="G2906" s="230">
        <f t="shared" ca="1" si="140"/>
        <v>-1.2941095726139468E-3</v>
      </c>
    </row>
    <row r="2907" spans="2:7" x14ac:dyDescent="0.25">
      <c r="B2907" s="348">
        <v>41585</v>
      </c>
      <c r="C2907" s="293">
        <v>68.25</v>
      </c>
      <c r="D2907" s="230">
        <f t="shared" si="139"/>
        <v>-2.3388393509720107E-3</v>
      </c>
      <c r="E2907" s="293">
        <v>-5.9806986543428087E-3</v>
      </c>
      <c r="F2907" s="266">
        <f t="shared" si="141"/>
        <v>2900</v>
      </c>
      <c r="G2907" s="230">
        <f t="shared" ca="1" si="140"/>
        <v>3.9872580710216664E-3</v>
      </c>
    </row>
    <row r="2908" spans="2:7" x14ac:dyDescent="0.25">
      <c r="B2908" s="348">
        <v>41554</v>
      </c>
      <c r="C2908" s="293">
        <v>68.41</v>
      </c>
      <c r="D2908" s="230">
        <f t="shared" si="139"/>
        <v>1.3031245372427058E-2</v>
      </c>
      <c r="E2908" s="293">
        <v>-5.990415335463295E-3</v>
      </c>
      <c r="F2908" s="266">
        <f t="shared" si="141"/>
        <v>2901</v>
      </c>
      <c r="G2908" s="230">
        <f t="shared" ca="1" si="140"/>
        <v>-6.9386958693700169E-3</v>
      </c>
    </row>
    <row r="2909" spans="2:7" x14ac:dyDescent="0.25">
      <c r="B2909" s="348">
        <v>41524</v>
      </c>
      <c r="C2909" s="293">
        <v>67.53</v>
      </c>
      <c r="D2909" s="230">
        <f t="shared" si="139"/>
        <v>1.3051305130513224E-2</v>
      </c>
      <c r="E2909" s="293">
        <v>-6.00414078674949E-3</v>
      </c>
      <c r="F2909" s="266">
        <f t="shared" si="141"/>
        <v>2902</v>
      </c>
      <c r="G2909" s="230">
        <f t="shared" ca="1" si="140"/>
        <v>-3.3674147517907494E-3</v>
      </c>
    </row>
    <row r="2910" spans="2:7" x14ac:dyDescent="0.25">
      <c r="B2910" s="348">
        <v>41493</v>
      </c>
      <c r="C2910" s="293">
        <v>66.66</v>
      </c>
      <c r="D2910" s="230">
        <f t="shared" si="139"/>
        <v>1.3069908814589581E-2</v>
      </c>
      <c r="E2910" s="293">
        <v>-6.0221578632831951E-3</v>
      </c>
      <c r="F2910" s="266">
        <f t="shared" si="141"/>
        <v>2903</v>
      </c>
      <c r="G2910" s="230">
        <f t="shared" ca="1" si="140"/>
        <v>-2.6881095354057014E-2</v>
      </c>
    </row>
    <row r="2911" spans="2:7" x14ac:dyDescent="0.25">
      <c r="B2911" s="348">
        <v>41401</v>
      </c>
      <c r="C2911" s="293">
        <v>65.8</v>
      </c>
      <c r="D2911" s="230">
        <f t="shared" si="139"/>
        <v>3.6607687614398365E-3</v>
      </c>
      <c r="E2911" s="293">
        <v>-6.0565275908478489E-3</v>
      </c>
      <c r="F2911" s="266">
        <f t="shared" si="141"/>
        <v>2904</v>
      </c>
      <c r="G2911" s="230">
        <f t="shared" ca="1" si="140"/>
        <v>1.0476431911681855E-2</v>
      </c>
    </row>
    <row r="2912" spans="2:7" x14ac:dyDescent="0.25">
      <c r="B2912" s="348">
        <v>41371</v>
      </c>
      <c r="C2912" s="293">
        <v>65.56</v>
      </c>
      <c r="D2912" s="230">
        <f t="shared" si="139"/>
        <v>1.8328673501087467E-2</v>
      </c>
      <c r="E2912" s="293">
        <v>-6.0634328358210032E-3</v>
      </c>
      <c r="F2912" s="266">
        <f t="shared" si="141"/>
        <v>2905</v>
      </c>
      <c r="G2912" s="230">
        <f t="shared" ca="1" si="140"/>
        <v>1.1275628014852067E-2</v>
      </c>
    </row>
    <row r="2913" spans="2:7" x14ac:dyDescent="0.25">
      <c r="B2913" s="348">
        <v>41340</v>
      </c>
      <c r="C2913" s="293">
        <v>64.38</v>
      </c>
      <c r="D2913" s="230">
        <f t="shared" si="139"/>
        <v>-2.7198549410698214E-2</v>
      </c>
      <c r="E2913" s="293">
        <v>-6.0634770251065673E-3</v>
      </c>
      <c r="F2913" s="266">
        <f t="shared" si="141"/>
        <v>2906</v>
      </c>
      <c r="G2913" s="230">
        <f t="shared" ca="1" si="140"/>
        <v>-1.6994818340065024E-3</v>
      </c>
    </row>
    <row r="2914" spans="2:7" x14ac:dyDescent="0.25">
      <c r="B2914" s="348">
        <v>41312</v>
      </c>
      <c r="C2914" s="293">
        <v>66.180000000000007</v>
      </c>
      <c r="D2914" s="230">
        <f t="shared" si="139"/>
        <v>4.8587913756454881E-3</v>
      </c>
      <c r="E2914" s="293">
        <v>-6.0646900269542003E-3</v>
      </c>
      <c r="F2914" s="266">
        <f t="shared" si="141"/>
        <v>2907</v>
      </c>
      <c r="G2914" s="230">
        <f t="shared" ca="1" si="140"/>
        <v>-1.3699844296105042E-2</v>
      </c>
    </row>
    <row r="2915" spans="2:7" x14ac:dyDescent="0.25">
      <c r="B2915" s="348">
        <v>41281</v>
      </c>
      <c r="C2915" s="293">
        <v>65.86</v>
      </c>
      <c r="D2915" s="230">
        <f t="shared" si="139"/>
        <v>6.4180929095354333E-3</v>
      </c>
      <c r="E2915" s="293">
        <v>-6.0699255422467235E-3</v>
      </c>
      <c r="F2915" s="266">
        <f t="shared" si="141"/>
        <v>2908</v>
      </c>
      <c r="G2915" s="230">
        <f t="shared" ca="1" si="140"/>
        <v>2.5828312402443619E-2</v>
      </c>
    </row>
    <row r="2916" spans="2:7" x14ac:dyDescent="0.25">
      <c r="B2916" s="348" t="s">
        <v>2318</v>
      </c>
      <c r="C2916" s="293">
        <v>65.44</v>
      </c>
      <c r="D2916" s="230">
        <f t="shared" si="139"/>
        <v>5.5316533497233866E-3</v>
      </c>
      <c r="E2916" s="293">
        <v>-6.0701438848920208E-3</v>
      </c>
      <c r="F2916" s="266">
        <f t="shared" si="141"/>
        <v>2909</v>
      </c>
      <c r="G2916" s="230">
        <f t="shared" ca="1" si="140"/>
        <v>1.383436512237343E-2</v>
      </c>
    </row>
    <row r="2917" spans="2:7" x14ac:dyDescent="0.25">
      <c r="B2917" s="348" t="s">
        <v>2319</v>
      </c>
      <c r="C2917" s="293">
        <v>65.08</v>
      </c>
      <c r="D2917" s="230">
        <f t="shared" si="139"/>
        <v>-2.9109851386547314E-3</v>
      </c>
      <c r="E2917" s="293">
        <v>-6.080274544912001E-3</v>
      </c>
      <c r="F2917" s="266">
        <f t="shared" si="141"/>
        <v>2910</v>
      </c>
      <c r="G2917" s="230">
        <f t="shared" ca="1" si="140"/>
        <v>3.2924491280967812E-2</v>
      </c>
    </row>
    <row r="2918" spans="2:7" x14ac:dyDescent="0.25">
      <c r="B2918" s="348" t="s">
        <v>2320</v>
      </c>
      <c r="C2918" s="293">
        <v>65.27</v>
      </c>
      <c r="D2918" s="230">
        <f t="shared" si="139"/>
        <v>1.2723041117145062E-2</v>
      </c>
      <c r="E2918" s="293">
        <v>-6.0842433697346765E-3</v>
      </c>
      <c r="F2918" s="266">
        <f t="shared" si="141"/>
        <v>2911</v>
      </c>
      <c r="G2918" s="230">
        <f t="shared" ca="1" si="140"/>
        <v>3.0557342274754856E-3</v>
      </c>
    </row>
    <row r="2919" spans="2:7" x14ac:dyDescent="0.25">
      <c r="B2919" s="348" t="s">
        <v>2321</v>
      </c>
      <c r="C2919" s="293">
        <v>64.45</v>
      </c>
      <c r="D2919" s="230">
        <f t="shared" si="139"/>
        <v>-8.1563558017851978E-3</v>
      </c>
      <c r="E2919" s="293">
        <v>-6.0915377016791394E-3</v>
      </c>
      <c r="F2919" s="266">
        <f t="shared" si="141"/>
        <v>2912</v>
      </c>
      <c r="G2919" s="230">
        <f t="shared" ca="1" si="140"/>
        <v>5.6009059256219417E-3</v>
      </c>
    </row>
    <row r="2920" spans="2:7" x14ac:dyDescent="0.25">
      <c r="B2920" s="348" t="s">
        <v>2322</v>
      </c>
      <c r="C2920" s="293">
        <v>64.98</v>
      </c>
      <c r="D2920" s="230">
        <f t="shared" si="139"/>
        <v>-5.3574161947037569E-3</v>
      </c>
      <c r="E2920" s="293">
        <v>-6.1050061050060833E-3</v>
      </c>
      <c r="F2920" s="266">
        <f t="shared" si="141"/>
        <v>2913</v>
      </c>
      <c r="G2920" s="230">
        <f t="shared" ca="1" si="140"/>
        <v>-1.3865128667166205E-2</v>
      </c>
    </row>
    <row r="2921" spans="2:7" x14ac:dyDescent="0.25">
      <c r="B2921" s="348" t="s">
        <v>2323</v>
      </c>
      <c r="C2921" s="293">
        <v>65.33</v>
      </c>
      <c r="D2921" s="230">
        <f t="shared" si="139"/>
        <v>2.6089625537140115E-3</v>
      </c>
      <c r="E2921" s="293">
        <v>-6.1071710007879476E-3</v>
      </c>
      <c r="F2921" s="266">
        <f t="shared" si="141"/>
        <v>2914</v>
      </c>
      <c r="G2921" s="230">
        <f t="shared" ca="1" si="140"/>
        <v>-3.5343818164745499E-3</v>
      </c>
    </row>
    <row r="2922" spans="2:7" x14ac:dyDescent="0.25">
      <c r="B2922" s="348" t="s">
        <v>2324</v>
      </c>
      <c r="C2922" s="293">
        <v>65.16</v>
      </c>
      <c r="D2922" s="230">
        <f t="shared" si="139"/>
        <v>1.1644154634373516E-2</v>
      </c>
      <c r="E2922" s="293">
        <v>-6.11189468735307E-3</v>
      </c>
      <c r="F2922" s="266">
        <f t="shared" si="141"/>
        <v>2915</v>
      </c>
      <c r="G2922" s="230">
        <f t="shared" ca="1" si="140"/>
        <v>-1.8948690065553067E-2</v>
      </c>
    </row>
    <row r="2923" spans="2:7" x14ac:dyDescent="0.25">
      <c r="B2923" s="348" t="s">
        <v>2325</v>
      </c>
      <c r="C2923" s="293">
        <v>64.41</v>
      </c>
      <c r="D2923" s="230">
        <f t="shared" si="139"/>
        <v>6.7208502657081226E-3</v>
      </c>
      <c r="E2923" s="293">
        <v>-6.1208475019618458E-3</v>
      </c>
      <c r="F2923" s="266">
        <f t="shared" si="141"/>
        <v>2916</v>
      </c>
      <c r="G2923" s="230">
        <f t="shared" ca="1" si="140"/>
        <v>-1.8151968773583056E-2</v>
      </c>
    </row>
    <row r="2924" spans="2:7" x14ac:dyDescent="0.25">
      <c r="B2924" s="348" t="s">
        <v>2326</v>
      </c>
      <c r="C2924" s="293">
        <v>63.98</v>
      </c>
      <c r="D2924" s="230">
        <f t="shared" si="139"/>
        <v>9.4667087409276984E-3</v>
      </c>
      <c r="E2924" s="293">
        <v>-6.1213626685592271E-3</v>
      </c>
      <c r="F2924" s="266">
        <f t="shared" si="141"/>
        <v>2917</v>
      </c>
      <c r="G2924" s="230">
        <f t="shared" ca="1" si="140"/>
        <v>-1.1209031824745143E-2</v>
      </c>
    </row>
    <row r="2925" spans="2:7" x14ac:dyDescent="0.25">
      <c r="B2925" s="348" t="s">
        <v>2327</v>
      </c>
      <c r="C2925" s="293">
        <v>63.38</v>
      </c>
      <c r="D2925" s="230">
        <f t="shared" si="139"/>
        <v>1.4220255964607631E-3</v>
      </c>
      <c r="E2925" s="293">
        <v>-6.1229488121479214E-3</v>
      </c>
      <c r="F2925" s="266">
        <f t="shared" si="141"/>
        <v>2918</v>
      </c>
      <c r="G2925" s="230">
        <f t="shared" ca="1" si="140"/>
        <v>2.4280516950986944E-2</v>
      </c>
    </row>
    <row r="2926" spans="2:7" x14ac:dyDescent="0.25">
      <c r="B2926" s="348" t="s">
        <v>2328</v>
      </c>
      <c r="C2926" s="293">
        <v>63.29</v>
      </c>
      <c r="D2926" s="230">
        <f t="shared" si="139"/>
        <v>-7.2156862745098582E-3</v>
      </c>
      <c r="E2926" s="293">
        <v>-6.1312995364141143E-3</v>
      </c>
      <c r="F2926" s="266">
        <f t="shared" si="141"/>
        <v>2919</v>
      </c>
      <c r="G2926" s="230">
        <f t="shared" ca="1" si="140"/>
        <v>-2.2285361787126867E-2</v>
      </c>
    </row>
    <row r="2927" spans="2:7" x14ac:dyDescent="0.25">
      <c r="B2927" s="348" t="s">
        <v>2329</v>
      </c>
      <c r="C2927" s="293">
        <v>63.75</v>
      </c>
      <c r="D2927" s="230">
        <f t="shared" si="139"/>
        <v>-1.2699396004336228E-2</v>
      </c>
      <c r="E2927" s="293">
        <v>-6.1349693251533388E-3</v>
      </c>
      <c r="F2927" s="266">
        <f t="shared" si="141"/>
        <v>2920</v>
      </c>
      <c r="G2927" s="230">
        <f t="shared" ca="1" si="140"/>
        <v>2.5294372977985084E-2</v>
      </c>
    </row>
    <row r="2928" spans="2:7" x14ac:dyDescent="0.25">
      <c r="B2928" s="348">
        <v>41614</v>
      </c>
      <c r="C2928" s="293">
        <v>64.569999999999993</v>
      </c>
      <c r="D2928" s="230">
        <f t="shared" si="139"/>
        <v>-2.0092735703247655E-3</v>
      </c>
      <c r="E2928" s="293">
        <v>-6.1372171842081213E-3</v>
      </c>
      <c r="F2928" s="266">
        <f t="shared" si="141"/>
        <v>2921</v>
      </c>
      <c r="G2928" s="230">
        <f t="shared" ca="1" si="140"/>
        <v>-1.4503685639725469E-2</v>
      </c>
    </row>
    <row r="2929" spans="2:7" x14ac:dyDescent="0.25">
      <c r="B2929" s="348">
        <v>41584</v>
      </c>
      <c r="C2929" s="293">
        <v>64.7</v>
      </c>
      <c r="D2929" s="230">
        <f t="shared" si="139"/>
        <v>5.2827843380982564E-3</v>
      </c>
      <c r="E2929" s="293">
        <v>-6.1382156841993663E-3</v>
      </c>
      <c r="F2929" s="266">
        <f t="shared" si="141"/>
        <v>2922</v>
      </c>
      <c r="G2929" s="230">
        <f t="shared" ca="1" si="140"/>
        <v>2.2725963792586304E-2</v>
      </c>
    </row>
    <row r="2930" spans="2:7" x14ac:dyDescent="0.25">
      <c r="B2930" s="348">
        <v>41553</v>
      </c>
      <c r="C2930" s="293">
        <v>64.36</v>
      </c>
      <c r="D2930" s="230">
        <f t="shared" si="139"/>
        <v>2.5003981525720587E-2</v>
      </c>
      <c r="E2930" s="293">
        <v>-6.164812406684983E-3</v>
      </c>
      <c r="F2930" s="266">
        <f t="shared" si="141"/>
        <v>2923</v>
      </c>
      <c r="G2930" s="230">
        <f t="shared" ca="1" si="140"/>
        <v>-1.165976129999797E-2</v>
      </c>
    </row>
    <row r="2931" spans="2:7" x14ac:dyDescent="0.25">
      <c r="B2931" s="348">
        <v>41461</v>
      </c>
      <c r="C2931" s="293">
        <v>62.79</v>
      </c>
      <c r="D2931" s="230">
        <f t="shared" si="139"/>
        <v>1.4705882352941124E-2</v>
      </c>
      <c r="E2931" s="293">
        <v>-6.1904585387551059E-3</v>
      </c>
      <c r="F2931" s="266">
        <f t="shared" si="141"/>
        <v>2924</v>
      </c>
      <c r="G2931" s="230">
        <f t="shared" ca="1" si="140"/>
        <v>1.859286251201827E-2</v>
      </c>
    </row>
    <row r="2932" spans="2:7" x14ac:dyDescent="0.25">
      <c r="B2932" s="348">
        <v>41431</v>
      </c>
      <c r="C2932" s="293">
        <v>61.88</v>
      </c>
      <c r="D2932" s="230">
        <f t="shared" si="139"/>
        <v>1.5425008204791757E-2</v>
      </c>
      <c r="E2932" s="293">
        <v>-6.1911170928666825E-3</v>
      </c>
      <c r="F2932" s="266">
        <f t="shared" si="141"/>
        <v>2925</v>
      </c>
      <c r="G2932" s="230">
        <f t="shared" ca="1" si="140"/>
        <v>5.005672816751093E-3</v>
      </c>
    </row>
    <row r="2933" spans="2:7" x14ac:dyDescent="0.25">
      <c r="B2933" s="348">
        <v>41400</v>
      </c>
      <c r="C2933" s="293">
        <v>60.94</v>
      </c>
      <c r="D2933" s="230">
        <f t="shared" si="139"/>
        <v>-1.7730496453900679E-2</v>
      </c>
      <c r="E2933" s="293">
        <v>-6.1916555534388129E-3</v>
      </c>
      <c r="F2933" s="266">
        <f t="shared" si="141"/>
        <v>2926</v>
      </c>
      <c r="G2933" s="230">
        <f t="shared" ca="1" si="140"/>
        <v>-1.0193294160948212E-2</v>
      </c>
    </row>
    <row r="2934" spans="2:7" x14ac:dyDescent="0.25">
      <c r="B2934" s="348">
        <v>41370</v>
      </c>
      <c r="C2934" s="293">
        <v>62.04</v>
      </c>
      <c r="D2934" s="230">
        <f t="shared" si="139"/>
        <v>1.8217626784835073E-2</v>
      </c>
      <c r="E2934" s="293">
        <v>-6.2084257206208582E-3</v>
      </c>
      <c r="F2934" s="266">
        <f t="shared" si="141"/>
        <v>2927</v>
      </c>
      <c r="G2934" s="230">
        <f t="shared" ca="1" si="140"/>
        <v>-1.0100528171811649E-2</v>
      </c>
    </row>
    <row r="2935" spans="2:7" x14ac:dyDescent="0.25">
      <c r="B2935" s="348">
        <v>41339</v>
      </c>
      <c r="C2935" s="293">
        <v>60.93</v>
      </c>
      <c r="D2935" s="230">
        <f t="shared" si="139"/>
        <v>-8.1393455966140005E-3</v>
      </c>
      <c r="E2935" s="293">
        <v>-6.217323724742041E-3</v>
      </c>
      <c r="F2935" s="266">
        <f t="shared" si="141"/>
        <v>2928</v>
      </c>
      <c r="G2935" s="230">
        <f t="shared" ca="1" si="140"/>
        <v>7.714152433656694E-3</v>
      </c>
    </row>
    <row r="2936" spans="2:7" x14ac:dyDescent="0.25">
      <c r="B2936" s="348" t="s">
        <v>2330</v>
      </c>
      <c r="C2936" s="293">
        <v>61.43</v>
      </c>
      <c r="D2936" s="230">
        <f t="shared" si="139"/>
        <v>-2.5230085687083514E-2</v>
      </c>
      <c r="E2936" s="293">
        <v>-6.2206038537399033E-3</v>
      </c>
      <c r="F2936" s="266">
        <f t="shared" si="141"/>
        <v>2929</v>
      </c>
      <c r="G2936" s="230">
        <f t="shared" ca="1" si="140"/>
        <v>-1.6842100823283697E-2</v>
      </c>
    </row>
    <row r="2937" spans="2:7" x14ac:dyDescent="0.25">
      <c r="B2937" s="348" t="s">
        <v>2331</v>
      </c>
      <c r="C2937" s="293">
        <v>63.02</v>
      </c>
      <c r="D2937" s="230">
        <f t="shared" si="139"/>
        <v>-9.5866729530095229E-3</v>
      </c>
      <c r="E2937" s="293">
        <v>-6.2439444504251984E-3</v>
      </c>
      <c r="F2937" s="266">
        <f t="shared" si="141"/>
        <v>2930</v>
      </c>
      <c r="G2937" s="230">
        <f t="shared" ca="1" si="140"/>
        <v>-4.1169282068360975E-3</v>
      </c>
    </row>
    <row r="2938" spans="2:7" x14ac:dyDescent="0.25">
      <c r="B2938" s="348" t="s">
        <v>2332</v>
      </c>
      <c r="C2938" s="293">
        <v>63.63</v>
      </c>
      <c r="D2938" s="230">
        <f t="shared" si="139"/>
        <v>-2.195389681668547E-3</v>
      </c>
      <c r="E2938" s="293">
        <v>-6.2832643406267596E-3</v>
      </c>
      <c r="F2938" s="266">
        <f t="shared" si="141"/>
        <v>2931</v>
      </c>
      <c r="G2938" s="230">
        <f t="shared" ca="1" si="140"/>
        <v>4.7230483107986151E-2</v>
      </c>
    </row>
    <row r="2939" spans="2:7" x14ac:dyDescent="0.25">
      <c r="B2939" s="348" t="s">
        <v>2333</v>
      </c>
      <c r="C2939" s="293">
        <v>63.77</v>
      </c>
      <c r="D2939" s="230">
        <f t="shared" si="139"/>
        <v>-4.7021943573655189E-4</v>
      </c>
      <c r="E2939" s="293">
        <v>-6.2899981715121012E-3</v>
      </c>
      <c r="F2939" s="266">
        <f t="shared" si="141"/>
        <v>2932</v>
      </c>
      <c r="G2939" s="230">
        <f t="shared" ca="1" si="140"/>
        <v>9.1793253318938912E-3</v>
      </c>
    </row>
    <row r="2940" spans="2:7" x14ac:dyDescent="0.25">
      <c r="B2940" s="348" t="s">
        <v>2334</v>
      </c>
      <c r="C2940" s="293">
        <v>63.8</v>
      </c>
      <c r="D2940" s="230">
        <f t="shared" si="139"/>
        <v>1.2055837563451854E-2</v>
      </c>
      <c r="E2940" s="293">
        <v>-6.2937062937062915E-3</v>
      </c>
      <c r="F2940" s="266">
        <f t="shared" si="141"/>
        <v>2933</v>
      </c>
      <c r="G2940" s="230">
        <f t="shared" ca="1" si="140"/>
        <v>-2.0397401650960878E-2</v>
      </c>
    </row>
    <row r="2941" spans="2:7" x14ac:dyDescent="0.25">
      <c r="B2941" s="348" t="s">
        <v>2335</v>
      </c>
      <c r="C2941" s="293">
        <v>63.04</v>
      </c>
      <c r="D2941" s="230">
        <f t="shared" si="139"/>
        <v>-2.6894478721721793E-3</v>
      </c>
      <c r="E2941" s="293">
        <v>-6.3031831074692457E-3</v>
      </c>
      <c r="F2941" s="266">
        <f t="shared" si="141"/>
        <v>2934</v>
      </c>
      <c r="G2941" s="230">
        <f t="shared" ca="1" si="140"/>
        <v>4.0120490518806687E-2</v>
      </c>
    </row>
    <row r="2942" spans="2:7" x14ac:dyDescent="0.25">
      <c r="B2942" s="348" t="s">
        <v>2336</v>
      </c>
      <c r="C2942" s="293">
        <v>63.21</v>
      </c>
      <c r="D2942" s="230">
        <f t="shared" si="139"/>
        <v>-1.434585997193194E-2</v>
      </c>
      <c r="E2942" s="293">
        <v>-6.3100669837879986E-3</v>
      </c>
      <c r="F2942" s="266">
        <f t="shared" si="141"/>
        <v>2935</v>
      </c>
      <c r="G2942" s="230">
        <f t="shared" ca="1" si="140"/>
        <v>4.5797376557570749E-3</v>
      </c>
    </row>
    <row r="2943" spans="2:7" x14ac:dyDescent="0.25">
      <c r="B2943" s="348" t="s">
        <v>2337</v>
      </c>
      <c r="C2943" s="293">
        <v>64.13</v>
      </c>
      <c r="D2943" s="230">
        <f t="shared" si="139"/>
        <v>9.2854894554610379E-3</v>
      </c>
      <c r="E2943" s="293">
        <v>-6.3186399879645583E-3</v>
      </c>
      <c r="F2943" s="266">
        <f t="shared" si="141"/>
        <v>2936</v>
      </c>
      <c r="G2943" s="230">
        <f t="shared" ca="1" si="140"/>
        <v>3.4204177150101156E-2</v>
      </c>
    </row>
    <row r="2944" spans="2:7" x14ac:dyDescent="0.25">
      <c r="B2944" s="348" t="s">
        <v>2338</v>
      </c>
      <c r="C2944" s="293">
        <v>63.54</v>
      </c>
      <c r="D2944" s="230">
        <f t="shared" si="139"/>
        <v>2.6826574088685273E-3</v>
      </c>
      <c r="E2944" s="293">
        <v>-6.3243106501391644E-3</v>
      </c>
      <c r="F2944" s="266">
        <f t="shared" si="141"/>
        <v>2937</v>
      </c>
      <c r="G2944" s="230">
        <f t="shared" ca="1" si="140"/>
        <v>1.0343133896875757E-2</v>
      </c>
    </row>
    <row r="2945" spans="2:7" x14ac:dyDescent="0.25">
      <c r="B2945" s="348" t="s">
        <v>2339</v>
      </c>
      <c r="C2945" s="293">
        <v>63.37</v>
      </c>
      <c r="D2945" s="230">
        <f t="shared" si="139"/>
        <v>-1.7519379844961325E-2</v>
      </c>
      <c r="E2945" s="293">
        <v>-6.3280599500415979E-3</v>
      </c>
      <c r="F2945" s="266">
        <f t="shared" si="141"/>
        <v>2938</v>
      </c>
      <c r="G2945" s="230">
        <f t="shared" ca="1" si="140"/>
        <v>3.4036429926472274E-2</v>
      </c>
    </row>
    <row r="2946" spans="2:7" x14ac:dyDescent="0.25">
      <c r="B2946" s="348" t="s">
        <v>2340</v>
      </c>
      <c r="C2946" s="293">
        <v>64.5</v>
      </c>
      <c r="D2946" s="230">
        <f t="shared" si="139"/>
        <v>-7.0812807881772688E-3</v>
      </c>
      <c r="E2946" s="293">
        <v>-6.3412759415834019E-3</v>
      </c>
      <c r="F2946" s="266">
        <f t="shared" si="141"/>
        <v>2939</v>
      </c>
      <c r="G2946" s="230">
        <f t="shared" ca="1" si="140"/>
        <v>-2.8891438108328032E-2</v>
      </c>
    </row>
    <row r="2947" spans="2:7" x14ac:dyDescent="0.25">
      <c r="B2947" s="348" t="s">
        <v>2341</v>
      </c>
      <c r="C2947" s="293">
        <v>64.959999999999994</v>
      </c>
      <c r="D2947" s="230">
        <f t="shared" si="139"/>
        <v>9.2449922958381947E-4</v>
      </c>
      <c r="E2947" s="293">
        <v>-6.3442940038683782E-3</v>
      </c>
      <c r="F2947" s="266">
        <f t="shared" si="141"/>
        <v>2940</v>
      </c>
      <c r="G2947" s="230">
        <f t="shared" ca="1" si="140"/>
        <v>2.2921850158664894E-2</v>
      </c>
    </row>
    <row r="2948" spans="2:7" x14ac:dyDescent="0.25">
      <c r="B2948" s="348" t="s">
        <v>2342</v>
      </c>
      <c r="C2948" s="293">
        <v>64.900000000000006</v>
      </c>
      <c r="D2948" s="230">
        <f t="shared" si="139"/>
        <v>-4.2957962565204344E-3</v>
      </c>
      <c r="E2948" s="293">
        <v>-6.3532401524777349E-3</v>
      </c>
      <c r="F2948" s="266">
        <f t="shared" si="141"/>
        <v>2941</v>
      </c>
      <c r="G2948" s="230">
        <f t="shared" ca="1" si="140"/>
        <v>-6.9336322883598554E-3</v>
      </c>
    </row>
    <row r="2949" spans="2:7" x14ac:dyDescent="0.25">
      <c r="B2949" s="348" t="s">
        <v>2343</v>
      </c>
      <c r="C2949" s="293">
        <v>65.180000000000007</v>
      </c>
      <c r="D2949" s="230">
        <f t="shared" si="139"/>
        <v>-9.1968117719176679E-4</v>
      </c>
      <c r="E2949" s="293">
        <v>-6.3678043810494467E-3</v>
      </c>
      <c r="F2949" s="266">
        <f t="shared" si="141"/>
        <v>2942</v>
      </c>
      <c r="G2949" s="230">
        <f t="shared" ca="1" si="140"/>
        <v>-1.5079126178607098E-2</v>
      </c>
    </row>
    <row r="2950" spans="2:7" x14ac:dyDescent="0.25">
      <c r="B2950" s="348" t="s">
        <v>2344</v>
      </c>
      <c r="C2950" s="293">
        <v>65.239999999999995</v>
      </c>
      <c r="D2950" s="230">
        <f t="shared" si="139"/>
        <v>-1.9831730769230838E-2</v>
      </c>
      <c r="E2950" s="293">
        <v>-6.3705087913020764E-3</v>
      </c>
      <c r="F2950" s="266">
        <f t="shared" si="141"/>
        <v>2943</v>
      </c>
      <c r="G2950" s="230">
        <f t="shared" ca="1" si="140"/>
        <v>-2.8473120634737626E-3</v>
      </c>
    </row>
    <row r="2951" spans="2:7" x14ac:dyDescent="0.25">
      <c r="B2951" s="348">
        <v>41583</v>
      </c>
      <c r="C2951" s="293">
        <v>66.56</v>
      </c>
      <c r="D2951" s="230">
        <f t="shared" si="139"/>
        <v>0</v>
      </c>
      <c r="E2951" s="293">
        <v>-6.3890559230306287E-3</v>
      </c>
      <c r="F2951" s="266">
        <f t="shared" si="141"/>
        <v>2944</v>
      </c>
      <c r="G2951" s="230">
        <f t="shared" ca="1" si="140"/>
        <v>1.5543538296764905E-2</v>
      </c>
    </row>
    <row r="2952" spans="2:7" x14ac:dyDescent="0.25">
      <c r="B2952" s="348">
        <v>41552</v>
      </c>
      <c r="C2952" s="293">
        <v>66.56</v>
      </c>
      <c r="D2952" s="230">
        <f t="shared" si="139"/>
        <v>4.5092439500971082E-4</v>
      </c>
      <c r="E2952" s="293">
        <v>-6.3892784790401391E-3</v>
      </c>
      <c r="F2952" s="266">
        <f t="shared" si="141"/>
        <v>2945</v>
      </c>
      <c r="G2952" s="230">
        <f t="shared" ca="1" si="140"/>
        <v>-1.7478517295913633E-2</v>
      </c>
    </row>
    <row r="2953" spans="2:7" x14ac:dyDescent="0.25">
      <c r="B2953" s="348">
        <v>41522</v>
      </c>
      <c r="C2953" s="293">
        <v>66.53</v>
      </c>
      <c r="D2953" s="230">
        <f t="shared" ref="D2953:D3016" si="142">C2953/C2954-1</f>
        <v>1.0786994834397046E-2</v>
      </c>
      <c r="E2953" s="293">
        <v>-6.3992124046271526E-3</v>
      </c>
      <c r="F2953" s="266">
        <f t="shared" si="141"/>
        <v>2946</v>
      </c>
      <c r="G2953" s="230">
        <f t="shared" ref="G2953:G3016" ca="1" si="143">_xlfn.NORM.INV(RAND(),$M$10,$M$11)</f>
        <v>2.770217280604859E-3</v>
      </c>
    </row>
    <row r="2954" spans="2:7" x14ac:dyDescent="0.25">
      <c r="B2954" s="348">
        <v>41491</v>
      </c>
      <c r="C2954" s="293">
        <v>65.819999999999993</v>
      </c>
      <c r="D2954" s="230">
        <f t="shared" si="142"/>
        <v>6.0808756460928315E-4</v>
      </c>
      <c r="E2954" s="293">
        <v>-6.4219304131122312E-3</v>
      </c>
      <c r="F2954" s="266">
        <f t="shared" ref="F2954:F3017" si="144">F2953+1</f>
        <v>2947</v>
      </c>
      <c r="G2954" s="230">
        <f t="shared" ca="1" si="143"/>
        <v>2.2434032897489541E-2</v>
      </c>
    </row>
    <row r="2955" spans="2:7" x14ac:dyDescent="0.25">
      <c r="B2955" s="348">
        <v>41460</v>
      </c>
      <c r="C2955" s="293">
        <v>65.78</v>
      </c>
      <c r="D2955" s="230">
        <f t="shared" si="142"/>
        <v>-1.8208955223880552E-2</v>
      </c>
      <c r="E2955" s="293">
        <v>-6.4458102233546644E-3</v>
      </c>
      <c r="F2955" s="266">
        <f t="shared" si="144"/>
        <v>2948</v>
      </c>
      <c r="G2955" s="230">
        <f t="shared" ca="1" si="143"/>
        <v>-3.0637204421931546E-2</v>
      </c>
    </row>
    <row r="2956" spans="2:7" x14ac:dyDescent="0.25">
      <c r="B2956" s="348">
        <v>41430</v>
      </c>
      <c r="C2956" s="293">
        <v>67</v>
      </c>
      <c r="D2956" s="230">
        <f t="shared" si="142"/>
        <v>5.854976730220729E-3</v>
      </c>
      <c r="E2956" s="293">
        <v>-6.5017443704409317E-3</v>
      </c>
      <c r="F2956" s="266">
        <f t="shared" si="144"/>
        <v>2949</v>
      </c>
      <c r="G2956" s="230">
        <f t="shared" ca="1" si="143"/>
        <v>-1.6064448012708676E-2</v>
      </c>
    </row>
    <row r="2957" spans="2:7" x14ac:dyDescent="0.25">
      <c r="B2957" s="348">
        <v>41338</v>
      </c>
      <c r="C2957" s="293">
        <v>66.61</v>
      </c>
      <c r="D2957" s="230">
        <f t="shared" si="142"/>
        <v>8.4784254352763266E-3</v>
      </c>
      <c r="E2957" s="293">
        <v>-6.5124635077475901E-3</v>
      </c>
      <c r="F2957" s="266">
        <f t="shared" si="144"/>
        <v>2950</v>
      </c>
      <c r="G2957" s="230">
        <f t="shared" ca="1" si="143"/>
        <v>1.5781317040931782E-2</v>
      </c>
    </row>
    <row r="2958" spans="2:7" x14ac:dyDescent="0.25">
      <c r="B2958" s="348">
        <v>41310</v>
      </c>
      <c r="C2958" s="293">
        <v>66.05</v>
      </c>
      <c r="D2958" s="230">
        <f t="shared" si="142"/>
        <v>1.1175750153092467E-2</v>
      </c>
      <c r="E2958" s="293">
        <v>-6.5152021383226844E-3</v>
      </c>
      <c r="F2958" s="266">
        <f t="shared" si="144"/>
        <v>2951</v>
      </c>
      <c r="G2958" s="230">
        <f t="shared" ca="1" si="143"/>
        <v>3.7861423225887827E-2</v>
      </c>
    </row>
    <row r="2959" spans="2:7" x14ac:dyDescent="0.25">
      <c r="B2959" s="348" t="s">
        <v>2345</v>
      </c>
      <c r="C2959" s="293">
        <v>65.319999999999993</v>
      </c>
      <c r="D2959" s="230">
        <f t="shared" si="142"/>
        <v>1.8714909544603753E-2</v>
      </c>
      <c r="E2959" s="293">
        <v>-6.5410199556541482E-3</v>
      </c>
      <c r="F2959" s="266">
        <f t="shared" si="144"/>
        <v>2952</v>
      </c>
      <c r="G2959" s="230">
        <f t="shared" ca="1" si="143"/>
        <v>5.1923416289152563E-3</v>
      </c>
    </row>
    <row r="2960" spans="2:7" x14ac:dyDescent="0.25">
      <c r="B2960" s="348" t="s">
        <v>2346</v>
      </c>
      <c r="C2960" s="293">
        <v>64.12</v>
      </c>
      <c r="D2960" s="230">
        <f t="shared" si="142"/>
        <v>3.569697948635131E-2</v>
      </c>
      <c r="E2960" s="293">
        <v>-6.545454545454521E-3</v>
      </c>
      <c r="F2960" s="266">
        <f t="shared" si="144"/>
        <v>2953</v>
      </c>
      <c r="G2960" s="230">
        <f t="shared" ca="1" si="143"/>
        <v>-1.4832898808122663E-2</v>
      </c>
    </row>
    <row r="2961" spans="2:7" x14ac:dyDescent="0.25">
      <c r="B2961" s="348" t="s">
        <v>2347</v>
      </c>
      <c r="C2961" s="293">
        <v>61.91</v>
      </c>
      <c r="D2961" s="230">
        <f t="shared" si="142"/>
        <v>-1.5895724050230542E-2</v>
      </c>
      <c r="E2961" s="293">
        <v>-6.5481758652946587E-3</v>
      </c>
      <c r="F2961" s="266">
        <f t="shared" si="144"/>
        <v>2954</v>
      </c>
      <c r="G2961" s="230">
        <f t="shared" ca="1" si="143"/>
        <v>-4.1436603102870048E-3</v>
      </c>
    </row>
    <row r="2962" spans="2:7" x14ac:dyDescent="0.25">
      <c r="B2962" s="348" t="s">
        <v>2348</v>
      </c>
      <c r="C2962" s="293">
        <v>62.91</v>
      </c>
      <c r="D2962" s="230">
        <f t="shared" si="142"/>
        <v>-2.1160728177999077E-2</v>
      </c>
      <c r="E2962" s="293">
        <v>-6.556481355005972E-3</v>
      </c>
      <c r="F2962" s="266">
        <f t="shared" si="144"/>
        <v>2955</v>
      </c>
      <c r="G2962" s="230">
        <f t="shared" ca="1" si="143"/>
        <v>9.6398048327454126E-3</v>
      </c>
    </row>
    <row r="2963" spans="2:7" x14ac:dyDescent="0.25">
      <c r="B2963" s="348" t="s">
        <v>2349</v>
      </c>
      <c r="C2963" s="293">
        <v>64.27</v>
      </c>
      <c r="D2963" s="230">
        <f t="shared" si="142"/>
        <v>9.8994343180389688E-3</v>
      </c>
      <c r="E2963" s="293">
        <v>-6.5565607104323131E-3</v>
      </c>
      <c r="F2963" s="266">
        <f t="shared" si="144"/>
        <v>2956</v>
      </c>
      <c r="G2963" s="230">
        <f t="shared" ca="1" si="143"/>
        <v>-1.8285273612665673E-2</v>
      </c>
    </row>
    <row r="2964" spans="2:7" x14ac:dyDescent="0.25">
      <c r="B2964" s="348" t="s">
        <v>2350</v>
      </c>
      <c r="C2964" s="293">
        <v>63.64</v>
      </c>
      <c r="D2964" s="230">
        <f t="shared" si="142"/>
        <v>-8.0346820809248598E-2</v>
      </c>
      <c r="E2964" s="293">
        <v>-6.5717415115006395E-3</v>
      </c>
      <c r="F2964" s="266">
        <f t="shared" si="144"/>
        <v>2957</v>
      </c>
      <c r="G2964" s="230">
        <f t="shared" ca="1" si="143"/>
        <v>1.6146965431129031E-2</v>
      </c>
    </row>
    <row r="2965" spans="2:7" x14ac:dyDescent="0.25">
      <c r="B2965" s="348" t="s">
        <v>2351</v>
      </c>
      <c r="C2965" s="293">
        <v>69.2</v>
      </c>
      <c r="D2965" s="230">
        <f t="shared" si="142"/>
        <v>-1.46660971094974E-2</v>
      </c>
      <c r="E2965" s="293">
        <v>-6.5757189125528193E-3</v>
      </c>
      <c r="F2965" s="266">
        <f t="shared" si="144"/>
        <v>2958</v>
      </c>
      <c r="G2965" s="230">
        <f t="shared" ca="1" si="143"/>
        <v>-3.5411286028765405E-3</v>
      </c>
    </row>
    <row r="2966" spans="2:7" x14ac:dyDescent="0.25">
      <c r="B2966" s="348" t="s">
        <v>2352</v>
      </c>
      <c r="C2966" s="293">
        <v>70.23</v>
      </c>
      <c r="D2966" s="230">
        <f t="shared" si="142"/>
        <v>-1.7762237762237731E-2</v>
      </c>
      <c r="E2966" s="293">
        <v>-6.5812877979366524E-3</v>
      </c>
      <c r="F2966" s="266">
        <f t="shared" si="144"/>
        <v>2959</v>
      </c>
      <c r="G2966" s="230">
        <f t="shared" ca="1" si="143"/>
        <v>-1.6261321136690862E-2</v>
      </c>
    </row>
    <row r="2967" spans="2:7" x14ac:dyDescent="0.25">
      <c r="B2967" s="348" t="s">
        <v>2353</v>
      </c>
      <c r="C2967" s="293">
        <v>71.5</v>
      </c>
      <c r="D2967" s="230">
        <f t="shared" si="142"/>
        <v>5.9088351153628871E-3</v>
      </c>
      <c r="E2967" s="293">
        <v>-6.5813867259917336E-3</v>
      </c>
      <c r="F2967" s="266">
        <f t="shared" si="144"/>
        <v>2960</v>
      </c>
      <c r="G2967" s="230">
        <f t="shared" ca="1" si="143"/>
        <v>1.1833537538125494E-2</v>
      </c>
    </row>
    <row r="2968" spans="2:7" x14ac:dyDescent="0.25">
      <c r="B2968" s="348" t="s">
        <v>2354</v>
      </c>
      <c r="C2968" s="293">
        <v>71.08</v>
      </c>
      <c r="D2968" s="230">
        <f t="shared" si="142"/>
        <v>-1.222901612006666E-2</v>
      </c>
      <c r="E2968" s="293">
        <v>-6.5883190883191389E-3</v>
      </c>
      <c r="F2968" s="266">
        <f t="shared" si="144"/>
        <v>2961</v>
      </c>
      <c r="G2968" s="230">
        <f t="shared" ca="1" si="143"/>
        <v>7.5098166522245841E-3</v>
      </c>
    </row>
    <row r="2969" spans="2:7" x14ac:dyDescent="0.25">
      <c r="B2969" s="348">
        <v>41612</v>
      </c>
      <c r="C2969" s="293">
        <v>71.959999999999994</v>
      </c>
      <c r="D2969" s="230">
        <f t="shared" si="142"/>
        <v>-4.751819986763739E-2</v>
      </c>
      <c r="E2969" s="293">
        <v>-6.607217114078523E-3</v>
      </c>
      <c r="F2969" s="266">
        <f t="shared" si="144"/>
        <v>2962</v>
      </c>
      <c r="G2969" s="230">
        <f t="shared" ca="1" si="143"/>
        <v>-2.0583104604110177E-4</v>
      </c>
    </row>
    <row r="2970" spans="2:7" x14ac:dyDescent="0.25">
      <c r="B2970" s="348">
        <v>41582</v>
      </c>
      <c r="C2970" s="293">
        <v>75.55</v>
      </c>
      <c r="D2970" s="230">
        <f t="shared" si="142"/>
        <v>1.7236807212939187E-3</v>
      </c>
      <c r="E2970" s="293">
        <v>-6.6452974747869265E-3</v>
      </c>
      <c r="F2970" s="266">
        <f t="shared" si="144"/>
        <v>2963</v>
      </c>
      <c r="G2970" s="230">
        <f t="shared" ca="1" si="143"/>
        <v>-1.6074351338421118E-2</v>
      </c>
    </row>
    <row r="2971" spans="2:7" x14ac:dyDescent="0.25">
      <c r="B2971" s="348">
        <v>41551</v>
      </c>
      <c r="C2971" s="293">
        <v>75.42</v>
      </c>
      <c r="D2971" s="230">
        <f t="shared" si="142"/>
        <v>2.167434299647808E-2</v>
      </c>
      <c r="E2971" s="293">
        <v>-6.6709021601016882E-3</v>
      </c>
      <c r="F2971" s="266">
        <f t="shared" si="144"/>
        <v>2964</v>
      </c>
      <c r="G2971" s="230">
        <f t="shared" ca="1" si="143"/>
        <v>1.5253662655193146E-2</v>
      </c>
    </row>
    <row r="2972" spans="2:7" x14ac:dyDescent="0.25">
      <c r="B2972" s="348">
        <v>41521</v>
      </c>
      <c r="C2972" s="293">
        <v>73.819999999999993</v>
      </c>
      <c r="D2972" s="230">
        <f t="shared" si="142"/>
        <v>-1.7579445571332952E-3</v>
      </c>
      <c r="E2972" s="293">
        <v>-6.675762596238255E-3</v>
      </c>
      <c r="F2972" s="266">
        <f t="shared" si="144"/>
        <v>2965</v>
      </c>
      <c r="G2972" s="230">
        <f t="shared" ca="1" si="143"/>
        <v>-1.123199266872585E-2</v>
      </c>
    </row>
    <row r="2973" spans="2:7" x14ac:dyDescent="0.25">
      <c r="B2973" s="348">
        <v>41490</v>
      </c>
      <c r="C2973" s="293">
        <v>73.95</v>
      </c>
      <c r="D2973" s="230">
        <f t="shared" si="142"/>
        <v>-1.2815378454144932E-2</v>
      </c>
      <c r="E2973" s="293">
        <v>-6.7000178667142585E-3</v>
      </c>
      <c r="F2973" s="266">
        <f t="shared" si="144"/>
        <v>2966</v>
      </c>
      <c r="G2973" s="230">
        <f t="shared" ca="1" si="143"/>
        <v>1.3205973370837317E-2</v>
      </c>
    </row>
    <row r="2974" spans="2:7" x14ac:dyDescent="0.25">
      <c r="B2974" s="348">
        <v>41398</v>
      </c>
      <c r="C2974" s="293">
        <v>74.91</v>
      </c>
      <c r="D2974" s="230">
        <f t="shared" si="142"/>
        <v>2.1407144805017708E-2</v>
      </c>
      <c r="E2974" s="293">
        <v>-6.707092980521856E-3</v>
      </c>
      <c r="F2974" s="266">
        <f t="shared" si="144"/>
        <v>2967</v>
      </c>
      <c r="G2974" s="230">
        <f t="shared" ca="1" si="143"/>
        <v>-1.1131104518440904E-2</v>
      </c>
    </row>
    <row r="2975" spans="2:7" x14ac:dyDescent="0.25">
      <c r="B2975" s="348">
        <v>41368</v>
      </c>
      <c r="C2975" s="293">
        <v>73.34</v>
      </c>
      <c r="D2975" s="230">
        <f t="shared" si="142"/>
        <v>-7.846320346320268E-3</v>
      </c>
      <c r="E2975" s="293">
        <v>-6.7103858471861955E-3</v>
      </c>
      <c r="F2975" s="266">
        <f t="shared" si="144"/>
        <v>2968</v>
      </c>
      <c r="G2975" s="230">
        <f t="shared" ca="1" si="143"/>
        <v>2.7274476228380689E-3</v>
      </c>
    </row>
    <row r="2976" spans="2:7" x14ac:dyDescent="0.25">
      <c r="B2976" s="348">
        <v>41337</v>
      </c>
      <c r="C2976" s="293">
        <v>73.92</v>
      </c>
      <c r="D2976" s="230">
        <f t="shared" si="142"/>
        <v>-2.2945066810635684E-3</v>
      </c>
      <c r="E2976" s="293">
        <v>-6.7107750472589212E-3</v>
      </c>
      <c r="F2976" s="266">
        <f t="shared" si="144"/>
        <v>2969</v>
      </c>
      <c r="G2976" s="230">
        <f t="shared" ca="1" si="143"/>
        <v>-2.215850283263527E-2</v>
      </c>
    </row>
    <row r="2977" spans="2:7" x14ac:dyDescent="0.25">
      <c r="B2977" s="348">
        <v>41309</v>
      </c>
      <c r="C2977" s="293">
        <v>74.09</v>
      </c>
      <c r="D2977" s="230">
        <f t="shared" si="142"/>
        <v>4.3227259926781336E-2</v>
      </c>
      <c r="E2977" s="293">
        <v>-6.7234424025101047E-3</v>
      </c>
      <c r="F2977" s="266">
        <f t="shared" si="144"/>
        <v>2970</v>
      </c>
      <c r="G2977" s="230">
        <f t="shared" ca="1" si="143"/>
        <v>5.5930679957525171E-3</v>
      </c>
    </row>
    <row r="2978" spans="2:7" x14ac:dyDescent="0.25">
      <c r="B2978" s="348">
        <v>41278</v>
      </c>
      <c r="C2978" s="293">
        <v>71.02</v>
      </c>
      <c r="D2978" s="230">
        <f t="shared" si="142"/>
        <v>-1.4021935304734168E-2</v>
      </c>
      <c r="E2978" s="293">
        <v>-6.7434672660858785E-3</v>
      </c>
      <c r="F2978" s="266">
        <f t="shared" si="144"/>
        <v>2971</v>
      </c>
      <c r="G2978" s="230">
        <f t="shared" ca="1" si="143"/>
        <v>-2.4632048348991963E-3</v>
      </c>
    </row>
    <row r="2979" spans="2:7" x14ac:dyDescent="0.25">
      <c r="B2979" s="348" t="s">
        <v>2355</v>
      </c>
      <c r="C2979" s="293">
        <v>72.03</v>
      </c>
      <c r="D2979" s="230">
        <f t="shared" si="142"/>
        <v>-1.801552106430071E-3</v>
      </c>
      <c r="E2979" s="293">
        <v>-6.7505929574895873E-3</v>
      </c>
      <c r="F2979" s="266">
        <f t="shared" si="144"/>
        <v>2972</v>
      </c>
      <c r="G2979" s="230">
        <f t="shared" ca="1" si="143"/>
        <v>2.0301270106951694E-2</v>
      </c>
    </row>
    <row r="2980" spans="2:7" x14ac:dyDescent="0.25">
      <c r="B2980" s="348" t="s">
        <v>2356</v>
      </c>
      <c r="C2980" s="293">
        <v>72.16</v>
      </c>
      <c r="D2980" s="230">
        <f t="shared" si="142"/>
        <v>1.5336991698325697E-2</v>
      </c>
      <c r="E2980" s="293">
        <v>-6.7596474715496679E-3</v>
      </c>
      <c r="F2980" s="266">
        <f t="shared" si="144"/>
        <v>2973</v>
      </c>
      <c r="G2980" s="230">
        <f t="shared" ca="1" si="143"/>
        <v>-1.1765565178317413E-3</v>
      </c>
    </row>
    <row r="2981" spans="2:7" x14ac:dyDescent="0.25">
      <c r="B2981" s="348" t="s">
        <v>2357</v>
      </c>
      <c r="C2981" s="293">
        <v>71.069999999999993</v>
      </c>
      <c r="D2981" s="230">
        <f t="shared" si="142"/>
        <v>-1.00292519849563E-2</v>
      </c>
      <c r="E2981" s="293">
        <v>-6.7973856209150307E-3</v>
      </c>
      <c r="F2981" s="266">
        <f t="shared" si="144"/>
        <v>2974</v>
      </c>
      <c r="G2981" s="230">
        <f t="shared" ca="1" si="143"/>
        <v>3.319097995125639E-3</v>
      </c>
    </row>
    <row r="2982" spans="2:7" x14ac:dyDescent="0.25">
      <c r="B2982" s="348" t="s">
        <v>2358</v>
      </c>
      <c r="C2982" s="293">
        <v>71.790000000000006</v>
      </c>
      <c r="D2982" s="230">
        <f t="shared" si="142"/>
        <v>2.2337009632837912E-3</v>
      </c>
      <c r="E2982" s="293">
        <v>-6.8027210884353817E-3</v>
      </c>
      <c r="F2982" s="266">
        <f t="shared" si="144"/>
        <v>2975</v>
      </c>
      <c r="G2982" s="230">
        <f t="shared" ca="1" si="143"/>
        <v>1.5226239585534027E-2</v>
      </c>
    </row>
    <row r="2983" spans="2:7" x14ac:dyDescent="0.25">
      <c r="B2983" s="348" t="s">
        <v>2359</v>
      </c>
      <c r="C2983" s="293">
        <v>71.63</v>
      </c>
      <c r="D2983" s="230">
        <f t="shared" si="142"/>
        <v>1.1151891586674179E-2</v>
      </c>
      <c r="E2983" s="293">
        <v>-6.8056762235736423E-3</v>
      </c>
      <c r="F2983" s="266">
        <f t="shared" si="144"/>
        <v>2976</v>
      </c>
      <c r="G2983" s="230">
        <f t="shared" ca="1" si="143"/>
        <v>-9.9284112541450018E-3</v>
      </c>
    </row>
    <row r="2984" spans="2:7" x14ac:dyDescent="0.25">
      <c r="B2984" s="348" t="s">
        <v>2360</v>
      </c>
      <c r="C2984" s="293">
        <v>70.84</v>
      </c>
      <c r="D2984" s="230">
        <f t="shared" si="142"/>
        <v>-8.5374387683694319E-3</v>
      </c>
      <c r="E2984" s="293">
        <v>-6.8308181096108367E-3</v>
      </c>
      <c r="F2984" s="266">
        <f t="shared" si="144"/>
        <v>2977</v>
      </c>
      <c r="G2984" s="230">
        <f t="shared" ca="1" si="143"/>
        <v>-9.595480819621964E-3</v>
      </c>
    </row>
    <row r="2985" spans="2:7" x14ac:dyDescent="0.25">
      <c r="B2985" s="348" t="s">
        <v>2361</v>
      </c>
      <c r="C2985" s="293">
        <v>71.45</v>
      </c>
      <c r="D2985" s="230">
        <f t="shared" si="142"/>
        <v>0</v>
      </c>
      <c r="E2985" s="293">
        <v>-6.8540570479092011E-3</v>
      </c>
      <c r="F2985" s="266">
        <f t="shared" si="144"/>
        <v>2978</v>
      </c>
      <c r="G2985" s="230">
        <f t="shared" ca="1" si="143"/>
        <v>-1.6394097149051483E-2</v>
      </c>
    </row>
    <row r="2986" spans="2:7" x14ac:dyDescent="0.25">
      <c r="B2986" s="348" t="s">
        <v>2362</v>
      </c>
      <c r="C2986" s="293">
        <v>71.45</v>
      </c>
      <c r="D2986" s="230">
        <f t="shared" si="142"/>
        <v>-1.6652903936140828E-2</v>
      </c>
      <c r="E2986" s="293">
        <v>-6.8549045209728154E-3</v>
      </c>
      <c r="F2986" s="266">
        <f t="shared" si="144"/>
        <v>2979</v>
      </c>
      <c r="G2986" s="230">
        <f t="shared" ca="1" si="143"/>
        <v>-1.2300656591613586E-2</v>
      </c>
    </row>
    <row r="2987" spans="2:7" x14ac:dyDescent="0.25">
      <c r="B2987" s="348" t="s">
        <v>2363</v>
      </c>
      <c r="C2987" s="293">
        <v>72.66</v>
      </c>
      <c r="D2987" s="230">
        <f t="shared" si="142"/>
        <v>5.6747404844290639E-3</v>
      </c>
      <c r="E2987" s="293">
        <v>-6.8565031833766055E-3</v>
      </c>
      <c r="F2987" s="266">
        <f t="shared" si="144"/>
        <v>2980</v>
      </c>
      <c r="G2987" s="230">
        <f t="shared" ca="1" si="143"/>
        <v>1.2893618763423089E-2</v>
      </c>
    </row>
    <row r="2988" spans="2:7" x14ac:dyDescent="0.25">
      <c r="B2988" s="348" t="s">
        <v>2364</v>
      </c>
      <c r="C2988" s="293">
        <v>72.25</v>
      </c>
      <c r="D2988" s="230">
        <f t="shared" si="142"/>
        <v>-1.7960762641613393E-3</v>
      </c>
      <c r="E2988" s="293">
        <v>-6.8599652428428248E-3</v>
      </c>
      <c r="F2988" s="266">
        <f t="shared" si="144"/>
        <v>2981</v>
      </c>
      <c r="G2988" s="230">
        <f t="shared" ca="1" si="143"/>
        <v>4.8521825090855349E-2</v>
      </c>
    </row>
    <row r="2989" spans="2:7" x14ac:dyDescent="0.25">
      <c r="B2989" s="348" t="s">
        <v>2365</v>
      </c>
      <c r="C2989" s="293">
        <v>72.38</v>
      </c>
      <c r="D2989" s="230">
        <f t="shared" si="142"/>
        <v>1.3835085777531564E-3</v>
      </c>
      <c r="E2989" s="293">
        <v>-6.9293666558876144E-3</v>
      </c>
      <c r="F2989" s="266">
        <f t="shared" si="144"/>
        <v>2982</v>
      </c>
      <c r="G2989" s="230">
        <f t="shared" ca="1" si="143"/>
        <v>-5.3986242829510882E-3</v>
      </c>
    </row>
    <row r="2990" spans="2:7" x14ac:dyDescent="0.25">
      <c r="B2990" s="348">
        <v>41611</v>
      </c>
      <c r="C2990" s="293">
        <v>72.28</v>
      </c>
      <c r="D2990" s="230">
        <f t="shared" si="142"/>
        <v>-2.0709650697225968E-3</v>
      </c>
      <c r="E2990" s="293">
        <v>-6.9520309861952345E-3</v>
      </c>
      <c r="F2990" s="266">
        <f t="shared" si="144"/>
        <v>2983</v>
      </c>
      <c r="G2990" s="230">
        <f t="shared" ca="1" si="143"/>
        <v>-2.3808928097297879E-3</v>
      </c>
    </row>
    <row r="2991" spans="2:7" x14ac:dyDescent="0.25">
      <c r="B2991" s="348">
        <v>41581</v>
      </c>
      <c r="C2991" s="293">
        <v>72.430000000000007</v>
      </c>
      <c r="D2991" s="230">
        <f t="shared" si="142"/>
        <v>-1.2946306895611714E-2</v>
      </c>
      <c r="E2991" s="293">
        <v>-6.9565217391304168E-3</v>
      </c>
      <c r="F2991" s="266">
        <f t="shared" si="144"/>
        <v>2984</v>
      </c>
      <c r="G2991" s="230">
        <f t="shared" ca="1" si="143"/>
        <v>3.0744816213472526E-2</v>
      </c>
    </row>
    <row r="2992" spans="2:7" x14ac:dyDescent="0.25">
      <c r="B2992" s="348">
        <v>41489</v>
      </c>
      <c r="C2992" s="293">
        <v>73.38</v>
      </c>
      <c r="D2992" s="230">
        <f t="shared" si="142"/>
        <v>-8.9141004862237638E-3</v>
      </c>
      <c r="E2992" s="293">
        <v>-6.9615069615069913E-3</v>
      </c>
      <c r="F2992" s="266">
        <f t="shared" si="144"/>
        <v>2985</v>
      </c>
      <c r="G2992" s="230">
        <f t="shared" ca="1" si="143"/>
        <v>-1.208828255918888E-4</v>
      </c>
    </row>
    <row r="2993" spans="2:7" x14ac:dyDescent="0.25">
      <c r="B2993" s="348">
        <v>41458</v>
      </c>
      <c r="C2993" s="293">
        <v>74.040000000000006</v>
      </c>
      <c r="D2993" s="230">
        <f t="shared" si="142"/>
        <v>1.6893283889575672E-2</v>
      </c>
      <c r="E2993" s="293">
        <v>-6.9848661233994358E-3</v>
      </c>
      <c r="F2993" s="266">
        <f t="shared" si="144"/>
        <v>2986</v>
      </c>
      <c r="G2993" s="230">
        <f t="shared" ca="1" si="143"/>
        <v>1.5422649977608728E-2</v>
      </c>
    </row>
    <row r="2994" spans="2:7" x14ac:dyDescent="0.25">
      <c r="B2994" s="348">
        <v>41428</v>
      </c>
      <c r="C2994" s="293">
        <v>72.81</v>
      </c>
      <c r="D2994" s="230">
        <f t="shared" si="142"/>
        <v>2.0462508759635734E-2</v>
      </c>
      <c r="E2994" s="293">
        <v>-7.0102170184204171E-3</v>
      </c>
      <c r="F2994" s="266">
        <f t="shared" si="144"/>
        <v>2987</v>
      </c>
      <c r="G2994" s="230">
        <f t="shared" ca="1" si="143"/>
        <v>-2.5195060221392049E-2</v>
      </c>
    </row>
    <row r="2995" spans="2:7" x14ac:dyDescent="0.25">
      <c r="B2995" s="348">
        <v>41397</v>
      </c>
      <c r="C2995" s="293">
        <v>71.349999999999994</v>
      </c>
      <c r="D2995" s="230">
        <f t="shared" si="142"/>
        <v>3.2262731481481399E-2</v>
      </c>
      <c r="E2995" s="293">
        <v>-7.0133793698748947E-3</v>
      </c>
      <c r="F2995" s="266">
        <f t="shared" si="144"/>
        <v>2988</v>
      </c>
      <c r="G2995" s="230">
        <f t="shared" ca="1" si="143"/>
        <v>1.8811534957074098E-2</v>
      </c>
    </row>
    <row r="2996" spans="2:7" x14ac:dyDescent="0.25">
      <c r="B2996" s="348">
        <v>41367</v>
      </c>
      <c r="C2996" s="293">
        <v>69.12</v>
      </c>
      <c r="D2996" s="230">
        <f t="shared" si="142"/>
        <v>-5.1813471502590858E-3</v>
      </c>
      <c r="E2996" s="293">
        <v>-7.0348892480273095E-3</v>
      </c>
      <c r="F2996" s="266">
        <f t="shared" si="144"/>
        <v>2989</v>
      </c>
      <c r="G2996" s="230">
        <f t="shared" ca="1" si="143"/>
        <v>1.4226555871983503E-2</v>
      </c>
    </row>
    <row r="2997" spans="2:7" x14ac:dyDescent="0.25">
      <c r="B2997" s="348">
        <v>41277</v>
      </c>
      <c r="C2997" s="293">
        <v>69.48</v>
      </c>
      <c r="D2997" s="230">
        <f t="shared" si="142"/>
        <v>1.2680367293397499E-2</v>
      </c>
      <c r="E2997" s="293">
        <v>-7.0366304022357884E-3</v>
      </c>
      <c r="F2997" s="266">
        <f t="shared" si="144"/>
        <v>2990</v>
      </c>
      <c r="G2997" s="230">
        <f t="shared" ca="1" si="143"/>
        <v>2.3704479062517533E-2</v>
      </c>
    </row>
    <row r="2998" spans="2:7" x14ac:dyDescent="0.25">
      <c r="B2998" s="348" t="s">
        <v>2366</v>
      </c>
      <c r="C2998" s="293">
        <v>68.61</v>
      </c>
      <c r="D2998" s="230">
        <f t="shared" si="142"/>
        <v>-5.0754060324824657E-3</v>
      </c>
      <c r="E2998" s="293">
        <v>-7.0609002647837871E-3</v>
      </c>
      <c r="F2998" s="266">
        <f t="shared" si="144"/>
        <v>2991</v>
      </c>
      <c r="G2998" s="230">
        <f t="shared" ca="1" si="143"/>
        <v>-3.0650460938436122E-3</v>
      </c>
    </row>
    <row r="2999" spans="2:7" x14ac:dyDescent="0.25">
      <c r="B2999" s="348" t="s">
        <v>2367</v>
      </c>
      <c r="C2999" s="293">
        <v>68.959999999999994</v>
      </c>
      <c r="D2999" s="230">
        <f t="shared" si="142"/>
        <v>6.2746242521523055E-3</v>
      </c>
      <c r="E2999" s="293">
        <v>-7.0617425326845451E-3</v>
      </c>
      <c r="F2999" s="266">
        <f t="shared" si="144"/>
        <v>2992</v>
      </c>
      <c r="G2999" s="230">
        <f t="shared" ca="1" si="143"/>
        <v>-4.2785774895248256E-3</v>
      </c>
    </row>
    <row r="3000" spans="2:7" x14ac:dyDescent="0.25">
      <c r="B3000" s="348" t="s">
        <v>2368</v>
      </c>
      <c r="C3000" s="293">
        <v>68.53</v>
      </c>
      <c r="D3000" s="230">
        <f t="shared" si="142"/>
        <v>-7.6744859542426935E-3</v>
      </c>
      <c r="E3000" s="293">
        <v>-7.064017660044164E-3</v>
      </c>
      <c r="F3000" s="266">
        <f t="shared" si="144"/>
        <v>2993</v>
      </c>
      <c r="G3000" s="230">
        <f t="shared" ca="1" si="143"/>
        <v>1.169432149486822E-2</v>
      </c>
    </row>
    <row r="3001" spans="2:7" x14ac:dyDescent="0.25">
      <c r="B3001" s="348" t="s">
        <v>2369</v>
      </c>
      <c r="C3001" s="293">
        <v>69.06</v>
      </c>
      <c r="D3001" s="230">
        <f t="shared" si="142"/>
        <v>7.5868106215348785E-3</v>
      </c>
      <c r="E3001" s="293">
        <v>-7.068803016022529E-3</v>
      </c>
      <c r="F3001" s="266">
        <f t="shared" si="144"/>
        <v>2994</v>
      </c>
      <c r="G3001" s="230">
        <f t="shared" ca="1" si="143"/>
        <v>-1.9245726577147536E-2</v>
      </c>
    </row>
    <row r="3002" spans="2:7" x14ac:dyDescent="0.25">
      <c r="B3002" s="348" t="s">
        <v>2370</v>
      </c>
      <c r="C3002" s="293">
        <v>68.540000000000006</v>
      </c>
      <c r="D3002" s="230">
        <f t="shared" si="142"/>
        <v>2.5127131319174545E-2</v>
      </c>
      <c r="E3002" s="293">
        <v>-7.0707070707070052E-3</v>
      </c>
      <c r="F3002" s="266">
        <f t="shared" si="144"/>
        <v>2995</v>
      </c>
      <c r="G3002" s="230">
        <f t="shared" ca="1" si="143"/>
        <v>1.0142669136832658E-2</v>
      </c>
    </row>
    <row r="3003" spans="2:7" x14ac:dyDescent="0.25">
      <c r="B3003" s="348" t="s">
        <v>2371</v>
      </c>
      <c r="C3003" s="293">
        <v>66.86</v>
      </c>
      <c r="D3003" s="230">
        <f t="shared" si="142"/>
        <v>-1.589637915808062E-2</v>
      </c>
      <c r="E3003" s="293">
        <v>-7.0799017483021975E-3</v>
      </c>
      <c r="F3003" s="266">
        <f t="shared" si="144"/>
        <v>2996</v>
      </c>
      <c r="G3003" s="230">
        <f t="shared" ca="1" si="143"/>
        <v>-8.8560707590871739E-3</v>
      </c>
    </row>
    <row r="3004" spans="2:7" x14ac:dyDescent="0.25">
      <c r="B3004" s="348" t="s">
        <v>2372</v>
      </c>
      <c r="C3004" s="293">
        <v>67.94</v>
      </c>
      <c r="D3004" s="230">
        <f t="shared" si="142"/>
        <v>3.8416075650116177E-3</v>
      </c>
      <c r="E3004" s="293">
        <v>-7.0812807881772688E-3</v>
      </c>
      <c r="F3004" s="266">
        <f t="shared" si="144"/>
        <v>2997</v>
      </c>
      <c r="G3004" s="230">
        <f t="shared" ca="1" si="143"/>
        <v>6.321976185483108E-3</v>
      </c>
    </row>
    <row r="3005" spans="2:7" x14ac:dyDescent="0.25">
      <c r="B3005" s="348" t="s">
        <v>2373</v>
      </c>
      <c r="C3005" s="293">
        <v>67.680000000000007</v>
      </c>
      <c r="D3005" s="230">
        <f t="shared" si="142"/>
        <v>1.9430637144148388E-2</v>
      </c>
      <c r="E3005" s="293">
        <v>-7.0869990224828872E-3</v>
      </c>
      <c r="F3005" s="266">
        <f t="shared" si="144"/>
        <v>2998</v>
      </c>
      <c r="G3005" s="230">
        <f t="shared" ca="1" si="143"/>
        <v>-2.603518371695978E-2</v>
      </c>
    </row>
    <row r="3006" spans="2:7" x14ac:dyDescent="0.25">
      <c r="B3006" s="348" t="s">
        <v>2374</v>
      </c>
      <c r="C3006" s="293">
        <v>66.39</v>
      </c>
      <c r="D3006" s="230">
        <f t="shared" si="142"/>
        <v>9.1199270405835087E-3</v>
      </c>
      <c r="E3006" s="293">
        <v>-7.0970383513033752E-3</v>
      </c>
      <c r="F3006" s="266">
        <f t="shared" si="144"/>
        <v>2999</v>
      </c>
      <c r="G3006" s="230">
        <f t="shared" ca="1" si="143"/>
        <v>-4.7563925492600167E-3</v>
      </c>
    </row>
    <row r="3007" spans="2:7" x14ac:dyDescent="0.25">
      <c r="B3007" s="348" t="s">
        <v>2375</v>
      </c>
      <c r="C3007" s="293">
        <v>65.790000000000006</v>
      </c>
      <c r="D3007" s="230">
        <f t="shared" si="142"/>
        <v>8.7396504139836129E-3</v>
      </c>
      <c r="E3007" s="293">
        <v>-7.1189279731993516E-3</v>
      </c>
      <c r="F3007" s="266">
        <f t="shared" si="144"/>
        <v>3000</v>
      </c>
      <c r="G3007" s="230">
        <f t="shared" ca="1" si="143"/>
        <v>3.1958186189585806E-3</v>
      </c>
    </row>
    <row r="3008" spans="2:7" x14ac:dyDescent="0.25">
      <c r="B3008" s="348" t="s">
        <v>2376</v>
      </c>
      <c r="C3008" s="293">
        <v>65.22</v>
      </c>
      <c r="D3008" s="230">
        <f t="shared" si="142"/>
        <v>-3.3348154735437952E-2</v>
      </c>
      <c r="E3008" s="293">
        <v>-7.1341833636915375E-3</v>
      </c>
      <c r="F3008" s="266">
        <f t="shared" si="144"/>
        <v>3001</v>
      </c>
      <c r="G3008" s="230">
        <f t="shared" ca="1" si="143"/>
        <v>1.5819692881848101E-2</v>
      </c>
    </row>
    <row r="3009" spans="2:7" x14ac:dyDescent="0.25">
      <c r="B3009" s="348" t="s">
        <v>2377</v>
      </c>
      <c r="C3009" s="293">
        <v>67.47</v>
      </c>
      <c r="D3009" s="230">
        <f t="shared" si="142"/>
        <v>-5.7471264367816577E-3</v>
      </c>
      <c r="E3009" s="293">
        <v>-7.1345180957321785E-3</v>
      </c>
      <c r="F3009" s="266">
        <f t="shared" si="144"/>
        <v>3002</v>
      </c>
      <c r="G3009" s="230">
        <f t="shared" ca="1" si="143"/>
        <v>2.9872330950295183E-3</v>
      </c>
    </row>
    <row r="3010" spans="2:7" x14ac:dyDescent="0.25">
      <c r="B3010" s="348">
        <v>41610</v>
      </c>
      <c r="C3010" s="293">
        <v>67.86</v>
      </c>
      <c r="D3010" s="230">
        <f t="shared" si="142"/>
        <v>5.7803468208093012E-3</v>
      </c>
      <c r="E3010" s="293">
        <v>-7.1422639315671388E-3</v>
      </c>
      <c r="F3010" s="266">
        <f t="shared" si="144"/>
        <v>3003</v>
      </c>
      <c r="G3010" s="230">
        <f t="shared" ca="1" si="143"/>
        <v>-2.1940593483857178E-2</v>
      </c>
    </row>
    <row r="3011" spans="2:7" x14ac:dyDescent="0.25">
      <c r="B3011" s="348">
        <v>41580</v>
      </c>
      <c r="C3011" s="293">
        <v>67.47</v>
      </c>
      <c r="D3011" s="230">
        <f t="shared" si="142"/>
        <v>-7.064017660044164E-3</v>
      </c>
      <c r="E3011" s="293">
        <v>-7.1520192793562698E-3</v>
      </c>
      <c r="F3011" s="266">
        <f t="shared" si="144"/>
        <v>3004</v>
      </c>
      <c r="G3011" s="230">
        <f t="shared" ca="1" si="143"/>
        <v>1.6089045181514022E-2</v>
      </c>
    </row>
    <row r="3012" spans="2:7" x14ac:dyDescent="0.25">
      <c r="B3012" s="348">
        <v>41488</v>
      </c>
      <c r="C3012" s="293">
        <v>67.95</v>
      </c>
      <c r="D3012" s="230">
        <f t="shared" si="142"/>
        <v>1.6454749439042793E-2</v>
      </c>
      <c r="E3012" s="293">
        <v>-7.1585098612126918E-3</v>
      </c>
      <c r="F3012" s="266">
        <f t="shared" si="144"/>
        <v>3005</v>
      </c>
      <c r="G3012" s="230">
        <f t="shared" ca="1" si="143"/>
        <v>3.1147563366146339E-2</v>
      </c>
    </row>
    <row r="3013" spans="2:7" x14ac:dyDescent="0.25">
      <c r="B3013" s="348">
        <v>41457</v>
      </c>
      <c r="C3013" s="293">
        <v>66.849999999999994</v>
      </c>
      <c r="D3013" s="230">
        <f t="shared" si="142"/>
        <v>1.4961101137034305E-4</v>
      </c>
      <c r="E3013" s="293">
        <v>-7.1807987409009399E-3</v>
      </c>
      <c r="F3013" s="266">
        <f t="shared" si="144"/>
        <v>3006</v>
      </c>
      <c r="G3013" s="230">
        <f t="shared" ca="1" si="143"/>
        <v>-1.417381589844411E-2</v>
      </c>
    </row>
    <row r="3014" spans="2:7" x14ac:dyDescent="0.25">
      <c r="B3014" s="348">
        <v>41427</v>
      </c>
      <c r="C3014" s="293">
        <v>66.84</v>
      </c>
      <c r="D3014" s="230">
        <f t="shared" si="142"/>
        <v>-3.2806441992245805E-3</v>
      </c>
      <c r="E3014" s="293">
        <v>-7.1850141134206513E-3</v>
      </c>
      <c r="F3014" s="266">
        <f t="shared" si="144"/>
        <v>3007</v>
      </c>
      <c r="G3014" s="230">
        <f t="shared" ca="1" si="143"/>
        <v>-1.0829545942590399E-2</v>
      </c>
    </row>
    <row r="3015" spans="2:7" x14ac:dyDescent="0.25">
      <c r="B3015" s="348">
        <v>41396</v>
      </c>
      <c r="C3015" s="293">
        <v>67.06</v>
      </c>
      <c r="D3015" s="230">
        <f t="shared" si="142"/>
        <v>-2.6769779892920065E-3</v>
      </c>
      <c r="E3015" s="293">
        <v>-7.2152653548001044E-3</v>
      </c>
      <c r="F3015" s="266">
        <f t="shared" si="144"/>
        <v>3008</v>
      </c>
      <c r="G3015" s="230">
        <f t="shared" ca="1" si="143"/>
        <v>8.4068995129010123E-3</v>
      </c>
    </row>
    <row r="3016" spans="2:7" x14ac:dyDescent="0.25">
      <c r="B3016" s="348">
        <v>41366</v>
      </c>
      <c r="C3016" s="293">
        <v>67.239999999999995</v>
      </c>
      <c r="D3016" s="230">
        <f t="shared" si="142"/>
        <v>1.1911852293031711E-3</v>
      </c>
      <c r="E3016" s="293">
        <v>-7.2156862745098582E-3</v>
      </c>
      <c r="F3016" s="266">
        <f t="shared" si="144"/>
        <v>3009</v>
      </c>
      <c r="G3016" s="230">
        <f t="shared" ca="1" si="143"/>
        <v>1.7526958345745809E-2</v>
      </c>
    </row>
    <row r="3017" spans="2:7" x14ac:dyDescent="0.25">
      <c r="B3017" s="348">
        <v>41276</v>
      </c>
      <c r="C3017" s="293">
        <v>67.16</v>
      </c>
      <c r="D3017" s="230">
        <f t="shared" ref="D3017:D3080" si="145">C3017/C3018-1</f>
        <v>-9.5856068426486418E-3</v>
      </c>
      <c r="E3017" s="293">
        <v>-7.2317524386141807E-3</v>
      </c>
      <c r="F3017" s="266">
        <f t="shared" si="144"/>
        <v>3010</v>
      </c>
      <c r="G3017" s="230">
        <f t="shared" ref="G3017:G3080" ca="1" si="146">_xlfn.NORM.INV(RAND(),$M$10,$M$11)</f>
        <v>-4.6517859922227914E-2</v>
      </c>
    </row>
    <row r="3018" spans="2:7" x14ac:dyDescent="0.25">
      <c r="B3018" s="348" t="s">
        <v>2378</v>
      </c>
      <c r="C3018" s="293">
        <v>67.81</v>
      </c>
      <c r="D3018" s="230">
        <f t="shared" si="145"/>
        <v>-8.0456407255704576E-3</v>
      </c>
      <c r="E3018" s="293">
        <v>-7.2397360703813085E-3</v>
      </c>
      <c r="F3018" s="266">
        <f t="shared" ref="F3018:F3081" si="147">F3017+1</f>
        <v>3011</v>
      </c>
      <c r="G3018" s="230">
        <f t="shared" ca="1" si="146"/>
        <v>5.7688047150249834E-3</v>
      </c>
    </row>
    <row r="3019" spans="2:7" x14ac:dyDescent="0.25">
      <c r="B3019" s="348" t="s">
        <v>2379</v>
      </c>
      <c r="C3019" s="293">
        <v>68.36</v>
      </c>
      <c r="D3019" s="230">
        <f t="shared" si="145"/>
        <v>1.5297787019159292E-2</v>
      </c>
      <c r="E3019" s="293">
        <v>-7.2692028107583795E-3</v>
      </c>
      <c r="F3019" s="266">
        <f t="shared" si="147"/>
        <v>3012</v>
      </c>
      <c r="G3019" s="230">
        <f t="shared" ca="1" si="146"/>
        <v>8.1081179363209771E-3</v>
      </c>
    </row>
    <row r="3020" spans="2:7" x14ac:dyDescent="0.25">
      <c r="B3020" s="348" t="s">
        <v>2380</v>
      </c>
      <c r="C3020" s="293">
        <v>67.33</v>
      </c>
      <c r="D3020" s="230">
        <f t="shared" si="145"/>
        <v>-1.1887290871734679E-2</v>
      </c>
      <c r="E3020" s="293">
        <v>-7.2794331748035068E-3</v>
      </c>
      <c r="F3020" s="266">
        <f t="shared" si="147"/>
        <v>3013</v>
      </c>
      <c r="G3020" s="230">
        <f t="shared" ca="1" si="146"/>
        <v>-2.5573259840907955E-2</v>
      </c>
    </row>
    <row r="3021" spans="2:7" x14ac:dyDescent="0.25">
      <c r="B3021" s="348" t="s">
        <v>2381</v>
      </c>
      <c r="C3021" s="293">
        <v>68.14</v>
      </c>
      <c r="D3021" s="230">
        <f t="shared" si="145"/>
        <v>1.4440970671430575E-2</v>
      </c>
      <c r="E3021" s="293">
        <v>-7.292817679558028E-3</v>
      </c>
      <c r="F3021" s="266">
        <f t="shared" si="147"/>
        <v>3014</v>
      </c>
      <c r="G3021" s="230">
        <f t="shared" ca="1" si="146"/>
        <v>3.4508736932353117E-3</v>
      </c>
    </row>
    <row r="3022" spans="2:7" x14ac:dyDescent="0.25">
      <c r="B3022" s="348" t="s">
        <v>2382</v>
      </c>
      <c r="C3022" s="293">
        <v>67.17</v>
      </c>
      <c r="D3022" s="230">
        <f t="shared" si="145"/>
        <v>6.7446043165468872E-3</v>
      </c>
      <c r="E3022" s="293">
        <v>-7.3092045569109754E-3</v>
      </c>
      <c r="F3022" s="266">
        <f t="shared" si="147"/>
        <v>3015</v>
      </c>
      <c r="G3022" s="230">
        <f t="shared" ca="1" si="146"/>
        <v>-2.4043736228042657E-2</v>
      </c>
    </row>
    <row r="3023" spans="2:7" x14ac:dyDescent="0.25">
      <c r="B3023" s="348" t="s">
        <v>2383</v>
      </c>
      <c r="C3023" s="293">
        <v>66.72</v>
      </c>
      <c r="D3023" s="230">
        <f t="shared" si="145"/>
        <v>7.8549848942597311E-3</v>
      </c>
      <c r="E3023" s="293">
        <v>-7.3134328358208656E-3</v>
      </c>
      <c r="F3023" s="266">
        <f t="shared" si="147"/>
        <v>3016</v>
      </c>
      <c r="G3023" s="230">
        <f t="shared" ca="1" si="146"/>
        <v>7.5075764163543635E-3</v>
      </c>
    </row>
    <row r="3024" spans="2:7" x14ac:dyDescent="0.25">
      <c r="B3024" s="348" t="s">
        <v>2384</v>
      </c>
      <c r="C3024" s="293">
        <v>66.2</v>
      </c>
      <c r="D3024" s="230">
        <f t="shared" si="145"/>
        <v>7.6103500761035558E-3</v>
      </c>
      <c r="E3024" s="293">
        <v>-7.3737946681792232E-3</v>
      </c>
      <c r="F3024" s="266">
        <f t="shared" si="147"/>
        <v>3017</v>
      </c>
      <c r="G3024" s="230">
        <f t="shared" ca="1" si="146"/>
        <v>-4.9173004271006269E-3</v>
      </c>
    </row>
    <row r="3025" spans="2:7" x14ac:dyDescent="0.25">
      <c r="B3025" s="348" t="s">
        <v>2385</v>
      </c>
      <c r="C3025" s="293">
        <v>65.7</v>
      </c>
      <c r="D3025" s="230">
        <f t="shared" si="145"/>
        <v>2.9003205617461614E-3</v>
      </c>
      <c r="E3025" s="293">
        <v>-7.3813118604260097E-3</v>
      </c>
      <c r="F3025" s="266">
        <f t="shared" si="147"/>
        <v>3018</v>
      </c>
      <c r="G3025" s="230">
        <f t="shared" ca="1" si="146"/>
        <v>-1.2074117792711433E-2</v>
      </c>
    </row>
    <row r="3026" spans="2:7" x14ac:dyDescent="0.25">
      <c r="B3026" s="348" t="s">
        <v>2386</v>
      </c>
      <c r="C3026" s="293">
        <v>65.510000000000005</v>
      </c>
      <c r="D3026" s="230">
        <f t="shared" si="145"/>
        <v>6.1096685504824499E-4</v>
      </c>
      <c r="E3026" s="293">
        <v>-7.4085875886242825E-3</v>
      </c>
      <c r="F3026" s="266">
        <f t="shared" si="147"/>
        <v>3019</v>
      </c>
      <c r="G3026" s="230">
        <f t="shared" ca="1" si="146"/>
        <v>1.3091575368682915E-2</v>
      </c>
    </row>
    <row r="3027" spans="2:7" x14ac:dyDescent="0.25">
      <c r="B3027" s="348" t="s">
        <v>2387</v>
      </c>
      <c r="C3027" s="293">
        <v>65.47</v>
      </c>
      <c r="D3027" s="230">
        <f t="shared" si="145"/>
        <v>-7.7497534169367333E-2</v>
      </c>
      <c r="E3027" s="293">
        <v>-7.418622255866647E-3</v>
      </c>
      <c r="F3027" s="266">
        <f t="shared" si="147"/>
        <v>3020</v>
      </c>
      <c r="G3027" s="230">
        <f t="shared" ca="1" si="146"/>
        <v>1.3871702223216643E-2</v>
      </c>
    </row>
    <row r="3028" spans="2:7" x14ac:dyDescent="0.25">
      <c r="B3028" s="348" t="s">
        <v>2388</v>
      </c>
      <c r="C3028" s="293">
        <v>70.97</v>
      </c>
      <c r="D3028" s="230">
        <f t="shared" si="145"/>
        <v>2.5578034682080864E-2</v>
      </c>
      <c r="E3028" s="293">
        <v>-7.4246354772342649E-3</v>
      </c>
      <c r="F3028" s="266">
        <f t="shared" si="147"/>
        <v>3021</v>
      </c>
      <c r="G3028" s="230">
        <f t="shared" ca="1" si="146"/>
        <v>-1.1731603593292382E-2</v>
      </c>
    </row>
    <row r="3029" spans="2:7" x14ac:dyDescent="0.25">
      <c r="B3029" s="348" t="s">
        <v>2389</v>
      </c>
      <c r="C3029" s="293">
        <v>69.2</v>
      </c>
      <c r="D3029" s="230">
        <f t="shared" si="145"/>
        <v>-2.3068050749711633E-3</v>
      </c>
      <c r="E3029" s="293">
        <v>-7.4323128649795844E-3</v>
      </c>
      <c r="F3029" s="266">
        <f t="shared" si="147"/>
        <v>3022</v>
      </c>
      <c r="G3029" s="230">
        <f t="shared" ca="1" si="146"/>
        <v>1.8724807597724684E-3</v>
      </c>
    </row>
    <row r="3030" spans="2:7" x14ac:dyDescent="0.25">
      <c r="B3030" s="348" t="s">
        <v>2390</v>
      </c>
      <c r="C3030" s="293">
        <v>69.36</v>
      </c>
      <c r="D3030" s="230">
        <f t="shared" si="145"/>
        <v>4.3440486533448119E-3</v>
      </c>
      <c r="E3030" s="293">
        <v>-7.4495112603883973E-3</v>
      </c>
      <c r="F3030" s="266">
        <f t="shared" si="147"/>
        <v>3023</v>
      </c>
      <c r="G3030" s="230">
        <f t="shared" ca="1" si="146"/>
        <v>-4.5755564350429944E-3</v>
      </c>
    </row>
    <row r="3031" spans="2:7" x14ac:dyDescent="0.25">
      <c r="B3031" s="348" t="s">
        <v>2391</v>
      </c>
      <c r="C3031" s="293">
        <v>69.06</v>
      </c>
      <c r="D3031" s="230">
        <f t="shared" si="145"/>
        <v>-2.0231213872832221E-3</v>
      </c>
      <c r="E3031" s="293">
        <v>-7.4530600544646664E-3</v>
      </c>
      <c r="F3031" s="266">
        <f t="shared" si="147"/>
        <v>3024</v>
      </c>
      <c r="G3031" s="230">
        <f t="shared" ca="1" si="146"/>
        <v>-5.1857958823945663E-4</v>
      </c>
    </row>
    <row r="3032" spans="2:7" x14ac:dyDescent="0.25">
      <c r="B3032" s="348">
        <v>41579</v>
      </c>
      <c r="C3032" s="293">
        <v>69.2</v>
      </c>
      <c r="D3032" s="230">
        <f t="shared" si="145"/>
        <v>6.1675360540042856E-2</v>
      </c>
      <c r="E3032" s="293">
        <v>-7.4546033768715381E-3</v>
      </c>
      <c r="F3032" s="266">
        <f t="shared" si="147"/>
        <v>3025</v>
      </c>
      <c r="G3032" s="230">
        <f t="shared" ca="1" si="146"/>
        <v>-2.5862376729084445E-2</v>
      </c>
    </row>
    <row r="3033" spans="2:7" x14ac:dyDescent="0.25">
      <c r="B3033" s="348">
        <v>41548</v>
      </c>
      <c r="C3033" s="293">
        <v>65.180000000000007</v>
      </c>
      <c r="D3033" s="230">
        <f t="shared" si="145"/>
        <v>-3.6686028737388243E-3</v>
      </c>
      <c r="E3033" s="293">
        <v>-7.4632435256362095E-3</v>
      </c>
      <c r="F3033" s="266">
        <f t="shared" si="147"/>
        <v>3026</v>
      </c>
      <c r="G3033" s="230">
        <f t="shared" ca="1" si="146"/>
        <v>-2.2230998201168792E-2</v>
      </c>
    </row>
    <row r="3034" spans="2:7" x14ac:dyDescent="0.25">
      <c r="B3034" s="348">
        <v>41518</v>
      </c>
      <c r="C3034" s="293">
        <v>65.42</v>
      </c>
      <c r="D3034" s="230">
        <f t="shared" si="145"/>
        <v>-2.7439024390242261E-3</v>
      </c>
      <c r="E3034" s="293">
        <v>-7.4653082733180387E-3</v>
      </c>
      <c r="F3034" s="266">
        <f t="shared" si="147"/>
        <v>3027</v>
      </c>
      <c r="G3034" s="230">
        <f t="shared" ca="1" si="146"/>
        <v>-1.2902204820600206E-2</v>
      </c>
    </row>
    <row r="3035" spans="2:7" x14ac:dyDescent="0.25">
      <c r="B3035" s="348">
        <v>41487</v>
      </c>
      <c r="C3035" s="293">
        <v>65.599999999999994</v>
      </c>
      <c r="D3035" s="230">
        <f t="shared" si="145"/>
        <v>-1.6786570743405393E-2</v>
      </c>
      <c r="E3035" s="293">
        <v>-7.4687947616123296E-3</v>
      </c>
      <c r="F3035" s="266">
        <f t="shared" si="147"/>
        <v>3028</v>
      </c>
      <c r="G3035" s="230">
        <f t="shared" ca="1" si="146"/>
        <v>-3.1152822102629386E-3</v>
      </c>
    </row>
    <row r="3036" spans="2:7" x14ac:dyDescent="0.25">
      <c r="B3036" s="348">
        <v>41456</v>
      </c>
      <c r="C3036" s="293">
        <v>66.72</v>
      </c>
      <c r="D3036" s="230">
        <f t="shared" si="145"/>
        <v>3.1574199368515909E-3</v>
      </c>
      <c r="E3036" s="293">
        <v>-7.4696004632309743E-3</v>
      </c>
      <c r="F3036" s="266">
        <f t="shared" si="147"/>
        <v>3029</v>
      </c>
      <c r="G3036" s="230">
        <f t="shared" ca="1" si="146"/>
        <v>-1.5339507587391868E-2</v>
      </c>
    </row>
    <row r="3037" spans="2:7" x14ac:dyDescent="0.25">
      <c r="B3037" s="348">
        <v>41365</v>
      </c>
      <c r="C3037" s="293">
        <v>66.510000000000005</v>
      </c>
      <c r="D3037" s="230">
        <f t="shared" si="145"/>
        <v>1.4645308924485345E-2</v>
      </c>
      <c r="E3037" s="293">
        <v>-7.4752097635393255E-3</v>
      </c>
      <c r="F3037" s="266">
        <f t="shared" si="147"/>
        <v>3030</v>
      </c>
      <c r="G3037" s="230">
        <f t="shared" ca="1" si="146"/>
        <v>-3.9629090909398092E-3</v>
      </c>
    </row>
    <row r="3038" spans="2:7" x14ac:dyDescent="0.25">
      <c r="B3038" s="348">
        <v>41334</v>
      </c>
      <c r="C3038" s="293">
        <v>65.55</v>
      </c>
      <c r="D3038" s="230">
        <f t="shared" si="145"/>
        <v>1.0326757090012295E-2</v>
      </c>
      <c r="E3038" s="293">
        <v>-7.478122513921992E-3</v>
      </c>
      <c r="F3038" s="266">
        <f t="shared" si="147"/>
        <v>3031</v>
      </c>
      <c r="G3038" s="230">
        <f t="shared" ca="1" si="146"/>
        <v>2.385024746473214E-2</v>
      </c>
    </row>
    <row r="3039" spans="2:7" x14ac:dyDescent="0.25">
      <c r="B3039" s="348">
        <v>41306</v>
      </c>
      <c r="C3039" s="293">
        <v>64.88</v>
      </c>
      <c r="D3039" s="230">
        <f t="shared" si="145"/>
        <v>-7.9510703363916413E-3</v>
      </c>
      <c r="E3039" s="293">
        <v>-7.481879822305415E-3</v>
      </c>
      <c r="F3039" s="266">
        <f t="shared" si="147"/>
        <v>3032</v>
      </c>
      <c r="G3039" s="230">
        <f t="shared" ca="1" si="146"/>
        <v>7.4718373756915398E-3</v>
      </c>
    </row>
    <row r="3040" spans="2:7" x14ac:dyDescent="0.25">
      <c r="B3040" s="348">
        <v>41275</v>
      </c>
      <c r="C3040" s="293">
        <v>65.400000000000006</v>
      </c>
      <c r="D3040" s="230">
        <f t="shared" si="145"/>
        <v>6.1538461538461764E-3</v>
      </c>
      <c r="E3040" s="293">
        <v>-7.4819752414638785E-3</v>
      </c>
      <c r="F3040" s="266">
        <f t="shared" si="147"/>
        <v>3033</v>
      </c>
      <c r="G3040" s="230">
        <f t="shared" ca="1" si="146"/>
        <v>1.1434809376914217E-2</v>
      </c>
    </row>
    <row r="3041" spans="2:7" x14ac:dyDescent="0.25">
      <c r="B3041" s="348" t="s">
        <v>2392</v>
      </c>
      <c r="C3041" s="293">
        <v>65</v>
      </c>
      <c r="D3041" s="230">
        <f t="shared" si="145"/>
        <v>6.1919504643963563E-3</v>
      </c>
      <c r="E3041" s="293">
        <v>-7.4903414018765435E-3</v>
      </c>
      <c r="F3041" s="266">
        <f t="shared" si="147"/>
        <v>3034</v>
      </c>
      <c r="G3041" s="230">
        <f t="shared" ca="1" si="146"/>
        <v>1.0194196474666746E-2</v>
      </c>
    </row>
    <row r="3042" spans="2:7" x14ac:dyDescent="0.25">
      <c r="B3042" s="348" t="s">
        <v>2393</v>
      </c>
      <c r="C3042" s="293">
        <v>64.599999999999994</v>
      </c>
      <c r="D3042" s="230">
        <f t="shared" si="145"/>
        <v>1.7002518891687579E-2</v>
      </c>
      <c r="E3042" s="293">
        <v>-7.5202284626367799E-3</v>
      </c>
      <c r="F3042" s="266">
        <f t="shared" si="147"/>
        <v>3035</v>
      </c>
      <c r="G3042" s="230">
        <f t="shared" ca="1" si="146"/>
        <v>-5.1001038929145044E-3</v>
      </c>
    </row>
    <row r="3043" spans="2:7" x14ac:dyDescent="0.25">
      <c r="B3043" s="348" t="s">
        <v>2394</v>
      </c>
      <c r="C3043" s="293">
        <v>63.52</v>
      </c>
      <c r="D3043" s="230">
        <f t="shared" si="145"/>
        <v>1.1032308904650456E-3</v>
      </c>
      <c r="E3043" s="293">
        <v>-7.5320356059865867E-3</v>
      </c>
      <c r="F3043" s="266">
        <f t="shared" si="147"/>
        <v>3036</v>
      </c>
      <c r="G3043" s="230">
        <f t="shared" ca="1" si="146"/>
        <v>1.5553991968618178E-2</v>
      </c>
    </row>
    <row r="3044" spans="2:7" x14ac:dyDescent="0.25">
      <c r="B3044" s="348" t="s">
        <v>2395</v>
      </c>
      <c r="C3044" s="293">
        <v>63.45</v>
      </c>
      <c r="D3044" s="230">
        <f t="shared" si="145"/>
        <v>-2.2016040257902825E-3</v>
      </c>
      <c r="E3044" s="293">
        <v>-7.5420198247379E-3</v>
      </c>
      <c r="F3044" s="266">
        <f t="shared" si="147"/>
        <v>3037</v>
      </c>
      <c r="G3044" s="230">
        <f t="shared" ca="1" si="146"/>
        <v>3.0090128451413273E-3</v>
      </c>
    </row>
    <row r="3045" spans="2:7" x14ac:dyDescent="0.25">
      <c r="B3045" s="348" t="s">
        <v>2396</v>
      </c>
      <c r="C3045" s="293">
        <v>63.59</v>
      </c>
      <c r="D3045" s="230">
        <f t="shared" si="145"/>
        <v>1.7114523352527167E-2</v>
      </c>
      <c r="E3045" s="293">
        <v>-7.5440067057837012E-3</v>
      </c>
      <c r="F3045" s="266">
        <f t="shared" si="147"/>
        <v>3038</v>
      </c>
      <c r="G3045" s="230">
        <f t="shared" ca="1" si="146"/>
        <v>-5.9038993357073662E-3</v>
      </c>
    </row>
    <row r="3046" spans="2:7" x14ac:dyDescent="0.25">
      <c r="B3046" s="348" t="s">
        <v>2397</v>
      </c>
      <c r="C3046" s="293">
        <v>62.52</v>
      </c>
      <c r="D3046" s="230">
        <f t="shared" si="145"/>
        <v>-6.8308181096108367E-3</v>
      </c>
      <c r="E3046" s="293">
        <v>-7.5442499274591679E-3</v>
      </c>
      <c r="F3046" s="266">
        <f t="shared" si="147"/>
        <v>3039</v>
      </c>
      <c r="G3046" s="230">
        <f t="shared" ca="1" si="146"/>
        <v>5.8270988509005689E-3</v>
      </c>
    </row>
    <row r="3047" spans="2:7" x14ac:dyDescent="0.25">
      <c r="B3047" s="348" t="s">
        <v>2398</v>
      </c>
      <c r="C3047" s="293">
        <v>62.95</v>
      </c>
      <c r="D3047" s="230">
        <f t="shared" si="145"/>
        <v>-1.068678296401071E-2</v>
      </c>
      <c r="E3047" s="293">
        <v>-7.5845410628019305E-3</v>
      </c>
      <c r="F3047" s="266">
        <f t="shared" si="147"/>
        <v>3040</v>
      </c>
      <c r="G3047" s="230">
        <f t="shared" ca="1" si="146"/>
        <v>1.5052370639005328E-2</v>
      </c>
    </row>
    <row r="3048" spans="2:7" x14ac:dyDescent="0.25">
      <c r="B3048" s="348" t="s">
        <v>2399</v>
      </c>
      <c r="C3048" s="293">
        <v>63.63</v>
      </c>
      <c r="D3048" s="230">
        <f t="shared" si="145"/>
        <v>2.7450347166155353E-2</v>
      </c>
      <c r="E3048" s="293">
        <v>-7.5934579439251859E-3</v>
      </c>
      <c r="F3048" s="266">
        <f t="shared" si="147"/>
        <v>3041</v>
      </c>
      <c r="G3048" s="230">
        <f t="shared" ca="1" si="146"/>
        <v>3.2423561586284635E-2</v>
      </c>
    </row>
    <row r="3049" spans="2:7" x14ac:dyDescent="0.25">
      <c r="B3049" s="348" t="s">
        <v>2400</v>
      </c>
      <c r="C3049" s="293">
        <v>61.93</v>
      </c>
      <c r="D3049" s="230">
        <f t="shared" si="145"/>
        <v>1.524590163934425E-2</v>
      </c>
      <c r="E3049" s="293">
        <v>-7.6081087714130469E-3</v>
      </c>
      <c r="F3049" s="266">
        <f t="shared" si="147"/>
        <v>3042</v>
      </c>
      <c r="G3049" s="230">
        <f t="shared" ca="1" si="146"/>
        <v>4.3209115732132618E-3</v>
      </c>
    </row>
    <row r="3050" spans="2:7" x14ac:dyDescent="0.25">
      <c r="B3050" s="348" t="s">
        <v>2401</v>
      </c>
      <c r="C3050" s="293">
        <v>61</v>
      </c>
      <c r="D3050" s="230">
        <f t="shared" si="145"/>
        <v>-1.5334947538337418E-2</v>
      </c>
      <c r="E3050" s="293">
        <v>-7.6283618581907131E-3</v>
      </c>
      <c r="F3050" s="266">
        <f t="shared" si="147"/>
        <v>3043</v>
      </c>
      <c r="G3050" s="230">
        <f t="shared" ca="1" si="146"/>
        <v>-3.8156083530532632E-2</v>
      </c>
    </row>
    <row r="3051" spans="2:7" x14ac:dyDescent="0.25">
      <c r="B3051" s="348" t="s">
        <v>2402</v>
      </c>
      <c r="C3051" s="293">
        <v>61.95</v>
      </c>
      <c r="D3051" s="230">
        <f t="shared" si="145"/>
        <v>6.3352826510720828E-3</v>
      </c>
      <c r="E3051" s="293">
        <v>-7.6427036064007359E-3</v>
      </c>
      <c r="F3051" s="266">
        <f t="shared" si="147"/>
        <v>3044</v>
      </c>
      <c r="G3051" s="230">
        <f t="shared" ca="1" si="146"/>
        <v>-4.0698517424290754E-4</v>
      </c>
    </row>
    <row r="3052" spans="2:7" x14ac:dyDescent="0.25">
      <c r="B3052" s="348" t="s">
        <v>2403</v>
      </c>
      <c r="C3052" s="293">
        <v>61.56</v>
      </c>
      <c r="D3052" s="230">
        <f t="shared" si="145"/>
        <v>-3.2383419689118176E-3</v>
      </c>
      <c r="E3052" s="293">
        <v>-7.6642335766422542E-3</v>
      </c>
      <c r="F3052" s="266">
        <f t="shared" si="147"/>
        <v>3045</v>
      </c>
      <c r="G3052" s="230">
        <f t="shared" ca="1" si="146"/>
        <v>4.0842390962738402E-2</v>
      </c>
    </row>
    <row r="3053" spans="2:7" x14ac:dyDescent="0.25">
      <c r="B3053" s="348">
        <v>41255</v>
      </c>
      <c r="C3053" s="293">
        <v>61.76</v>
      </c>
      <c r="D3053" s="230">
        <f t="shared" si="145"/>
        <v>-1.247201790853858E-2</v>
      </c>
      <c r="E3053" s="293">
        <v>-7.6690680920288301E-3</v>
      </c>
      <c r="F3053" s="266">
        <f t="shared" si="147"/>
        <v>3046</v>
      </c>
      <c r="G3053" s="230">
        <f t="shared" ca="1" si="146"/>
        <v>-1.1034669289888117E-2</v>
      </c>
    </row>
    <row r="3054" spans="2:7" x14ac:dyDescent="0.25">
      <c r="B3054" s="348">
        <v>41225</v>
      </c>
      <c r="C3054" s="293">
        <v>62.54</v>
      </c>
      <c r="D3054" s="230">
        <f t="shared" si="145"/>
        <v>-6.6709021601016882E-3</v>
      </c>
      <c r="E3054" s="293">
        <v>-7.6736672051695987E-3</v>
      </c>
      <c r="F3054" s="266">
        <f t="shared" si="147"/>
        <v>3047</v>
      </c>
      <c r="G3054" s="230">
        <f t="shared" ca="1" si="146"/>
        <v>-8.1065045401835004E-4</v>
      </c>
    </row>
    <row r="3055" spans="2:7" x14ac:dyDescent="0.25">
      <c r="B3055" s="348">
        <v>41194</v>
      </c>
      <c r="C3055" s="293">
        <v>62.96</v>
      </c>
      <c r="D3055" s="230">
        <f t="shared" si="145"/>
        <v>4.948124501197082E-3</v>
      </c>
      <c r="E3055" s="293">
        <v>-7.6737887451097109E-3</v>
      </c>
      <c r="F3055" s="266">
        <f t="shared" si="147"/>
        <v>3048</v>
      </c>
      <c r="G3055" s="230">
        <f t="shared" ca="1" si="146"/>
        <v>2.4449254236043647E-2</v>
      </c>
    </row>
    <row r="3056" spans="2:7" x14ac:dyDescent="0.25">
      <c r="B3056" s="348">
        <v>41102</v>
      </c>
      <c r="C3056" s="293">
        <v>62.65</v>
      </c>
      <c r="D3056" s="230">
        <f t="shared" si="145"/>
        <v>9.5861958779352996E-4</v>
      </c>
      <c r="E3056" s="293">
        <v>-7.6744859542426935E-3</v>
      </c>
      <c r="F3056" s="266">
        <f t="shared" si="147"/>
        <v>3049</v>
      </c>
      <c r="G3056" s="230">
        <f t="shared" ca="1" si="146"/>
        <v>-2.748070903832249E-2</v>
      </c>
    </row>
    <row r="3057" spans="2:7" x14ac:dyDescent="0.25">
      <c r="B3057" s="348">
        <v>41072</v>
      </c>
      <c r="C3057" s="293">
        <v>62.59</v>
      </c>
      <c r="D3057" s="230">
        <f t="shared" si="145"/>
        <v>-2.8676119165206293E-3</v>
      </c>
      <c r="E3057" s="293">
        <v>-7.6771221759157626E-3</v>
      </c>
      <c r="F3057" s="266">
        <f t="shared" si="147"/>
        <v>3050</v>
      </c>
      <c r="G3057" s="230">
        <f t="shared" ca="1" si="146"/>
        <v>4.9274227756239651E-3</v>
      </c>
    </row>
    <row r="3058" spans="2:7" x14ac:dyDescent="0.25">
      <c r="B3058" s="348">
        <v>41041</v>
      </c>
      <c r="C3058" s="293">
        <v>62.77</v>
      </c>
      <c r="D3058" s="230">
        <f t="shared" si="145"/>
        <v>-1.8451915559030474E-2</v>
      </c>
      <c r="E3058" s="293">
        <v>-7.6910878528385629E-3</v>
      </c>
      <c r="F3058" s="266">
        <f t="shared" si="147"/>
        <v>3051</v>
      </c>
      <c r="G3058" s="230">
        <f t="shared" ca="1" si="146"/>
        <v>-2.4727774473498498E-2</v>
      </c>
    </row>
    <row r="3059" spans="2:7" x14ac:dyDescent="0.25">
      <c r="B3059" s="348">
        <v>41011</v>
      </c>
      <c r="C3059" s="293">
        <v>63.95</v>
      </c>
      <c r="D3059" s="230">
        <f t="shared" si="145"/>
        <v>-1.6456474930790388E-2</v>
      </c>
      <c r="E3059" s="293">
        <v>-7.6933551198257177E-3</v>
      </c>
      <c r="F3059" s="266">
        <f t="shared" si="147"/>
        <v>3052</v>
      </c>
      <c r="G3059" s="230">
        <f t="shared" ca="1" si="146"/>
        <v>-2.3636532460812869E-2</v>
      </c>
    </row>
    <row r="3060" spans="2:7" x14ac:dyDescent="0.25">
      <c r="B3060" s="348">
        <v>40980</v>
      </c>
      <c r="C3060" s="293">
        <v>65.02</v>
      </c>
      <c r="D3060" s="230">
        <f t="shared" si="145"/>
        <v>3.395061728395099E-3</v>
      </c>
      <c r="E3060" s="293">
        <v>-7.6945412311265615E-3</v>
      </c>
      <c r="F3060" s="266">
        <f t="shared" si="147"/>
        <v>3053</v>
      </c>
      <c r="G3060" s="230">
        <f t="shared" ca="1" si="146"/>
        <v>1.0376223509069374E-2</v>
      </c>
    </row>
    <row r="3061" spans="2:7" x14ac:dyDescent="0.25">
      <c r="B3061" s="348" t="s">
        <v>2404</v>
      </c>
      <c r="C3061" s="293">
        <v>64.8</v>
      </c>
      <c r="D3061" s="230">
        <f t="shared" si="145"/>
        <v>1.7907634307257281E-2</v>
      </c>
      <c r="E3061" s="293">
        <v>-7.7114427860697221E-3</v>
      </c>
      <c r="F3061" s="266">
        <f t="shared" si="147"/>
        <v>3054</v>
      </c>
      <c r="G3061" s="230">
        <f t="shared" ca="1" si="146"/>
        <v>3.9031960935641458E-2</v>
      </c>
    </row>
    <row r="3062" spans="2:7" x14ac:dyDescent="0.25">
      <c r="B3062" s="348" t="s">
        <v>2405</v>
      </c>
      <c r="C3062" s="293">
        <v>63.66</v>
      </c>
      <c r="D3062" s="230">
        <f t="shared" si="145"/>
        <v>1.9538757206918556E-2</v>
      </c>
      <c r="E3062" s="293">
        <v>-7.7176921439215951E-3</v>
      </c>
      <c r="F3062" s="266">
        <f t="shared" si="147"/>
        <v>3055</v>
      </c>
      <c r="G3062" s="230">
        <f t="shared" ca="1" si="146"/>
        <v>1.9491306674977532E-2</v>
      </c>
    </row>
    <row r="3063" spans="2:7" x14ac:dyDescent="0.25">
      <c r="B3063" s="348" t="s">
        <v>2406</v>
      </c>
      <c r="C3063" s="293">
        <v>62.44</v>
      </c>
      <c r="D3063" s="230">
        <f t="shared" si="145"/>
        <v>9.376010345942376E-3</v>
      </c>
      <c r="E3063" s="293">
        <v>-7.7339520494973391E-3</v>
      </c>
      <c r="F3063" s="266">
        <f t="shared" si="147"/>
        <v>3056</v>
      </c>
      <c r="G3063" s="230">
        <f t="shared" ca="1" si="146"/>
        <v>2.4697346232114281E-2</v>
      </c>
    </row>
    <row r="3064" spans="2:7" x14ac:dyDescent="0.25">
      <c r="B3064" s="348" t="s">
        <v>2407</v>
      </c>
      <c r="C3064" s="293">
        <v>61.86</v>
      </c>
      <c r="D3064" s="230">
        <f t="shared" si="145"/>
        <v>2.3325062034739386E-2</v>
      </c>
      <c r="E3064" s="293">
        <v>-7.7362637362636821E-3</v>
      </c>
      <c r="F3064" s="266">
        <f t="shared" si="147"/>
        <v>3057</v>
      </c>
      <c r="G3064" s="230">
        <f t="shared" ca="1" si="146"/>
        <v>9.2566702598564348E-3</v>
      </c>
    </row>
    <row r="3065" spans="2:7" x14ac:dyDescent="0.25">
      <c r="B3065" s="348" t="s">
        <v>2408</v>
      </c>
      <c r="C3065" s="293">
        <v>60.45</v>
      </c>
      <c r="D3065" s="230">
        <f t="shared" si="145"/>
        <v>-1.0638297872340385E-2</v>
      </c>
      <c r="E3065" s="293">
        <v>-7.7532167601451762E-3</v>
      </c>
      <c r="F3065" s="266">
        <f t="shared" si="147"/>
        <v>3058</v>
      </c>
      <c r="G3065" s="230">
        <f t="shared" ca="1" si="146"/>
        <v>1.7560991973066979E-2</v>
      </c>
    </row>
    <row r="3066" spans="2:7" x14ac:dyDescent="0.25">
      <c r="B3066" s="348" t="s">
        <v>2409</v>
      </c>
      <c r="C3066" s="293">
        <v>61.1</v>
      </c>
      <c r="D3066" s="230">
        <f t="shared" si="145"/>
        <v>1.091992058239577E-2</v>
      </c>
      <c r="E3066" s="293">
        <v>-7.7541921101095257E-3</v>
      </c>
      <c r="F3066" s="266">
        <f t="shared" si="147"/>
        <v>3059</v>
      </c>
      <c r="G3066" s="230">
        <f t="shared" ca="1" si="146"/>
        <v>-3.0680724352096275E-2</v>
      </c>
    </row>
    <row r="3067" spans="2:7" x14ac:dyDescent="0.25">
      <c r="B3067" s="348" t="s">
        <v>2410</v>
      </c>
      <c r="C3067" s="293">
        <v>60.44</v>
      </c>
      <c r="D3067" s="230">
        <f t="shared" si="145"/>
        <v>1.3923838282167367E-2</v>
      </c>
      <c r="E3067" s="293">
        <v>-7.7740602243653312E-3</v>
      </c>
      <c r="F3067" s="266">
        <f t="shared" si="147"/>
        <v>3060</v>
      </c>
      <c r="G3067" s="230">
        <f t="shared" ca="1" si="146"/>
        <v>1.4562885000124561E-2</v>
      </c>
    </row>
    <row r="3068" spans="2:7" x14ac:dyDescent="0.25">
      <c r="B3068" s="348" t="s">
        <v>2411</v>
      </c>
      <c r="C3068" s="293">
        <v>59.61</v>
      </c>
      <c r="D3068" s="230">
        <f t="shared" si="145"/>
        <v>1.0167768174885738E-2</v>
      </c>
      <c r="E3068" s="293">
        <v>-7.7907623817474736E-3</v>
      </c>
      <c r="F3068" s="266">
        <f t="shared" si="147"/>
        <v>3061</v>
      </c>
      <c r="G3068" s="230">
        <f t="shared" ca="1" si="146"/>
        <v>-6.9270376487171022E-3</v>
      </c>
    </row>
    <row r="3069" spans="2:7" x14ac:dyDescent="0.25">
      <c r="B3069" s="348" t="s">
        <v>2412</v>
      </c>
      <c r="C3069" s="293">
        <v>59.01</v>
      </c>
      <c r="D3069" s="230">
        <f t="shared" si="145"/>
        <v>-2.7040730099713306E-3</v>
      </c>
      <c r="E3069" s="293">
        <v>-7.812499999999889E-3</v>
      </c>
      <c r="F3069" s="266">
        <f t="shared" si="147"/>
        <v>3062</v>
      </c>
      <c r="G3069" s="230">
        <f t="shared" ca="1" si="146"/>
        <v>7.7569012965228203E-3</v>
      </c>
    </row>
    <row r="3070" spans="2:7" x14ac:dyDescent="0.25">
      <c r="B3070" s="348" t="s">
        <v>2413</v>
      </c>
      <c r="C3070" s="293">
        <v>59.17</v>
      </c>
      <c r="D3070" s="230">
        <f t="shared" si="145"/>
        <v>-7.3813118604260097E-3</v>
      </c>
      <c r="E3070" s="293">
        <v>-7.8192875760207947E-3</v>
      </c>
      <c r="F3070" s="266">
        <f t="shared" si="147"/>
        <v>3063</v>
      </c>
      <c r="G3070" s="230">
        <f t="shared" ca="1" si="146"/>
        <v>-2.120446285278263E-2</v>
      </c>
    </row>
    <row r="3071" spans="2:7" x14ac:dyDescent="0.25">
      <c r="B3071" s="348" t="s">
        <v>2414</v>
      </c>
      <c r="C3071" s="293">
        <v>59.61</v>
      </c>
      <c r="D3071" s="230">
        <f t="shared" si="145"/>
        <v>-2.0055893473615027E-2</v>
      </c>
      <c r="E3071" s="293">
        <v>-7.8251484079870925E-3</v>
      </c>
      <c r="F3071" s="266">
        <f t="shared" si="147"/>
        <v>3064</v>
      </c>
      <c r="G3071" s="230">
        <f t="shared" ca="1" si="146"/>
        <v>-3.4701392029804958E-3</v>
      </c>
    </row>
    <row r="3072" spans="2:7" x14ac:dyDescent="0.25">
      <c r="B3072" s="348" t="s">
        <v>2415</v>
      </c>
      <c r="C3072" s="293">
        <v>60.83</v>
      </c>
      <c r="D3072" s="230">
        <f t="shared" si="145"/>
        <v>1.1520737327188613E-3</v>
      </c>
      <c r="E3072" s="293">
        <v>-7.8268876611417015E-3</v>
      </c>
      <c r="F3072" s="266">
        <f t="shared" si="147"/>
        <v>3065</v>
      </c>
      <c r="G3072" s="230">
        <f t="shared" ca="1" si="146"/>
        <v>7.3849010288207662E-3</v>
      </c>
    </row>
    <row r="3073" spans="2:7" x14ac:dyDescent="0.25">
      <c r="B3073" s="348">
        <v>41254</v>
      </c>
      <c r="C3073" s="293">
        <v>60.76</v>
      </c>
      <c r="D3073" s="230">
        <f t="shared" si="145"/>
        <v>-5.5646481178396323E-3</v>
      </c>
      <c r="E3073" s="293">
        <v>-7.845084409136116E-3</v>
      </c>
      <c r="F3073" s="266">
        <f t="shared" si="147"/>
        <v>3066</v>
      </c>
      <c r="G3073" s="230">
        <f t="shared" ca="1" si="146"/>
        <v>-2.5559249614417606E-2</v>
      </c>
    </row>
    <row r="3074" spans="2:7" x14ac:dyDescent="0.25">
      <c r="B3074" s="348">
        <v>41163</v>
      </c>
      <c r="C3074" s="293">
        <v>61.1</v>
      </c>
      <c r="D3074" s="230">
        <f t="shared" si="145"/>
        <v>-1.2285806660200405E-2</v>
      </c>
      <c r="E3074" s="293">
        <v>-7.846320346320268E-3</v>
      </c>
      <c r="F3074" s="266">
        <f t="shared" si="147"/>
        <v>3067</v>
      </c>
      <c r="G3074" s="230">
        <f t="shared" ca="1" si="146"/>
        <v>3.3640369250771645E-3</v>
      </c>
    </row>
    <row r="3075" spans="2:7" x14ac:dyDescent="0.25">
      <c r="B3075" s="348">
        <v>41132</v>
      </c>
      <c r="C3075" s="293">
        <v>61.86</v>
      </c>
      <c r="D3075" s="230">
        <f t="shared" si="145"/>
        <v>2.0623659462134958E-2</v>
      </c>
      <c r="E3075" s="293">
        <v>-7.8822302074880168E-3</v>
      </c>
      <c r="F3075" s="266">
        <f t="shared" si="147"/>
        <v>3068</v>
      </c>
      <c r="G3075" s="230">
        <f t="shared" ca="1" si="146"/>
        <v>-5.1984366318281383E-3</v>
      </c>
    </row>
    <row r="3076" spans="2:7" x14ac:dyDescent="0.25">
      <c r="B3076" s="348">
        <v>41101</v>
      </c>
      <c r="C3076" s="293">
        <v>60.61</v>
      </c>
      <c r="D3076" s="230">
        <f t="shared" si="145"/>
        <v>4.9742994528270135E-3</v>
      </c>
      <c r="E3076" s="293">
        <v>-7.8936435396758098E-3</v>
      </c>
      <c r="F3076" s="266">
        <f t="shared" si="147"/>
        <v>3069</v>
      </c>
      <c r="G3076" s="230">
        <f t="shared" ca="1" si="146"/>
        <v>2.111286681985116E-2</v>
      </c>
    </row>
    <row r="3077" spans="2:7" x14ac:dyDescent="0.25">
      <c r="B3077" s="348">
        <v>41071</v>
      </c>
      <c r="C3077" s="293">
        <v>60.31</v>
      </c>
      <c r="D3077" s="230">
        <f t="shared" si="145"/>
        <v>9.710363301523639E-3</v>
      </c>
      <c r="E3077" s="293">
        <v>-7.9059294470852359E-3</v>
      </c>
      <c r="F3077" s="266">
        <f t="shared" si="147"/>
        <v>3070</v>
      </c>
      <c r="G3077" s="230">
        <f t="shared" ca="1" si="146"/>
        <v>1.7097574500587222E-2</v>
      </c>
    </row>
    <row r="3078" spans="2:7" x14ac:dyDescent="0.25">
      <c r="B3078" s="348">
        <v>41040</v>
      </c>
      <c r="C3078" s="293">
        <v>59.73</v>
      </c>
      <c r="D3078" s="230">
        <f t="shared" si="145"/>
        <v>-5.8255659121172476E-3</v>
      </c>
      <c r="E3078" s="293">
        <v>-7.9148078860267201E-3</v>
      </c>
      <c r="F3078" s="266">
        <f t="shared" si="147"/>
        <v>3071</v>
      </c>
      <c r="G3078" s="230">
        <f t="shared" ca="1" si="146"/>
        <v>7.3460803284300449E-3</v>
      </c>
    </row>
    <row r="3079" spans="2:7" x14ac:dyDescent="0.25">
      <c r="B3079" s="348">
        <v>40950</v>
      </c>
      <c r="C3079" s="293">
        <v>60.08</v>
      </c>
      <c r="D3079" s="230">
        <f t="shared" si="145"/>
        <v>9.408602150537515E-3</v>
      </c>
      <c r="E3079" s="293">
        <v>-7.9186538288490427E-3</v>
      </c>
      <c r="F3079" s="266">
        <f t="shared" si="147"/>
        <v>3072</v>
      </c>
      <c r="G3079" s="230">
        <f t="shared" ca="1" si="146"/>
        <v>-1.2307119316184976E-2</v>
      </c>
    </row>
    <row r="3080" spans="2:7" x14ac:dyDescent="0.25">
      <c r="B3080" s="348">
        <v>40919</v>
      </c>
      <c r="C3080" s="293">
        <v>59.52</v>
      </c>
      <c r="D3080" s="230">
        <f t="shared" si="145"/>
        <v>3.0114226375908659E-2</v>
      </c>
      <c r="E3080" s="293">
        <v>-7.9237482774460188E-3</v>
      </c>
      <c r="F3080" s="266">
        <f t="shared" si="147"/>
        <v>3073</v>
      </c>
      <c r="G3080" s="230">
        <f t="shared" ca="1" si="146"/>
        <v>-3.4070383608441985E-3</v>
      </c>
    </row>
    <row r="3081" spans="2:7" x14ac:dyDescent="0.25">
      <c r="B3081" s="348" t="s">
        <v>2416</v>
      </c>
      <c r="C3081" s="293">
        <v>57.78</v>
      </c>
      <c r="D3081" s="230">
        <f t="shared" ref="D3081:D3144" si="148">C3081/C3082-1</f>
        <v>8.9051859612361284E-3</v>
      </c>
      <c r="E3081" s="293">
        <v>-7.9510703363916413E-3</v>
      </c>
      <c r="F3081" s="266">
        <f t="shared" si="147"/>
        <v>3074</v>
      </c>
      <c r="G3081" s="230">
        <f t="shared" ref="G3081:G3144" ca="1" si="149">_xlfn.NORM.INV(RAND(),$M$10,$M$11)</f>
        <v>-2.4140087357883741E-2</v>
      </c>
    </row>
    <row r="3082" spans="2:7" x14ac:dyDescent="0.25">
      <c r="B3082" s="348" t="s">
        <v>2417</v>
      </c>
      <c r="C3082" s="293">
        <v>57.27</v>
      </c>
      <c r="D3082" s="230">
        <f t="shared" si="148"/>
        <v>7.9197465681097867E-3</v>
      </c>
      <c r="E3082" s="293">
        <v>-7.9802669762042422E-3</v>
      </c>
      <c r="F3082" s="266">
        <f t="shared" ref="F3082:F3145" si="150">F3081+1</f>
        <v>3075</v>
      </c>
      <c r="G3082" s="230">
        <f t="shared" ca="1" si="149"/>
        <v>-1.9736300940876471E-3</v>
      </c>
    </row>
    <row r="3083" spans="2:7" x14ac:dyDescent="0.25">
      <c r="B3083" s="348" t="s">
        <v>2418</v>
      </c>
      <c r="C3083" s="293">
        <v>56.82</v>
      </c>
      <c r="D3083" s="230">
        <f t="shared" si="148"/>
        <v>2.6187466136897264E-2</v>
      </c>
      <c r="E3083" s="293">
        <v>-7.9861682858554106E-3</v>
      </c>
      <c r="F3083" s="266">
        <f t="shared" si="150"/>
        <v>3076</v>
      </c>
      <c r="G3083" s="230">
        <f t="shared" ca="1" si="149"/>
        <v>-1.8008777465904777E-2</v>
      </c>
    </row>
    <row r="3084" spans="2:7" x14ac:dyDescent="0.25">
      <c r="B3084" s="348" t="s">
        <v>2419</v>
      </c>
      <c r="C3084" s="293">
        <v>55.37</v>
      </c>
      <c r="D3084" s="230">
        <f t="shared" si="148"/>
        <v>-1.1955745895788739E-2</v>
      </c>
      <c r="E3084" s="293">
        <v>-7.9921549399362135E-3</v>
      </c>
      <c r="F3084" s="266">
        <f t="shared" si="150"/>
        <v>3077</v>
      </c>
      <c r="G3084" s="230">
        <f t="shared" ca="1" si="149"/>
        <v>-1.2398883889161293E-2</v>
      </c>
    </row>
    <row r="3085" spans="2:7" x14ac:dyDescent="0.25">
      <c r="B3085" s="348" t="s">
        <v>2420</v>
      </c>
      <c r="C3085" s="293">
        <v>56.04</v>
      </c>
      <c r="D3085" s="230">
        <f t="shared" si="148"/>
        <v>-8.1415929203539905E-3</v>
      </c>
      <c r="E3085" s="293">
        <v>-8.0000000000000071E-3</v>
      </c>
      <c r="F3085" s="266">
        <f t="shared" si="150"/>
        <v>3078</v>
      </c>
      <c r="G3085" s="230">
        <f t="shared" ca="1" si="149"/>
        <v>-5.326518777377303E-2</v>
      </c>
    </row>
    <row r="3086" spans="2:7" x14ac:dyDescent="0.25">
      <c r="B3086" s="348" t="s">
        <v>2421</v>
      </c>
      <c r="C3086" s="293">
        <v>56.5</v>
      </c>
      <c r="D3086" s="230">
        <f t="shared" si="148"/>
        <v>-2.1193924408335896E-3</v>
      </c>
      <c r="E3086" s="293">
        <v>-8.003557136505135E-3</v>
      </c>
      <c r="F3086" s="266">
        <f t="shared" si="150"/>
        <v>3079</v>
      </c>
      <c r="G3086" s="230">
        <f t="shared" ca="1" si="149"/>
        <v>-3.2373790772796382E-2</v>
      </c>
    </row>
    <row r="3087" spans="2:7" x14ac:dyDescent="0.25">
      <c r="B3087" s="348" t="s">
        <v>2422</v>
      </c>
      <c r="C3087" s="293">
        <v>56.62</v>
      </c>
      <c r="D3087" s="230">
        <f t="shared" si="148"/>
        <v>-2.6422406200459214E-3</v>
      </c>
      <c r="E3087" s="293">
        <v>-8.0068630254503947E-3</v>
      </c>
      <c r="F3087" s="266">
        <f t="shared" si="150"/>
        <v>3080</v>
      </c>
      <c r="G3087" s="230">
        <f t="shared" ca="1" si="149"/>
        <v>2.2154075710272475E-2</v>
      </c>
    </row>
    <row r="3088" spans="2:7" x14ac:dyDescent="0.25">
      <c r="B3088" s="348" t="s">
        <v>2423</v>
      </c>
      <c r="C3088" s="293">
        <v>56.77</v>
      </c>
      <c r="D3088" s="230">
        <f t="shared" si="148"/>
        <v>-4.5590040329650527E-3</v>
      </c>
      <c r="E3088" s="293">
        <v>-8.010298955800299E-3</v>
      </c>
      <c r="F3088" s="266">
        <f t="shared" si="150"/>
        <v>3081</v>
      </c>
      <c r="G3088" s="230">
        <f t="shared" ca="1" si="149"/>
        <v>-8.2917703545154937E-3</v>
      </c>
    </row>
    <row r="3089" spans="2:7" x14ac:dyDescent="0.25">
      <c r="B3089" s="348" t="s">
        <v>2424</v>
      </c>
      <c r="C3089" s="293">
        <v>57.03</v>
      </c>
      <c r="D3089" s="230">
        <f t="shared" si="148"/>
        <v>-1.689363902775376E-2</v>
      </c>
      <c r="E3089" s="293">
        <v>-8.0119247251723147E-3</v>
      </c>
      <c r="F3089" s="266">
        <f t="shared" si="150"/>
        <v>3082</v>
      </c>
      <c r="G3089" s="230">
        <f t="shared" ca="1" si="149"/>
        <v>5.5404084474515957E-4</v>
      </c>
    </row>
    <row r="3090" spans="2:7" x14ac:dyDescent="0.25">
      <c r="B3090" s="348" t="s">
        <v>2425</v>
      </c>
      <c r="C3090" s="293">
        <v>58.01</v>
      </c>
      <c r="D3090" s="230">
        <f t="shared" si="148"/>
        <v>-6.8906115417743941E-4</v>
      </c>
      <c r="E3090" s="293">
        <v>-8.0456407255704576E-3</v>
      </c>
      <c r="F3090" s="266">
        <f t="shared" si="150"/>
        <v>3083</v>
      </c>
      <c r="G3090" s="230">
        <f t="shared" ca="1" si="149"/>
        <v>-1.0771496476906648E-2</v>
      </c>
    </row>
    <row r="3091" spans="2:7" x14ac:dyDescent="0.25">
      <c r="B3091" s="348" t="s">
        <v>2426</v>
      </c>
      <c r="C3091" s="293">
        <v>58.05</v>
      </c>
      <c r="D3091" s="230">
        <f t="shared" si="148"/>
        <v>1.207312866505772E-3</v>
      </c>
      <c r="E3091" s="293">
        <v>-8.063137500712414E-3</v>
      </c>
      <c r="F3091" s="266">
        <f t="shared" si="150"/>
        <v>3084</v>
      </c>
      <c r="G3091" s="230">
        <f t="shared" ca="1" si="149"/>
        <v>3.5481510927140796E-2</v>
      </c>
    </row>
    <row r="3092" spans="2:7" x14ac:dyDescent="0.25">
      <c r="B3092" s="348" t="s">
        <v>2427</v>
      </c>
      <c r="C3092" s="293">
        <v>57.98</v>
      </c>
      <c r="D3092" s="230">
        <f t="shared" si="148"/>
        <v>-5.1715221513537468E-4</v>
      </c>
      <c r="E3092" s="293">
        <v>-8.0668395275136362E-3</v>
      </c>
      <c r="F3092" s="266">
        <f t="shared" si="150"/>
        <v>3085</v>
      </c>
      <c r="G3092" s="230">
        <f t="shared" ca="1" si="149"/>
        <v>-2.4309784461601452E-2</v>
      </c>
    </row>
    <row r="3093" spans="2:7" x14ac:dyDescent="0.25">
      <c r="B3093" s="348">
        <v>41253</v>
      </c>
      <c r="C3093" s="293">
        <v>58.01</v>
      </c>
      <c r="D3093" s="230">
        <f t="shared" si="148"/>
        <v>-1.7279349483313666E-2</v>
      </c>
      <c r="E3093" s="293">
        <v>-8.0702251168057737E-3</v>
      </c>
      <c r="F3093" s="266">
        <f t="shared" si="150"/>
        <v>3086</v>
      </c>
      <c r="G3093" s="230">
        <f t="shared" ca="1" si="149"/>
        <v>1.8474260978769759E-2</v>
      </c>
    </row>
    <row r="3094" spans="2:7" x14ac:dyDescent="0.25">
      <c r="B3094" s="348">
        <v>41223</v>
      </c>
      <c r="C3094" s="293">
        <v>59.03</v>
      </c>
      <c r="D3094" s="230">
        <f t="shared" si="148"/>
        <v>-7.2317524386141807E-3</v>
      </c>
      <c r="E3094" s="293">
        <v>-8.0744491583412126E-3</v>
      </c>
      <c r="F3094" s="266">
        <f t="shared" si="150"/>
        <v>3087</v>
      </c>
      <c r="G3094" s="230">
        <f t="shared" ca="1" si="149"/>
        <v>-3.941410330047497E-2</v>
      </c>
    </row>
    <row r="3095" spans="2:7" x14ac:dyDescent="0.25">
      <c r="B3095" s="348">
        <v>41192</v>
      </c>
      <c r="C3095" s="293">
        <v>59.46</v>
      </c>
      <c r="D3095" s="230">
        <f t="shared" si="148"/>
        <v>-1.7190082644628069E-2</v>
      </c>
      <c r="E3095" s="293">
        <v>-8.076892011953829E-3</v>
      </c>
      <c r="F3095" s="266">
        <f t="shared" si="150"/>
        <v>3088</v>
      </c>
      <c r="G3095" s="230">
        <f t="shared" ca="1" si="149"/>
        <v>-8.3310877888523229E-3</v>
      </c>
    </row>
    <row r="3096" spans="2:7" x14ac:dyDescent="0.25">
      <c r="B3096" s="348">
        <v>41162</v>
      </c>
      <c r="C3096" s="293">
        <v>60.5</v>
      </c>
      <c r="D3096" s="230">
        <f t="shared" si="148"/>
        <v>4.8164756684936361E-3</v>
      </c>
      <c r="E3096" s="293">
        <v>-8.0781514183730918E-3</v>
      </c>
      <c r="F3096" s="266">
        <f t="shared" si="150"/>
        <v>3089</v>
      </c>
      <c r="G3096" s="230">
        <f t="shared" ca="1" si="149"/>
        <v>-7.7704967194875286E-3</v>
      </c>
    </row>
    <row r="3097" spans="2:7" x14ac:dyDescent="0.25">
      <c r="B3097" s="348">
        <v>41131</v>
      </c>
      <c r="C3097" s="293">
        <v>60.21</v>
      </c>
      <c r="D3097" s="230">
        <f t="shared" si="148"/>
        <v>-2.097560975609758E-2</v>
      </c>
      <c r="E3097" s="293">
        <v>-8.0786525417270161E-3</v>
      </c>
      <c r="F3097" s="266">
        <f t="shared" si="150"/>
        <v>3090</v>
      </c>
      <c r="G3097" s="230">
        <f t="shared" ca="1" si="149"/>
        <v>-1.6062951071349273E-2</v>
      </c>
    </row>
    <row r="3098" spans="2:7" x14ac:dyDescent="0.25">
      <c r="B3098" s="348">
        <v>41039</v>
      </c>
      <c r="C3098" s="293">
        <v>61.5</v>
      </c>
      <c r="D3098" s="230">
        <f t="shared" si="148"/>
        <v>-2.5202092249167918E-2</v>
      </c>
      <c r="E3098" s="293">
        <v>-8.0836899667142692E-3</v>
      </c>
      <c r="F3098" s="266">
        <f t="shared" si="150"/>
        <v>3091</v>
      </c>
      <c r="G3098" s="230">
        <f t="shared" ca="1" si="149"/>
        <v>1.6806322475742284E-2</v>
      </c>
    </row>
    <row r="3099" spans="2:7" x14ac:dyDescent="0.25">
      <c r="B3099" s="348">
        <v>41009</v>
      </c>
      <c r="C3099" s="293">
        <v>63.09</v>
      </c>
      <c r="D3099" s="230">
        <f t="shared" si="148"/>
        <v>7.0231444533122023E-3</v>
      </c>
      <c r="E3099" s="293">
        <v>-8.0933465739820853E-3</v>
      </c>
      <c r="F3099" s="266">
        <f t="shared" si="150"/>
        <v>3092</v>
      </c>
      <c r="G3099" s="230">
        <f t="shared" ca="1" si="149"/>
        <v>-5.2047862062078068E-4</v>
      </c>
    </row>
    <row r="3100" spans="2:7" x14ac:dyDescent="0.25">
      <c r="B3100" s="348">
        <v>40978</v>
      </c>
      <c r="C3100" s="293">
        <v>62.65</v>
      </c>
      <c r="D3100" s="230">
        <f t="shared" si="148"/>
        <v>-6.5017443704409317E-3</v>
      </c>
      <c r="E3100" s="293">
        <v>-8.1110805609017067E-3</v>
      </c>
      <c r="F3100" s="266">
        <f t="shared" si="150"/>
        <v>3093</v>
      </c>
      <c r="G3100" s="230">
        <f t="shared" ca="1" si="149"/>
        <v>1.5329664583820672E-2</v>
      </c>
    </row>
    <row r="3101" spans="2:7" x14ac:dyDescent="0.25">
      <c r="B3101" s="348">
        <v>40918</v>
      </c>
      <c r="C3101" s="293">
        <v>63.06</v>
      </c>
      <c r="D3101" s="230">
        <f t="shared" si="148"/>
        <v>4.3000477783086133E-3</v>
      </c>
      <c r="E3101" s="293">
        <v>-8.111944838775198E-3</v>
      </c>
      <c r="F3101" s="266">
        <f t="shared" si="150"/>
        <v>3094</v>
      </c>
      <c r="G3101" s="230">
        <f t="shared" ca="1" si="149"/>
        <v>5.2207815690730713E-2</v>
      </c>
    </row>
    <row r="3102" spans="2:7" x14ac:dyDescent="0.25">
      <c r="B3102" s="348" t="s">
        <v>2428</v>
      </c>
      <c r="C3102" s="293">
        <v>62.79</v>
      </c>
      <c r="D3102" s="230">
        <f t="shared" si="148"/>
        <v>1.4214181876918142E-2</v>
      </c>
      <c r="E3102" s="293">
        <v>-8.1139916881061147E-3</v>
      </c>
      <c r="F3102" s="266">
        <f t="shared" si="150"/>
        <v>3095</v>
      </c>
      <c r="G3102" s="230">
        <f t="shared" ca="1" si="149"/>
        <v>7.6832205293284146E-3</v>
      </c>
    </row>
    <row r="3103" spans="2:7" x14ac:dyDescent="0.25">
      <c r="B3103" s="348" t="s">
        <v>2429</v>
      </c>
      <c r="C3103" s="293">
        <v>61.91</v>
      </c>
      <c r="D3103" s="230">
        <f t="shared" si="148"/>
        <v>-1.0864355328327302E-2</v>
      </c>
      <c r="E3103" s="293">
        <v>-8.1359609473875549E-3</v>
      </c>
      <c r="F3103" s="266">
        <f t="shared" si="150"/>
        <v>3096</v>
      </c>
      <c r="G3103" s="230">
        <f t="shared" ca="1" si="149"/>
        <v>2.6450118695910095E-2</v>
      </c>
    </row>
    <row r="3104" spans="2:7" x14ac:dyDescent="0.25">
      <c r="B3104" s="348" t="s">
        <v>2430</v>
      </c>
      <c r="C3104" s="293">
        <v>62.59</v>
      </c>
      <c r="D3104" s="230">
        <f t="shared" si="148"/>
        <v>6.9176319176320611E-3</v>
      </c>
      <c r="E3104" s="293">
        <v>-8.1393455966140005E-3</v>
      </c>
      <c r="F3104" s="266">
        <f t="shared" si="150"/>
        <v>3097</v>
      </c>
      <c r="G3104" s="230">
        <f t="shared" ca="1" si="149"/>
        <v>-1.0373362333880556E-2</v>
      </c>
    </row>
    <row r="3105" spans="2:7" x14ac:dyDescent="0.25">
      <c r="B3105" s="348" t="s">
        <v>2431</v>
      </c>
      <c r="C3105" s="293">
        <v>62.16</v>
      </c>
      <c r="D3105" s="230">
        <f t="shared" si="148"/>
        <v>-8.4542989312490491E-3</v>
      </c>
      <c r="E3105" s="293">
        <v>-8.1415929203539905E-3</v>
      </c>
      <c r="F3105" s="266">
        <f t="shared" si="150"/>
        <v>3098</v>
      </c>
      <c r="G3105" s="230">
        <f t="shared" ca="1" si="149"/>
        <v>-1.6620912172602011E-2</v>
      </c>
    </row>
    <row r="3106" spans="2:7" x14ac:dyDescent="0.25">
      <c r="B3106" s="348" t="s">
        <v>2432</v>
      </c>
      <c r="C3106" s="293">
        <v>62.69</v>
      </c>
      <c r="D3106" s="230">
        <f t="shared" si="148"/>
        <v>6.5831727681437968E-3</v>
      </c>
      <c r="E3106" s="293">
        <v>-8.1435842485936272E-3</v>
      </c>
      <c r="F3106" s="266">
        <f t="shared" si="150"/>
        <v>3099</v>
      </c>
      <c r="G3106" s="230">
        <f t="shared" ca="1" si="149"/>
        <v>3.7912186686516414E-2</v>
      </c>
    </row>
    <row r="3107" spans="2:7" x14ac:dyDescent="0.25">
      <c r="B3107" s="348" t="s">
        <v>2433</v>
      </c>
      <c r="C3107" s="293">
        <v>62.28</v>
      </c>
      <c r="D3107" s="230">
        <f t="shared" si="148"/>
        <v>1.3177159590044063E-2</v>
      </c>
      <c r="E3107" s="293">
        <v>-8.1490104772992122E-3</v>
      </c>
      <c r="F3107" s="266">
        <f t="shared" si="150"/>
        <v>3100</v>
      </c>
      <c r="G3107" s="230">
        <f t="shared" ca="1" si="149"/>
        <v>-1.6778140903111707E-2</v>
      </c>
    </row>
    <row r="3108" spans="2:7" x14ac:dyDescent="0.25">
      <c r="B3108" s="348" t="s">
        <v>2434</v>
      </c>
      <c r="C3108" s="293">
        <v>61.47</v>
      </c>
      <c r="D3108" s="230">
        <f t="shared" si="148"/>
        <v>9.0282337491791598E-3</v>
      </c>
      <c r="E3108" s="293">
        <v>-8.1504121515235672E-3</v>
      </c>
      <c r="F3108" s="266">
        <f t="shared" si="150"/>
        <v>3101</v>
      </c>
      <c r="G3108" s="230">
        <f t="shared" ca="1" si="149"/>
        <v>-3.4510665539822724E-2</v>
      </c>
    </row>
    <row r="3109" spans="2:7" x14ac:dyDescent="0.25">
      <c r="B3109" s="348" t="s">
        <v>2435</v>
      </c>
      <c r="C3109" s="293">
        <v>60.92</v>
      </c>
      <c r="D3109" s="230">
        <f t="shared" si="148"/>
        <v>-3.9116719242902165E-2</v>
      </c>
      <c r="E3109" s="293">
        <v>-8.1563558017851978E-3</v>
      </c>
      <c r="F3109" s="266">
        <f t="shared" si="150"/>
        <v>3102</v>
      </c>
      <c r="G3109" s="230">
        <f t="shared" ca="1" si="149"/>
        <v>6.6141747970344979E-3</v>
      </c>
    </row>
    <row r="3110" spans="2:7" x14ac:dyDescent="0.25">
      <c r="B3110" s="348" t="s">
        <v>2436</v>
      </c>
      <c r="C3110" s="293">
        <v>63.4</v>
      </c>
      <c r="D3110" s="230">
        <f t="shared" si="148"/>
        <v>-1.7358958462492247E-2</v>
      </c>
      <c r="E3110" s="293">
        <v>-8.1722805080065575E-3</v>
      </c>
      <c r="F3110" s="266">
        <f t="shared" si="150"/>
        <v>3103</v>
      </c>
      <c r="G3110" s="230">
        <f t="shared" ca="1" si="149"/>
        <v>3.0819019660752671E-2</v>
      </c>
    </row>
    <row r="3111" spans="2:7" x14ac:dyDescent="0.25">
      <c r="B3111" s="348" t="s">
        <v>2437</v>
      </c>
      <c r="C3111" s="293">
        <v>64.52</v>
      </c>
      <c r="D3111" s="230">
        <f t="shared" si="148"/>
        <v>9.386733416770765E-3</v>
      </c>
      <c r="E3111" s="293">
        <v>-8.2120731883013054E-3</v>
      </c>
      <c r="F3111" s="266">
        <f t="shared" si="150"/>
        <v>3104</v>
      </c>
      <c r="G3111" s="230">
        <f t="shared" ca="1" si="149"/>
        <v>2.5320964881997642E-3</v>
      </c>
    </row>
    <row r="3112" spans="2:7" x14ac:dyDescent="0.25">
      <c r="B3112" s="348" t="s">
        <v>2438</v>
      </c>
      <c r="C3112" s="293">
        <v>63.92</v>
      </c>
      <c r="D3112" s="230">
        <f t="shared" si="148"/>
        <v>8.8383838383838675E-3</v>
      </c>
      <c r="E3112" s="293">
        <v>-8.2139848357201117E-3</v>
      </c>
      <c r="F3112" s="266">
        <f t="shared" si="150"/>
        <v>3105</v>
      </c>
      <c r="G3112" s="230">
        <f t="shared" ca="1" si="149"/>
        <v>5.0682061003626353E-3</v>
      </c>
    </row>
    <row r="3113" spans="2:7" x14ac:dyDescent="0.25">
      <c r="B3113" s="348">
        <v>41252</v>
      </c>
      <c r="C3113" s="293">
        <v>63.36</v>
      </c>
      <c r="D3113" s="230">
        <f t="shared" si="148"/>
        <v>2.5906735751295429E-2</v>
      </c>
      <c r="E3113" s="293">
        <v>-8.2242557627706381E-3</v>
      </c>
      <c r="F3113" s="266">
        <f t="shared" si="150"/>
        <v>3106</v>
      </c>
      <c r="G3113" s="230">
        <f t="shared" ca="1" si="149"/>
        <v>1.8719781422803332E-2</v>
      </c>
    </row>
    <row r="3114" spans="2:7" x14ac:dyDescent="0.25">
      <c r="B3114" s="348">
        <v>41222</v>
      </c>
      <c r="C3114" s="293">
        <v>61.76</v>
      </c>
      <c r="D3114" s="230">
        <f t="shared" si="148"/>
        <v>-4.3527325487667801E-3</v>
      </c>
      <c r="E3114" s="293">
        <v>-8.2423702383603858E-3</v>
      </c>
      <c r="F3114" s="266">
        <f t="shared" si="150"/>
        <v>3107</v>
      </c>
      <c r="G3114" s="230">
        <f t="shared" ca="1" si="149"/>
        <v>-2.2079396210675124E-2</v>
      </c>
    </row>
    <row r="3115" spans="2:7" x14ac:dyDescent="0.25">
      <c r="B3115" s="348">
        <v>41191</v>
      </c>
      <c r="C3115" s="293">
        <v>62.03</v>
      </c>
      <c r="D3115" s="230">
        <f t="shared" si="148"/>
        <v>-1.1316544469238132E-2</v>
      </c>
      <c r="E3115" s="293">
        <v>-8.2995560702566751E-3</v>
      </c>
      <c r="F3115" s="266">
        <f t="shared" si="150"/>
        <v>3108</v>
      </c>
      <c r="G3115" s="230">
        <f t="shared" ca="1" si="149"/>
        <v>3.3912546927108801E-2</v>
      </c>
    </row>
    <row r="3116" spans="2:7" x14ac:dyDescent="0.25">
      <c r="B3116" s="348">
        <v>41130</v>
      </c>
      <c r="C3116" s="293">
        <v>62.74</v>
      </c>
      <c r="D3116" s="230">
        <f t="shared" si="148"/>
        <v>7.8714859437751805E-3</v>
      </c>
      <c r="E3116" s="293">
        <v>-8.3009079118028239E-3</v>
      </c>
      <c r="F3116" s="266">
        <f t="shared" si="150"/>
        <v>3109</v>
      </c>
      <c r="G3116" s="230">
        <f t="shared" ca="1" si="149"/>
        <v>1.407726399506037E-2</v>
      </c>
    </row>
    <row r="3117" spans="2:7" x14ac:dyDescent="0.25">
      <c r="B3117" s="348">
        <v>41099</v>
      </c>
      <c r="C3117" s="293">
        <v>62.25</v>
      </c>
      <c r="D3117" s="230">
        <f t="shared" si="148"/>
        <v>9.6478533526300758E-4</v>
      </c>
      <c r="E3117" s="293">
        <v>-8.30449826989621E-3</v>
      </c>
      <c r="F3117" s="266">
        <f t="shared" si="150"/>
        <v>3110</v>
      </c>
      <c r="G3117" s="230">
        <f t="shared" ca="1" si="149"/>
        <v>1.3827725439934832E-2</v>
      </c>
    </row>
    <row r="3118" spans="2:7" x14ac:dyDescent="0.25">
      <c r="B3118" s="348">
        <v>41069</v>
      </c>
      <c r="C3118" s="293">
        <v>62.19</v>
      </c>
      <c r="D3118" s="230">
        <f t="shared" si="148"/>
        <v>4.2406972846128044E-2</v>
      </c>
      <c r="E3118" s="293">
        <v>-8.3227790844943028E-3</v>
      </c>
      <c r="F3118" s="266">
        <f t="shared" si="150"/>
        <v>3111</v>
      </c>
      <c r="G3118" s="230">
        <f t="shared" ca="1" si="149"/>
        <v>1.4489181365342985E-2</v>
      </c>
    </row>
    <row r="3119" spans="2:7" x14ac:dyDescent="0.25">
      <c r="B3119" s="348">
        <v>41038</v>
      </c>
      <c r="C3119" s="293">
        <v>59.66</v>
      </c>
      <c r="D3119" s="230">
        <f t="shared" si="148"/>
        <v>-2.6746907388833785E-3</v>
      </c>
      <c r="E3119" s="293">
        <v>-8.3248543150495902E-3</v>
      </c>
      <c r="F3119" s="266">
        <f t="shared" si="150"/>
        <v>3112</v>
      </c>
      <c r="G3119" s="230">
        <f t="shared" ca="1" si="149"/>
        <v>-1.5736926643726494E-2</v>
      </c>
    </row>
    <row r="3120" spans="2:7" x14ac:dyDescent="0.25">
      <c r="B3120" s="348">
        <v>41008</v>
      </c>
      <c r="C3120" s="293">
        <v>59.82</v>
      </c>
      <c r="D3120" s="230">
        <f t="shared" si="148"/>
        <v>-3.1661389768371517E-3</v>
      </c>
      <c r="E3120" s="293">
        <v>-8.3285468121768735E-3</v>
      </c>
      <c r="F3120" s="266">
        <f t="shared" si="150"/>
        <v>3113</v>
      </c>
      <c r="G3120" s="230">
        <f t="shared" ca="1" si="149"/>
        <v>3.4007192406431304E-2</v>
      </c>
    </row>
    <row r="3121" spans="2:7" x14ac:dyDescent="0.25">
      <c r="B3121" s="348">
        <v>40977</v>
      </c>
      <c r="C3121" s="293">
        <v>60.01</v>
      </c>
      <c r="D3121" s="230">
        <f t="shared" si="148"/>
        <v>4.351464435146335E-3</v>
      </c>
      <c r="E3121" s="293">
        <v>-8.3796160966579381E-3</v>
      </c>
      <c r="F3121" s="266">
        <f t="shared" si="150"/>
        <v>3114</v>
      </c>
      <c r="G3121" s="230">
        <f t="shared" ca="1" si="149"/>
        <v>-3.2691553821529669E-2</v>
      </c>
    </row>
    <row r="3122" spans="2:7" x14ac:dyDescent="0.25">
      <c r="B3122" s="348" t="s">
        <v>2439</v>
      </c>
      <c r="C3122" s="293">
        <v>59.75</v>
      </c>
      <c r="D3122" s="230">
        <f t="shared" si="148"/>
        <v>-1.7269736842105199E-2</v>
      </c>
      <c r="E3122" s="293">
        <v>-8.3942733546193971E-3</v>
      </c>
      <c r="F3122" s="266">
        <f t="shared" si="150"/>
        <v>3115</v>
      </c>
      <c r="G3122" s="230">
        <f t="shared" ca="1" si="149"/>
        <v>6.5552768607016641E-3</v>
      </c>
    </row>
    <row r="3123" spans="2:7" x14ac:dyDescent="0.25">
      <c r="B3123" s="348" t="s">
        <v>2440</v>
      </c>
      <c r="C3123" s="293">
        <v>60.8</v>
      </c>
      <c r="D3123" s="230">
        <f t="shared" si="148"/>
        <v>1.3333333333333197E-2</v>
      </c>
      <c r="E3123" s="293">
        <v>-8.421429851281137E-3</v>
      </c>
      <c r="F3123" s="266">
        <f t="shared" si="150"/>
        <v>3116</v>
      </c>
      <c r="G3123" s="230">
        <f t="shared" ca="1" si="149"/>
        <v>2.0391078164331465E-2</v>
      </c>
    </row>
    <row r="3124" spans="2:7" x14ac:dyDescent="0.25">
      <c r="B3124" s="348" t="s">
        <v>2441</v>
      </c>
      <c r="C3124" s="293">
        <v>60</v>
      </c>
      <c r="D3124" s="230">
        <f t="shared" si="148"/>
        <v>1.3351134846462109E-3</v>
      </c>
      <c r="E3124" s="293">
        <v>-8.4299262381454243E-3</v>
      </c>
      <c r="F3124" s="266">
        <f t="shared" si="150"/>
        <v>3117</v>
      </c>
      <c r="G3124" s="230">
        <f t="shared" ca="1" si="149"/>
        <v>2.5354321442157468E-3</v>
      </c>
    </row>
    <row r="3125" spans="2:7" x14ac:dyDescent="0.25">
      <c r="B3125" s="348" t="s">
        <v>2442</v>
      </c>
      <c r="C3125" s="293">
        <v>59.92</v>
      </c>
      <c r="D3125" s="230">
        <f t="shared" si="148"/>
        <v>6.7204301075267647E-3</v>
      </c>
      <c r="E3125" s="293">
        <v>-8.4379056685417453E-3</v>
      </c>
      <c r="F3125" s="266">
        <f t="shared" si="150"/>
        <v>3118</v>
      </c>
      <c r="G3125" s="230">
        <f t="shared" ca="1" si="149"/>
        <v>3.8895501856018439E-4</v>
      </c>
    </row>
    <row r="3126" spans="2:7" x14ac:dyDescent="0.25">
      <c r="B3126" s="348" t="s">
        <v>2443</v>
      </c>
      <c r="C3126" s="293">
        <v>59.52</v>
      </c>
      <c r="D3126" s="230">
        <f t="shared" si="148"/>
        <v>-1.0638297872340274E-2</v>
      </c>
      <c r="E3126" s="293">
        <v>-8.4431936009481401E-3</v>
      </c>
      <c r="F3126" s="266">
        <f t="shared" si="150"/>
        <v>3119</v>
      </c>
      <c r="G3126" s="230">
        <f t="shared" ca="1" si="149"/>
        <v>2.1434806347551627E-2</v>
      </c>
    </row>
    <row r="3127" spans="2:7" x14ac:dyDescent="0.25">
      <c r="B3127" s="348" t="s">
        <v>2444</v>
      </c>
      <c r="C3127" s="293">
        <v>60.16</v>
      </c>
      <c r="D3127" s="230">
        <f t="shared" si="148"/>
        <v>5.5156276115659875E-3</v>
      </c>
      <c r="E3127" s="293">
        <v>-8.444300097434132E-3</v>
      </c>
      <c r="F3127" s="266">
        <f t="shared" si="150"/>
        <v>3120</v>
      </c>
      <c r="G3127" s="230">
        <f t="shared" ca="1" si="149"/>
        <v>7.0532634531335842E-3</v>
      </c>
    </row>
    <row r="3128" spans="2:7" x14ac:dyDescent="0.25">
      <c r="B3128" s="348" t="s">
        <v>2445</v>
      </c>
      <c r="C3128" s="293">
        <v>59.83</v>
      </c>
      <c r="D3128" s="230">
        <f t="shared" si="148"/>
        <v>2.4310905666837801E-2</v>
      </c>
      <c r="E3128" s="293">
        <v>-8.4516198938130449E-3</v>
      </c>
      <c r="F3128" s="266">
        <f t="shared" si="150"/>
        <v>3121</v>
      </c>
      <c r="G3128" s="230">
        <f t="shared" ca="1" si="149"/>
        <v>-8.4314315316366285E-3</v>
      </c>
    </row>
    <row r="3129" spans="2:7" x14ac:dyDescent="0.25">
      <c r="B3129" s="348" t="s">
        <v>2446</v>
      </c>
      <c r="C3129" s="293">
        <v>58.41</v>
      </c>
      <c r="D3129" s="230">
        <f t="shared" si="148"/>
        <v>-3.582395087001089E-3</v>
      </c>
      <c r="E3129" s="293">
        <v>-8.4522448167850817E-3</v>
      </c>
      <c r="F3129" s="266">
        <f t="shared" si="150"/>
        <v>3122</v>
      </c>
      <c r="G3129" s="230">
        <f t="shared" ca="1" si="149"/>
        <v>-2.633481127572692E-2</v>
      </c>
    </row>
    <row r="3130" spans="2:7" x14ac:dyDescent="0.25">
      <c r="B3130" s="348" t="s">
        <v>2447</v>
      </c>
      <c r="C3130" s="293">
        <v>58.62</v>
      </c>
      <c r="D3130" s="230">
        <f t="shared" si="148"/>
        <v>6.3519313304720715E-3</v>
      </c>
      <c r="E3130" s="293">
        <v>-8.4542989312490491E-3</v>
      </c>
      <c r="F3130" s="266">
        <f t="shared" si="150"/>
        <v>3123</v>
      </c>
      <c r="G3130" s="230">
        <f t="shared" ca="1" si="149"/>
        <v>-2.5706852192322958E-2</v>
      </c>
    </row>
    <row r="3131" spans="2:7" x14ac:dyDescent="0.25">
      <c r="B3131" s="348" t="s">
        <v>2448</v>
      </c>
      <c r="C3131" s="293">
        <v>58.25</v>
      </c>
      <c r="D3131" s="230">
        <f t="shared" si="148"/>
        <v>1.1811707486538037E-2</v>
      </c>
      <c r="E3131" s="293">
        <v>-8.4597432905484382E-3</v>
      </c>
      <c r="F3131" s="266">
        <f t="shared" si="150"/>
        <v>3124</v>
      </c>
      <c r="G3131" s="230">
        <f t="shared" ca="1" si="149"/>
        <v>-8.9064627330347028E-3</v>
      </c>
    </row>
    <row r="3132" spans="2:7" x14ac:dyDescent="0.25">
      <c r="B3132" s="348" t="s">
        <v>2449</v>
      </c>
      <c r="C3132" s="293">
        <v>57.57</v>
      </c>
      <c r="D3132" s="230">
        <f t="shared" si="148"/>
        <v>-1.7241379310344751E-2</v>
      </c>
      <c r="E3132" s="293">
        <v>-8.467241184661134E-3</v>
      </c>
      <c r="F3132" s="266">
        <f t="shared" si="150"/>
        <v>3125</v>
      </c>
      <c r="G3132" s="230">
        <f t="shared" ca="1" si="149"/>
        <v>-5.8547457278393649E-3</v>
      </c>
    </row>
    <row r="3133" spans="2:7" x14ac:dyDescent="0.25">
      <c r="B3133" s="348" t="s">
        <v>2450</v>
      </c>
      <c r="C3133" s="293">
        <v>58.58</v>
      </c>
      <c r="D3133" s="230">
        <f t="shared" si="148"/>
        <v>-1.706775900325308E-4</v>
      </c>
      <c r="E3133" s="293">
        <v>-8.4745762711864181E-3</v>
      </c>
      <c r="F3133" s="266">
        <f t="shared" si="150"/>
        <v>3126</v>
      </c>
      <c r="G3133" s="230">
        <f t="shared" ca="1" si="149"/>
        <v>-3.8065532358149183E-2</v>
      </c>
    </row>
    <row r="3134" spans="2:7" x14ac:dyDescent="0.25">
      <c r="B3134" s="348" t="s">
        <v>2451</v>
      </c>
      <c r="C3134" s="293">
        <v>58.59</v>
      </c>
      <c r="D3134" s="230">
        <f t="shared" si="148"/>
        <v>1.6834432488719298E-2</v>
      </c>
      <c r="E3134" s="293">
        <v>-8.483563096500446E-3</v>
      </c>
      <c r="F3134" s="266">
        <f t="shared" si="150"/>
        <v>3127</v>
      </c>
      <c r="G3134" s="230">
        <f t="shared" ca="1" si="149"/>
        <v>-2.8490790167385739E-2</v>
      </c>
    </row>
    <row r="3135" spans="2:7" x14ac:dyDescent="0.25">
      <c r="B3135" s="348">
        <v>41190</v>
      </c>
      <c r="C3135" s="293">
        <v>57.62</v>
      </c>
      <c r="D3135" s="230">
        <f t="shared" si="148"/>
        <v>1.1764705882352899E-2</v>
      </c>
      <c r="E3135" s="293">
        <v>-8.4860828241684061E-3</v>
      </c>
      <c r="F3135" s="266">
        <f t="shared" si="150"/>
        <v>3128</v>
      </c>
      <c r="G3135" s="230">
        <f t="shared" ca="1" si="149"/>
        <v>-6.4440988548751686E-3</v>
      </c>
    </row>
    <row r="3136" spans="2:7" x14ac:dyDescent="0.25">
      <c r="B3136" s="348">
        <v>41160</v>
      </c>
      <c r="C3136" s="293">
        <v>56.95</v>
      </c>
      <c r="D3136" s="230">
        <f t="shared" si="148"/>
        <v>-1.4023545706371099E-2</v>
      </c>
      <c r="E3136" s="293">
        <v>-8.4962543394846435E-3</v>
      </c>
      <c r="F3136" s="266">
        <f t="shared" si="150"/>
        <v>3129</v>
      </c>
      <c r="G3136" s="230">
        <f t="shared" ca="1" si="149"/>
        <v>2.052918315027423E-2</v>
      </c>
    </row>
    <row r="3137" spans="2:7" x14ac:dyDescent="0.25">
      <c r="B3137" s="348">
        <v>41129</v>
      </c>
      <c r="C3137" s="293">
        <v>57.76</v>
      </c>
      <c r="D3137" s="230">
        <f t="shared" si="148"/>
        <v>6.0964988677931764E-3</v>
      </c>
      <c r="E3137" s="293">
        <v>-8.5039133052378091E-3</v>
      </c>
      <c r="F3137" s="266">
        <f t="shared" si="150"/>
        <v>3130</v>
      </c>
      <c r="G3137" s="230">
        <f t="shared" ca="1" si="149"/>
        <v>8.4453151617580307E-3</v>
      </c>
    </row>
    <row r="3138" spans="2:7" x14ac:dyDescent="0.25">
      <c r="B3138" s="348">
        <v>41098</v>
      </c>
      <c r="C3138" s="293">
        <v>57.41</v>
      </c>
      <c r="D3138" s="230">
        <f t="shared" si="148"/>
        <v>7.5465075465075415E-3</v>
      </c>
      <c r="E3138" s="293">
        <v>-8.5039916695590634E-3</v>
      </c>
      <c r="F3138" s="266">
        <f t="shared" si="150"/>
        <v>3131</v>
      </c>
      <c r="G3138" s="230">
        <f t="shared" ca="1" si="149"/>
        <v>-5.2918878439989431E-3</v>
      </c>
    </row>
    <row r="3139" spans="2:7" x14ac:dyDescent="0.25">
      <c r="B3139" s="348">
        <v>41068</v>
      </c>
      <c r="C3139" s="293">
        <v>56.98</v>
      </c>
      <c r="D3139" s="230">
        <f t="shared" si="148"/>
        <v>-3.8461538461539435E-3</v>
      </c>
      <c r="E3139" s="293">
        <v>-8.504969771492954E-3</v>
      </c>
      <c r="F3139" s="266">
        <f t="shared" si="150"/>
        <v>3132</v>
      </c>
      <c r="G3139" s="230">
        <f t="shared" ca="1" si="149"/>
        <v>-9.0624938246353743E-4</v>
      </c>
    </row>
    <row r="3140" spans="2:7" x14ac:dyDescent="0.25">
      <c r="B3140" s="348">
        <v>40976</v>
      </c>
      <c r="C3140" s="293">
        <v>57.2</v>
      </c>
      <c r="D3140" s="230">
        <f t="shared" si="148"/>
        <v>2.088167053364276E-2</v>
      </c>
      <c r="E3140" s="293">
        <v>-8.5128205128205403E-3</v>
      </c>
      <c r="F3140" s="266">
        <f t="shared" si="150"/>
        <v>3133</v>
      </c>
      <c r="G3140" s="230">
        <f t="shared" ca="1" si="149"/>
        <v>3.6363754744955984E-2</v>
      </c>
    </row>
    <row r="3141" spans="2:7" x14ac:dyDescent="0.25">
      <c r="B3141" s="348">
        <v>40947</v>
      </c>
      <c r="C3141" s="293">
        <v>56.03</v>
      </c>
      <c r="D3141" s="230">
        <f t="shared" si="148"/>
        <v>1.4298480786416601E-3</v>
      </c>
      <c r="E3141" s="293">
        <v>-8.5232714039455981E-3</v>
      </c>
      <c r="F3141" s="266">
        <f t="shared" si="150"/>
        <v>3134</v>
      </c>
      <c r="G3141" s="230">
        <f t="shared" ca="1" si="149"/>
        <v>5.7776904301319537E-3</v>
      </c>
    </row>
    <row r="3142" spans="2:7" x14ac:dyDescent="0.25">
      <c r="B3142" s="348">
        <v>40916</v>
      </c>
      <c r="C3142" s="293">
        <v>55.95</v>
      </c>
      <c r="D3142" s="230">
        <f t="shared" si="148"/>
        <v>-1.4278065322148592E-3</v>
      </c>
      <c r="E3142" s="293">
        <v>-8.5312651478430812E-3</v>
      </c>
      <c r="F3142" s="266">
        <f t="shared" si="150"/>
        <v>3135</v>
      </c>
      <c r="G3142" s="230">
        <f t="shared" ca="1" si="149"/>
        <v>-2.2683331976474673E-2</v>
      </c>
    </row>
    <row r="3143" spans="2:7" x14ac:dyDescent="0.25">
      <c r="B3143" s="348" t="s">
        <v>2452</v>
      </c>
      <c r="C3143" s="293">
        <v>56.03</v>
      </c>
      <c r="D3143" s="230">
        <f t="shared" si="148"/>
        <v>2.207223641006939E-2</v>
      </c>
      <c r="E3143" s="293">
        <v>-8.5374387683694319E-3</v>
      </c>
      <c r="F3143" s="266">
        <f t="shared" si="150"/>
        <v>3136</v>
      </c>
      <c r="G3143" s="230">
        <f t="shared" ca="1" si="149"/>
        <v>-1.3519362101851196E-2</v>
      </c>
    </row>
    <row r="3144" spans="2:7" x14ac:dyDescent="0.25">
      <c r="B3144" s="348" t="s">
        <v>2453</v>
      </c>
      <c r="C3144" s="293">
        <v>54.82</v>
      </c>
      <c r="D3144" s="230">
        <f t="shared" si="148"/>
        <v>-5.0816696914700588E-3</v>
      </c>
      <c r="E3144" s="293">
        <v>-8.5384229030637249E-3</v>
      </c>
      <c r="F3144" s="266">
        <f t="shared" si="150"/>
        <v>3137</v>
      </c>
      <c r="G3144" s="230">
        <f t="shared" ca="1" si="149"/>
        <v>-7.6908677611147534E-3</v>
      </c>
    </row>
    <row r="3145" spans="2:7" x14ac:dyDescent="0.25">
      <c r="B3145" s="348" t="s">
        <v>2454</v>
      </c>
      <c r="C3145" s="293">
        <v>55.1</v>
      </c>
      <c r="D3145" s="230">
        <f t="shared" ref="D3145:D3208" si="151">C3145/C3146-1</f>
        <v>1.3426521979032602E-2</v>
      </c>
      <c r="E3145" s="293">
        <v>-8.5434465513647417E-3</v>
      </c>
      <c r="F3145" s="266">
        <f t="shared" si="150"/>
        <v>3138</v>
      </c>
      <c r="G3145" s="230">
        <f t="shared" ref="G3145:G3208" ca="1" si="152">_xlfn.NORM.INV(RAND(),$M$10,$M$11)</f>
        <v>-2.9344506909685035E-2</v>
      </c>
    </row>
    <row r="3146" spans="2:7" x14ac:dyDescent="0.25">
      <c r="B3146" s="348" t="s">
        <v>2455</v>
      </c>
      <c r="C3146" s="293">
        <v>54.37</v>
      </c>
      <c r="D3146" s="230">
        <f t="shared" si="151"/>
        <v>-2.5627240143369145E-2</v>
      </c>
      <c r="E3146" s="293">
        <v>-8.5768143261074625E-3</v>
      </c>
      <c r="F3146" s="266">
        <f t="shared" ref="F3146:F3209" si="153">F3145+1</f>
        <v>3139</v>
      </c>
      <c r="G3146" s="230">
        <f t="shared" ca="1" si="152"/>
        <v>2.639055667397322E-2</v>
      </c>
    </row>
    <row r="3147" spans="2:7" x14ac:dyDescent="0.25">
      <c r="B3147" s="348" t="s">
        <v>2456</v>
      </c>
      <c r="C3147" s="293">
        <v>55.8</v>
      </c>
      <c r="D3147" s="230">
        <f t="shared" si="151"/>
        <v>-2.0880856290577343E-2</v>
      </c>
      <c r="E3147" s="293">
        <v>-8.5921417703392899E-3</v>
      </c>
      <c r="F3147" s="266">
        <f t="shared" si="153"/>
        <v>3140</v>
      </c>
      <c r="G3147" s="230">
        <f t="shared" ca="1" si="152"/>
        <v>-2.0711952088594042E-3</v>
      </c>
    </row>
    <row r="3148" spans="2:7" x14ac:dyDescent="0.25">
      <c r="B3148" s="348" t="s">
        <v>2457</v>
      </c>
      <c r="C3148" s="293">
        <v>56.99</v>
      </c>
      <c r="D3148" s="230">
        <f t="shared" si="151"/>
        <v>-2.9627107100289374E-2</v>
      </c>
      <c r="E3148" s="293">
        <v>-8.5939701324316831E-3</v>
      </c>
      <c r="F3148" s="266">
        <f t="shared" si="153"/>
        <v>3141</v>
      </c>
      <c r="G3148" s="230">
        <f t="shared" ca="1" si="152"/>
        <v>-1.2767379178685295E-2</v>
      </c>
    </row>
    <row r="3149" spans="2:7" x14ac:dyDescent="0.25">
      <c r="B3149" s="348" t="s">
        <v>2458</v>
      </c>
      <c r="C3149" s="293">
        <v>58.73</v>
      </c>
      <c r="D3149" s="230">
        <f t="shared" si="151"/>
        <v>-1.887738055462751E-2</v>
      </c>
      <c r="E3149" s="293">
        <v>-8.5945399393327904E-3</v>
      </c>
      <c r="F3149" s="266">
        <f t="shared" si="153"/>
        <v>3142</v>
      </c>
      <c r="G3149" s="230">
        <f t="shared" ca="1" si="152"/>
        <v>1.5035303627744247E-2</v>
      </c>
    </row>
    <row r="3150" spans="2:7" x14ac:dyDescent="0.25">
      <c r="B3150" s="348" t="s">
        <v>2459</v>
      </c>
      <c r="C3150" s="293">
        <v>59.86</v>
      </c>
      <c r="D3150" s="230">
        <f t="shared" si="151"/>
        <v>-1.4325703935451961E-2</v>
      </c>
      <c r="E3150" s="293">
        <v>-8.6085238498447847E-3</v>
      </c>
      <c r="F3150" s="266">
        <f t="shared" si="153"/>
        <v>3143</v>
      </c>
      <c r="G3150" s="230">
        <f t="shared" ca="1" si="152"/>
        <v>1.1595186706991738E-2</v>
      </c>
    </row>
    <row r="3151" spans="2:7" x14ac:dyDescent="0.25">
      <c r="B3151" s="348" t="s">
        <v>2460</v>
      </c>
      <c r="C3151" s="293">
        <v>60.73</v>
      </c>
      <c r="D3151" s="230">
        <f t="shared" si="151"/>
        <v>1.1660836248542417E-2</v>
      </c>
      <c r="E3151" s="293">
        <v>-8.6120996441281239E-3</v>
      </c>
      <c r="F3151" s="266">
        <f t="shared" si="153"/>
        <v>3144</v>
      </c>
      <c r="G3151" s="230">
        <f t="shared" ca="1" si="152"/>
        <v>2.5222157820379586E-2</v>
      </c>
    </row>
    <row r="3152" spans="2:7" x14ac:dyDescent="0.25">
      <c r="B3152" s="348" t="s">
        <v>2461</v>
      </c>
      <c r="C3152" s="293">
        <v>60.03</v>
      </c>
      <c r="D3152" s="230">
        <f t="shared" si="151"/>
        <v>4.6861924686192324E-3</v>
      </c>
      <c r="E3152" s="293">
        <v>-8.6190566395150103E-3</v>
      </c>
      <c r="F3152" s="266">
        <f t="shared" si="153"/>
        <v>3145</v>
      </c>
      <c r="G3152" s="230">
        <f t="shared" ca="1" si="152"/>
        <v>-1.284978218476308E-2</v>
      </c>
    </row>
    <row r="3153" spans="2:7" x14ac:dyDescent="0.25">
      <c r="B3153" s="348" t="s">
        <v>2462</v>
      </c>
      <c r="C3153" s="293">
        <v>59.75</v>
      </c>
      <c r="D3153" s="230">
        <f t="shared" si="151"/>
        <v>1.9276697372910379E-2</v>
      </c>
      <c r="E3153" s="293">
        <v>-8.6250634195840226E-3</v>
      </c>
      <c r="F3153" s="266">
        <f t="shared" si="153"/>
        <v>3146</v>
      </c>
      <c r="G3153" s="230">
        <f t="shared" ca="1" si="152"/>
        <v>1.3422529129922664E-2</v>
      </c>
    </row>
    <row r="3154" spans="2:7" x14ac:dyDescent="0.25">
      <c r="B3154" s="348" t="s">
        <v>2463</v>
      </c>
      <c r="C3154" s="293">
        <v>58.62</v>
      </c>
      <c r="D3154" s="230">
        <f t="shared" si="151"/>
        <v>-8.6250634195840226E-3</v>
      </c>
      <c r="E3154" s="293">
        <v>-8.631902565921612E-3</v>
      </c>
      <c r="F3154" s="266">
        <f t="shared" si="153"/>
        <v>3147</v>
      </c>
      <c r="G3154" s="230">
        <f t="shared" ca="1" si="152"/>
        <v>1.9514025412942261E-2</v>
      </c>
    </row>
    <row r="3155" spans="2:7" x14ac:dyDescent="0.25">
      <c r="B3155" s="348" t="s">
        <v>2464</v>
      </c>
      <c r="C3155" s="293">
        <v>59.13</v>
      </c>
      <c r="D3155" s="230">
        <f t="shared" si="151"/>
        <v>-1.0136847440445074E-3</v>
      </c>
      <c r="E3155" s="293">
        <v>-8.6627815404000108E-3</v>
      </c>
      <c r="F3155" s="266">
        <f t="shared" si="153"/>
        <v>3148</v>
      </c>
      <c r="G3155" s="230">
        <f t="shared" ca="1" si="152"/>
        <v>1.407250418281092E-2</v>
      </c>
    </row>
    <row r="3156" spans="2:7" x14ac:dyDescent="0.25">
      <c r="B3156" s="348">
        <v>41250</v>
      </c>
      <c r="C3156" s="293">
        <v>59.19</v>
      </c>
      <c r="D3156" s="230">
        <f t="shared" si="151"/>
        <v>-4.0214042484190138E-2</v>
      </c>
      <c r="E3156" s="293">
        <v>-8.6940771599348654E-3</v>
      </c>
      <c r="F3156" s="266">
        <f t="shared" si="153"/>
        <v>3149</v>
      </c>
      <c r="G3156" s="230">
        <f t="shared" ca="1" si="152"/>
        <v>1.3740783085047179E-2</v>
      </c>
    </row>
    <row r="3157" spans="2:7" x14ac:dyDescent="0.25">
      <c r="B3157" s="348">
        <v>41220</v>
      </c>
      <c r="C3157" s="293">
        <v>61.67</v>
      </c>
      <c r="D3157" s="230">
        <f t="shared" si="151"/>
        <v>-2.6672979797979779E-2</v>
      </c>
      <c r="E3157" s="293">
        <v>-8.7022514545914698E-3</v>
      </c>
      <c r="F3157" s="266">
        <f t="shared" si="153"/>
        <v>3150</v>
      </c>
      <c r="G3157" s="230">
        <f t="shared" ca="1" si="152"/>
        <v>-4.7584479845082525E-3</v>
      </c>
    </row>
    <row r="3158" spans="2:7" x14ac:dyDescent="0.25">
      <c r="B3158" s="348">
        <v>41189</v>
      </c>
      <c r="C3158" s="293">
        <v>63.36</v>
      </c>
      <c r="D3158" s="230">
        <f t="shared" si="151"/>
        <v>-3.616920899512599E-3</v>
      </c>
      <c r="E3158" s="293">
        <v>-8.705114254624724E-3</v>
      </c>
      <c r="F3158" s="266">
        <f t="shared" si="153"/>
        <v>3151</v>
      </c>
      <c r="G3158" s="230">
        <f t="shared" ca="1" si="152"/>
        <v>-3.8635829207254732E-3</v>
      </c>
    </row>
    <row r="3159" spans="2:7" x14ac:dyDescent="0.25">
      <c r="B3159" s="348">
        <v>41159</v>
      </c>
      <c r="C3159" s="293">
        <v>63.59</v>
      </c>
      <c r="D3159" s="230">
        <f t="shared" si="151"/>
        <v>-1.5939337666357134E-2</v>
      </c>
      <c r="E3159" s="293">
        <v>-8.7145969498910736E-3</v>
      </c>
      <c r="F3159" s="266">
        <f t="shared" si="153"/>
        <v>3152</v>
      </c>
      <c r="G3159" s="230">
        <f t="shared" ca="1" si="152"/>
        <v>8.1998283195730617E-3</v>
      </c>
    </row>
    <row r="3160" spans="2:7" x14ac:dyDescent="0.25">
      <c r="B3160" s="348">
        <v>41067</v>
      </c>
      <c r="C3160" s="293">
        <v>64.62</v>
      </c>
      <c r="D3160" s="230">
        <f t="shared" si="151"/>
        <v>-8.7436723423837126E-3</v>
      </c>
      <c r="E3160" s="293">
        <v>-8.716441699457067E-3</v>
      </c>
      <c r="F3160" s="266">
        <f t="shared" si="153"/>
        <v>3153</v>
      </c>
      <c r="G3160" s="230">
        <f t="shared" ca="1" si="152"/>
        <v>7.2983402725823893E-3</v>
      </c>
    </row>
    <row r="3161" spans="2:7" x14ac:dyDescent="0.25">
      <c r="B3161" s="348">
        <v>41036</v>
      </c>
      <c r="C3161" s="293">
        <v>65.19</v>
      </c>
      <c r="D3161" s="230">
        <f t="shared" si="151"/>
        <v>2.3062730627305683E-3</v>
      </c>
      <c r="E3161" s="293">
        <v>-8.7436723423837126E-3</v>
      </c>
      <c r="F3161" s="266">
        <f t="shared" si="153"/>
        <v>3154</v>
      </c>
      <c r="G3161" s="230">
        <f t="shared" ca="1" si="152"/>
        <v>3.7902201269033294E-3</v>
      </c>
    </row>
    <row r="3162" spans="2:7" x14ac:dyDescent="0.25">
      <c r="B3162" s="348">
        <v>41006</v>
      </c>
      <c r="C3162" s="293">
        <v>65.040000000000006</v>
      </c>
      <c r="D3162" s="230">
        <f t="shared" si="151"/>
        <v>-1.4396120624336817E-2</v>
      </c>
      <c r="E3162" s="293">
        <v>-8.7572977481235048E-3</v>
      </c>
      <c r="F3162" s="266">
        <f t="shared" si="153"/>
        <v>3155</v>
      </c>
      <c r="G3162" s="230">
        <f t="shared" ca="1" si="152"/>
        <v>-8.6898206869699159E-3</v>
      </c>
    </row>
    <row r="3163" spans="2:7" x14ac:dyDescent="0.25">
      <c r="B3163" s="348">
        <v>40975</v>
      </c>
      <c r="C3163" s="293">
        <v>65.989999999999995</v>
      </c>
      <c r="D3163" s="230">
        <f t="shared" si="151"/>
        <v>6.0652009097794668E-4</v>
      </c>
      <c r="E3163" s="293">
        <v>-8.7644896805201267E-3</v>
      </c>
      <c r="F3163" s="266">
        <f t="shared" si="153"/>
        <v>3156</v>
      </c>
      <c r="G3163" s="230">
        <f t="shared" ca="1" si="152"/>
        <v>-1.7403654769231822E-2</v>
      </c>
    </row>
    <row r="3164" spans="2:7" x14ac:dyDescent="0.25">
      <c r="B3164" s="348">
        <v>40946</v>
      </c>
      <c r="C3164" s="293">
        <v>65.95</v>
      </c>
      <c r="D3164" s="230">
        <f t="shared" si="151"/>
        <v>9.1060859007430217E-4</v>
      </c>
      <c r="E3164" s="293">
        <v>-8.7683934690586662E-3</v>
      </c>
      <c r="F3164" s="266">
        <f t="shared" si="153"/>
        <v>3157</v>
      </c>
      <c r="G3164" s="230">
        <f t="shared" ca="1" si="152"/>
        <v>2.3882167959438948E-2</v>
      </c>
    </row>
    <row r="3165" spans="2:7" x14ac:dyDescent="0.25">
      <c r="B3165" s="348" t="s">
        <v>2465</v>
      </c>
      <c r="C3165" s="293">
        <v>65.89</v>
      </c>
      <c r="D3165" s="230">
        <f t="shared" si="151"/>
        <v>2.739309085375341E-3</v>
      </c>
      <c r="E3165" s="293">
        <v>-8.7687248812567953E-3</v>
      </c>
      <c r="F3165" s="266">
        <f t="shared" si="153"/>
        <v>3158</v>
      </c>
      <c r="G3165" s="230">
        <f t="shared" ca="1" si="152"/>
        <v>1.4595471874878157E-2</v>
      </c>
    </row>
    <row r="3166" spans="2:7" x14ac:dyDescent="0.25">
      <c r="B3166" s="348" t="s">
        <v>2466</v>
      </c>
      <c r="C3166" s="293">
        <v>65.709999999999994</v>
      </c>
      <c r="D3166" s="230">
        <f t="shared" si="151"/>
        <v>-1.064153238066412E-3</v>
      </c>
      <c r="E3166" s="293">
        <v>-8.7826299097339966E-3</v>
      </c>
      <c r="F3166" s="266">
        <f t="shared" si="153"/>
        <v>3159</v>
      </c>
      <c r="G3166" s="230">
        <f t="shared" ca="1" si="152"/>
        <v>-1.5483100899575126E-3</v>
      </c>
    </row>
    <row r="3167" spans="2:7" x14ac:dyDescent="0.25">
      <c r="B3167" s="348" t="s">
        <v>2467</v>
      </c>
      <c r="C3167" s="293">
        <v>65.78</v>
      </c>
      <c r="D3167" s="230">
        <f t="shared" si="151"/>
        <v>-4.5399515738497875E-3</v>
      </c>
      <c r="E3167" s="293">
        <v>-8.8066575098972866E-3</v>
      </c>
      <c r="F3167" s="266">
        <f t="shared" si="153"/>
        <v>3160</v>
      </c>
      <c r="G3167" s="230">
        <f t="shared" ca="1" si="152"/>
        <v>-7.880323288736309E-3</v>
      </c>
    </row>
    <row r="3168" spans="2:7" x14ac:dyDescent="0.25">
      <c r="B3168" s="348" t="s">
        <v>2468</v>
      </c>
      <c r="C3168" s="293">
        <v>66.08</v>
      </c>
      <c r="D3168" s="230">
        <f t="shared" si="151"/>
        <v>2.4271844660193054E-3</v>
      </c>
      <c r="E3168" s="293">
        <v>-8.8187038556193365E-3</v>
      </c>
      <c r="F3168" s="266">
        <f t="shared" si="153"/>
        <v>3161</v>
      </c>
      <c r="G3168" s="230">
        <f t="shared" ca="1" si="152"/>
        <v>-3.3974512382228567E-2</v>
      </c>
    </row>
    <row r="3169" spans="2:7" x14ac:dyDescent="0.25">
      <c r="B3169" s="348" t="s">
        <v>2469</v>
      </c>
      <c r="C3169" s="293">
        <v>65.92</v>
      </c>
      <c r="D3169" s="230">
        <f t="shared" si="151"/>
        <v>0</v>
      </c>
      <c r="E3169" s="293">
        <v>-8.8266761768901469E-3</v>
      </c>
      <c r="F3169" s="266">
        <f t="shared" si="153"/>
        <v>3162</v>
      </c>
      <c r="G3169" s="230">
        <f t="shared" ca="1" si="152"/>
        <v>2.2431014208101625E-2</v>
      </c>
    </row>
    <row r="3170" spans="2:7" x14ac:dyDescent="0.25">
      <c r="B3170" s="348" t="s">
        <v>2470</v>
      </c>
      <c r="C3170" s="293">
        <v>65.92</v>
      </c>
      <c r="D3170" s="230">
        <f t="shared" si="151"/>
        <v>-4.229607250755274E-3</v>
      </c>
      <c r="E3170" s="293">
        <v>-8.8381809416679946E-3</v>
      </c>
      <c r="F3170" s="266">
        <f t="shared" si="153"/>
        <v>3163</v>
      </c>
      <c r="G3170" s="230">
        <f t="shared" ca="1" si="152"/>
        <v>3.4406341201147586E-3</v>
      </c>
    </row>
    <row r="3171" spans="2:7" x14ac:dyDescent="0.25">
      <c r="B3171" s="348" t="s">
        <v>2471</v>
      </c>
      <c r="C3171" s="293">
        <v>66.2</v>
      </c>
      <c r="D3171" s="230">
        <f t="shared" si="151"/>
        <v>4.3999393111819884E-3</v>
      </c>
      <c r="E3171" s="293">
        <v>-8.8615924544855895E-3</v>
      </c>
      <c r="F3171" s="266">
        <f t="shared" si="153"/>
        <v>3164</v>
      </c>
      <c r="G3171" s="230">
        <f t="shared" ca="1" si="152"/>
        <v>4.6776553801886429E-3</v>
      </c>
    </row>
    <row r="3172" spans="2:7" x14ac:dyDescent="0.25">
      <c r="B3172" s="348" t="s">
        <v>2472</v>
      </c>
      <c r="C3172" s="293">
        <v>65.91</v>
      </c>
      <c r="D3172" s="230">
        <f t="shared" si="151"/>
        <v>1.2152514051344543E-3</v>
      </c>
      <c r="E3172" s="293">
        <v>-8.8635020681505639E-3</v>
      </c>
      <c r="F3172" s="266">
        <f t="shared" si="153"/>
        <v>3165</v>
      </c>
      <c r="G3172" s="230">
        <f t="shared" ca="1" si="152"/>
        <v>1.8343667430846242E-2</v>
      </c>
    </row>
    <row r="3173" spans="2:7" x14ac:dyDescent="0.25">
      <c r="B3173" s="348" t="s">
        <v>2473</v>
      </c>
      <c r="C3173" s="293">
        <v>65.83</v>
      </c>
      <c r="D3173" s="230">
        <f t="shared" si="151"/>
        <v>1.0747735298633598E-2</v>
      </c>
      <c r="E3173" s="293">
        <v>-8.8863982067087788E-3</v>
      </c>
      <c r="F3173" s="266">
        <f t="shared" si="153"/>
        <v>3166</v>
      </c>
      <c r="G3173" s="230">
        <f t="shared" ca="1" si="152"/>
        <v>-8.9115528384471395E-3</v>
      </c>
    </row>
    <row r="3174" spans="2:7" x14ac:dyDescent="0.25">
      <c r="B3174" s="348" t="s">
        <v>2474</v>
      </c>
      <c r="C3174" s="293">
        <v>65.13</v>
      </c>
      <c r="D3174" s="230">
        <f t="shared" si="151"/>
        <v>-6.7103858471861955E-3</v>
      </c>
      <c r="E3174" s="293">
        <v>-8.899553503629698E-3</v>
      </c>
      <c r="F3174" s="266">
        <f t="shared" si="153"/>
        <v>3167</v>
      </c>
      <c r="G3174" s="230">
        <f t="shared" ca="1" si="152"/>
        <v>-4.8669735839635873E-2</v>
      </c>
    </row>
    <row r="3175" spans="2:7" x14ac:dyDescent="0.25">
      <c r="B3175" s="348" t="s">
        <v>2475</v>
      </c>
      <c r="C3175" s="293">
        <v>65.569999999999993</v>
      </c>
      <c r="D3175" s="230">
        <f t="shared" si="151"/>
        <v>9.0797168359493252E-3</v>
      </c>
      <c r="E3175" s="293">
        <v>-8.9131684876366801E-3</v>
      </c>
      <c r="F3175" s="266">
        <f t="shared" si="153"/>
        <v>3168</v>
      </c>
      <c r="G3175" s="230">
        <f t="shared" ca="1" si="152"/>
        <v>3.0710175191256818E-3</v>
      </c>
    </row>
    <row r="3176" spans="2:7" x14ac:dyDescent="0.25">
      <c r="B3176" s="348" t="s">
        <v>2476</v>
      </c>
      <c r="C3176" s="293">
        <v>64.98</v>
      </c>
      <c r="D3176" s="230">
        <f t="shared" si="151"/>
        <v>-5.5096418732781816E-3</v>
      </c>
      <c r="E3176" s="293">
        <v>-8.9141004862237638E-3</v>
      </c>
      <c r="F3176" s="266">
        <f t="shared" si="153"/>
        <v>3169</v>
      </c>
      <c r="G3176" s="230">
        <f t="shared" ca="1" si="152"/>
        <v>1.433560490623525E-2</v>
      </c>
    </row>
    <row r="3177" spans="2:7" x14ac:dyDescent="0.25">
      <c r="B3177" s="348" t="s">
        <v>2477</v>
      </c>
      <c r="C3177" s="293">
        <v>65.34</v>
      </c>
      <c r="D3177" s="230">
        <f t="shared" si="151"/>
        <v>8.6446434084594959E-3</v>
      </c>
      <c r="E3177" s="293">
        <v>-8.921330089213253E-3</v>
      </c>
      <c r="F3177" s="266">
        <f t="shared" si="153"/>
        <v>3170</v>
      </c>
      <c r="G3177" s="230">
        <f t="shared" ca="1" si="152"/>
        <v>4.5738496618295606E-2</v>
      </c>
    </row>
    <row r="3178" spans="2:7" x14ac:dyDescent="0.25">
      <c r="B3178" s="348">
        <v>41249</v>
      </c>
      <c r="C3178" s="293">
        <v>64.78</v>
      </c>
      <c r="D3178" s="230">
        <f t="shared" si="151"/>
        <v>-1.7740712661106883E-2</v>
      </c>
      <c r="E3178" s="293">
        <v>-8.9214024444642659E-3</v>
      </c>
      <c r="F3178" s="266">
        <f t="shared" si="153"/>
        <v>3171</v>
      </c>
      <c r="G3178" s="230">
        <f t="shared" ca="1" si="152"/>
        <v>-2.5166803202826396E-2</v>
      </c>
    </row>
    <row r="3179" spans="2:7" x14ac:dyDescent="0.25">
      <c r="B3179" s="348">
        <v>41219</v>
      </c>
      <c r="C3179" s="293">
        <v>65.95</v>
      </c>
      <c r="D3179" s="230">
        <f t="shared" si="151"/>
        <v>-7.6737887451097109E-3</v>
      </c>
      <c r="E3179" s="293">
        <v>-8.92567348263551E-3</v>
      </c>
      <c r="F3179" s="266">
        <f t="shared" si="153"/>
        <v>3172</v>
      </c>
      <c r="G3179" s="230">
        <f t="shared" ca="1" si="152"/>
        <v>8.8120572871459649E-3</v>
      </c>
    </row>
    <row r="3180" spans="2:7" x14ac:dyDescent="0.25">
      <c r="B3180" s="348">
        <v>41127</v>
      </c>
      <c r="C3180" s="293">
        <v>66.459999999999994</v>
      </c>
      <c r="D3180" s="230">
        <f t="shared" si="151"/>
        <v>6.3597819503329323E-3</v>
      </c>
      <c r="E3180" s="293">
        <v>-8.9260279175766843E-3</v>
      </c>
      <c r="F3180" s="266">
        <f t="shared" si="153"/>
        <v>3173</v>
      </c>
      <c r="G3180" s="230">
        <f t="shared" ca="1" si="152"/>
        <v>-9.8615085472345716E-3</v>
      </c>
    </row>
    <row r="3181" spans="2:7" x14ac:dyDescent="0.25">
      <c r="B3181" s="348">
        <v>41096</v>
      </c>
      <c r="C3181" s="293">
        <v>66.040000000000006</v>
      </c>
      <c r="D3181" s="230">
        <f t="shared" si="151"/>
        <v>-2.3943245639964417E-2</v>
      </c>
      <c r="E3181" s="293">
        <v>-8.9285714285713969E-3</v>
      </c>
      <c r="F3181" s="266">
        <f t="shared" si="153"/>
        <v>3174</v>
      </c>
      <c r="G3181" s="230">
        <f t="shared" ca="1" si="152"/>
        <v>2.544822825799125E-2</v>
      </c>
    </row>
    <row r="3182" spans="2:7" x14ac:dyDescent="0.25">
      <c r="B3182" s="348">
        <v>41066</v>
      </c>
      <c r="C3182" s="293">
        <v>67.66</v>
      </c>
      <c r="D3182" s="230">
        <f t="shared" si="151"/>
        <v>3.0146163215590605E-2</v>
      </c>
      <c r="E3182" s="293">
        <v>-8.9358245329002051E-3</v>
      </c>
      <c r="F3182" s="266">
        <f t="shared" si="153"/>
        <v>3175</v>
      </c>
      <c r="G3182" s="230">
        <f t="shared" ca="1" si="152"/>
        <v>2.7330321260904102E-2</v>
      </c>
    </row>
    <row r="3183" spans="2:7" x14ac:dyDescent="0.25">
      <c r="B3183" s="348">
        <v>41035</v>
      </c>
      <c r="C3183" s="293">
        <v>65.680000000000007</v>
      </c>
      <c r="D3183" s="230">
        <f t="shared" si="151"/>
        <v>5.9733496706999567E-3</v>
      </c>
      <c r="E3183" s="293">
        <v>-8.9456869009585382E-3</v>
      </c>
      <c r="F3183" s="266">
        <f t="shared" si="153"/>
        <v>3176</v>
      </c>
      <c r="G3183" s="230">
        <f t="shared" ca="1" si="152"/>
        <v>-1.6102738631987232E-2</v>
      </c>
    </row>
    <row r="3184" spans="2:7" x14ac:dyDescent="0.25">
      <c r="B3184" s="348">
        <v>41005</v>
      </c>
      <c r="C3184" s="293">
        <v>65.290000000000006</v>
      </c>
      <c r="D3184" s="230">
        <f t="shared" si="151"/>
        <v>-1.3149939540507694E-2</v>
      </c>
      <c r="E3184" s="293">
        <v>-8.9511131512508557E-3</v>
      </c>
      <c r="F3184" s="266">
        <f t="shared" si="153"/>
        <v>3177</v>
      </c>
      <c r="G3184" s="230">
        <f t="shared" ca="1" si="152"/>
        <v>-9.3145509068740043E-3</v>
      </c>
    </row>
    <row r="3185" spans="2:7" x14ac:dyDescent="0.25">
      <c r="B3185" s="348">
        <v>40914</v>
      </c>
      <c r="C3185" s="293">
        <v>66.16</v>
      </c>
      <c r="D3185" s="230">
        <f t="shared" si="151"/>
        <v>-2.072232089994086E-2</v>
      </c>
      <c r="E3185" s="293">
        <v>-8.9564441801693873E-3</v>
      </c>
      <c r="F3185" s="266">
        <f t="shared" si="153"/>
        <v>3178</v>
      </c>
      <c r="G3185" s="230">
        <f t="shared" ca="1" si="152"/>
        <v>1.2785374778968395E-2</v>
      </c>
    </row>
    <row r="3186" spans="2:7" x14ac:dyDescent="0.25">
      <c r="B3186" s="348" t="s">
        <v>2478</v>
      </c>
      <c r="C3186" s="293">
        <v>67.56</v>
      </c>
      <c r="D3186" s="230">
        <f t="shared" si="151"/>
        <v>-5.1538801354733543E-3</v>
      </c>
      <c r="E3186" s="293">
        <v>-8.9963311051917128E-3</v>
      </c>
      <c r="F3186" s="266">
        <f t="shared" si="153"/>
        <v>3179</v>
      </c>
      <c r="G3186" s="230">
        <f t="shared" ca="1" si="152"/>
        <v>-7.8329790348123183E-3</v>
      </c>
    </row>
    <row r="3187" spans="2:7" x14ac:dyDescent="0.25">
      <c r="B3187" s="348" t="s">
        <v>2479</v>
      </c>
      <c r="C3187" s="293">
        <v>67.91</v>
      </c>
      <c r="D3187" s="230">
        <f t="shared" si="151"/>
        <v>5.7760663507109289E-3</v>
      </c>
      <c r="E3187" s="293">
        <v>-9.009009009009139E-3</v>
      </c>
      <c r="F3187" s="266">
        <f t="shared" si="153"/>
        <v>3180</v>
      </c>
      <c r="G3187" s="230">
        <f t="shared" ca="1" si="152"/>
        <v>-1.5767471172369173E-2</v>
      </c>
    </row>
    <row r="3188" spans="2:7" x14ac:dyDescent="0.25">
      <c r="B3188" s="348" t="s">
        <v>2480</v>
      </c>
      <c r="C3188" s="293">
        <v>67.52</v>
      </c>
      <c r="D3188" s="230">
        <f t="shared" si="151"/>
        <v>2.4893746205221667E-2</v>
      </c>
      <c r="E3188" s="293">
        <v>-9.0165653176766947E-3</v>
      </c>
      <c r="F3188" s="266">
        <f t="shared" si="153"/>
        <v>3181</v>
      </c>
      <c r="G3188" s="230">
        <f t="shared" ca="1" si="152"/>
        <v>-3.0232588432332161E-2</v>
      </c>
    </row>
    <row r="3189" spans="2:7" x14ac:dyDescent="0.25">
      <c r="B3189" s="348" t="s">
        <v>2481</v>
      </c>
      <c r="C3189" s="293">
        <v>65.88</v>
      </c>
      <c r="D3189" s="230">
        <f t="shared" si="151"/>
        <v>1.4474899907606975E-2</v>
      </c>
      <c r="E3189" s="293">
        <v>-9.0285714285714969E-3</v>
      </c>
      <c r="F3189" s="266">
        <f t="shared" si="153"/>
        <v>3182</v>
      </c>
      <c r="G3189" s="230">
        <f t="shared" ca="1" si="152"/>
        <v>-3.5814508027711973E-2</v>
      </c>
    </row>
    <row r="3190" spans="2:7" x14ac:dyDescent="0.25">
      <c r="B3190" s="348" t="s">
        <v>2482</v>
      </c>
      <c r="C3190" s="293">
        <v>64.94</v>
      </c>
      <c r="D3190" s="230">
        <f t="shared" si="151"/>
        <v>4.6410891089108119E-3</v>
      </c>
      <c r="E3190" s="293">
        <v>-9.0335936764843749E-3</v>
      </c>
      <c r="F3190" s="266">
        <f t="shared" si="153"/>
        <v>3183</v>
      </c>
      <c r="G3190" s="230">
        <f t="shared" ca="1" si="152"/>
        <v>2.7726222395281039E-2</v>
      </c>
    </row>
    <row r="3191" spans="2:7" x14ac:dyDescent="0.25">
      <c r="B3191" s="348" t="s">
        <v>2483</v>
      </c>
      <c r="C3191" s="293">
        <v>64.64</v>
      </c>
      <c r="D3191" s="230">
        <f t="shared" si="151"/>
        <v>1.907614693362758E-2</v>
      </c>
      <c r="E3191" s="293">
        <v>-9.0464321979137896E-3</v>
      </c>
      <c r="F3191" s="266">
        <f t="shared" si="153"/>
        <v>3184</v>
      </c>
      <c r="G3191" s="230">
        <f t="shared" ca="1" si="152"/>
        <v>8.4409548472451808E-3</v>
      </c>
    </row>
    <row r="3192" spans="2:7" x14ac:dyDescent="0.25">
      <c r="B3192" s="348" t="s">
        <v>2484</v>
      </c>
      <c r="C3192" s="293">
        <v>63.43</v>
      </c>
      <c r="D3192" s="230">
        <f t="shared" si="151"/>
        <v>9.2283214001591674E-3</v>
      </c>
      <c r="E3192" s="293">
        <v>-9.0613382899628059E-3</v>
      </c>
      <c r="F3192" s="266">
        <f t="shared" si="153"/>
        <v>3185</v>
      </c>
      <c r="G3192" s="230">
        <f t="shared" ca="1" si="152"/>
        <v>2.1648411056053952E-2</v>
      </c>
    </row>
    <row r="3193" spans="2:7" x14ac:dyDescent="0.25">
      <c r="B3193" s="348" t="s">
        <v>2485</v>
      </c>
      <c r="C3193" s="293">
        <v>62.85</v>
      </c>
      <c r="D3193" s="230">
        <f t="shared" si="151"/>
        <v>-4.5929680076021162E-3</v>
      </c>
      <c r="E3193" s="293">
        <v>-9.0634441087612538E-3</v>
      </c>
      <c r="F3193" s="266">
        <f t="shared" si="153"/>
        <v>3186</v>
      </c>
      <c r="G3193" s="230">
        <f t="shared" ca="1" si="152"/>
        <v>5.8365630927453682E-3</v>
      </c>
    </row>
    <row r="3194" spans="2:7" x14ac:dyDescent="0.25">
      <c r="B3194" s="348" t="s">
        <v>2486</v>
      </c>
      <c r="C3194" s="293">
        <v>63.14</v>
      </c>
      <c r="D3194" s="230">
        <f t="shared" si="151"/>
        <v>-2.0629750271444092E-2</v>
      </c>
      <c r="E3194" s="293">
        <v>-9.0836227624898624E-3</v>
      </c>
      <c r="F3194" s="266">
        <f t="shared" si="153"/>
        <v>3187</v>
      </c>
      <c r="G3194" s="230">
        <f t="shared" ca="1" si="152"/>
        <v>3.9147920414728019E-2</v>
      </c>
    </row>
    <row r="3195" spans="2:7" x14ac:dyDescent="0.25">
      <c r="B3195" s="348" t="s">
        <v>2487</v>
      </c>
      <c r="C3195" s="293">
        <v>64.47</v>
      </c>
      <c r="D3195" s="230">
        <f t="shared" si="151"/>
        <v>1.3979496738119046E-3</v>
      </c>
      <c r="E3195" s="293">
        <v>-9.1065714988926016E-3</v>
      </c>
      <c r="F3195" s="266">
        <f t="shared" si="153"/>
        <v>3188</v>
      </c>
      <c r="G3195" s="230">
        <f t="shared" ca="1" si="152"/>
        <v>1.4158526462759172E-2</v>
      </c>
    </row>
    <row r="3196" spans="2:7" x14ac:dyDescent="0.25">
      <c r="B3196" s="348" t="s">
        <v>2488</v>
      </c>
      <c r="C3196" s="293">
        <v>64.38</v>
      </c>
      <c r="D3196" s="230">
        <f t="shared" si="151"/>
        <v>9.3283582089553896E-4</v>
      </c>
      <c r="E3196" s="293">
        <v>-9.1276252019385495E-3</v>
      </c>
      <c r="F3196" s="266">
        <f t="shared" si="153"/>
        <v>3189</v>
      </c>
      <c r="G3196" s="230">
        <f t="shared" ca="1" si="152"/>
        <v>-9.8494337532678555E-3</v>
      </c>
    </row>
    <row r="3197" spans="2:7" x14ac:dyDescent="0.25">
      <c r="B3197" s="348" t="s">
        <v>2489</v>
      </c>
      <c r="C3197" s="293">
        <v>64.319999999999993</v>
      </c>
      <c r="D3197" s="230">
        <f t="shared" si="151"/>
        <v>-3.4379222338988269E-2</v>
      </c>
      <c r="E3197" s="293">
        <v>-9.1377906450738067E-3</v>
      </c>
      <c r="F3197" s="266">
        <f t="shared" si="153"/>
        <v>3190</v>
      </c>
      <c r="G3197" s="230">
        <f t="shared" ca="1" si="152"/>
        <v>1.9886168766437819E-2</v>
      </c>
    </row>
    <row r="3198" spans="2:7" x14ac:dyDescent="0.25">
      <c r="B3198" s="348" t="s">
        <v>2490</v>
      </c>
      <c r="C3198" s="293">
        <v>66.61</v>
      </c>
      <c r="D3198" s="230">
        <f t="shared" si="151"/>
        <v>1.8047826740863471E-3</v>
      </c>
      <c r="E3198" s="293">
        <v>-9.1487669053301746E-3</v>
      </c>
      <c r="F3198" s="266">
        <f t="shared" si="153"/>
        <v>3191</v>
      </c>
      <c r="G3198" s="230">
        <f t="shared" ca="1" si="152"/>
        <v>1.6023730163255E-2</v>
      </c>
    </row>
    <row r="3199" spans="2:7" x14ac:dyDescent="0.25">
      <c r="B3199" s="348" t="s">
        <v>2491</v>
      </c>
      <c r="C3199" s="293">
        <v>66.489999999999995</v>
      </c>
      <c r="D3199" s="230">
        <f t="shared" si="151"/>
        <v>6.5092340296699636E-3</v>
      </c>
      <c r="E3199" s="293">
        <v>-9.1685953355883365E-3</v>
      </c>
      <c r="F3199" s="266">
        <f t="shared" si="153"/>
        <v>3192</v>
      </c>
      <c r="G3199" s="230">
        <f t="shared" ca="1" si="152"/>
        <v>-1.7800451643910011E-2</v>
      </c>
    </row>
    <row r="3200" spans="2:7" x14ac:dyDescent="0.25">
      <c r="B3200" s="348">
        <v>41218</v>
      </c>
      <c r="C3200" s="293">
        <v>66.06</v>
      </c>
      <c r="D3200" s="230">
        <f t="shared" si="151"/>
        <v>-1.8862319916827519E-2</v>
      </c>
      <c r="E3200" s="293">
        <v>-9.1904575674618405E-3</v>
      </c>
      <c r="F3200" s="266">
        <f t="shared" si="153"/>
        <v>3193</v>
      </c>
      <c r="G3200" s="230">
        <f t="shared" ca="1" si="152"/>
        <v>-2.4801329092714382E-2</v>
      </c>
    </row>
    <row r="3201" spans="2:7" x14ac:dyDescent="0.25">
      <c r="B3201" s="348">
        <v>41187</v>
      </c>
      <c r="C3201" s="293">
        <v>67.33</v>
      </c>
      <c r="D3201" s="230">
        <f t="shared" si="151"/>
        <v>5.8261129369585607E-3</v>
      </c>
      <c r="E3201" s="293">
        <v>-9.1998649561108037E-3</v>
      </c>
      <c r="F3201" s="266">
        <f t="shared" si="153"/>
        <v>3194</v>
      </c>
      <c r="G3201" s="230">
        <f t="shared" ca="1" si="152"/>
        <v>-4.2394018657140993E-2</v>
      </c>
    </row>
    <row r="3202" spans="2:7" x14ac:dyDescent="0.25">
      <c r="B3202" s="348">
        <v>41157</v>
      </c>
      <c r="C3202" s="293">
        <v>66.94</v>
      </c>
      <c r="D3202" s="230">
        <f t="shared" si="151"/>
        <v>5.5580591858195305E-3</v>
      </c>
      <c r="E3202" s="293">
        <v>-9.2483852025838642E-3</v>
      </c>
      <c r="F3202" s="266">
        <f t="shared" si="153"/>
        <v>3195</v>
      </c>
      <c r="G3202" s="230">
        <f t="shared" ca="1" si="152"/>
        <v>-2.9879251754435315E-2</v>
      </c>
    </row>
    <row r="3203" spans="2:7" x14ac:dyDescent="0.25">
      <c r="B3203" s="348">
        <v>41126</v>
      </c>
      <c r="C3203" s="293">
        <v>66.569999999999993</v>
      </c>
      <c r="D3203" s="230">
        <f t="shared" si="151"/>
        <v>-2.3757149142103029E-2</v>
      </c>
      <c r="E3203" s="293">
        <v>-9.2609242941916747E-3</v>
      </c>
      <c r="F3203" s="266">
        <f t="shared" si="153"/>
        <v>3196</v>
      </c>
      <c r="G3203" s="230">
        <f t="shared" ca="1" si="152"/>
        <v>2.0063442395440625E-2</v>
      </c>
    </row>
    <row r="3204" spans="2:7" x14ac:dyDescent="0.25">
      <c r="B3204" s="348">
        <v>41095</v>
      </c>
      <c r="C3204" s="293">
        <v>68.19</v>
      </c>
      <c r="D3204" s="230">
        <f t="shared" si="151"/>
        <v>-2.4868344060854364E-3</v>
      </c>
      <c r="E3204" s="293">
        <v>-9.2954990215263766E-3</v>
      </c>
      <c r="F3204" s="266">
        <f t="shared" si="153"/>
        <v>3197</v>
      </c>
      <c r="G3204" s="230">
        <f t="shared" ca="1" si="152"/>
        <v>3.1582979056391284E-3</v>
      </c>
    </row>
    <row r="3205" spans="2:7" x14ac:dyDescent="0.25">
      <c r="B3205" s="348">
        <v>41004</v>
      </c>
      <c r="C3205" s="293">
        <v>68.36</v>
      </c>
      <c r="D3205" s="230">
        <f t="shared" si="151"/>
        <v>6.1819252281425374E-3</v>
      </c>
      <c r="E3205" s="293">
        <v>-9.2963908129785056E-3</v>
      </c>
      <c r="F3205" s="266">
        <f t="shared" si="153"/>
        <v>3198</v>
      </c>
      <c r="G3205" s="230">
        <f t="shared" ca="1" si="152"/>
        <v>2.3968093429578168E-2</v>
      </c>
    </row>
    <row r="3206" spans="2:7" x14ac:dyDescent="0.25">
      <c r="B3206" s="348">
        <v>40973</v>
      </c>
      <c r="C3206" s="293">
        <v>67.94</v>
      </c>
      <c r="D3206" s="230">
        <f t="shared" si="151"/>
        <v>2.0579840769115343E-2</v>
      </c>
      <c r="E3206" s="293">
        <v>-9.3124628492173844E-3</v>
      </c>
      <c r="F3206" s="266">
        <f t="shared" si="153"/>
        <v>3199</v>
      </c>
      <c r="G3206" s="230">
        <f t="shared" ca="1" si="152"/>
        <v>-3.3348611486611827E-2</v>
      </c>
    </row>
    <row r="3207" spans="2:7" x14ac:dyDescent="0.25">
      <c r="B3207" s="348">
        <v>40944</v>
      </c>
      <c r="C3207" s="293">
        <v>66.569999999999993</v>
      </c>
      <c r="D3207" s="230">
        <f t="shared" si="151"/>
        <v>-2.5471980821096807E-3</v>
      </c>
      <c r="E3207" s="293">
        <v>-9.3138776777397236E-3</v>
      </c>
      <c r="F3207" s="266">
        <f t="shared" si="153"/>
        <v>3200</v>
      </c>
      <c r="G3207" s="230">
        <f t="shared" ca="1" si="152"/>
        <v>-2.4397918884549812E-3</v>
      </c>
    </row>
    <row r="3208" spans="2:7" x14ac:dyDescent="0.25">
      <c r="B3208" s="348" t="s">
        <v>2492</v>
      </c>
      <c r="C3208" s="293">
        <v>66.739999999999995</v>
      </c>
      <c r="D3208" s="230">
        <f t="shared" si="151"/>
        <v>-4.0292493657664297E-3</v>
      </c>
      <c r="E3208" s="293">
        <v>-9.3178036605657821E-3</v>
      </c>
      <c r="F3208" s="266">
        <f t="shared" si="153"/>
        <v>3201</v>
      </c>
      <c r="G3208" s="230">
        <f t="shared" ca="1" si="152"/>
        <v>2.3488005950892017E-2</v>
      </c>
    </row>
    <row r="3209" spans="2:7" x14ac:dyDescent="0.25">
      <c r="B3209" s="348" t="s">
        <v>2493</v>
      </c>
      <c r="C3209" s="293">
        <v>67.010000000000005</v>
      </c>
      <c r="D3209" s="230">
        <f t="shared" ref="D3209:D3272" si="154">C3209/C3210-1</f>
        <v>2.2434938677835525E-3</v>
      </c>
      <c r="E3209" s="293">
        <v>-9.3311537937611488E-3</v>
      </c>
      <c r="F3209" s="266">
        <f t="shared" si="153"/>
        <v>3202</v>
      </c>
      <c r="G3209" s="230">
        <f t="shared" ref="G3209:G3272" ca="1" si="155">_xlfn.NORM.INV(RAND(),$M$10,$M$11)</f>
        <v>3.6956511034763752E-2</v>
      </c>
    </row>
    <row r="3210" spans="2:7" x14ac:dyDescent="0.25">
      <c r="B3210" s="348" t="s">
        <v>2494</v>
      </c>
      <c r="C3210" s="293">
        <v>66.86</v>
      </c>
      <c r="D3210" s="230">
        <f t="shared" si="154"/>
        <v>7.6865109269028675E-3</v>
      </c>
      <c r="E3210" s="293">
        <v>-9.3382807668521695E-3</v>
      </c>
      <c r="F3210" s="266">
        <f t="shared" ref="F3210:F3273" si="156">F3209+1</f>
        <v>3203</v>
      </c>
      <c r="G3210" s="230">
        <f t="shared" ca="1" si="155"/>
        <v>-1.2731346755487158E-2</v>
      </c>
    </row>
    <row r="3211" spans="2:7" x14ac:dyDescent="0.25">
      <c r="B3211" s="348" t="s">
        <v>2495</v>
      </c>
      <c r="C3211" s="293">
        <v>66.349999999999994</v>
      </c>
      <c r="D3211" s="230">
        <f t="shared" si="154"/>
        <v>-1.8781425613723868E-2</v>
      </c>
      <c r="E3211" s="293">
        <v>-9.3421564811211333E-3</v>
      </c>
      <c r="F3211" s="266">
        <f t="shared" si="156"/>
        <v>3204</v>
      </c>
      <c r="G3211" s="230">
        <f t="shared" ca="1" si="155"/>
        <v>-1.1604695906622612E-2</v>
      </c>
    </row>
    <row r="3212" spans="2:7" x14ac:dyDescent="0.25">
      <c r="B3212" s="348" t="s">
        <v>2496</v>
      </c>
      <c r="C3212" s="293">
        <v>67.62</v>
      </c>
      <c r="D3212" s="230">
        <f t="shared" si="154"/>
        <v>-7.1536454757654688E-2</v>
      </c>
      <c r="E3212" s="293">
        <v>-9.3467303134493473E-3</v>
      </c>
      <c r="F3212" s="266">
        <f t="shared" si="156"/>
        <v>3205</v>
      </c>
      <c r="G3212" s="230">
        <f t="shared" ca="1" si="155"/>
        <v>-1.2737080088002076E-2</v>
      </c>
    </row>
    <row r="3213" spans="2:7" x14ac:dyDescent="0.25">
      <c r="B3213" s="348" t="s">
        <v>2497</v>
      </c>
      <c r="C3213" s="293">
        <v>72.83</v>
      </c>
      <c r="D3213" s="230">
        <f t="shared" si="154"/>
        <v>4.2066103877521854E-2</v>
      </c>
      <c r="E3213" s="293">
        <v>-9.3549216139811042E-3</v>
      </c>
      <c r="F3213" s="266">
        <f t="shared" si="156"/>
        <v>3206</v>
      </c>
      <c r="G3213" s="230">
        <f t="shared" ca="1" si="155"/>
        <v>-2.2784880050993286E-2</v>
      </c>
    </row>
    <row r="3214" spans="2:7" x14ac:dyDescent="0.25">
      <c r="B3214" s="348" t="s">
        <v>2498</v>
      </c>
      <c r="C3214" s="293">
        <v>69.89</v>
      </c>
      <c r="D3214" s="230">
        <f t="shared" si="154"/>
        <v>-1.571428571428557E-3</v>
      </c>
      <c r="E3214" s="293">
        <v>-9.3999686667711746E-3</v>
      </c>
      <c r="F3214" s="266">
        <f t="shared" si="156"/>
        <v>3207</v>
      </c>
      <c r="G3214" s="230">
        <f t="shared" ca="1" si="155"/>
        <v>1.9129701517637231E-2</v>
      </c>
    </row>
    <row r="3215" spans="2:7" x14ac:dyDescent="0.25">
      <c r="B3215" s="348" t="s">
        <v>2499</v>
      </c>
      <c r="C3215" s="293">
        <v>70</v>
      </c>
      <c r="D3215" s="230">
        <f t="shared" si="154"/>
        <v>9.9552734093204531E-3</v>
      </c>
      <c r="E3215" s="293">
        <v>-9.4090909090909225E-3</v>
      </c>
      <c r="F3215" s="266">
        <f t="shared" si="156"/>
        <v>3208</v>
      </c>
      <c r="G3215" s="230">
        <f t="shared" ca="1" si="155"/>
        <v>-5.3244558887610201E-3</v>
      </c>
    </row>
    <row r="3216" spans="2:7" x14ac:dyDescent="0.25">
      <c r="B3216" s="348" t="s">
        <v>2500</v>
      </c>
      <c r="C3216" s="293">
        <v>69.31</v>
      </c>
      <c r="D3216" s="230">
        <f t="shared" si="154"/>
        <v>-1.5762567452428322E-2</v>
      </c>
      <c r="E3216" s="293">
        <v>-9.4093047569263621E-3</v>
      </c>
      <c r="F3216" s="266">
        <f t="shared" si="156"/>
        <v>3209</v>
      </c>
      <c r="G3216" s="230">
        <f t="shared" ca="1" si="155"/>
        <v>-2.8140637347762892E-3</v>
      </c>
    </row>
    <row r="3217" spans="2:7" x14ac:dyDescent="0.25">
      <c r="B3217" s="348" t="s">
        <v>2501</v>
      </c>
      <c r="C3217" s="293">
        <v>70.42</v>
      </c>
      <c r="D3217" s="230">
        <f t="shared" si="154"/>
        <v>1.4697406340057562E-2</v>
      </c>
      <c r="E3217" s="293">
        <v>-9.41583397386625E-3</v>
      </c>
      <c r="F3217" s="266">
        <f t="shared" si="156"/>
        <v>3210</v>
      </c>
      <c r="G3217" s="230">
        <f t="shared" ca="1" si="155"/>
        <v>-1.7280739545686204E-3</v>
      </c>
    </row>
    <row r="3218" spans="2:7" x14ac:dyDescent="0.25">
      <c r="B3218" s="348" t="s">
        <v>2502</v>
      </c>
      <c r="C3218" s="293">
        <v>69.400000000000006</v>
      </c>
      <c r="D3218" s="230">
        <f t="shared" si="154"/>
        <v>5.7670126874298511E-4</v>
      </c>
      <c r="E3218" s="293">
        <v>-9.4275388885979305E-3</v>
      </c>
      <c r="F3218" s="266">
        <f t="shared" si="156"/>
        <v>3211</v>
      </c>
      <c r="G3218" s="230">
        <f t="shared" ca="1" si="155"/>
        <v>-2.2293156133460779E-2</v>
      </c>
    </row>
    <row r="3219" spans="2:7" x14ac:dyDescent="0.25">
      <c r="B3219" s="348" t="s">
        <v>2503</v>
      </c>
      <c r="C3219" s="293">
        <v>69.36</v>
      </c>
      <c r="D3219" s="230">
        <f t="shared" si="154"/>
        <v>3.9079461571862595E-3</v>
      </c>
      <c r="E3219" s="293">
        <v>-9.4339622641509413E-3</v>
      </c>
      <c r="F3219" s="266">
        <f t="shared" si="156"/>
        <v>3212</v>
      </c>
      <c r="G3219" s="230">
        <f t="shared" ca="1" si="155"/>
        <v>4.2023860808342983E-3</v>
      </c>
    </row>
    <row r="3220" spans="2:7" x14ac:dyDescent="0.25">
      <c r="B3220" s="348" t="s">
        <v>2504</v>
      </c>
      <c r="C3220" s="293">
        <v>69.09</v>
      </c>
      <c r="D3220" s="230">
        <f t="shared" si="154"/>
        <v>-4.5058742225293602E-2</v>
      </c>
      <c r="E3220" s="293">
        <v>-9.4414629298350539E-3</v>
      </c>
      <c r="F3220" s="266">
        <f t="shared" si="156"/>
        <v>3213</v>
      </c>
      <c r="G3220" s="230">
        <f t="shared" ca="1" si="155"/>
        <v>2.7711366131731273E-2</v>
      </c>
    </row>
    <row r="3221" spans="2:7" x14ac:dyDescent="0.25">
      <c r="B3221" s="348">
        <v>41247</v>
      </c>
      <c r="C3221" s="293">
        <v>72.349999999999994</v>
      </c>
      <c r="D3221" s="230">
        <f t="shared" si="154"/>
        <v>-1.5378334240609859E-2</v>
      </c>
      <c r="E3221" s="293">
        <v>-9.4480358030830658E-3</v>
      </c>
      <c r="F3221" s="266">
        <f t="shared" si="156"/>
        <v>3214</v>
      </c>
      <c r="G3221" s="230">
        <f t="shared" ca="1" si="155"/>
        <v>4.9876737975348896E-2</v>
      </c>
    </row>
    <row r="3222" spans="2:7" x14ac:dyDescent="0.25">
      <c r="B3222" s="348">
        <v>41217</v>
      </c>
      <c r="C3222" s="293">
        <v>73.48</v>
      </c>
      <c r="D3222" s="230">
        <f t="shared" si="154"/>
        <v>1.2263251124131624E-3</v>
      </c>
      <c r="E3222" s="293">
        <v>-9.4551125840725003E-3</v>
      </c>
      <c r="F3222" s="266">
        <f t="shared" si="156"/>
        <v>3215</v>
      </c>
      <c r="G3222" s="230">
        <f t="shared" ca="1" si="155"/>
        <v>7.6591579491320236E-3</v>
      </c>
    </row>
    <row r="3223" spans="2:7" x14ac:dyDescent="0.25">
      <c r="B3223" s="348">
        <v>41186</v>
      </c>
      <c r="C3223" s="293">
        <v>73.39</v>
      </c>
      <c r="D3223" s="230">
        <f t="shared" si="154"/>
        <v>1.4514791263477989E-2</v>
      </c>
      <c r="E3223" s="293">
        <v>-9.4714183209759772E-3</v>
      </c>
      <c r="F3223" s="266">
        <f t="shared" si="156"/>
        <v>3216</v>
      </c>
      <c r="G3223" s="230">
        <f t="shared" ca="1" si="155"/>
        <v>-1.7575383453210303E-2</v>
      </c>
    </row>
    <row r="3224" spans="2:7" x14ac:dyDescent="0.25">
      <c r="B3224" s="348">
        <v>41156</v>
      </c>
      <c r="C3224" s="293">
        <v>72.34</v>
      </c>
      <c r="D3224" s="230">
        <f t="shared" si="154"/>
        <v>-1.0802680158621514E-2</v>
      </c>
      <c r="E3224" s="293">
        <v>-9.475218658892226E-3</v>
      </c>
      <c r="F3224" s="266">
        <f t="shared" si="156"/>
        <v>3217</v>
      </c>
      <c r="G3224" s="230">
        <f t="shared" ca="1" si="155"/>
        <v>7.0782081888121941E-3</v>
      </c>
    </row>
    <row r="3225" spans="2:7" x14ac:dyDescent="0.25">
      <c r="B3225" s="348">
        <v>41003</v>
      </c>
      <c r="C3225" s="293">
        <v>73.13</v>
      </c>
      <c r="D3225" s="230">
        <f t="shared" si="154"/>
        <v>-5.9806986543428087E-3</v>
      </c>
      <c r="E3225" s="293">
        <v>-9.5011876484560887E-3</v>
      </c>
      <c r="F3225" s="266">
        <f t="shared" si="156"/>
        <v>3218</v>
      </c>
      <c r="G3225" s="230">
        <f t="shared" ca="1" si="155"/>
        <v>2.6592903440143447E-3</v>
      </c>
    </row>
    <row r="3226" spans="2:7" x14ac:dyDescent="0.25">
      <c r="B3226" s="348">
        <v>40972</v>
      </c>
      <c r="C3226" s="293">
        <v>73.569999999999993</v>
      </c>
      <c r="D3226" s="230">
        <f t="shared" si="154"/>
        <v>7.5321829635714987E-3</v>
      </c>
      <c r="E3226" s="293">
        <v>-9.5195729537367324E-3</v>
      </c>
      <c r="F3226" s="266">
        <f t="shared" si="156"/>
        <v>3219</v>
      </c>
      <c r="G3226" s="230">
        <f t="shared" ca="1" si="155"/>
        <v>4.3824726281551783E-2</v>
      </c>
    </row>
    <row r="3227" spans="2:7" x14ac:dyDescent="0.25">
      <c r="B3227" s="348">
        <v>40943</v>
      </c>
      <c r="C3227" s="293">
        <v>73.02</v>
      </c>
      <c r="D3227" s="230">
        <f t="shared" si="154"/>
        <v>6.8946497517925476E-3</v>
      </c>
      <c r="E3227" s="293">
        <v>-9.5251435775319804E-3</v>
      </c>
      <c r="F3227" s="266">
        <f t="shared" si="156"/>
        <v>3220</v>
      </c>
      <c r="G3227" s="230">
        <f t="shared" ca="1" si="155"/>
        <v>-1.7431348707373936E-2</v>
      </c>
    </row>
    <row r="3228" spans="2:7" x14ac:dyDescent="0.25">
      <c r="B3228" s="348" t="s">
        <v>2505</v>
      </c>
      <c r="C3228" s="293">
        <v>72.52</v>
      </c>
      <c r="D3228" s="230">
        <f t="shared" si="154"/>
        <v>7.642073086008061E-3</v>
      </c>
      <c r="E3228" s="293">
        <v>-9.5270500170125949E-3</v>
      </c>
      <c r="F3228" s="266">
        <f t="shared" si="156"/>
        <v>3221</v>
      </c>
      <c r="G3228" s="230">
        <f t="shared" ca="1" si="155"/>
        <v>-2.6072426011723597E-2</v>
      </c>
    </row>
    <row r="3229" spans="2:7" x14ac:dyDescent="0.25">
      <c r="B3229" s="348" t="s">
        <v>2506</v>
      </c>
      <c r="C3229" s="293">
        <v>71.97</v>
      </c>
      <c r="D3229" s="230">
        <f t="shared" si="154"/>
        <v>1.6094875052943713E-2</v>
      </c>
      <c r="E3229" s="293">
        <v>-9.5345983196450934E-3</v>
      </c>
      <c r="F3229" s="266">
        <f t="shared" si="156"/>
        <v>3222</v>
      </c>
      <c r="G3229" s="230">
        <f t="shared" ca="1" si="155"/>
        <v>-2.4983737062810513E-2</v>
      </c>
    </row>
    <row r="3230" spans="2:7" x14ac:dyDescent="0.25">
      <c r="B3230" s="348" t="s">
        <v>2507</v>
      </c>
      <c r="C3230" s="293">
        <v>70.83</v>
      </c>
      <c r="D3230" s="230">
        <f t="shared" si="154"/>
        <v>3.399915002124887E-3</v>
      </c>
      <c r="E3230" s="293">
        <v>-9.5470241722526161E-3</v>
      </c>
      <c r="F3230" s="266">
        <f t="shared" si="156"/>
        <v>3223</v>
      </c>
      <c r="G3230" s="230">
        <f t="shared" ca="1" si="155"/>
        <v>-2.5153875521179869E-2</v>
      </c>
    </row>
    <row r="3231" spans="2:7" x14ac:dyDescent="0.25">
      <c r="B3231" s="348" t="s">
        <v>2508</v>
      </c>
      <c r="C3231" s="293">
        <v>70.59</v>
      </c>
      <c r="D3231" s="230">
        <f t="shared" si="154"/>
        <v>1.2478485370051695E-2</v>
      </c>
      <c r="E3231" s="293">
        <v>-9.555984555984498E-3</v>
      </c>
      <c r="F3231" s="266">
        <f t="shared" si="156"/>
        <v>3224</v>
      </c>
      <c r="G3231" s="230">
        <f t="shared" ca="1" si="155"/>
        <v>-1.9434107322232122E-2</v>
      </c>
    </row>
    <row r="3232" spans="2:7" x14ac:dyDescent="0.25">
      <c r="B3232" s="348" t="s">
        <v>2509</v>
      </c>
      <c r="C3232" s="293">
        <v>69.72</v>
      </c>
      <c r="D3232" s="230">
        <f t="shared" si="154"/>
        <v>-4.9950049950049369E-3</v>
      </c>
      <c r="E3232" s="293">
        <v>-9.5630614676239789E-3</v>
      </c>
      <c r="F3232" s="266">
        <f t="shared" si="156"/>
        <v>3225</v>
      </c>
      <c r="G3232" s="230">
        <f t="shared" ca="1" si="155"/>
        <v>4.3703499857992547E-3</v>
      </c>
    </row>
    <row r="3233" spans="2:7" x14ac:dyDescent="0.25">
      <c r="B3233" s="348" t="s">
        <v>2510</v>
      </c>
      <c r="C3233" s="293">
        <v>70.069999999999993</v>
      </c>
      <c r="D3233" s="230">
        <f t="shared" si="154"/>
        <v>9.3632958801497246E-3</v>
      </c>
      <c r="E3233" s="293">
        <v>-9.5736994219652871E-3</v>
      </c>
      <c r="F3233" s="266">
        <f t="shared" si="156"/>
        <v>3226</v>
      </c>
      <c r="G3233" s="230">
        <f t="shared" ca="1" si="155"/>
        <v>1.5901830967462068E-2</v>
      </c>
    </row>
    <row r="3234" spans="2:7" x14ac:dyDescent="0.25">
      <c r="B3234" s="348" t="s">
        <v>2511</v>
      </c>
      <c r="C3234" s="293">
        <v>69.42</v>
      </c>
      <c r="D3234" s="230">
        <f t="shared" si="154"/>
        <v>-1.4760147601475926E-2</v>
      </c>
      <c r="E3234" s="293">
        <v>-9.5743453685546154E-3</v>
      </c>
      <c r="F3234" s="266">
        <f t="shared" si="156"/>
        <v>3227</v>
      </c>
      <c r="G3234" s="230">
        <f t="shared" ca="1" si="155"/>
        <v>5.205280166637077E-3</v>
      </c>
    </row>
    <row r="3235" spans="2:7" x14ac:dyDescent="0.25">
      <c r="B3235" s="348" t="s">
        <v>2512</v>
      </c>
      <c r="C3235" s="293">
        <v>70.459999999999994</v>
      </c>
      <c r="D3235" s="230">
        <f t="shared" si="154"/>
        <v>-4.661675377878427E-3</v>
      </c>
      <c r="E3235" s="293">
        <v>-9.5770539620807504E-3</v>
      </c>
      <c r="F3235" s="266">
        <f t="shared" si="156"/>
        <v>3228</v>
      </c>
      <c r="G3235" s="230">
        <f t="shared" ca="1" si="155"/>
        <v>-2.095859516703602E-2</v>
      </c>
    </row>
    <row r="3236" spans="2:7" x14ac:dyDescent="0.25">
      <c r="B3236" s="348" t="s">
        <v>2513</v>
      </c>
      <c r="C3236" s="293">
        <v>70.790000000000006</v>
      </c>
      <c r="D3236" s="230">
        <f t="shared" si="154"/>
        <v>3.8287010777084962E-3</v>
      </c>
      <c r="E3236" s="293">
        <v>-9.579728059332604E-3</v>
      </c>
      <c r="F3236" s="266">
        <f t="shared" si="156"/>
        <v>3229</v>
      </c>
      <c r="G3236" s="230">
        <f t="shared" ca="1" si="155"/>
        <v>-5.9890626883378879E-2</v>
      </c>
    </row>
    <row r="3237" spans="2:7" x14ac:dyDescent="0.25">
      <c r="B3237" s="348" t="s">
        <v>2514</v>
      </c>
      <c r="C3237" s="293">
        <v>70.52</v>
      </c>
      <c r="D3237" s="230">
        <f t="shared" si="154"/>
        <v>-1.2746069961762085E-3</v>
      </c>
      <c r="E3237" s="293">
        <v>-9.5856068426486418E-3</v>
      </c>
      <c r="F3237" s="266">
        <f t="shared" si="156"/>
        <v>3230</v>
      </c>
      <c r="G3237" s="230">
        <f t="shared" ca="1" si="155"/>
        <v>4.0262661342638832E-2</v>
      </c>
    </row>
    <row r="3238" spans="2:7" x14ac:dyDescent="0.25">
      <c r="B3238" s="348" t="s">
        <v>2515</v>
      </c>
      <c r="C3238" s="293">
        <v>70.61</v>
      </c>
      <c r="D3238" s="230">
        <f t="shared" si="154"/>
        <v>2.5557290927160636E-3</v>
      </c>
      <c r="E3238" s="293">
        <v>-9.5866729530095229E-3</v>
      </c>
      <c r="F3238" s="266">
        <f t="shared" si="156"/>
        <v>3231</v>
      </c>
      <c r="G3238" s="230">
        <f t="shared" ca="1" si="155"/>
        <v>-3.3311687789647475E-3</v>
      </c>
    </row>
    <row r="3239" spans="2:7" x14ac:dyDescent="0.25">
      <c r="B3239" s="348" t="s">
        <v>2516</v>
      </c>
      <c r="C3239" s="293">
        <v>70.430000000000007</v>
      </c>
      <c r="D3239" s="230">
        <f t="shared" si="154"/>
        <v>3.2763532763533387E-3</v>
      </c>
      <c r="E3239" s="293">
        <v>-9.5930094505389807E-3</v>
      </c>
      <c r="F3239" s="266">
        <f t="shared" si="156"/>
        <v>3232</v>
      </c>
      <c r="G3239" s="230">
        <f t="shared" ca="1" si="155"/>
        <v>-2.3041986153225578E-2</v>
      </c>
    </row>
    <row r="3240" spans="2:7" x14ac:dyDescent="0.25">
      <c r="B3240" s="348" t="s">
        <v>2517</v>
      </c>
      <c r="C3240" s="293">
        <v>70.2</v>
      </c>
      <c r="D3240" s="230">
        <f t="shared" si="154"/>
        <v>-1.1406844106463865E-2</v>
      </c>
      <c r="E3240" s="293">
        <v>-9.6058297449485019E-3</v>
      </c>
      <c r="F3240" s="266">
        <f t="shared" si="156"/>
        <v>3233</v>
      </c>
      <c r="G3240" s="230">
        <f t="shared" ca="1" si="155"/>
        <v>6.3419348658125272E-3</v>
      </c>
    </row>
    <row r="3241" spans="2:7" x14ac:dyDescent="0.25">
      <c r="B3241" s="348" t="s">
        <v>2518</v>
      </c>
      <c r="C3241" s="293">
        <v>71.010000000000005</v>
      </c>
      <c r="D3241" s="230">
        <f t="shared" si="154"/>
        <v>-1.5527519755995978E-2</v>
      </c>
      <c r="E3241" s="293">
        <v>-9.6400459892100887E-3</v>
      </c>
      <c r="F3241" s="266">
        <f t="shared" si="156"/>
        <v>3234</v>
      </c>
      <c r="G3241" s="230">
        <f t="shared" ca="1" si="155"/>
        <v>-3.1084400873989684E-2</v>
      </c>
    </row>
    <row r="3242" spans="2:7" x14ac:dyDescent="0.25">
      <c r="B3242" s="348">
        <v>41246</v>
      </c>
      <c r="C3242" s="293">
        <v>72.13</v>
      </c>
      <c r="D3242" s="230">
        <f t="shared" si="154"/>
        <v>1.2919533773346537E-2</v>
      </c>
      <c r="E3242" s="293">
        <v>-9.6916299559470787E-3</v>
      </c>
      <c r="F3242" s="266">
        <f t="shared" si="156"/>
        <v>3235</v>
      </c>
      <c r="G3242" s="230">
        <f t="shared" ca="1" si="155"/>
        <v>-1.3081219850414888E-2</v>
      </c>
    </row>
    <row r="3243" spans="2:7" x14ac:dyDescent="0.25">
      <c r="B3243" s="348">
        <v>41155</v>
      </c>
      <c r="C3243" s="293">
        <v>71.209999999999994</v>
      </c>
      <c r="D3243" s="230">
        <f t="shared" si="154"/>
        <v>-1.7657607945923637E-2</v>
      </c>
      <c r="E3243" s="293">
        <v>-9.7096620656830224E-3</v>
      </c>
      <c r="F3243" s="266">
        <f t="shared" si="156"/>
        <v>3236</v>
      </c>
      <c r="G3243" s="230">
        <f t="shared" ca="1" si="155"/>
        <v>2.6222063339145674E-2</v>
      </c>
    </row>
    <row r="3244" spans="2:7" x14ac:dyDescent="0.25">
      <c r="B3244" s="348">
        <v>41093</v>
      </c>
      <c r="C3244" s="293">
        <v>72.489999999999995</v>
      </c>
      <c r="D3244" s="230">
        <f t="shared" si="154"/>
        <v>1.8117977528089746E-2</v>
      </c>
      <c r="E3244" s="293">
        <v>-9.7152880852786616E-3</v>
      </c>
      <c r="F3244" s="266">
        <f t="shared" si="156"/>
        <v>3237</v>
      </c>
      <c r="G3244" s="230">
        <f t="shared" ca="1" si="155"/>
        <v>-2.5130191478293581E-3</v>
      </c>
    </row>
    <row r="3245" spans="2:7" x14ac:dyDescent="0.25">
      <c r="B3245" s="348">
        <v>41063</v>
      </c>
      <c r="C3245" s="293">
        <v>71.2</v>
      </c>
      <c r="D3245" s="230">
        <f t="shared" si="154"/>
        <v>1.8291824961307324E-3</v>
      </c>
      <c r="E3245" s="293">
        <v>-9.7263062655508215E-3</v>
      </c>
      <c r="F3245" s="266">
        <f t="shared" si="156"/>
        <v>3238</v>
      </c>
      <c r="G3245" s="230">
        <f t="shared" ca="1" si="155"/>
        <v>-5.6078827450760952E-3</v>
      </c>
    </row>
    <row r="3246" spans="2:7" x14ac:dyDescent="0.25">
      <c r="B3246" s="348">
        <v>41032</v>
      </c>
      <c r="C3246" s="293">
        <v>71.069999999999993</v>
      </c>
      <c r="D3246" s="230">
        <f t="shared" si="154"/>
        <v>9.3736685129952591E-3</v>
      </c>
      <c r="E3246" s="293">
        <v>-9.750501864066452E-3</v>
      </c>
      <c r="F3246" s="266">
        <f t="shared" si="156"/>
        <v>3239</v>
      </c>
      <c r="G3246" s="230">
        <f t="shared" ca="1" si="155"/>
        <v>-7.5149650007496054E-3</v>
      </c>
    </row>
    <row r="3247" spans="2:7" x14ac:dyDescent="0.25">
      <c r="B3247" s="348">
        <v>40971</v>
      </c>
      <c r="C3247" s="293">
        <v>70.41</v>
      </c>
      <c r="D3247" s="230">
        <f t="shared" si="154"/>
        <v>-3.9609562880180693E-3</v>
      </c>
      <c r="E3247" s="293">
        <v>-9.7506983608285358E-3</v>
      </c>
      <c r="F3247" s="266">
        <f t="shared" si="156"/>
        <v>3240</v>
      </c>
      <c r="G3247" s="230">
        <f t="shared" ca="1" si="155"/>
        <v>-3.1865956564316848E-4</v>
      </c>
    </row>
    <row r="3248" spans="2:7" x14ac:dyDescent="0.25">
      <c r="B3248" s="348">
        <v>40942</v>
      </c>
      <c r="C3248" s="293">
        <v>70.69</v>
      </c>
      <c r="D3248" s="230">
        <f t="shared" si="154"/>
        <v>9.8571428571427866E-3</v>
      </c>
      <c r="E3248" s="293">
        <v>-9.7722872683692064E-3</v>
      </c>
      <c r="F3248" s="266">
        <f t="shared" si="156"/>
        <v>3241</v>
      </c>
      <c r="G3248" s="230">
        <f t="shared" ca="1" si="155"/>
        <v>-2.0168358936661556E-3</v>
      </c>
    </row>
    <row r="3249" spans="2:7" x14ac:dyDescent="0.25">
      <c r="B3249" s="348">
        <v>40911</v>
      </c>
      <c r="C3249" s="293">
        <v>70</v>
      </c>
      <c r="D3249" s="230">
        <f t="shared" si="154"/>
        <v>-1.7405951712521017E-2</v>
      </c>
      <c r="E3249" s="293">
        <v>-9.785647716682222E-3</v>
      </c>
      <c r="F3249" s="266">
        <f t="shared" si="156"/>
        <v>3242</v>
      </c>
      <c r="G3249" s="230">
        <f t="shared" ca="1" si="155"/>
        <v>5.8685011742179698E-3</v>
      </c>
    </row>
    <row r="3250" spans="2:7" x14ac:dyDescent="0.25">
      <c r="B3250" s="348" t="s">
        <v>2519</v>
      </c>
      <c r="C3250" s="293">
        <v>71.239999999999995</v>
      </c>
      <c r="D3250" s="230">
        <f t="shared" si="154"/>
        <v>2.8736462093862825E-2</v>
      </c>
      <c r="E3250" s="293">
        <v>-9.7928436911488559E-3</v>
      </c>
      <c r="F3250" s="266">
        <f t="shared" si="156"/>
        <v>3243</v>
      </c>
      <c r="G3250" s="230">
        <f t="shared" ca="1" si="155"/>
        <v>2.4186473088047319E-2</v>
      </c>
    </row>
    <row r="3251" spans="2:7" x14ac:dyDescent="0.25">
      <c r="B3251" s="348" t="s">
        <v>2520</v>
      </c>
      <c r="C3251" s="293">
        <v>69.25</v>
      </c>
      <c r="D3251" s="230">
        <f t="shared" si="154"/>
        <v>-1.0714285714285676E-2</v>
      </c>
      <c r="E3251" s="293">
        <v>-9.7958057395144404E-3</v>
      </c>
      <c r="F3251" s="266">
        <f t="shared" si="156"/>
        <v>3244</v>
      </c>
      <c r="G3251" s="230">
        <f t="shared" ca="1" si="155"/>
        <v>-6.9358429284325559E-3</v>
      </c>
    </row>
    <row r="3252" spans="2:7" x14ac:dyDescent="0.25">
      <c r="B3252" s="348" t="s">
        <v>2521</v>
      </c>
      <c r="C3252" s="293">
        <v>70</v>
      </c>
      <c r="D3252" s="230">
        <f t="shared" si="154"/>
        <v>-2.979902979902993E-2</v>
      </c>
      <c r="E3252" s="293">
        <v>-9.7975179621162534E-3</v>
      </c>
      <c r="F3252" s="266">
        <f t="shared" si="156"/>
        <v>3245</v>
      </c>
      <c r="G3252" s="230">
        <f t="shared" ca="1" si="155"/>
        <v>5.3602197286949753E-3</v>
      </c>
    </row>
    <row r="3253" spans="2:7" x14ac:dyDescent="0.25">
      <c r="B3253" s="348" t="s">
        <v>2522</v>
      </c>
      <c r="C3253" s="293">
        <v>72.150000000000006</v>
      </c>
      <c r="D3253" s="230">
        <f t="shared" si="154"/>
        <v>-8.1110805609017067E-3</v>
      </c>
      <c r="E3253" s="293">
        <v>-9.8008711885499977E-3</v>
      </c>
      <c r="F3253" s="266">
        <f t="shared" si="156"/>
        <v>3246</v>
      </c>
      <c r="G3253" s="230">
        <f t="shared" ca="1" si="155"/>
        <v>-7.4298697649581233E-3</v>
      </c>
    </row>
    <row r="3254" spans="2:7" x14ac:dyDescent="0.25">
      <c r="B3254" s="348" t="s">
        <v>2523</v>
      </c>
      <c r="C3254" s="293">
        <v>72.739999999999995</v>
      </c>
      <c r="D3254" s="230">
        <f t="shared" si="154"/>
        <v>-3.0153508771929571E-3</v>
      </c>
      <c r="E3254" s="293">
        <v>-9.8311605043812644E-3</v>
      </c>
      <c r="F3254" s="266">
        <f t="shared" si="156"/>
        <v>3247</v>
      </c>
      <c r="G3254" s="230">
        <f t="shared" ca="1" si="155"/>
        <v>1.5530796845969175E-3</v>
      </c>
    </row>
    <row r="3255" spans="2:7" x14ac:dyDescent="0.25">
      <c r="B3255" s="348" t="s">
        <v>2524</v>
      </c>
      <c r="C3255" s="293">
        <v>72.959999999999994</v>
      </c>
      <c r="D3255" s="230">
        <f t="shared" si="154"/>
        <v>-2.051702913418163E-3</v>
      </c>
      <c r="E3255" s="293">
        <v>-9.8378090933262108E-3</v>
      </c>
      <c r="F3255" s="266">
        <f t="shared" si="156"/>
        <v>3248</v>
      </c>
      <c r="G3255" s="230">
        <f t="shared" ca="1" si="155"/>
        <v>1.8800294086499698E-2</v>
      </c>
    </row>
    <row r="3256" spans="2:7" x14ac:dyDescent="0.25">
      <c r="B3256" s="348" t="s">
        <v>2525</v>
      </c>
      <c r="C3256" s="293">
        <v>73.11</v>
      </c>
      <c r="D3256" s="230">
        <f t="shared" si="154"/>
        <v>-1.1492698756084274E-2</v>
      </c>
      <c r="E3256" s="293">
        <v>-9.8608775416602068E-3</v>
      </c>
      <c r="F3256" s="266">
        <f t="shared" si="156"/>
        <v>3249</v>
      </c>
      <c r="G3256" s="230">
        <f t="shared" ca="1" si="155"/>
        <v>3.0494550611880673E-2</v>
      </c>
    </row>
    <row r="3257" spans="2:7" x14ac:dyDescent="0.25">
      <c r="B3257" s="348" t="s">
        <v>2526</v>
      </c>
      <c r="C3257" s="293">
        <v>73.959999999999994</v>
      </c>
      <c r="D3257" s="230">
        <f t="shared" si="154"/>
        <v>2.1688078463876215E-2</v>
      </c>
      <c r="E3257" s="293">
        <v>-9.8737872413497962E-3</v>
      </c>
      <c r="F3257" s="266">
        <f t="shared" si="156"/>
        <v>3250</v>
      </c>
      <c r="G3257" s="230">
        <f t="shared" ca="1" si="155"/>
        <v>-1.3514646042023281E-2</v>
      </c>
    </row>
    <row r="3258" spans="2:7" x14ac:dyDescent="0.25">
      <c r="B3258" s="348" t="s">
        <v>2527</v>
      </c>
      <c r="C3258" s="293">
        <v>72.39</v>
      </c>
      <c r="D3258" s="230">
        <f t="shared" si="154"/>
        <v>7.3754522682993873E-3</v>
      </c>
      <c r="E3258" s="293">
        <v>-9.881965413121141E-3</v>
      </c>
      <c r="F3258" s="266">
        <f t="shared" si="156"/>
        <v>3251</v>
      </c>
      <c r="G3258" s="230">
        <f t="shared" ca="1" si="155"/>
        <v>1.4313790404715063E-2</v>
      </c>
    </row>
    <row r="3259" spans="2:7" x14ac:dyDescent="0.25">
      <c r="B3259" s="348" t="s">
        <v>2528</v>
      </c>
      <c r="C3259" s="293">
        <v>71.86</v>
      </c>
      <c r="D3259" s="230">
        <f t="shared" si="154"/>
        <v>2.3713209652671541E-3</v>
      </c>
      <c r="E3259" s="293">
        <v>-9.8881504295671441E-3</v>
      </c>
      <c r="F3259" s="266">
        <f t="shared" si="156"/>
        <v>3252</v>
      </c>
      <c r="G3259" s="230">
        <f t="shared" ca="1" si="155"/>
        <v>-1.236353534150831E-2</v>
      </c>
    </row>
    <row r="3260" spans="2:7" x14ac:dyDescent="0.25">
      <c r="B3260" s="348" t="s">
        <v>2529</v>
      </c>
      <c r="C3260" s="293">
        <v>71.69</v>
      </c>
      <c r="D3260" s="230">
        <f t="shared" si="154"/>
        <v>-3.4751181540172427E-3</v>
      </c>
      <c r="E3260" s="293">
        <v>-9.8963790895330028E-3</v>
      </c>
      <c r="F3260" s="266">
        <f t="shared" si="156"/>
        <v>3253</v>
      </c>
      <c r="G3260" s="230">
        <f t="shared" ca="1" si="155"/>
        <v>2.3677113083225877E-3</v>
      </c>
    </row>
    <row r="3261" spans="2:7" x14ac:dyDescent="0.25">
      <c r="B3261" s="348" t="s">
        <v>2530</v>
      </c>
      <c r="C3261" s="293">
        <v>71.94</v>
      </c>
      <c r="D3261" s="230">
        <f t="shared" si="154"/>
        <v>-2.8363047001620845E-2</v>
      </c>
      <c r="E3261" s="293">
        <v>-9.9227172979677869E-3</v>
      </c>
      <c r="F3261" s="266">
        <f t="shared" si="156"/>
        <v>3254</v>
      </c>
      <c r="G3261" s="230">
        <f t="shared" ca="1" si="155"/>
        <v>-5.406971467648701E-3</v>
      </c>
    </row>
    <row r="3262" spans="2:7" x14ac:dyDescent="0.25">
      <c r="B3262" s="348">
        <v>41184</v>
      </c>
      <c r="C3262" s="293">
        <v>74.040000000000006</v>
      </c>
      <c r="D3262" s="230">
        <f t="shared" si="154"/>
        <v>8.4445655134841591E-3</v>
      </c>
      <c r="E3262" s="293">
        <v>-9.9334645300345192E-3</v>
      </c>
      <c r="F3262" s="266">
        <f t="shared" si="156"/>
        <v>3255</v>
      </c>
      <c r="G3262" s="230">
        <f t="shared" ca="1" si="155"/>
        <v>-7.4061303681556244E-3</v>
      </c>
    </row>
    <row r="3263" spans="2:7" x14ac:dyDescent="0.25">
      <c r="B3263" s="348">
        <v>41154</v>
      </c>
      <c r="C3263" s="293">
        <v>73.42</v>
      </c>
      <c r="D3263" s="230">
        <f t="shared" si="154"/>
        <v>2.5275799469347993E-2</v>
      </c>
      <c r="E3263" s="293">
        <v>-9.9337748344369148E-3</v>
      </c>
      <c r="F3263" s="266">
        <f t="shared" si="156"/>
        <v>3256</v>
      </c>
      <c r="G3263" s="230">
        <f t="shared" ca="1" si="155"/>
        <v>2.2435029250946295E-5</v>
      </c>
    </row>
    <row r="3264" spans="2:7" x14ac:dyDescent="0.25">
      <c r="B3264" s="348">
        <v>41123</v>
      </c>
      <c r="C3264" s="293">
        <v>71.61</v>
      </c>
      <c r="D3264" s="230">
        <f t="shared" si="154"/>
        <v>1.5312632922160674E-2</v>
      </c>
      <c r="E3264" s="293">
        <v>-9.9407379086217107E-3</v>
      </c>
      <c r="F3264" s="266">
        <f t="shared" si="156"/>
        <v>3257</v>
      </c>
      <c r="G3264" s="230">
        <f t="shared" ca="1" si="155"/>
        <v>3.0132854840757405E-3</v>
      </c>
    </row>
    <row r="3265" spans="2:7" x14ac:dyDescent="0.25">
      <c r="B3265" s="348">
        <v>41092</v>
      </c>
      <c r="C3265" s="293">
        <v>70.53</v>
      </c>
      <c r="D3265" s="230">
        <f t="shared" si="154"/>
        <v>2.2736961773481834E-3</v>
      </c>
      <c r="E3265" s="293">
        <v>-9.954997954452538E-3</v>
      </c>
      <c r="F3265" s="266">
        <f t="shared" si="156"/>
        <v>3258</v>
      </c>
      <c r="G3265" s="230">
        <f t="shared" ca="1" si="155"/>
        <v>5.2682486173580758E-3</v>
      </c>
    </row>
    <row r="3266" spans="2:7" x14ac:dyDescent="0.25">
      <c r="B3266" s="348">
        <v>41062</v>
      </c>
      <c r="C3266" s="293">
        <v>70.37</v>
      </c>
      <c r="D3266" s="230">
        <f t="shared" si="154"/>
        <v>-8.5190969757209523E-4</v>
      </c>
      <c r="E3266" s="293">
        <v>-9.9556033902864494E-3</v>
      </c>
      <c r="F3266" s="266">
        <f t="shared" si="156"/>
        <v>3259</v>
      </c>
      <c r="G3266" s="230">
        <f t="shared" ca="1" si="155"/>
        <v>1.1308807922159879E-2</v>
      </c>
    </row>
    <row r="3267" spans="2:7" x14ac:dyDescent="0.25">
      <c r="B3267" s="348">
        <v>40970</v>
      </c>
      <c r="C3267" s="293">
        <v>70.430000000000007</v>
      </c>
      <c r="D3267" s="230">
        <f t="shared" si="154"/>
        <v>3.2763532763533387E-3</v>
      </c>
      <c r="E3267" s="293">
        <v>-9.9732200572537621E-3</v>
      </c>
      <c r="F3267" s="266">
        <f t="shared" si="156"/>
        <v>3260</v>
      </c>
      <c r="G3267" s="230">
        <f t="shared" ca="1" si="155"/>
        <v>8.3033441931334138E-4</v>
      </c>
    </row>
    <row r="3268" spans="2:7" x14ac:dyDescent="0.25">
      <c r="B3268" s="348">
        <v>40941</v>
      </c>
      <c r="C3268" s="293">
        <v>70.2</v>
      </c>
      <c r="D3268" s="230">
        <f t="shared" si="154"/>
        <v>3.4482758620689724E-2</v>
      </c>
      <c r="E3268" s="293">
        <v>-9.992429977289885E-3</v>
      </c>
      <c r="F3268" s="266">
        <f t="shared" si="156"/>
        <v>3261</v>
      </c>
      <c r="G3268" s="230">
        <f t="shared" ca="1" si="155"/>
        <v>1.7310435567443165E-3</v>
      </c>
    </row>
    <row r="3269" spans="2:7" x14ac:dyDescent="0.25">
      <c r="B3269" s="348">
        <v>40910</v>
      </c>
      <c r="C3269" s="293">
        <v>67.86</v>
      </c>
      <c r="D3269" s="230">
        <f t="shared" si="154"/>
        <v>-4.9853372434017773E-3</v>
      </c>
      <c r="E3269" s="293">
        <v>-1.0013908205841471E-2</v>
      </c>
      <c r="F3269" s="266">
        <f t="shared" si="156"/>
        <v>3262</v>
      </c>
      <c r="G3269" s="230">
        <f t="shared" ca="1" si="155"/>
        <v>2.5384337278295616E-2</v>
      </c>
    </row>
    <row r="3270" spans="2:7" x14ac:dyDescent="0.25">
      <c r="B3270" s="348" t="s">
        <v>2531</v>
      </c>
      <c r="C3270" s="293">
        <v>68.2</v>
      </c>
      <c r="D3270" s="230">
        <f t="shared" si="154"/>
        <v>1.0071090047393483E-2</v>
      </c>
      <c r="E3270" s="293">
        <v>-1.00292519849563E-2</v>
      </c>
      <c r="F3270" s="266">
        <f t="shared" si="156"/>
        <v>3263</v>
      </c>
      <c r="G3270" s="230">
        <f t="shared" ca="1" si="155"/>
        <v>-6.6520822538361684E-3</v>
      </c>
    </row>
    <row r="3271" spans="2:7" x14ac:dyDescent="0.25">
      <c r="B3271" s="348" t="s">
        <v>2532</v>
      </c>
      <c r="C3271" s="293">
        <v>67.52</v>
      </c>
      <c r="D3271" s="230">
        <f t="shared" si="154"/>
        <v>-1.960214897633239E-2</v>
      </c>
      <c r="E3271" s="293">
        <v>-1.0034773969200272E-2</v>
      </c>
      <c r="F3271" s="266">
        <f t="shared" si="156"/>
        <v>3264</v>
      </c>
      <c r="G3271" s="230">
        <f t="shared" ca="1" si="155"/>
        <v>-1.8731112455886094E-2</v>
      </c>
    </row>
    <row r="3272" spans="2:7" x14ac:dyDescent="0.25">
      <c r="B3272" s="348" t="s">
        <v>2533</v>
      </c>
      <c r="C3272" s="293">
        <v>68.87</v>
      </c>
      <c r="D3272" s="230">
        <f t="shared" si="154"/>
        <v>-3.7610299435844041E-3</v>
      </c>
      <c r="E3272" s="293">
        <v>-1.0080953108293822E-2</v>
      </c>
      <c r="F3272" s="266">
        <f t="shared" si="156"/>
        <v>3265</v>
      </c>
      <c r="G3272" s="230">
        <f t="shared" ca="1" si="155"/>
        <v>2.4230032804319315E-3</v>
      </c>
    </row>
    <row r="3273" spans="2:7" x14ac:dyDescent="0.25">
      <c r="B3273" s="348" t="s">
        <v>2534</v>
      </c>
      <c r="C3273" s="293">
        <v>69.13</v>
      </c>
      <c r="D3273" s="230">
        <f t="shared" ref="D3273:D3336" si="157">C3273/C3274-1</f>
        <v>1.1585807385952052E-3</v>
      </c>
      <c r="E3273" s="293">
        <v>-1.0092421441774579E-2</v>
      </c>
      <c r="F3273" s="266">
        <f t="shared" si="156"/>
        <v>3266</v>
      </c>
      <c r="G3273" s="230">
        <f t="shared" ref="G3273:G3336" ca="1" si="158">_xlfn.NORM.INV(RAND(),$M$10,$M$11)</f>
        <v>1.052209993649239E-3</v>
      </c>
    </row>
    <row r="3274" spans="2:7" x14ac:dyDescent="0.25">
      <c r="B3274" s="348" t="s">
        <v>2535</v>
      </c>
      <c r="C3274" s="293">
        <v>69.05</v>
      </c>
      <c r="D3274" s="230">
        <f t="shared" si="157"/>
        <v>7.8820610129906044E-3</v>
      </c>
      <c r="E3274" s="293">
        <v>-1.009474895953244E-2</v>
      </c>
      <c r="F3274" s="266">
        <f t="shared" ref="F3274:F3337" si="159">F3273+1</f>
        <v>3267</v>
      </c>
      <c r="G3274" s="230">
        <f t="shared" ca="1" si="158"/>
        <v>4.7970967249967274E-3</v>
      </c>
    </row>
    <row r="3275" spans="2:7" x14ac:dyDescent="0.25">
      <c r="B3275" s="348" t="s">
        <v>2536</v>
      </c>
      <c r="C3275" s="293">
        <v>68.510000000000005</v>
      </c>
      <c r="D3275" s="230">
        <f t="shared" si="157"/>
        <v>4.9875311720699589E-3</v>
      </c>
      <c r="E3275" s="293">
        <v>-1.0095371016515364E-2</v>
      </c>
      <c r="F3275" s="266">
        <f t="shared" si="159"/>
        <v>3268</v>
      </c>
      <c r="G3275" s="230">
        <f t="shared" ca="1" si="158"/>
        <v>4.1572079514729535E-2</v>
      </c>
    </row>
    <row r="3276" spans="2:7" x14ac:dyDescent="0.25">
      <c r="B3276" s="348" t="s">
        <v>2537</v>
      </c>
      <c r="C3276" s="293">
        <v>68.17</v>
      </c>
      <c r="D3276" s="230">
        <f t="shared" si="157"/>
        <v>2.3727286379336299E-2</v>
      </c>
      <c r="E3276" s="293">
        <v>-1.010893246187361E-2</v>
      </c>
      <c r="F3276" s="266">
        <f t="shared" si="159"/>
        <v>3269</v>
      </c>
      <c r="G3276" s="230">
        <f t="shared" ca="1" si="158"/>
        <v>-5.8099778542678671E-2</v>
      </c>
    </row>
    <row r="3277" spans="2:7" x14ac:dyDescent="0.25">
      <c r="B3277" s="348" t="s">
        <v>2538</v>
      </c>
      <c r="C3277" s="293">
        <v>66.59</v>
      </c>
      <c r="D3277" s="230">
        <f t="shared" si="157"/>
        <v>1.5019525383008769E-4</v>
      </c>
      <c r="E3277" s="293">
        <v>-1.0121012101210081E-2</v>
      </c>
      <c r="F3277" s="266">
        <f t="shared" si="159"/>
        <v>3270</v>
      </c>
      <c r="G3277" s="230">
        <f t="shared" ca="1" si="158"/>
        <v>-1.6827501062651712E-2</v>
      </c>
    </row>
    <row r="3278" spans="2:7" x14ac:dyDescent="0.25">
      <c r="B3278" s="348" t="s">
        <v>2539</v>
      </c>
      <c r="C3278" s="293">
        <v>66.58</v>
      </c>
      <c r="D3278" s="230">
        <f t="shared" si="157"/>
        <v>-2.6750475076743108E-2</v>
      </c>
      <c r="E3278" s="293">
        <v>-1.0175763182238673E-2</v>
      </c>
      <c r="F3278" s="266">
        <f t="shared" si="159"/>
        <v>3271</v>
      </c>
      <c r="G3278" s="230">
        <f t="shared" ca="1" si="158"/>
        <v>2.7020264001577777E-3</v>
      </c>
    </row>
    <row r="3279" spans="2:7" x14ac:dyDescent="0.25">
      <c r="B3279" s="348" t="s">
        <v>2540</v>
      </c>
      <c r="C3279" s="293">
        <v>68.41</v>
      </c>
      <c r="D3279" s="230">
        <f t="shared" si="157"/>
        <v>1.8915698540363346E-2</v>
      </c>
      <c r="E3279" s="293">
        <v>-1.0180109631949819E-2</v>
      </c>
      <c r="F3279" s="266">
        <f t="shared" si="159"/>
        <v>3272</v>
      </c>
      <c r="G3279" s="230">
        <f t="shared" ca="1" si="158"/>
        <v>-5.758427200827013E-3</v>
      </c>
    </row>
    <row r="3280" spans="2:7" x14ac:dyDescent="0.25">
      <c r="B3280" s="348" t="s">
        <v>2541</v>
      </c>
      <c r="C3280" s="293">
        <v>67.14</v>
      </c>
      <c r="D3280" s="230">
        <f t="shared" si="157"/>
        <v>1.619494475556249E-2</v>
      </c>
      <c r="E3280" s="293">
        <v>-1.0202504251043409E-2</v>
      </c>
      <c r="F3280" s="266">
        <f t="shared" si="159"/>
        <v>3273</v>
      </c>
      <c r="G3280" s="230">
        <f t="shared" ca="1" si="158"/>
        <v>8.9632064824684979E-4</v>
      </c>
    </row>
    <row r="3281" spans="2:7" x14ac:dyDescent="0.25">
      <c r="B3281" s="348" t="s">
        <v>2542</v>
      </c>
      <c r="C3281" s="293">
        <v>66.069999999999993</v>
      </c>
      <c r="D3281" s="230">
        <f t="shared" si="157"/>
        <v>2.4341085271317731E-2</v>
      </c>
      <c r="E3281" s="293">
        <v>-1.0208943034097917E-2</v>
      </c>
      <c r="F3281" s="266">
        <f t="shared" si="159"/>
        <v>3274</v>
      </c>
      <c r="G3281" s="230">
        <f t="shared" ca="1" si="158"/>
        <v>3.8920812666595056E-2</v>
      </c>
    </row>
    <row r="3282" spans="2:7" x14ac:dyDescent="0.25">
      <c r="B3282" s="348">
        <v>41244</v>
      </c>
      <c r="C3282" s="293">
        <v>64.5</v>
      </c>
      <c r="D3282" s="230">
        <f t="shared" si="157"/>
        <v>-2.4500907441016406E-2</v>
      </c>
      <c r="E3282" s="293">
        <v>-1.0216346153846256E-2</v>
      </c>
      <c r="F3282" s="266">
        <f t="shared" si="159"/>
        <v>3275</v>
      </c>
      <c r="G3282" s="230">
        <f t="shared" ca="1" si="158"/>
        <v>-6.6370254748719772E-3</v>
      </c>
    </row>
    <row r="3283" spans="2:7" x14ac:dyDescent="0.25">
      <c r="B3283" s="348">
        <v>41214</v>
      </c>
      <c r="C3283" s="293">
        <v>66.12</v>
      </c>
      <c r="D3283" s="230">
        <f t="shared" si="157"/>
        <v>-5.5647465784327554E-3</v>
      </c>
      <c r="E3283" s="293">
        <v>-1.0218978102189746E-2</v>
      </c>
      <c r="F3283" s="266">
        <f t="shared" si="159"/>
        <v>3276</v>
      </c>
      <c r="G3283" s="230">
        <f t="shared" ca="1" si="158"/>
        <v>8.7956303681486839E-3</v>
      </c>
    </row>
    <row r="3284" spans="2:7" x14ac:dyDescent="0.25">
      <c r="B3284" s="348">
        <v>41183</v>
      </c>
      <c r="C3284" s="293">
        <v>66.489999999999995</v>
      </c>
      <c r="D3284" s="230">
        <f t="shared" si="157"/>
        <v>5.9001512859304661E-3</v>
      </c>
      <c r="E3284" s="293">
        <v>-1.022213485354817E-2</v>
      </c>
      <c r="F3284" s="266">
        <f t="shared" si="159"/>
        <v>3277</v>
      </c>
      <c r="G3284" s="230">
        <f t="shared" ca="1" si="158"/>
        <v>-8.4056799170995431E-3</v>
      </c>
    </row>
    <row r="3285" spans="2:7" x14ac:dyDescent="0.25">
      <c r="B3285" s="348">
        <v>41153</v>
      </c>
      <c r="C3285" s="293">
        <v>66.099999999999994</v>
      </c>
      <c r="D3285" s="230">
        <f t="shared" si="157"/>
        <v>-1.4021479713604013E-2</v>
      </c>
      <c r="E3285" s="293">
        <v>-1.0224746851074329E-2</v>
      </c>
      <c r="F3285" s="266">
        <f t="shared" si="159"/>
        <v>3278</v>
      </c>
      <c r="G3285" s="230">
        <f t="shared" ca="1" si="158"/>
        <v>2.4446185921362237E-3</v>
      </c>
    </row>
    <row r="3286" spans="2:7" x14ac:dyDescent="0.25">
      <c r="B3286" s="348">
        <v>41091</v>
      </c>
      <c r="C3286" s="293">
        <v>67.040000000000006</v>
      </c>
      <c r="D3286" s="230">
        <f t="shared" si="157"/>
        <v>2.6921926413401298E-3</v>
      </c>
      <c r="E3286" s="293">
        <v>-1.0225398570643307E-2</v>
      </c>
      <c r="F3286" s="266">
        <f t="shared" si="159"/>
        <v>3279</v>
      </c>
      <c r="G3286" s="230">
        <f t="shared" ca="1" si="158"/>
        <v>1.0476699992869881E-2</v>
      </c>
    </row>
    <row r="3287" spans="2:7" x14ac:dyDescent="0.25">
      <c r="B3287" s="348">
        <v>41061</v>
      </c>
      <c r="C3287" s="293">
        <v>66.86</v>
      </c>
      <c r="D3287" s="230">
        <f t="shared" si="157"/>
        <v>-2.2085710106772072E-2</v>
      </c>
      <c r="E3287" s="293">
        <v>-1.0231316725978656E-2</v>
      </c>
      <c r="F3287" s="266">
        <f t="shared" si="159"/>
        <v>3280</v>
      </c>
      <c r="G3287" s="230">
        <f t="shared" ca="1" si="158"/>
        <v>-1.1721920656793956E-2</v>
      </c>
    </row>
    <row r="3288" spans="2:7" x14ac:dyDescent="0.25">
      <c r="B3288" s="348">
        <v>41030</v>
      </c>
      <c r="C3288" s="293">
        <v>68.37</v>
      </c>
      <c r="D3288" s="230">
        <f t="shared" si="157"/>
        <v>-7.9802669762042422E-3</v>
      </c>
      <c r="E3288" s="293">
        <v>-1.0272101409682155E-2</v>
      </c>
      <c r="F3288" s="266">
        <f t="shared" si="159"/>
        <v>3281</v>
      </c>
      <c r="G3288" s="230">
        <f t="shared" ca="1" si="158"/>
        <v>-1.0334358537400799E-2</v>
      </c>
    </row>
    <row r="3289" spans="2:7" x14ac:dyDescent="0.25">
      <c r="B3289" s="348">
        <v>41000</v>
      </c>
      <c r="C3289" s="293">
        <v>68.92</v>
      </c>
      <c r="D3289" s="230">
        <f t="shared" si="157"/>
        <v>4.2255573364418098E-3</v>
      </c>
      <c r="E3289" s="293">
        <v>-1.0318697264470322E-2</v>
      </c>
      <c r="F3289" s="266">
        <f t="shared" si="159"/>
        <v>3282</v>
      </c>
      <c r="G3289" s="230">
        <f t="shared" ca="1" si="158"/>
        <v>-2.7661202215512111E-2</v>
      </c>
    </row>
    <row r="3290" spans="2:7" x14ac:dyDescent="0.25">
      <c r="B3290" s="348">
        <v>40969</v>
      </c>
      <c r="C3290" s="293">
        <v>68.63</v>
      </c>
      <c r="D3290" s="230">
        <f t="shared" si="157"/>
        <v>4.3961058716154522E-2</v>
      </c>
      <c r="E3290" s="293">
        <v>-1.0330179571345743E-2</v>
      </c>
      <c r="F3290" s="266">
        <f t="shared" si="159"/>
        <v>3283</v>
      </c>
      <c r="G3290" s="230">
        <f t="shared" ca="1" si="158"/>
        <v>-1.4799327407564662E-2</v>
      </c>
    </row>
    <row r="3291" spans="2:7" x14ac:dyDescent="0.25">
      <c r="B3291" s="348">
        <v>40940</v>
      </c>
      <c r="C3291" s="293">
        <v>65.739999999999995</v>
      </c>
      <c r="D3291" s="230">
        <f t="shared" si="157"/>
        <v>7.6115086010042354E-4</v>
      </c>
      <c r="E3291" s="293">
        <v>-1.0342316096140003E-2</v>
      </c>
      <c r="F3291" s="266">
        <f t="shared" si="159"/>
        <v>3284</v>
      </c>
      <c r="G3291" s="230">
        <f t="shared" ca="1" si="158"/>
        <v>1.4215792976454719E-2</v>
      </c>
    </row>
    <row r="3292" spans="2:7" x14ac:dyDescent="0.25">
      <c r="B3292" s="348" t="s">
        <v>2543</v>
      </c>
      <c r="C3292" s="293">
        <v>65.69</v>
      </c>
      <c r="D3292" s="230">
        <f t="shared" si="157"/>
        <v>7.6173065204132584E-4</v>
      </c>
      <c r="E3292" s="293">
        <v>-1.0356536502546754E-2</v>
      </c>
      <c r="F3292" s="266">
        <f t="shared" si="159"/>
        <v>3285</v>
      </c>
      <c r="G3292" s="230">
        <f t="shared" ca="1" si="158"/>
        <v>-3.617574629428718E-2</v>
      </c>
    </row>
    <row r="3293" spans="2:7" x14ac:dyDescent="0.25">
      <c r="B3293" s="348" t="s">
        <v>2544</v>
      </c>
      <c r="C3293" s="293">
        <v>65.64</v>
      </c>
      <c r="D3293" s="230">
        <f t="shared" si="157"/>
        <v>3.3628859675940426E-3</v>
      </c>
      <c r="E3293" s="293">
        <v>-1.0367960967676337E-2</v>
      </c>
      <c r="F3293" s="266">
        <f t="shared" si="159"/>
        <v>3286</v>
      </c>
      <c r="G3293" s="230">
        <f t="shared" ca="1" si="158"/>
        <v>1.8352096056248371E-3</v>
      </c>
    </row>
    <row r="3294" spans="2:7" x14ac:dyDescent="0.25">
      <c r="B3294" s="348" t="s">
        <v>2545</v>
      </c>
      <c r="C3294" s="293">
        <v>65.42</v>
      </c>
      <c r="D3294" s="230">
        <f t="shared" si="157"/>
        <v>-2.4164677804295986E-2</v>
      </c>
      <c r="E3294" s="293">
        <v>-1.0386238234339484E-2</v>
      </c>
      <c r="F3294" s="266">
        <f t="shared" si="159"/>
        <v>3287</v>
      </c>
      <c r="G3294" s="230">
        <f t="shared" ca="1" si="158"/>
        <v>-9.8149424356625721E-3</v>
      </c>
    </row>
    <row r="3295" spans="2:7" x14ac:dyDescent="0.25">
      <c r="B3295" s="348" t="s">
        <v>2546</v>
      </c>
      <c r="C3295" s="293">
        <v>67.040000000000006</v>
      </c>
      <c r="D3295" s="230">
        <f t="shared" si="157"/>
        <v>1.3442867811799264E-3</v>
      </c>
      <c r="E3295" s="293">
        <v>-1.0393907235158206E-2</v>
      </c>
      <c r="F3295" s="266">
        <f t="shared" si="159"/>
        <v>3288</v>
      </c>
      <c r="G3295" s="230">
        <f t="shared" ca="1" si="158"/>
        <v>8.4509284330026458E-3</v>
      </c>
    </row>
    <row r="3296" spans="2:7" x14ac:dyDescent="0.25">
      <c r="B3296" s="348" t="s">
        <v>2547</v>
      </c>
      <c r="C3296" s="293">
        <v>66.95</v>
      </c>
      <c r="D3296" s="230">
        <f t="shared" si="157"/>
        <v>7.473841554559435E-4</v>
      </c>
      <c r="E3296" s="293">
        <v>-1.0399367338869148E-2</v>
      </c>
      <c r="F3296" s="266">
        <f t="shared" si="159"/>
        <v>3289</v>
      </c>
      <c r="G3296" s="230">
        <f t="shared" ca="1" si="158"/>
        <v>-4.4089005996420924E-3</v>
      </c>
    </row>
    <row r="3297" spans="2:7" x14ac:dyDescent="0.25">
      <c r="B3297" s="348" t="s">
        <v>2548</v>
      </c>
      <c r="C3297" s="293">
        <v>66.900000000000006</v>
      </c>
      <c r="D3297" s="230">
        <f t="shared" si="157"/>
        <v>2.1218134635933472E-2</v>
      </c>
      <c r="E3297" s="293">
        <v>-1.039971701450304E-2</v>
      </c>
      <c r="F3297" s="266">
        <f t="shared" si="159"/>
        <v>3290</v>
      </c>
      <c r="G3297" s="230">
        <f t="shared" ca="1" si="158"/>
        <v>3.5229077248542691E-2</v>
      </c>
    </row>
    <row r="3298" spans="2:7" x14ac:dyDescent="0.25">
      <c r="B3298" s="348" t="s">
        <v>2549</v>
      </c>
      <c r="C3298" s="293">
        <v>65.510000000000005</v>
      </c>
      <c r="D3298" s="230">
        <f t="shared" si="157"/>
        <v>-2.3550454613206151E-2</v>
      </c>
      <c r="E3298" s="293">
        <v>-1.0415220108318302E-2</v>
      </c>
      <c r="F3298" s="266">
        <f t="shared" si="159"/>
        <v>3291</v>
      </c>
      <c r="G3298" s="230">
        <f t="shared" ca="1" si="158"/>
        <v>-1.0087033048251488E-2</v>
      </c>
    </row>
    <row r="3299" spans="2:7" x14ac:dyDescent="0.25">
      <c r="B3299" s="348" t="s">
        <v>2550</v>
      </c>
      <c r="C3299" s="293">
        <v>67.09</v>
      </c>
      <c r="D3299" s="230">
        <f t="shared" si="157"/>
        <v>2.7884173433430526E-2</v>
      </c>
      <c r="E3299" s="293">
        <v>-1.0445682451253435E-2</v>
      </c>
      <c r="F3299" s="266">
        <f t="shared" si="159"/>
        <v>3292</v>
      </c>
      <c r="G3299" s="230">
        <f t="shared" ca="1" si="158"/>
        <v>-6.7027996203263569E-3</v>
      </c>
    </row>
    <row r="3300" spans="2:7" x14ac:dyDescent="0.25">
      <c r="B3300" s="348" t="s">
        <v>2551</v>
      </c>
      <c r="C3300" s="293">
        <v>65.27</v>
      </c>
      <c r="D3300" s="230">
        <f t="shared" si="157"/>
        <v>-1.9528316058284423E-2</v>
      </c>
      <c r="E3300" s="293">
        <v>-1.0459099416492368E-2</v>
      </c>
      <c r="F3300" s="266">
        <f t="shared" si="159"/>
        <v>3293</v>
      </c>
      <c r="G3300" s="230">
        <f t="shared" ca="1" si="158"/>
        <v>1.0950949223634206E-2</v>
      </c>
    </row>
    <row r="3301" spans="2:7" x14ac:dyDescent="0.25">
      <c r="B3301" s="348" t="s">
        <v>2552</v>
      </c>
      <c r="C3301" s="293">
        <v>66.569999999999993</v>
      </c>
      <c r="D3301" s="230">
        <f t="shared" si="157"/>
        <v>9.0211998195743881E-4</v>
      </c>
      <c r="E3301" s="293">
        <v>-1.0479607250755252E-2</v>
      </c>
      <c r="F3301" s="266">
        <f t="shared" si="159"/>
        <v>3294</v>
      </c>
      <c r="G3301" s="230">
        <f t="shared" ca="1" si="158"/>
        <v>-9.9337369188591956E-3</v>
      </c>
    </row>
    <row r="3302" spans="2:7" x14ac:dyDescent="0.25">
      <c r="B3302" s="348" t="s">
        <v>2553</v>
      </c>
      <c r="C3302" s="293">
        <v>66.510000000000005</v>
      </c>
      <c r="D3302" s="230">
        <f t="shared" si="157"/>
        <v>-7.3134328358208656E-3</v>
      </c>
      <c r="E3302" s="293">
        <v>-1.0489856506679884E-2</v>
      </c>
      <c r="F3302" s="266">
        <f t="shared" si="159"/>
        <v>3295</v>
      </c>
      <c r="G3302" s="230">
        <f t="shared" ca="1" si="158"/>
        <v>1.8012059210272276E-2</v>
      </c>
    </row>
    <row r="3303" spans="2:7" x14ac:dyDescent="0.25">
      <c r="B3303" s="348" t="s">
        <v>2554</v>
      </c>
      <c r="C3303" s="293">
        <v>67</v>
      </c>
      <c r="D3303" s="230">
        <f t="shared" si="157"/>
        <v>-2.1469256608733778E-2</v>
      </c>
      <c r="E3303" s="293">
        <v>-1.0509219451609875E-2</v>
      </c>
      <c r="F3303" s="266">
        <f t="shared" si="159"/>
        <v>3296</v>
      </c>
      <c r="G3303" s="230">
        <f t="shared" ca="1" si="158"/>
        <v>-2.5499904396573105E-2</v>
      </c>
    </row>
    <row r="3304" spans="2:7" x14ac:dyDescent="0.25">
      <c r="B3304" s="348" t="s">
        <v>2555</v>
      </c>
      <c r="C3304" s="293">
        <v>68.47</v>
      </c>
      <c r="D3304" s="230">
        <f t="shared" si="157"/>
        <v>7.0598617443742295E-3</v>
      </c>
      <c r="E3304" s="293">
        <v>-1.0513739545997547E-2</v>
      </c>
      <c r="F3304" s="266">
        <f t="shared" si="159"/>
        <v>3297</v>
      </c>
      <c r="G3304" s="230">
        <f t="shared" ca="1" si="158"/>
        <v>1.9735334781027063E-2</v>
      </c>
    </row>
    <row r="3305" spans="2:7" x14ac:dyDescent="0.25">
      <c r="B3305" s="348" t="s">
        <v>2556</v>
      </c>
      <c r="C3305" s="293">
        <v>67.989999999999995</v>
      </c>
      <c r="D3305" s="230">
        <f t="shared" si="157"/>
        <v>-5.1214515657009851E-3</v>
      </c>
      <c r="E3305" s="293">
        <v>-1.051493710691831E-2</v>
      </c>
      <c r="F3305" s="266">
        <f t="shared" si="159"/>
        <v>3298</v>
      </c>
      <c r="G3305" s="230">
        <f t="shared" ca="1" si="158"/>
        <v>1.3956188700140202E-2</v>
      </c>
    </row>
    <row r="3306" spans="2:7" x14ac:dyDescent="0.25">
      <c r="B3306" s="348">
        <v>40889</v>
      </c>
      <c r="C3306" s="293">
        <v>68.34</v>
      </c>
      <c r="D3306" s="230">
        <f t="shared" si="157"/>
        <v>2.4280575539568305E-2</v>
      </c>
      <c r="E3306" s="293">
        <v>-1.0552268244576002E-2</v>
      </c>
      <c r="F3306" s="266">
        <f t="shared" si="159"/>
        <v>3299</v>
      </c>
      <c r="G3306" s="230">
        <f t="shared" ca="1" si="158"/>
        <v>-2.4611660599402939E-3</v>
      </c>
    </row>
    <row r="3307" spans="2:7" x14ac:dyDescent="0.25">
      <c r="B3307" s="348">
        <v>40798</v>
      </c>
      <c r="C3307" s="293">
        <v>66.72</v>
      </c>
      <c r="D3307" s="230">
        <f t="shared" si="157"/>
        <v>-1.8967798853109952E-2</v>
      </c>
      <c r="E3307" s="293">
        <v>-1.0559955537029375E-2</v>
      </c>
      <c r="F3307" s="266">
        <f t="shared" si="159"/>
        <v>3300</v>
      </c>
      <c r="G3307" s="230">
        <f t="shared" ca="1" si="158"/>
        <v>-2.4432635132667401E-3</v>
      </c>
    </row>
    <row r="3308" spans="2:7" x14ac:dyDescent="0.25">
      <c r="B3308" s="348">
        <v>40767</v>
      </c>
      <c r="C3308" s="293">
        <v>68.010000000000005</v>
      </c>
      <c r="D3308" s="230">
        <f t="shared" si="157"/>
        <v>2.1477921297686997E-2</v>
      </c>
      <c r="E3308" s="293">
        <v>-1.0567757977621217E-2</v>
      </c>
      <c r="F3308" s="266">
        <f t="shared" si="159"/>
        <v>3301</v>
      </c>
      <c r="G3308" s="230">
        <f t="shared" ca="1" si="158"/>
        <v>6.3541841605803135E-3</v>
      </c>
    </row>
    <row r="3309" spans="2:7" x14ac:dyDescent="0.25">
      <c r="B3309" s="348">
        <v>40736</v>
      </c>
      <c r="C3309" s="293">
        <v>66.58</v>
      </c>
      <c r="D3309" s="230">
        <f t="shared" si="157"/>
        <v>3.5619847565717677E-2</v>
      </c>
      <c r="E3309" s="293">
        <v>-1.058302867038674E-2</v>
      </c>
      <c r="F3309" s="266">
        <f t="shared" si="159"/>
        <v>3302</v>
      </c>
      <c r="G3309" s="230">
        <f t="shared" ca="1" si="158"/>
        <v>-4.7580950898960094E-3</v>
      </c>
    </row>
    <row r="3310" spans="2:7" x14ac:dyDescent="0.25">
      <c r="B3310" s="348">
        <v>40675</v>
      </c>
      <c r="C3310" s="293">
        <v>64.290000000000006</v>
      </c>
      <c r="D3310" s="230">
        <f t="shared" si="157"/>
        <v>-4.1821561338288848E-3</v>
      </c>
      <c r="E3310" s="293">
        <v>-1.0590015128593033E-2</v>
      </c>
      <c r="F3310" s="266">
        <f t="shared" si="159"/>
        <v>3303</v>
      </c>
      <c r="G3310" s="230">
        <f t="shared" ca="1" si="158"/>
        <v>-2.6347471915957758E-2</v>
      </c>
    </row>
    <row r="3311" spans="2:7" x14ac:dyDescent="0.25">
      <c r="B3311" s="348">
        <v>40586</v>
      </c>
      <c r="C3311" s="293">
        <v>64.56</v>
      </c>
      <c r="D3311" s="230">
        <f t="shared" si="157"/>
        <v>1.3819095477386911E-2</v>
      </c>
      <c r="E3311" s="293">
        <v>-1.0597064159656999E-2</v>
      </c>
      <c r="F3311" s="266">
        <f t="shared" si="159"/>
        <v>3304</v>
      </c>
      <c r="G3311" s="230">
        <f t="shared" ca="1" si="158"/>
        <v>3.9301602068237155E-4</v>
      </c>
    </row>
    <row r="3312" spans="2:7" x14ac:dyDescent="0.25">
      <c r="B3312" s="348">
        <v>40555</v>
      </c>
      <c r="C3312" s="293">
        <v>63.68</v>
      </c>
      <c r="D3312" s="230">
        <f t="shared" si="157"/>
        <v>2.4617860016090232E-2</v>
      </c>
      <c r="E3312" s="293">
        <v>-1.0602929283853091E-2</v>
      </c>
      <c r="F3312" s="266">
        <f t="shared" si="159"/>
        <v>3305</v>
      </c>
      <c r="G3312" s="230">
        <f t="shared" ca="1" si="158"/>
        <v>2.9654558052553313E-2</v>
      </c>
    </row>
    <row r="3313" spans="2:7" x14ac:dyDescent="0.25">
      <c r="B3313" s="348" t="s">
        <v>2557</v>
      </c>
      <c r="C3313" s="293">
        <v>62.15</v>
      </c>
      <c r="D3313" s="230">
        <f t="shared" si="157"/>
        <v>9.2562520298797857E-3</v>
      </c>
      <c r="E3313" s="293">
        <v>-1.0609226812409611E-2</v>
      </c>
      <c r="F3313" s="266">
        <f t="shared" si="159"/>
        <v>3306</v>
      </c>
      <c r="G3313" s="230">
        <f t="shared" ca="1" si="158"/>
        <v>2.5878743599216311E-2</v>
      </c>
    </row>
    <row r="3314" spans="2:7" x14ac:dyDescent="0.25">
      <c r="B3314" s="348" t="s">
        <v>2558</v>
      </c>
      <c r="C3314" s="293">
        <v>61.58</v>
      </c>
      <c r="D3314" s="230">
        <f t="shared" si="157"/>
        <v>4.5676998368677779E-3</v>
      </c>
      <c r="E3314" s="293">
        <v>-1.0613207547169767E-2</v>
      </c>
      <c r="F3314" s="266">
        <f t="shared" si="159"/>
        <v>3307</v>
      </c>
      <c r="G3314" s="230">
        <f t="shared" ca="1" si="158"/>
        <v>-2.8315252640227953E-2</v>
      </c>
    </row>
    <row r="3315" spans="2:7" x14ac:dyDescent="0.25">
      <c r="B3315" s="348" t="s">
        <v>2559</v>
      </c>
      <c r="C3315" s="293">
        <v>61.3</v>
      </c>
      <c r="D3315" s="230">
        <f t="shared" si="157"/>
        <v>5.5774278215221518E-3</v>
      </c>
      <c r="E3315" s="293">
        <v>-1.0622602537621706E-2</v>
      </c>
      <c r="F3315" s="266">
        <f t="shared" si="159"/>
        <v>3308</v>
      </c>
      <c r="G3315" s="230">
        <f t="shared" ca="1" si="158"/>
        <v>1.450574046708748E-3</v>
      </c>
    </row>
    <row r="3316" spans="2:7" x14ac:dyDescent="0.25">
      <c r="B3316" s="348" t="s">
        <v>2560</v>
      </c>
      <c r="C3316" s="293">
        <v>60.96</v>
      </c>
      <c r="D3316" s="230">
        <f t="shared" si="157"/>
        <v>-1.8012117242508507E-3</v>
      </c>
      <c r="E3316" s="293">
        <v>-1.0624939631024732E-2</v>
      </c>
      <c r="F3316" s="266">
        <f t="shared" si="159"/>
        <v>3309</v>
      </c>
      <c r="G3316" s="230">
        <f t="shared" ca="1" si="158"/>
        <v>-4.8668362062848428E-3</v>
      </c>
    </row>
    <row r="3317" spans="2:7" x14ac:dyDescent="0.25">
      <c r="B3317" s="348" t="s">
        <v>2561</v>
      </c>
      <c r="C3317" s="293">
        <v>61.07</v>
      </c>
      <c r="D3317" s="230">
        <f t="shared" si="157"/>
        <v>1.2937468900315219E-2</v>
      </c>
      <c r="E3317" s="293">
        <v>-1.0638297872340274E-2</v>
      </c>
      <c r="F3317" s="266">
        <f t="shared" si="159"/>
        <v>3310</v>
      </c>
      <c r="G3317" s="230">
        <f t="shared" ca="1" si="158"/>
        <v>1.7876480561632727E-2</v>
      </c>
    </row>
    <row r="3318" spans="2:7" x14ac:dyDescent="0.25">
      <c r="B3318" s="348" t="s">
        <v>2562</v>
      </c>
      <c r="C3318" s="293">
        <v>60.29</v>
      </c>
      <c r="D3318" s="230">
        <f t="shared" si="157"/>
        <v>-3.1485943775100389E-2</v>
      </c>
      <c r="E3318" s="293">
        <v>-1.0638297872340385E-2</v>
      </c>
      <c r="F3318" s="266">
        <f t="shared" si="159"/>
        <v>3311</v>
      </c>
      <c r="G3318" s="230">
        <f t="shared" ca="1" si="158"/>
        <v>-1.6393290961821516E-2</v>
      </c>
    </row>
    <row r="3319" spans="2:7" x14ac:dyDescent="0.25">
      <c r="B3319" s="348" t="s">
        <v>2563</v>
      </c>
      <c r="C3319" s="293">
        <v>62.25</v>
      </c>
      <c r="D3319" s="230">
        <f t="shared" si="157"/>
        <v>2.082650049196455E-2</v>
      </c>
      <c r="E3319" s="293">
        <v>-1.0650761529449326E-2</v>
      </c>
      <c r="F3319" s="266">
        <f t="shared" si="159"/>
        <v>3312</v>
      </c>
      <c r="G3319" s="230">
        <f t="shared" ca="1" si="158"/>
        <v>1.8922559862213188E-2</v>
      </c>
    </row>
    <row r="3320" spans="2:7" x14ac:dyDescent="0.25">
      <c r="B3320" s="348" t="s">
        <v>2564</v>
      </c>
      <c r="C3320" s="293">
        <v>60.98</v>
      </c>
      <c r="D3320" s="230">
        <f t="shared" si="157"/>
        <v>-1.0386238234339484E-2</v>
      </c>
      <c r="E3320" s="293">
        <v>-1.0667107001321119E-2</v>
      </c>
      <c r="F3320" s="266">
        <f t="shared" si="159"/>
        <v>3313</v>
      </c>
      <c r="G3320" s="230">
        <f t="shared" ca="1" si="158"/>
        <v>1.9071818465077162E-2</v>
      </c>
    </row>
    <row r="3321" spans="2:7" x14ac:dyDescent="0.25">
      <c r="B3321" s="348" t="s">
        <v>2565</v>
      </c>
      <c r="C3321" s="293">
        <v>61.62</v>
      </c>
      <c r="D3321" s="230">
        <f t="shared" si="157"/>
        <v>1.716738197424883E-2</v>
      </c>
      <c r="E3321" s="293">
        <v>-1.0669362084456457E-2</v>
      </c>
      <c r="F3321" s="266">
        <f t="shared" si="159"/>
        <v>3314</v>
      </c>
      <c r="G3321" s="230">
        <f t="shared" ca="1" si="158"/>
        <v>2.6048501753414173E-3</v>
      </c>
    </row>
    <row r="3322" spans="2:7" x14ac:dyDescent="0.25">
      <c r="B3322" s="348" t="s">
        <v>2566</v>
      </c>
      <c r="C3322" s="293">
        <v>60.58</v>
      </c>
      <c r="D3322" s="230">
        <f t="shared" si="157"/>
        <v>-1.735604217356046E-2</v>
      </c>
      <c r="E3322" s="293">
        <v>-1.068678296401071E-2</v>
      </c>
      <c r="F3322" s="266">
        <f t="shared" si="159"/>
        <v>3315</v>
      </c>
      <c r="G3322" s="230">
        <f t="shared" ca="1" si="158"/>
        <v>2.5492845744795545E-2</v>
      </c>
    </row>
    <row r="3323" spans="2:7" x14ac:dyDescent="0.25">
      <c r="B3323" s="348" t="s">
        <v>2567</v>
      </c>
      <c r="C3323" s="293">
        <v>61.65</v>
      </c>
      <c r="D3323" s="230">
        <f t="shared" si="157"/>
        <v>-2.4988138541831351E-2</v>
      </c>
      <c r="E3323" s="293">
        <v>-1.0714285714285676E-2</v>
      </c>
      <c r="F3323" s="266">
        <f t="shared" si="159"/>
        <v>3316</v>
      </c>
      <c r="G3323" s="230">
        <f t="shared" ca="1" si="158"/>
        <v>-5.2839977366437611E-3</v>
      </c>
    </row>
    <row r="3324" spans="2:7" x14ac:dyDescent="0.25">
      <c r="B3324" s="348" t="s">
        <v>2568</v>
      </c>
      <c r="C3324" s="293">
        <v>63.23</v>
      </c>
      <c r="D3324" s="230">
        <f t="shared" si="157"/>
        <v>-9.3999686667711746E-3</v>
      </c>
      <c r="E3324" s="293">
        <v>-1.0720411663807883E-2</v>
      </c>
      <c r="F3324" s="266">
        <f t="shared" si="159"/>
        <v>3317</v>
      </c>
      <c r="G3324" s="230">
        <f t="shared" ca="1" si="158"/>
        <v>4.3979063328496246E-3</v>
      </c>
    </row>
    <row r="3325" spans="2:7" x14ac:dyDescent="0.25">
      <c r="B3325" s="348" t="s">
        <v>2569</v>
      </c>
      <c r="C3325" s="293">
        <v>63.83</v>
      </c>
      <c r="D3325" s="230">
        <f t="shared" si="157"/>
        <v>1.3818297331639195E-2</v>
      </c>
      <c r="E3325" s="293">
        <v>-1.0743801652892571E-2</v>
      </c>
      <c r="F3325" s="266">
        <f t="shared" si="159"/>
        <v>3318</v>
      </c>
      <c r="G3325" s="230">
        <f t="shared" ca="1" si="158"/>
        <v>5.0284204793415383E-3</v>
      </c>
    </row>
    <row r="3326" spans="2:7" x14ac:dyDescent="0.25">
      <c r="B3326" s="348">
        <v>40858</v>
      </c>
      <c r="C3326" s="293">
        <v>62.96</v>
      </c>
      <c r="D3326" s="230">
        <f t="shared" si="157"/>
        <v>1.4829142488717029E-2</v>
      </c>
      <c r="E3326" s="293">
        <v>-1.0760328900619287E-2</v>
      </c>
      <c r="F3326" s="266">
        <f t="shared" si="159"/>
        <v>3319</v>
      </c>
      <c r="G3326" s="230">
        <f t="shared" ca="1" si="158"/>
        <v>8.3662017766421987E-3</v>
      </c>
    </row>
    <row r="3327" spans="2:7" x14ac:dyDescent="0.25">
      <c r="B3327" s="348">
        <v>40797</v>
      </c>
      <c r="C3327" s="293">
        <v>62.04</v>
      </c>
      <c r="D3327" s="230">
        <f t="shared" si="157"/>
        <v>1.9556285949055008E-2</v>
      </c>
      <c r="E3327" s="293">
        <v>-1.0775556500779881E-2</v>
      </c>
      <c r="F3327" s="266">
        <f t="shared" si="159"/>
        <v>3320</v>
      </c>
      <c r="G3327" s="230">
        <f t="shared" ca="1" si="158"/>
        <v>-1.0673283006573876E-2</v>
      </c>
    </row>
    <row r="3328" spans="2:7" x14ac:dyDescent="0.25">
      <c r="B3328" s="348">
        <v>40766</v>
      </c>
      <c r="C3328" s="293">
        <v>60.85</v>
      </c>
      <c r="D3328" s="230">
        <f t="shared" si="157"/>
        <v>-6.8549045209728154E-3</v>
      </c>
      <c r="E3328" s="293">
        <v>-1.07936507936508E-2</v>
      </c>
      <c r="F3328" s="266">
        <f t="shared" si="159"/>
        <v>3321</v>
      </c>
      <c r="G3328" s="230">
        <f t="shared" ca="1" si="158"/>
        <v>1.3290198105494618E-2</v>
      </c>
    </row>
    <row r="3329" spans="2:7" x14ac:dyDescent="0.25">
      <c r="B3329" s="348">
        <v>40644</v>
      </c>
      <c r="C3329" s="293">
        <v>61.27</v>
      </c>
      <c r="D3329" s="230">
        <f t="shared" si="157"/>
        <v>2.7823240589197606E-3</v>
      </c>
      <c r="E3329" s="293">
        <v>-1.0802680158621514E-2</v>
      </c>
      <c r="F3329" s="266">
        <f t="shared" si="159"/>
        <v>3322</v>
      </c>
      <c r="G3329" s="230">
        <f t="shared" ca="1" si="158"/>
        <v>2.1934830452830234E-2</v>
      </c>
    </row>
    <row r="3330" spans="2:7" x14ac:dyDescent="0.25">
      <c r="B3330" s="348">
        <v>40613</v>
      </c>
      <c r="C3330" s="293">
        <v>61.1</v>
      </c>
      <c r="D3330" s="230">
        <f t="shared" si="157"/>
        <v>-8.921330089213253E-3</v>
      </c>
      <c r="E3330" s="293">
        <v>-1.0808270676691767E-2</v>
      </c>
      <c r="F3330" s="266">
        <f t="shared" si="159"/>
        <v>3323</v>
      </c>
      <c r="G3330" s="230">
        <f t="shared" ca="1" si="158"/>
        <v>-3.1808300939138424E-3</v>
      </c>
    </row>
    <row r="3331" spans="2:7" x14ac:dyDescent="0.25">
      <c r="B3331" s="348">
        <v>40585</v>
      </c>
      <c r="C3331" s="293">
        <v>61.65</v>
      </c>
      <c r="D3331" s="230">
        <f t="shared" si="157"/>
        <v>5.7096247960848334E-3</v>
      </c>
      <c r="E3331" s="293">
        <v>-1.0811683072454392E-2</v>
      </c>
      <c r="F3331" s="266">
        <f t="shared" si="159"/>
        <v>3324</v>
      </c>
      <c r="G3331" s="230">
        <f t="shared" ca="1" si="158"/>
        <v>-3.9660281845119716E-2</v>
      </c>
    </row>
    <row r="3332" spans="2:7" x14ac:dyDescent="0.25">
      <c r="B3332" s="348">
        <v>40554</v>
      </c>
      <c r="C3332" s="293">
        <v>61.3</v>
      </c>
      <c r="D3332" s="230">
        <f t="shared" si="157"/>
        <v>1.4732660155603483E-2</v>
      </c>
      <c r="E3332" s="293">
        <v>-1.0813148788927363E-2</v>
      </c>
      <c r="F3332" s="266">
        <f t="shared" si="159"/>
        <v>3325</v>
      </c>
      <c r="G3332" s="230">
        <f t="shared" ca="1" si="158"/>
        <v>-1.8710944777108247E-3</v>
      </c>
    </row>
    <row r="3333" spans="2:7" x14ac:dyDescent="0.25">
      <c r="B3333" s="348" t="s">
        <v>2570</v>
      </c>
      <c r="C3333" s="293">
        <v>60.41</v>
      </c>
      <c r="D3333" s="230">
        <f t="shared" si="157"/>
        <v>-1.9795554113256619E-2</v>
      </c>
      <c r="E3333" s="293">
        <v>-1.0830324909747335E-2</v>
      </c>
      <c r="F3333" s="266">
        <f t="shared" si="159"/>
        <v>3326</v>
      </c>
      <c r="G3333" s="230">
        <f t="shared" ca="1" si="158"/>
        <v>1.4623076267058778E-2</v>
      </c>
    </row>
    <row r="3334" spans="2:7" x14ac:dyDescent="0.25">
      <c r="B3334" s="348" t="s">
        <v>2571</v>
      </c>
      <c r="C3334" s="293">
        <v>61.63</v>
      </c>
      <c r="D3334" s="230">
        <f t="shared" si="157"/>
        <v>1.4485596707819015E-2</v>
      </c>
      <c r="E3334" s="293">
        <v>-1.0847932725998599E-2</v>
      </c>
      <c r="F3334" s="266">
        <f t="shared" si="159"/>
        <v>3327</v>
      </c>
      <c r="G3334" s="230">
        <f t="shared" ca="1" si="158"/>
        <v>8.1659038083645163E-3</v>
      </c>
    </row>
    <row r="3335" spans="2:7" x14ac:dyDescent="0.25">
      <c r="B3335" s="348" t="s">
        <v>2572</v>
      </c>
      <c r="C3335" s="293">
        <v>60.75</v>
      </c>
      <c r="D3335" s="230">
        <f t="shared" si="157"/>
        <v>-9.2954990215263766E-3</v>
      </c>
      <c r="E3335" s="293">
        <v>-1.0864355328327302E-2</v>
      </c>
      <c r="F3335" s="266">
        <f t="shared" si="159"/>
        <v>3328</v>
      </c>
      <c r="G3335" s="230">
        <f t="shared" ca="1" si="158"/>
        <v>1.5620900053376224E-2</v>
      </c>
    </row>
    <row r="3336" spans="2:7" x14ac:dyDescent="0.25">
      <c r="B3336" s="348" t="s">
        <v>2573</v>
      </c>
      <c r="C3336" s="293">
        <v>61.32</v>
      </c>
      <c r="D3336" s="230">
        <f t="shared" si="157"/>
        <v>3.9145907473309594E-2</v>
      </c>
      <c r="E3336" s="293">
        <v>-1.0879419764279308E-2</v>
      </c>
      <c r="F3336" s="266">
        <f t="shared" si="159"/>
        <v>3329</v>
      </c>
      <c r="G3336" s="230">
        <f t="shared" ca="1" si="158"/>
        <v>6.4013724921091919E-4</v>
      </c>
    </row>
    <row r="3337" spans="2:7" x14ac:dyDescent="0.25">
      <c r="B3337" s="348" t="s">
        <v>2574</v>
      </c>
      <c r="C3337" s="293">
        <v>59.01</v>
      </c>
      <c r="D3337" s="230">
        <f t="shared" ref="D3337:D3400" si="160">C3337/C3338-1</f>
        <v>1.1484401782653419E-2</v>
      </c>
      <c r="E3337" s="293">
        <v>-1.0890671169269783E-2</v>
      </c>
      <c r="F3337" s="266">
        <f t="shared" si="159"/>
        <v>3330</v>
      </c>
      <c r="G3337" s="230">
        <f t="shared" ref="G3337:G3400" ca="1" si="161">_xlfn.NORM.INV(RAND(),$M$10,$M$11)</f>
        <v>1.1347161861789063E-2</v>
      </c>
    </row>
    <row r="3338" spans="2:7" x14ac:dyDescent="0.25">
      <c r="B3338" s="348" t="s">
        <v>2575</v>
      </c>
      <c r="C3338" s="293">
        <v>58.34</v>
      </c>
      <c r="D3338" s="230">
        <f t="shared" si="160"/>
        <v>-1.369394043135852E-3</v>
      </c>
      <c r="E3338" s="293">
        <v>-1.0945832163906877E-2</v>
      </c>
      <c r="F3338" s="266">
        <f t="shared" ref="F3338:F3401" si="162">F3337+1</f>
        <v>3331</v>
      </c>
      <c r="G3338" s="230">
        <f t="shared" ca="1" si="161"/>
        <v>-2.8698391368193461E-3</v>
      </c>
    </row>
    <row r="3339" spans="2:7" x14ac:dyDescent="0.25">
      <c r="B3339" s="348" t="s">
        <v>2576</v>
      </c>
      <c r="C3339" s="293">
        <v>58.42</v>
      </c>
      <c r="D3339" s="230">
        <f t="shared" si="160"/>
        <v>-8.4860828241684061E-3</v>
      </c>
      <c r="E3339" s="293">
        <v>-1.0946863763483861E-2</v>
      </c>
      <c r="F3339" s="266">
        <f t="shared" si="162"/>
        <v>3332</v>
      </c>
      <c r="G3339" s="230">
        <f t="shared" ca="1" si="161"/>
        <v>3.2054138369082504E-2</v>
      </c>
    </row>
    <row r="3340" spans="2:7" x14ac:dyDescent="0.25">
      <c r="B3340" s="348" t="s">
        <v>2577</v>
      </c>
      <c r="C3340" s="293">
        <v>58.92</v>
      </c>
      <c r="D3340" s="230">
        <f t="shared" si="160"/>
        <v>3.3321641529287849E-2</v>
      </c>
      <c r="E3340" s="293">
        <v>-1.0958681711177864E-2</v>
      </c>
      <c r="F3340" s="266">
        <f t="shared" si="162"/>
        <v>3333</v>
      </c>
      <c r="G3340" s="230">
        <f t="shared" ca="1" si="161"/>
        <v>4.8786964890623064E-3</v>
      </c>
    </row>
    <row r="3341" spans="2:7" x14ac:dyDescent="0.25">
      <c r="B3341" s="348" t="s">
        <v>2578</v>
      </c>
      <c r="C3341" s="293">
        <v>57.02</v>
      </c>
      <c r="D3341" s="230">
        <f t="shared" si="160"/>
        <v>-3.0107161081816547E-2</v>
      </c>
      <c r="E3341" s="293">
        <v>-1.1006517016654449E-2</v>
      </c>
      <c r="F3341" s="266">
        <f t="shared" si="162"/>
        <v>3334</v>
      </c>
      <c r="G3341" s="230">
        <f t="shared" ca="1" si="161"/>
        <v>-6.9845547554323118E-3</v>
      </c>
    </row>
    <row r="3342" spans="2:7" x14ac:dyDescent="0.25">
      <c r="B3342" s="348" t="s">
        <v>2579</v>
      </c>
      <c r="C3342" s="293">
        <v>58.79</v>
      </c>
      <c r="D3342" s="230">
        <f t="shared" si="160"/>
        <v>-1.7875041764116251E-2</v>
      </c>
      <c r="E3342" s="293">
        <v>-1.1032689450222732E-2</v>
      </c>
      <c r="F3342" s="266">
        <f t="shared" si="162"/>
        <v>3335</v>
      </c>
      <c r="G3342" s="230">
        <f t="shared" ca="1" si="161"/>
        <v>-2.087711441604706E-2</v>
      </c>
    </row>
    <row r="3343" spans="2:7" x14ac:dyDescent="0.25">
      <c r="B3343" s="348" t="s">
        <v>2580</v>
      </c>
      <c r="C3343" s="293">
        <v>59.86</v>
      </c>
      <c r="D3343" s="230">
        <f t="shared" si="160"/>
        <v>3.9416565375933299E-2</v>
      </c>
      <c r="E3343" s="293">
        <v>-1.1041766682669207E-2</v>
      </c>
      <c r="F3343" s="266">
        <f t="shared" si="162"/>
        <v>3336</v>
      </c>
      <c r="G3343" s="230">
        <f t="shared" ca="1" si="161"/>
        <v>-2.5143404602341948E-2</v>
      </c>
    </row>
    <row r="3344" spans="2:7" x14ac:dyDescent="0.25">
      <c r="B3344" s="348" t="s">
        <v>2581</v>
      </c>
      <c r="C3344" s="293">
        <v>57.59</v>
      </c>
      <c r="D3344" s="230">
        <f t="shared" si="160"/>
        <v>-2.9432132963987945E-3</v>
      </c>
      <c r="E3344" s="293">
        <v>-1.105749899477293E-2</v>
      </c>
      <c r="F3344" s="266">
        <f t="shared" si="162"/>
        <v>3337</v>
      </c>
      <c r="G3344" s="230">
        <f t="shared" ca="1" si="161"/>
        <v>3.0535955615506774E-2</v>
      </c>
    </row>
    <row r="3345" spans="2:7" x14ac:dyDescent="0.25">
      <c r="B3345" s="348">
        <v>40887</v>
      </c>
      <c r="C3345" s="293">
        <v>57.76</v>
      </c>
      <c r="D3345" s="230">
        <f t="shared" si="160"/>
        <v>2.5932504440497439E-2</v>
      </c>
      <c r="E3345" s="293">
        <v>-1.1062821019359848E-2</v>
      </c>
      <c r="F3345" s="266">
        <f t="shared" si="162"/>
        <v>3338</v>
      </c>
      <c r="G3345" s="230">
        <f t="shared" ca="1" si="161"/>
        <v>7.131680142459274E-3</v>
      </c>
    </row>
    <row r="3346" spans="2:7" x14ac:dyDescent="0.25">
      <c r="B3346" s="348">
        <v>40857</v>
      </c>
      <c r="C3346" s="293">
        <v>56.3</v>
      </c>
      <c r="D3346" s="230">
        <f t="shared" si="160"/>
        <v>-2.0699252043833827E-2</v>
      </c>
      <c r="E3346" s="293">
        <v>-1.1064156742220499E-2</v>
      </c>
      <c r="F3346" s="266">
        <f t="shared" si="162"/>
        <v>3339</v>
      </c>
      <c r="G3346" s="230">
        <f t="shared" ca="1" si="161"/>
        <v>-3.0741564764134609E-2</v>
      </c>
    </row>
    <row r="3347" spans="2:7" x14ac:dyDescent="0.25">
      <c r="B3347" s="348">
        <v>40826</v>
      </c>
      <c r="C3347" s="293">
        <v>57.49</v>
      </c>
      <c r="D3347" s="230">
        <f t="shared" si="160"/>
        <v>4.5272727272727353E-2</v>
      </c>
      <c r="E3347" s="293">
        <v>-1.1079195732457858E-2</v>
      </c>
      <c r="F3347" s="266">
        <f t="shared" si="162"/>
        <v>3340</v>
      </c>
      <c r="G3347" s="230">
        <f t="shared" ca="1" si="161"/>
        <v>1.0236279390422586E-2</v>
      </c>
    </row>
    <row r="3348" spans="2:7" x14ac:dyDescent="0.25">
      <c r="B3348" s="348">
        <v>40734</v>
      </c>
      <c r="C3348" s="293">
        <v>55</v>
      </c>
      <c r="D3348" s="230">
        <f t="shared" si="160"/>
        <v>1.7764618800888199E-2</v>
      </c>
      <c r="E3348" s="293">
        <v>-1.1088011088011052E-2</v>
      </c>
      <c r="F3348" s="266">
        <f t="shared" si="162"/>
        <v>3341</v>
      </c>
      <c r="G3348" s="230">
        <f t="shared" ca="1" si="161"/>
        <v>2.6964635910924198E-2</v>
      </c>
    </row>
    <row r="3349" spans="2:7" x14ac:dyDescent="0.25">
      <c r="B3349" s="348">
        <v>40673</v>
      </c>
      <c r="C3349" s="293">
        <v>54.04</v>
      </c>
      <c r="D3349" s="230">
        <f t="shared" si="160"/>
        <v>-1.6739446870451258E-2</v>
      </c>
      <c r="E3349" s="293">
        <v>-1.1096498438270541E-2</v>
      </c>
      <c r="F3349" s="266">
        <f t="shared" si="162"/>
        <v>3342</v>
      </c>
      <c r="G3349" s="230">
        <f t="shared" ca="1" si="161"/>
        <v>3.0285762106256026E-2</v>
      </c>
    </row>
    <row r="3350" spans="2:7" x14ac:dyDescent="0.25">
      <c r="B3350" s="348">
        <v>40643</v>
      </c>
      <c r="C3350" s="293">
        <v>54.96</v>
      </c>
      <c r="D3350" s="230">
        <f t="shared" si="160"/>
        <v>1.0108435949274019E-2</v>
      </c>
      <c r="E3350" s="293">
        <v>-1.1117849201536245E-2</v>
      </c>
      <c r="F3350" s="266">
        <f t="shared" si="162"/>
        <v>3343</v>
      </c>
      <c r="G3350" s="230">
        <f t="shared" ca="1" si="161"/>
        <v>-6.5818768205219112E-3</v>
      </c>
    </row>
    <row r="3351" spans="2:7" x14ac:dyDescent="0.25">
      <c r="B3351" s="348">
        <v>40612</v>
      </c>
      <c r="C3351" s="293">
        <v>54.41</v>
      </c>
      <c r="D3351" s="230">
        <f t="shared" si="160"/>
        <v>-3.0988423864648285E-2</v>
      </c>
      <c r="E3351" s="293">
        <v>-1.1120263591433255E-2</v>
      </c>
      <c r="F3351" s="266">
        <f t="shared" si="162"/>
        <v>3344</v>
      </c>
      <c r="G3351" s="230">
        <f t="shared" ca="1" si="161"/>
        <v>1.1919143014464095E-2</v>
      </c>
    </row>
    <row r="3352" spans="2:7" x14ac:dyDescent="0.25">
      <c r="B3352" s="348" t="s">
        <v>2582</v>
      </c>
      <c r="C3352" s="293">
        <v>56.15</v>
      </c>
      <c r="D3352" s="230">
        <f t="shared" si="160"/>
        <v>-1.9556486816832641E-2</v>
      </c>
      <c r="E3352" s="293">
        <v>-1.1121142481943513E-2</v>
      </c>
      <c r="F3352" s="266">
        <f t="shared" si="162"/>
        <v>3345</v>
      </c>
      <c r="G3352" s="230">
        <f t="shared" ca="1" si="161"/>
        <v>1.2237635199532389E-2</v>
      </c>
    </row>
    <row r="3353" spans="2:7" x14ac:dyDescent="0.25">
      <c r="B3353" s="348" t="s">
        <v>2583</v>
      </c>
      <c r="C3353" s="293">
        <v>57.27</v>
      </c>
      <c r="D3353" s="230">
        <f t="shared" si="160"/>
        <v>0</v>
      </c>
      <c r="E3353" s="293">
        <v>-1.112284406898989E-2</v>
      </c>
      <c r="F3353" s="266">
        <f t="shared" si="162"/>
        <v>3346</v>
      </c>
      <c r="G3353" s="230">
        <f t="shared" ca="1" si="161"/>
        <v>1.2167294642911724E-2</v>
      </c>
    </row>
    <row r="3354" spans="2:7" x14ac:dyDescent="0.25">
      <c r="B3354" s="348" t="s">
        <v>2584</v>
      </c>
      <c r="C3354" s="293">
        <v>57.27</v>
      </c>
      <c r="D3354" s="230">
        <f t="shared" si="160"/>
        <v>-1.743071291615772E-3</v>
      </c>
      <c r="E3354" s="293">
        <v>-1.1132437619961633E-2</v>
      </c>
      <c r="F3354" s="266">
        <f t="shared" si="162"/>
        <v>3347</v>
      </c>
      <c r="G3354" s="230">
        <f t="shared" ca="1" si="161"/>
        <v>1.9557861166006892E-2</v>
      </c>
    </row>
    <row r="3355" spans="2:7" x14ac:dyDescent="0.25">
      <c r="B3355" s="348" t="s">
        <v>2585</v>
      </c>
      <c r="C3355" s="293">
        <v>57.37</v>
      </c>
      <c r="D3355" s="230">
        <f t="shared" si="160"/>
        <v>2.3915759414599336E-2</v>
      </c>
      <c r="E3355" s="293">
        <v>-1.1157601115760252E-2</v>
      </c>
      <c r="F3355" s="266">
        <f t="shared" si="162"/>
        <v>3348</v>
      </c>
      <c r="G3355" s="230">
        <f t="shared" ca="1" si="161"/>
        <v>2.2933435724779301E-2</v>
      </c>
    </row>
    <row r="3356" spans="2:7" x14ac:dyDescent="0.25">
      <c r="B3356" s="348" t="s">
        <v>2586</v>
      </c>
      <c r="C3356" s="293">
        <v>56.03</v>
      </c>
      <c r="D3356" s="230">
        <f t="shared" si="160"/>
        <v>1.6088666428317744E-3</v>
      </c>
      <c r="E3356" s="293">
        <v>-1.1169451073985703E-2</v>
      </c>
      <c r="F3356" s="266">
        <f t="shared" si="162"/>
        <v>3349</v>
      </c>
      <c r="G3356" s="230">
        <f t="shared" ca="1" si="161"/>
        <v>4.5345221513733835E-3</v>
      </c>
    </row>
    <row r="3357" spans="2:7" x14ac:dyDescent="0.25">
      <c r="B3357" s="348" t="s">
        <v>2587</v>
      </c>
      <c r="C3357" s="293">
        <v>55.94</v>
      </c>
      <c r="D3357" s="230">
        <f t="shared" si="160"/>
        <v>-2.4964336661911224E-3</v>
      </c>
      <c r="E3357" s="293">
        <v>-1.1170263333016406E-2</v>
      </c>
      <c r="F3357" s="266">
        <f t="shared" si="162"/>
        <v>3350</v>
      </c>
      <c r="G3357" s="230">
        <f t="shared" ca="1" si="161"/>
        <v>1.7629828741228391E-2</v>
      </c>
    </row>
    <row r="3358" spans="2:7" x14ac:dyDescent="0.25">
      <c r="B3358" s="348" t="s">
        <v>2588</v>
      </c>
      <c r="C3358" s="293">
        <v>56.08</v>
      </c>
      <c r="D3358" s="230">
        <f t="shared" si="160"/>
        <v>-4.577165220350532E-2</v>
      </c>
      <c r="E3358" s="293">
        <v>-1.1200798113549792E-2</v>
      </c>
      <c r="F3358" s="266">
        <f t="shared" si="162"/>
        <v>3351</v>
      </c>
      <c r="G3358" s="230">
        <f t="shared" ca="1" si="161"/>
        <v>-1.0482147814986832E-2</v>
      </c>
    </row>
    <row r="3359" spans="2:7" x14ac:dyDescent="0.25">
      <c r="B3359" s="348" t="s">
        <v>2589</v>
      </c>
      <c r="C3359" s="293">
        <v>58.77</v>
      </c>
      <c r="D3359" s="230">
        <f t="shared" si="160"/>
        <v>1.6254539166522752E-2</v>
      </c>
      <c r="E3359" s="293">
        <v>-1.1206419479800833E-2</v>
      </c>
      <c r="F3359" s="266">
        <f t="shared" si="162"/>
        <v>3352</v>
      </c>
      <c r="G3359" s="230">
        <f t="shared" ca="1" si="161"/>
        <v>-1.6199953101599393E-3</v>
      </c>
    </row>
    <row r="3360" spans="2:7" x14ac:dyDescent="0.25">
      <c r="B3360" s="348" t="s">
        <v>2590</v>
      </c>
      <c r="C3360" s="293">
        <v>57.83</v>
      </c>
      <c r="D3360" s="230">
        <f t="shared" si="160"/>
        <v>2.9186688022779794E-2</v>
      </c>
      <c r="E3360" s="293">
        <v>-1.1206671879072205E-2</v>
      </c>
      <c r="F3360" s="266">
        <f t="shared" si="162"/>
        <v>3353</v>
      </c>
      <c r="G3360" s="230">
        <f t="shared" ca="1" si="161"/>
        <v>-9.3973552863481861E-3</v>
      </c>
    </row>
    <row r="3361" spans="2:7" x14ac:dyDescent="0.25">
      <c r="B3361" s="348" t="s">
        <v>2591</v>
      </c>
      <c r="C3361" s="293">
        <v>56.19</v>
      </c>
      <c r="D3361" s="230">
        <f t="shared" si="160"/>
        <v>6.628448584736546E-3</v>
      </c>
      <c r="E3361" s="293">
        <v>-1.1213955144179333E-2</v>
      </c>
      <c r="F3361" s="266">
        <f t="shared" si="162"/>
        <v>3354</v>
      </c>
      <c r="G3361" s="230">
        <f t="shared" ca="1" si="161"/>
        <v>1.3743325598896113E-3</v>
      </c>
    </row>
    <row r="3362" spans="2:7" x14ac:dyDescent="0.25">
      <c r="B3362" s="348" t="s">
        <v>2592</v>
      </c>
      <c r="C3362" s="293">
        <v>55.82</v>
      </c>
      <c r="D3362" s="230">
        <f t="shared" si="160"/>
        <v>-2.7017605020045243E-2</v>
      </c>
      <c r="E3362" s="293">
        <v>-1.1289364230540611E-2</v>
      </c>
      <c r="F3362" s="266">
        <f t="shared" si="162"/>
        <v>3355</v>
      </c>
      <c r="G3362" s="230">
        <f t="shared" ca="1" si="161"/>
        <v>1.1150546466094327E-2</v>
      </c>
    </row>
    <row r="3363" spans="2:7" x14ac:dyDescent="0.25">
      <c r="B3363" s="348" t="s">
        <v>2593</v>
      </c>
      <c r="C3363" s="293">
        <v>57.37</v>
      </c>
      <c r="D3363" s="230">
        <f t="shared" si="160"/>
        <v>1.6838000708968348E-2</v>
      </c>
      <c r="E3363" s="293">
        <v>-1.1297271421732979E-2</v>
      </c>
      <c r="F3363" s="266">
        <f t="shared" si="162"/>
        <v>3356</v>
      </c>
      <c r="G3363" s="230">
        <f t="shared" ca="1" si="161"/>
        <v>7.7157725977698797E-3</v>
      </c>
    </row>
    <row r="3364" spans="2:7" x14ac:dyDescent="0.25">
      <c r="B3364" s="348" t="s">
        <v>2594</v>
      </c>
      <c r="C3364" s="293">
        <v>56.42</v>
      </c>
      <c r="D3364" s="230">
        <f t="shared" si="160"/>
        <v>4.0383551539738161E-2</v>
      </c>
      <c r="E3364" s="293">
        <v>-1.1314475873544172E-2</v>
      </c>
      <c r="F3364" s="266">
        <f t="shared" si="162"/>
        <v>3357</v>
      </c>
      <c r="G3364" s="230">
        <f t="shared" ca="1" si="161"/>
        <v>-6.3901529719384044E-3</v>
      </c>
    </row>
    <row r="3365" spans="2:7" x14ac:dyDescent="0.25">
      <c r="B3365" s="348" t="s">
        <v>2595</v>
      </c>
      <c r="C3365" s="293">
        <v>54.23</v>
      </c>
      <c r="D3365" s="230">
        <f t="shared" si="160"/>
        <v>1.2131392310563704E-2</v>
      </c>
      <c r="E3365" s="293">
        <v>-1.1316544469238132E-2</v>
      </c>
      <c r="F3365" s="266">
        <f t="shared" si="162"/>
        <v>3358</v>
      </c>
      <c r="G3365" s="230">
        <f t="shared" ca="1" si="161"/>
        <v>1.4008903028650174E-2</v>
      </c>
    </row>
    <row r="3366" spans="2:7" x14ac:dyDescent="0.25">
      <c r="B3366" s="348">
        <v>40886</v>
      </c>
      <c r="C3366" s="293">
        <v>53.58</v>
      </c>
      <c r="D3366" s="230">
        <f t="shared" si="160"/>
        <v>-3.8923766816143512E-2</v>
      </c>
      <c r="E3366" s="293">
        <v>-1.1354195513708198E-2</v>
      </c>
      <c r="F3366" s="266">
        <f t="shared" si="162"/>
        <v>3359</v>
      </c>
      <c r="G3366" s="230">
        <f t="shared" ca="1" si="161"/>
        <v>2.2652194933613914E-3</v>
      </c>
    </row>
    <row r="3367" spans="2:7" x14ac:dyDescent="0.25">
      <c r="B3367" s="348">
        <v>40795</v>
      </c>
      <c r="C3367" s="293">
        <v>55.75</v>
      </c>
      <c r="D3367" s="230">
        <f t="shared" si="160"/>
        <v>5.3840631730084354E-4</v>
      </c>
      <c r="E3367" s="293">
        <v>-1.1366711772665794E-2</v>
      </c>
      <c r="F3367" s="266">
        <f t="shared" si="162"/>
        <v>3360</v>
      </c>
      <c r="G3367" s="230">
        <f t="shared" ca="1" si="161"/>
        <v>3.951317746696166E-3</v>
      </c>
    </row>
    <row r="3368" spans="2:7" x14ac:dyDescent="0.25">
      <c r="B3368" s="348">
        <v>40764</v>
      </c>
      <c r="C3368" s="293">
        <v>55.72</v>
      </c>
      <c r="D3368" s="230">
        <f t="shared" si="160"/>
        <v>2.6151012891344472E-2</v>
      </c>
      <c r="E3368" s="293">
        <v>-1.1368291683736209E-2</v>
      </c>
      <c r="F3368" s="266">
        <f t="shared" si="162"/>
        <v>3361</v>
      </c>
      <c r="G3368" s="230">
        <f t="shared" ca="1" si="161"/>
        <v>-9.3780031239231211E-3</v>
      </c>
    </row>
    <row r="3369" spans="2:7" x14ac:dyDescent="0.25">
      <c r="B3369" s="348">
        <v>40733</v>
      </c>
      <c r="C3369" s="293">
        <v>54.3</v>
      </c>
      <c r="D3369" s="230">
        <f t="shared" si="160"/>
        <v>2.0101446552695856E-2</v>
      </c>
      <c r="E3369" s="293">
        <v>-1.1371920104971567E-2</v>
      </c>
      <c r="F3369" s="266">
        <f t="shared" si="162"/>
        <v>3362</v>
      </c>
      <c r="G3369" s="230">
        <f t="shared" ca="1" si="161"/>
        <v>4.6215271332864065E-2</v>
      </c>
    </row>
    <row r="3370" spans="2:7" x14ac:dyDescent="0.25">
      <c r="B3370" s="348">
        <v>40703</v>
      </c>
      <c r="C3370" s="293">
        <v>53.23</v>
      </c>
      <c r="D3370" s="230">
        <f t="shared" si="160"/>
        <v>3.960769520935381E-3</v>
      </c>
      <c r="E3370" s="293">
        <v>-1.1383863890383705E-2</v>
      </c>
      <c r="F3370" s="266">
        <f t="shared" si="162"/>
        <v>3363</v>
      </c>
      <c r="G3370" s="230">
        <f t="shared" ca="1" si="161"/>
        <v>3.4489970118831238E-2</v>
      </c>
    </row>
    <row r="3371" spans="2:7" x14ac:dyDescent="0.25">
      <c r="B3371" s="348">
        <v>40672</v>
      </c>
      <c r="C3371" s="293">
        <v>53.02</v>
      </c>
      <c r="D3371" s="230">
        <f t="shared" si="160"/>
        <v>-3.7574877473225632E-2</v>
      </c>
      <c r="E3371" s="293">
        <v>-1.1389801369232289E-2</v>
      </c>
      <c r="F3371" s="266">
        <f t="shared" si="162"/>
        <v>3364</v>
      </c>
      <c r="G3371" s="230">
        <f t="shared" ca="1" si="161"/>
        <v>-5.3264178880155007E-2</v>
      </c>
    </row>
    <row r="3372" spans="2:7" x14ac:dyDescent="0.25">
      <c r="B3372" s="348">
        <v>40583</v>
      </c>
      <c r="C3372" s="293">
        <v>55.09</v>
      </c>
      <c r="D3372" s="230">
        <f t="shared" si="160"/>
        <v>-2.7154236060825676E-3</v>
      </c>
      <c r="E3372" s="293">
        <v>-1.1404620333365867E-2</v>
      </c>
      <c r="F3372" s="266">
        <f t="shared" si="162"/>
        <v>3365</v>
      </c>
      <c r="G3372" s="230">
        <f t="shared" ca="1" si="161"/>
        <v>-7.9313972954816441E-3</v>
      </c>
    </row>
    <row r="3373" spans="2:7" x14ac:dyDescent="0.25">
      <c r="B3373" s="348" t="s">
        <v>2596</v>
      </c>
      <c r="C3373" s="293">
        <v>55.24</v>
      </c>
      <c r="D3373" s="230">
        <f t="shared" si="160"/>
        <v>1.9376268684259124E-2</v>
      </c>
      <c r="E3373" s="293">
        <v>-1.1406844106463865E-2</v>
      </c>
      <c r="F3373" s="266">
        <f t="shared" si="162"/>
        <v>3366</v>
      </c>
      <c r="G3373" s="230">
        <f t="shared" ca="1" si="161"/>
        <v>5.5274645625370206E-3</v>
      </c>
    </row>
    <row r="3374" spans="2:7" x14ac:dyDescent="0.25">
      <c r="B3374" s="348" t="s">
        <v>2597</v>
      </c>
      <c r="C3374" s="293">
        <v>54.19</v>
      </c>
      <c r="D3374" s="230">
        <f t="shared" si="160"/>
        <v>2.8468400075915667E-2</v>
      </c>
      <c r="E3374" s="293">
        <v>-1.1423550087873435E-2</v>
      </c>
      <c r="F3374" s="266">
        <f t="shared" si="162"/>
        <v>3367</v>
      </c>
      <c r="G3374" s="230">
        <f t="shared" ca="1" si="161"/>
        <v>2.884759672048115E-2</v>
      </c>
    </row>
    <row r="3375" spans="2:7" x14ac:dyDescent="0.25">
      <c r="B3375" s="348" t="s">
        <v>2598</v>
      </c>
      <c r="C3375" s="293">
        <v>52.69</v>
      </c>
      <c r="D3375" s="230">
        <f t="shared" si="160"/>
        <v>-2.5702662721893477E-2</v>
      </c>
      <c r="E3375" s="293">
        <v>-1.1449693472773137E-2</v>
      </c>
      <c r="F3375" s="266">
        <f t="shared" si="162"/>
        <v>3368</v>
      </c>
      <c r="G3375" s="230">
        <f t="shared" ca="1" si="161"/>
        <v>-2.4773358917829724E-2</v>
      </c>
    </row>
    <row r="3376" spans="2:7" x14ac:dyDescent="0.25">
      <c r="B3376" s="348" t="s">
        <v>2599</v>
      </c>
      <c r="C3376" s="293">
        <v>54.08</v>
      </c>
      <c r="D3376" s="230">
        <f t="shared" si="160"/>
        <v>-4.9678012879484923E-3</v>
      </c>
      <c r="E3376" s="293">
        <v>-1.1461318051576019E-2</v>
      </c>
      <c r="F3376" s="266">
        <f t="shared" si="162"/>
        <v>3369</v>
      </c>
      <c r="G3376" s="230">
        <f t="shared" ca="1" si="161"/>
        <v>1.6054360053722461E-2</v>
      </c>
    </row>
    <row r="3377" spans="2:7" x14ac:dyDescent="0.25">
      <c r="B3377" s="348" t="s">
        <v>2600</v>
      </c>
      <c r="C3377" s="293">
        <v>54.35</v>
      </c>
      <c r="D3377" s="230">
        <f t="shared" si="160"/>
        <v>-9.2963908129785056E-3</v>
      </c>
      <c r="E3377" s="293">
        <v>-1.1465698452130746E-2</v>
      </c>
      <c r="F3377" s="266">
        <f t="shared" si="162"/>
        <v>3370</v>
      </c>
      <c r="G3377" s="230">
        <f t="shared" ca="1" si="161"/>
        <v>5.2070455797485649E-2</v>
      </c>
    </row>
    <row r="3378" spans="2:7" x14ac:dyDescent="0.25">
      <c r="B3378" s="348" t="s">
        <v>2601</v>
      </c>
      <c r="C3378" s="293">
        <v>54.86</v>
      </c>
      <c r="D3378" s="230">
        <f t="shared" si="160"/>
        <v>1.8261504747991708E-3</v>
      </c>
      <c r="E3378" s="293">
        <v>-1.1479957906820992E-2</v>
      </c>
      <c r="F3378" s="266">
        <f t="shared" si="162"/>
        <v>3371</v>
      </c>
      <c r="G3378" s="230">
        <f t="shared" ca="1" si="161"/>
        <v>-1.321778630742339E-3</v>
      </c>
    </row>
    <row r="3379" spans="2:7" x14ac:dyDescent="0.25">
      <c r="B3379" s="348" t="s">
        <v>2602</v>
      </c>
      <c r="C3379" s="293">
        <v>54.76</v>
      </c>
      <c r="D3379" s="230">
        <f t="shared" si="160"/>
        <v>3.7514209928003028E-2</v>
      </c>
      <c r="E3379" s="293">
        <v>-1.1480744892424566E-2</v>
      </c>
      <c r="F3379" s="266">
        <f t="shared" si="162"/>
        <v>3372</v>
      </c>
      <c r="G3379" s="230">
        <f t="shared" ca="1" si="161"/>
        <v>1.4714342043948684E-3</v>
      </c>
    </row>
    <row r="3380" spans="2:7" x14ac:dyDescent="0.25">
      <c r="B3380" s="348" t="s">
        <v>2603</v>
      </c>
      <c r="C3380" s="293">
        <v>52.78</v>
      </c>
      <c r="D3380" s="230">
        <f t="shared" si="160"/>
        <v>-2.3857961901239122E-2</v>
      </c>
      <c r="E3380" s="293">
        <v>-1.1490220156126663E-2</v>
      </c>
      <c r="F3380" s="266">
        <f t="shared" si="162"/>
        <v>3373</v>
      </c>
      <c r="G3380" s="230">
        <f t="shared" ca="1" si="161"/>
        <v>-1.5533209165472235E-3</v>
      </c>
    </row>
    <row r="3381" spans="2:7" x14ac:dyDescent="0.25">
      <c r="B3381" s="348" t="s">
        <v>2604</v>
      </c>
      <c r="C3381" s="293">
        <v>54.07</v>
      </c>
      <c r="D3381" s="230">
        <f t="shared" si="160"/>
        <v>-4.6888771373171156E-2</v>
      </c>
      <c r="E3381" s="293">
        <v>-1.1492698756084274E-2</v>
      </c>
      <c r="F3381" s="266">
        <f t="shared" si="162"/>
        <v>3374</v>
      </c>
      <c r="G3381" s="230">
        <f t="shared" ca="1" si="161"/>
        <v>-1.187222728785399E-2</v>
      </c>
    </row>
    <row r="3382" spans="2:7" x14ac:dyDescent="0.25">
      <c r="B3382" s="348" t="s">
        <v>2605</v>
      </c>
      <c r="C3382" s="293">
        <v>56.73</v>
      </c>
      <c r="D3382" s="230">
        <f t="shared" si="160"/>
        <v>1.1410233553218019E-2</v>
      </c>
      <c r="E3382" s="293">
        <v>-1.1500678859516E-2</v>
      </c>
      <c r="F3382" s="266">
        <f t="shared" si="162"/>
        <v>3375</v>
      </c>
      <c r="G3382" s="230">
        <f t="shared" ca="1" si="161"/>
        <v>9.6593116698628113E-3</v>
      </c>
    </row>
    <row r="3383" spans="2:7" x14ac:dyDescent="0.25">
      <c r="B3383" s="348" t="s">
        <v>2606</v>
      </c>
      <c r="C3383" s="293">
        <v>56.09</v>
      </c>
      <c r="D3383" s="230">
        <f t="shared" si="160"/>
        <v>-7.4323128649795844E-3</v>
      </c>
      <c r="E3383" s="293">
        <v>-1.150771775082704E-2</v>
      </c>
      <c r="F3383" s="266">
        <f t="shared" si="162"/>
        <v>3376</v>
      </c>
      <c r="G3383" s="230">
        <f t="shared" ca="1" si="161"/>
        <v>-1.9263449282065338E-2</v>
      </c>
    </row>
    <row r="3384" spans="2:7" x14ac:dyDescent="0.25">
      <c r="B3384" s="348">
        <v>40885</v>
      </c>
      <c r="C3384" s="293">
        <v>56.51</v>
      </c>
      <c r="D3384" s="230">
        <f t="shared" si="160"/>
        <v>-2.8202923473774733E-2</v>
      </c>
      <c r="E3384" s="293">
        <v>-1.1509420130488945E-2</v>
      </c>
      <c r="F3384" s="266">
        <f t="shared" si="162"/>
        <v>3377</v>
      </c>
      <c r="G3384" s="230">
        <f t="shared" ca="1" si="161"/>
        <v>-1.3389230015195146E-2</v>
      </c>
    </row>
    <row r="3385" spans="2:7" x14ac:dyDescent="0.25">
      <c r="B3385" s="348">
        <v>40855</v>
      </c>
      <c r="C3385" s="293">
        <v>58.15</v>
      </c>
      <c r="D3385" s="230">
        <f t="shared" si="160"/>
        <v>-5.6429548563611265E-3</v>
      </c>
      <c r="E3385" s="293">
        <v>-1.1522431968619795E-2</v>
      </c>
      <c r="F3385" s="266">
        <f t="shared" si="162"/>
        <v>3378</v>
      </c>
      <c r="G3385" s="230">
        <f t="shared" ca="1" si="161"/>
        <v>5.8475084694992636E-3</v>
      </c>
    </row>
    <row r="3386" spans="2:7" x14ac:dyDescent="0.25">
      <c r="B3386" s="348">
        <v>40824</v>
      </c>
      <c r="C3386" s="293">
        <v>58.48</v>
      </c>
      <c r="D3386" s="230">
        <f t="shared" si="160"/>
        <v>2.363031682128458E-2</v>
      </c>
      <c r="E3386" s="293">
        <v>-1.1523191633581842E-2</v>
      </c>
      <c r="F3386" s="266">
        <f t="shared" si="162"/>
        <v>3379</v>
      </c>
      <c r="G3386" s="230">
        <f t="shared" ca="1" si="161"/>
        <v>1.497033746746882E-3</v>
      </c>
    </row>
    <row r="3387" spans="2:7" x14ac:dyDescent="0.25">
      <c r="B3387" s="348">
        <v>40794</v>
      </c>
      <c r="C3387" s="293">
        <v>57.13</v>
      </c>
      <c r="D3387" s="230">
        <f t="shared" si="160"/>
        <v>-3.1037991858887337E-2</v>
      </c>
      <c r="E3387" s="293">
        <v>-1.1547979103656791E-2</v>
      </c>
      <c r="F3387" s="266">
        <f t="shared" si="162"/>
        <v>3380</v>
      </c>
      <c r="G3387" s="230">
        <f t="shared" ca="1" si="161"/>
        <v>1.4339074400866538E-2</v>
      </c>
    </row>
    <row r="3388" spans="2:7" x14ac:dyDescent="0.25">
      <c r="B3388" s="348">
        <v>40763</v>
      </c>
      <c r="C3388" s="293">
        <v>58.96</v>
      </c>
      <c r="D3388" s="230">
        <f t="shared" si="160"/>
        <v>-2.5776602775941848E-2</v>
      </c>
      <c r="E3388" s="293">
        <v>-1.1597258829731061E-2</v>
      </c>
      <c r="F3388" s="266">
        <f t="shared" si="162"/>
        <v>3381</v>
      </c>
      <c r="G3388" s="230">
        <f t="shared" ca="1" si="161"/>
        <v>2.2611834962419648E-2</v>
      </c>
    </row>
    <row r="3389" spans="2:7" x14ac:dyDescent="0.25">
      <c r="B3389" s="348">
        <v>40671</v>
      </c>
      <c r="C3389" s="293">
        <v>60.52</v>
      </c>
      <c r="D3389" s="230">
        <f t="shared" si="160"/>
        <v>-2.2451946373768239E-2</v>
      </c>
      <c r="E3389" s="293">
        <v>-1.1618853686290898E-2</v>
      </c>
      <c r="F3389" s="266">
        <f t="shared" si="162"/>
        <v>3382</v>
      </c>
      <c r="G3389" s="230">
        <f t="shared" ca="1" si="161"/>
        <v>4.4699967530637125E-2</v>
      </c>
    </row>
    <row r="3390" spans="2:7" x14ac:dyDescent="0.25">
      <c r="B3390" s="348">
        <v>40641</v>
      </c>
      <c r="C3390" s="293">
        <v>61.91</v>
      </c>
      <c r="D3390" s="230">
        <f t="shared" si="160"/>
        <v>-1.4328928514567796E-2</v>
      </c>
      <c r="E3390" s="293">
        <v>-1.1623683254631256E-2</v>
      </c>
      <c r="F3390" s="266">
        <f t="shared" si="162"/>
        <v>3383</v>
      </c>
      <c r="G3390" s="230">
        <f t="shared" ca="1" si="161"/>
        <v>2.5289119478580882E-2</v>
      </c>
    </row>
    <row r="3391" spans="2:7" x14ac:dyDescent="0.25">
      <c r="B3391" s="348">
        <v>40610</v>
      </c>
      <c r="C3391" s="293">
        <v>62.81</v>
      </c>
      <c r="D3391" s="230">
        <f t="shared" si="160"/>
        <v>-5.8562836340613211E-3</v>
      </c>
      <c r="E3391" s="293">
        <v>-1.1635670004768728E-2</v>
      </c>
      <c r="F3391" s="266">
        <f t="shared" si="162"/>
        <v>3384</v>
      </c>
      <c r="G3391" s="230">
        <f t="shared" ca="1" si="161"/>
        <v>2.2635582538482385E-2</v>
      </c>
    </row>
    <row r="3392" spans="2:7" x14ac:dyDescent="0.25">
      <c r="B3392" s="348">
        <v>40582</v>
      </c>
      <c r="C3392" s="293">
        <v>63.18</v>
      </c>
      <c r="D3392" s="230">
        <f t="shared" si="160"/>
        <v>-2.1527024934179906E-2</v>
      </c>
      <c r="E3392" s="293">
        <v>-1.1650147800382427E-2</v>
      </c>
      <c r="F3392" s="266">
        <f t="shared" si="162"/>
        <v>3385</v>
      </c>
      <c r="G3392" s="230">
        <f t="shared" ca="1" si="161"/>
        <v>-2.1410244157383893E-2</v>
      </c>
    </row>
    <row r="3393" spans="2:7" x14ac:dyDescent="0.25">
      <c r="B3393" s="348">
        <v>40551</v>
      </c>
      <c r="C3393" s="293">
        <v>64.569999999999993</v>
      </c>
      <c r="D3393" s="230">
        <f t="shared" si="160"/>
        <v>6.547155105221858E-3</v>
      </c>
      <c r="E3393" s="293">
        <v>-1.1661807580174988E-2</v>
      </c>
      <c r="F3393" s="266">
        <f t="shared" si="162"/>
        <v>3386</v>
      </c>
      <c r="G3393" s="230">
        <f t="shared" ca="1" si="161"/>
        <v>2.4687033674271521E-3</v>
      </c>
    </row>
    <row r="3394" spans="2:7" x14ac:dyDescent="0.25">
      <c r="B3394" s="348" t="s">
        <v>2607</v>
      </c>
      <c r="C3394" s="293">
        <v>64.150000000000006</v>
      </c>
      <c r="D3394" s="230">
        <f t="shared" si="160"/>
        <v>-1.4441542479643577E-2</v>
      </c>
      <c r="E3394" s="293">
        <v>-1.1667834618079853E-2</v>
      </c>
      <c r="F3394" s="266">
        <f t="shared" si="162"/>
        <v>3387</v>
      </c>
      <c r="G3394" s="230">
        <f t="shared" ca="1" si="161"/>
        <v>1.8911956322907132E-2</v>
      </c>
    </row>
    <row r="3395" spans="2:7" x14ac:dyDescent="0.25">
      <c r="B3395" s="348" t="s">
        <v>2608</v>
      </c>
      <c r="C3395" s="293">
        <v>65.09</v>
      </c>
      <c r="D3395" s="230">
        <f t="shared" si="160"/>
        <v>-1.8694406754108162E-2</v>
      </c>
      <c r="E3395" s="293">
        <v>-1.1677087164398747E-2</v>
      </c>
      <c r="F3395" s="266">
        <f t="shared" si="162"/>
        <v>3388</v>
      </c>
      <c r="G3395" s="230">
        <f t="shared" ca="1" si="161"/>
        <v>1.140162450917556E-2</v>
      </c>
    </row>
    <row r="3396" spans="2:7" x14ac:dyDescent="0.25">
      <c r="B3396" s="348" t="s">
        <v>2609</v>
      </c>
      <c r="C3396" s="293">
        <v>66.33</v>
      </c>
      <c r="D3396" s="230">
        <f t="shared" si="160"/>
        <v>-1.9222238651485979E-2</v>
      </c>
      <c r="E3396" s="293">
        <v>-1.1687227529913802E-2</v>
      </c>
      <c r="F3396" s="266">
        <f t="shared" si="162"/>
        <v>3389</v>
      </c>
      <c r="G3396" s="230">
        <f t="shared" ca="1" si="161"/>
        <v>9.9102487589205011E-3</v>
      </c>
    </row>
    <row r="3397" spans="2:7" x14ac:dyDescent="0.25">
      <c r="B3397" s="348" t="s">
        <v>2610</v>
      </c>
      <c r="C3397" s="293">
        <v>67.63</v>
      </c>
      <c r="D3397" s="230">
        <f t="shared" si="160"/>
        <v>7.3986386504887314E-4</v>
      </c>
      <c r="E3397" s="293">
        <v>-1.1692036179130838E-2</v>
      </c>
      <c r="F3397" s="266">
        <f t="shared" si="162"/>
        <v>3390</v>
      </c>
      <c r="G3397" s="230">
        <f t="shared" ca="1" si="161"/>
        <v>2.343527714502153E-3</v>
      </c>
    </row>
    <row r="3398" spans="2:7" x14ac:dyDescent="0.25">
      <c r="B3398" s="348" t="s">
        <v>2611</v>
      </c>
      <c r="C3398" s="293">
        <v>67.58</v>
      </c>
      <c r="D3398" s="230">
        <f t="shared" si="160"/>
        <v>1.0617616270375274E-2</v>
      </c>
      <c r="E3398" s="293">
        <v>-1.1711456859971658E-2</v>
      </c>
      <c r="F3398" s="266">
        <f t="shared" si="162"/>
        <v>3391</v>
      </c>
      <c r="G3398" s="230">
        <f t="shared" ca="1" si="161"/>
        <v>-4.0973993780603311E-3</v>
      </c>
    </row>
    <row r="3399" spans="2:7" x14ac:dyDescent="0.25">
      <c r="B3399" s="348" t="s">
        <v>2612</v>
      </c>
      <c r="C3399" s="293">
        <v>66.87</v>
      </c>
      <c r="D3399" s="230">
        <f t="shared" si="160"/>
        <v>1.1802088061733995E-2</v>
      </c>
      <c r="E3399" s="293">
        <v>-1.1715360138848774E-2</v>
      </c>
      <c r="F3399" s="266">
        <f t="shared" si="162"/>
        <v>3392</v>
      </c>
      <c r="G3399" s="230">
        <f t="shared" ca="1" si="161"/>
        <v>-7.4522772213851205E-3</v>
      </c>
    </row>
    <row r="3400" spans="2:7" x14ac:dyDescent="0.25">
      <c r="B3400" s="348" t="s">
        <v>2613</v>
      </c>
      <c r="C3400" s="293">
        <v>66.09</v>
      </c>
      <c r="D3400" s="230">
        <f t="shared" si="160"/>
        <v>5.3240036507455901E-3</v>
      </c>
      <c r="E3400" s="293">
        <v>-1.174978867286558E-2</v>
      </c>
      <c r="F3400" s="266">
        <f t="shared" si="162"/>
        <v>3393</v>
      </c>
      <c r="G3400" s="230">
        <f t="shared" ca="1" si="161"/>
        <v>1.8120811142041053E-2</v>
      </c>
    </row>
    <row r="3401" spans="2:7" x14ac:dyDescent="0.25">
      <c r="B3401" s="348" t="s">
        <v>2614</v>
      </c>
      <c r="C3401" s="293">
        <v>65.739999999999995</v>
      </c>
      <c r="D3401" s="230">
        <f t="shared" ref="D3401:D3464" si="163">C3401/C3402-1</f>
        <v>-3.9029381669346663E-2</v>
      </c>
      <c r="E3401" s="293">
        <v>-1.1750706529823129E-2</v>
      </c>
      <c r="F3401" s="266">
        <f t="shared" si="162"/>
        <v>3394</v>
      </c>
      <c r="G3401" s="230">
        <f t="shared" ref="G3401:G3464" ca="1" si="164">_xlfn.NORM.INV(RAND(),$M$10,$M$11)</f>
        <v>3.3968799445138281E-2</v>
      </c>
    </row>
    <row r="3402" spans="2:7" x14ac:dyDescent="0.25">
      <c r="B3402" s="348" t="s">
        <v>2615</v>
      </c>
      <c r="C3402" s="293">
        <v>68.41</v>
      </c>
      <c r="D3402" s="230">
        <f t="shared" si="163"/>
        <v>3.6678403755867617E-3</v>
      </c>
      <c r="E3402" s="293">
        <v>-1.1757789535567498E-2</v>
      </c>
      <c r="F3402" s="266">
        <f t="shared" ref="F3402:F3465" si="165">F3401+1</f>
        <v>3395</v>
      </c>
      <c r="G3402" s="230">
        <f t="shared" ca="1" si="164"/>
        <v>-5.6404240454694084E-3</v>
      </c>
    </row>
    <row r="3403" spans="2:7" x14ac:dyDescent="0.25">
      <c r="B3403" s="348" t="s">
        <v>2616</v>
      </c>
      <c r="C3403" s="293">
        <v>68.16</v>
      </c>
      <c r="D3403" s="230">
        <f t="shared" si="163"/>
        <v>-2.7798098024871543E-3</v>
      </c>
      <c r="E3403" s="293">
        <v>-1.1760081239558295E-2</v>
      </c>
      <c r="F3403" s="266">
        <f t="shared" si="165"/>
        <v>3396</v>
      </c>
      <c r="G3403" s="230">
        <f t="shared" ca="1" si="164"/>
        <v>-3.539797469889519E-2</v>
      </c>
    </row>
    <row r="3404" spans="2:7" x14ac:dyDescent="0.25">
      <c r="B3404" s="348" t="s">
        <v>2617</v>
      </c>
      <c r="C3404" s="293">
        <v>68.349999999999994</v>
      </c>
      <c r="D3404" s="230">
        <f t="shared" si="163"/>
        <v>8.1120943952801561E-3</v>
      </c>
      <c r="E3404" s="293">
        <v>-1.1782833318227159E-2</v>
      </c>
      <c r="F3404" s="266">
        <f t="shared" si="165"/>
        <v>3397</v>
      </c>
      <c r="G3404" s="230">
        <f t="shared" ca="1" si="164"/>
        <v>-5.9364595715939708E-3</v>
      </c>
    </row>
    <row r="3405" spans="2:7" x14ac:dyDescent="0.25">
      <c r="B3405" s="348" t="s">
        <v>2618</v>
      </c>
      <c r="C3405" s="293">
        <v>67.8</v>
      </c>
      <c r="D3405" s="230">
        <f t="shared" si="163"/>
        <v>-4.8436811977102812E-3</v>
      </c>
      <c r="E3405" s="293">
        <v>-1.179335982566343E-2</v>
      </c>
      <c r="F3405" s="266">
        <f t="shared" si="165"/>
        <v>3398</v>
      </c>
      <c r="G3405" s="230">
        <f t="shared" ca="1" si="164"/>
        <v>-2.4220159139127E-2</v>
      </c>
    </row>
    <row r="3406" spans="2:7" x14ac:dyDescent="0.25">
      <c r="B3406" s="348" t="s">
        <v>2619</v>
      </c>
      <c r="C3406" s="293">
        <v>68.13</v>
      </c>
      <c r="D3406" s="230">
        <f t="shared" si="163"/>
        <v>-2.6350461133071157E-3</v>
      </c>
      <c r="E3406" s="293">
        <v>-1.1804212882873699E-2</v>
      </c>
      <c r="F3406" s="266">
        <f t="shared" si="165"/>
        <v>3399</v>
      </c>
      <c r="G3406" s="230">
        <f t="shared" ca="1" si="164"/>
        <v>9.235257175097409E-3</v>
      </c>
    </row>
    <row r="3407" spans="2:7" x14ac:dyDescent="0.25">
      <c r="B3407" s="348">
        <v>40884</v>
      </c>
      <c r="C3407" s="293">
        <v>68.31</v>
      </c>
      <c r="D3407" s="230">
        <f t="shared" si="163"/>
        <v>-1.4996395097332305E-2</v>
      </c>
      <c r="E3407" s="293">
        <v>-1.1827956989247213E-2</v>
      </c>
      <c r="F3407" s="266">
        <f t="shared" si="165"/>
        <v>3400</v>
      </c>
      <c r="G3407" s="230">
        <f t="shared" ca="1" si="164"/>
        <v>2.825520875932143E-3</v>
      </c>
    </row>
    <row r="3408" spans="2:7" x14ac:dyDescent="0.25">
      <c r="B3408" s="348">
        <v>40854</v>
      </c>
      <c r="C3408" s="293">
        <v>69.349999999999994</v>
      </c>
      <c r="D3408" s="230">
        <f t="shared" si="163"/>
        <v>-2.4613220815752457E-2</v>
      </c>
      <c r="E3408" s="293">
        <v>-1.1832061068702382E-2</v>
      </c>
      <c r="F3408" s="266">
        <f t="shared" si="165"/>
        <v>3401</v>
      </c>
      <c r="G3408" s="230">
        <f t="shared" ca="1" si="164"/>
        <v>6.3118544670064513E-3</v>
      </c>
    </row>
    <row r="3409" spans="2:7" x14ac:dyDescent="0.25">
      <c r="B3409" s="348">
        <v>40762</v>
      </c>
      <c r="C3409" s="293">
        <v>71.099999999999994</v>
      </c>
      <c r="D3409" s="230">
        <f t="shared" si="163"/>
        <v>9.8549908489364846E-4</v>
      </c>
      <c r="E3409" s="293">
        <v>-1.1862860122539343E-2</v>
      </c>
      <c r="F3409" s="266">
        <f t="shared" si="165"/>
        <v>3402</v>
      </c>
      <c r="G3409" s="230">
        <f t="shared" ca="1" si="164"/>
        <v>-2.4073241430267241E-2</v>
      </c>
    </row>
    <row r="3410" spans="2:7" x14ac:dyDescent="0.25">
      <c r="B3410" s="348">
        <v>40731</v>
      </c>
      <c r="C3410" s="293">
        <v>71.03</v>
      </c>
      <c r="D3410" s="230">
        <f t="shared" si="163"/>
        <v>1.471428571428568E-2</v>
      </c>
      <c r="E3410" s="293">
        <v>-1.186899038461553E-2</v>
      </c>
      <c r="F3410" s="266">
        <f t="shared" si="165"/>
        <v>3403</v>
      </c>
      <c r="G3410" s="230">
        <f t="shared" ca="1" si="164"/>
        <v>1.2104636795821298E-2</v>
      </c>
    </row>
    <row r="3411" spans="2:7" x14ac:dyDescent="0.25">
      <c r="B3411" s="348">
        <v>40701</v>
      </c>
      <c r="C3411" s="293">
        <v>70</v>
      </c>
      <c r="D3411" s="230">
        <f t="shared" si="163"/>
        <v>-7.3737946681792232E-3</v>
      </c>
      <c r="E3411" s="293">
        <v>-1.1887290871734679E-2</v>
      </c>
      <c r="F3411" s="266">
        <f t="shared" si="165"/>
        <v>3404</v>
      </c>
      <c r="G3411" s="230">
        <f t="shared" ca="1" si="164"/>
        <v>2.411655986406417E-2</v>
      </c>
    </row>
    <row r="3412" spans="2:7" x14ac:dyDescent="0.25">
      <c r="B3412" s="348">
        <v>40670</v>
      </c>
      <c r="C3412" s="293">
        <v>70.52</v>
      </c>
      <c r="D3412" s="230">
        <f t="shared" si="163"/>
        <v>8.437008437008231E-3</v>
      </c>
      <c r="E3412" s="293">
        <v>-1.1898016997167082E-2</v>
      </c>
      <c r="F3412" s="266">
        <f t="shared" si="165"/>
        <v>3405</v>
      </c>
      <c r="G3412" s="230">
        <f t="shared" ca="1" si="164"/>
        <v>-1.0974850679832567E-2</v>
      </c>
    </row>
    <row r="3413" spans="2:7" x14ac:dyDescent="0.25">
      <c r="B3413" s="348">
        <v>40640</v>
      </c>
      <c r="C3413" s="293">
        <v>69.930000000000007</v>
      </c>
      <c r="D3413" s="230">
        <f t="shared" si="163"/>
        <v>3.0120481927711218E-3</v>
      </c>
      <c r="E3413" s="293">
        <v>-1.1904761904761973E-2</v>
      </c>
      <c r="F3413" s="266">
        <f t="shared" si="165"/>
        <v>3406</v>
      </c>
      <c r="G3413" s="230">
        <f t="shared" ca="1" si="164"/>
        <v>-2.706528073092343E-2</v>
      </c>
    </row>
    <row r="3414" spans="2:7" x14ac:dyDescent="0.25">
      <c r="B3414" s="348">
        <v>40550</v>
      </c>
      <c r="C3414" s="293">
        <v>69.72</v>
      </c>
      <c r="D3414" s="230">
        <f t="shared" si="163"/>
        <v>1.3224821973550238E-2</v>
      </c>
      <c r="E3414" s="293">
        <v>-1.1912819818600373E-2</v>
      </c>
      <c r="F3414" s="266">
        <f t="shared" si="165"/>
        <v>3407</v>
      </c>
      <c r="G3414" s="230">
        <f t="shared" ca="1" si="164"/>
        <v>1.8975853421518155E-2</v>
      </c>
    </row>
    <row r="3415" spans="2:7" x14ac:dyDescent="0.25">
      <c r="B3415" s="348" t="s">
        <v>2620</v>
      </c>
      <c r="C3415" s="293">
        <v>68.81</v>
      </c>
      <c r="D3415" s="230">
        <f t="shared" si="163"/>
        <v>-7.0707070707070052E-3</v>
      </c>
      <c r="E3415" s="293">
        <v>-1.1940588292398857E-2</v>
      </c>
      <c r="F3415" s="266">
        <f t="shared" si="165"/>
        <v>3408</v>
      </c>
      <c r="G3415" s="230">
        <f t="shared" ca="1" si="164"/>
        <v>3.9678525813565436E-2</v>
      </c>
    </row>
    <row r="3416" spans="2:7" x14ac:dyDescent="0.25">
      <c r="B3416" s="348" t="s">
        <v>2621</v>
      </c>
      <c r="C3416" s="293">
        <v>69.3</v>
      </c>
      <c r="D3416" s="230">
        <f t="shared" si="163"/>
        <v>3.4752389226757607E-3</v>
      </c>
      <c r="E3416" s="293">
        <v>-1.1943793911007194E-2</v>
      </c>
      <c r="F3416" s="266">
        <f t="shared" si="165"/>
        <v>3409</v>
      </c>
      <c r="G3416" s="230">
        <f t="shared" ca="1" si="164"/>
        <v>4.4668027127520396E-2</v>
      </c>
    </row>
    <row r="3417" spans="2:7" x14ac:dyDescent="0.25">
      <c r="B3417" s="348" t="s">
        <v>2622</v>
      </c>
      <c r="C3417" s="293">
        <v>69.06</v>
      </c>
      <c r="D3417" s="230">
        <f t="shared" si="163"/>
        <v>-8.3285468121768735E-3</v>
      </c>
      <c r="E3417" s="293">
        <v>-1.1945626802142062E-2</v>
      </c>
      <c r="F3417" s="266">
        <f t="shared" si="165"/>
        <v>3410</v>
      </c>
      <c r="G3417" s="230">
        <f t="shared" ca="1" si="164"/>
        <v>2.8714731462157203E-3</v>
      </c>
    </row>
    <row r="3418" spans="2:7" x14ac:dyDescent="0.25">
      <c r="B3418" s="348" t="s">
        <v>2623</v>
      </c>
      <c r="C3418" s="293">
        <v>69.64</v>
      </c>
      <c r="D3418" s="230">
        <f t="shared" si="163"/>
        <v>-3.7195994277540168E-3</v>
      </c>
      <c r="E3418" s="293">
        <v>-1.1955745895788739E-2</v>
      </c>
      <c r="F3418" s="266">
        <f t="shared" si="165"/>
        <v>3411</v>
      </c>
      <c r="G3418" s="230">
        <f t="shared" ca="1" si="164"/>
        <v>2.4412485614002267E-3</v>
      </c>
    </row>
    <row r="3419" spans="2:7" x14ac:dyDescent="0.25">
      <c r="B3419" s="348" t="s">
        <v>2624</v>
      </c>
      <c r="C3419" s="293">
        <v>69.900000000000006</v>
      </c>
      <c r="D3419" s="230">
        <f t="shared" si="163"/>
        <v>3.4942256440627872E-2</v>
      </c>
      <c r="E3419" s="293">
        <v>-1.1961522375575018E-2</v>
      </c>
      <c r="F3419" s="266">
        <f t="shared" si="165"/>
        <v>3412</v>
      </c>
      <c r="G3419" s="230">
        <f t="shared" ca="1" si="164"/>
        <v>4.6248839596312243E-2</v>
      </c>
    </row>
    <row r="3420" spans="2:7" x14ac:dyDescent="0.25">
      <c r="B3420" s="348" t="s">
        <v>2625</v>
      </c>
      <c r="C3420" s="293">
        <v>67.540000000000006</v>
      </c>
      <c r="D3420" s="230">
        <f t="shared" si="163"/>
        <v>1.5028554253080806E-2</v>
      </c>
      <c r="E3420" s="293">
        <v>-1.1983896638891545E-2</v>
      </c>
      <c r="F3420" s="266">
        <f t="shared" si="165"/>
        <v>3413</v>
      </c>
      <c r="G3420" s="230">
        <f t="shared" ca="1" si="164"/>
        <v>2.2584102805590152E-2</v>
      </c>
    </row>
    <row r="3421" spans="2:7" x14ac:dyDescent="0.25">
      <c r="B3421" s="348" t="s">
        <v>2626</v>
      </c>
      <c r="C3421" s="293">
        <v>66.540000000000006</v>
      </c>
      <c r="D3421" s="230">
        <f t="shared" si="163"/>
        <v>3.6199095022626526E-3</v>
      </c>
      <c r="E3421" s="293">
        <v>-1.2017418976635108E-2</v>
      </c>
      <c r="F3421" s="266">
        <f t="shared" si="165"/>
        <v>3414</v>
      </c>
      <c r="G3421" s="230">
        <f t="shared" ca="1" si="164"/>
        <v>-8.2590044164430349E-3</v>
      </c>
    </row>
    <row r="3422" spans="2:7" x14ac:dyDescent="0.25">
      <c r="B3422" s="348" t="s">
        <v>2627</v>
      </c>
      <c r="C3422" s="293">
        <v>66.3</v>
      </c>
      <c r="D3422" s="230">
        <f t="shared" si="163"/>
        <v>1.5085231558287227E-4</v>
      </c>
      <c r="E3422" s="293">
        <v>-1.2042588381227959E-2</v>
      </c>
      <c r="F3422" s="266">
        <f t="shared" si="165"/>
        <v>3415</v>
      </c>
      <c r="G3422" s="230">
        <f t="shared" ca="1" si="164"/>
        <v>1.3620785576867581E-2</v>
      </c>
    </row>
    <row r="3423" spans="2:7" x14ac:dyDescent="0.25">
      <c r="B3423" s="348" t="s">
        <v>2628</v>
      </c>
      <c r="C3423" s="293">
        <v>66.290000000000006</v>
      </c>
      <c r="D3423" s="230">
        <f t="shared" si="163"/>
        <v>-1.6030874276384166E-2</v>
      </c>
      <c r="E3423" s="293">
        <v>-1.2051543524613018E-2</v>
      </c>
      <c r="F3423" s="266">
        <f t="shared" si="165"/>
        <v>3416</v>
      </c>
      <c r="G3423" s="230">
        <f t="shared" ca="1" si="164"/>
        <v>1.2579113484424776E-2</v>
      </c>
    </row>
    <row r="3424" spans="2:7" x14ac:dyDescent="0.25">
      <c r="B3424" s="348" t="s">
        <v>2629</v>
      </c>
      <c r="C3424" s="293">
        <v>67.37</v>
      </c>
      <c r="D3424" s="230">
        <f t="shared" si="163"/>
        <v>-1.7213712618526555E-2</v>
      </c>
      <c r="E3424" s="293">
        <v>-1.2067231719580573E-2</v>
      </c>
      <c r="F3424" s="266">
        <f t="shared" si="165"/>
        <v>3417</v>
      </c>
      <c r="G3424" s="230">
        <f t="shared" ca="1" si="164"/>
        <v>2.2951263510791859E-3</v>
      </c>
    </row>
    <row r="3425" spans="2:7" x14ac:dyDescent="0.25">
      <c r="B3425" s="348" t="s">
        <v>2630</v>
      </c>
      <c r="C3425" s="293">
        <v>68.55</v>
      </c>
      <c r="D3425" s="230">
        <f t="shared" si="163"/>
        <v>-1.9734019734019892E-2</v>
      </c>
      <c r="E3425" s="293">
        <v>-1.2098790120988023E-2</v>
      </c>
      <c r="F3425" s="266">
        <f t="shared" si="165"/>
        <v>3418</v>
      </c>
      <c r="G3425" s="230">
        <f t="shared" ca="1" si="164"/>
        <v>-9.5170780842597346E-3</v>
      </c>
    </row>
    <row r="3426" spans="2:7" x14ac:dyDescent="0.25">
      <c r="B3426" s="348" t="s">
        <v>2631</v>
      </c>
      <c r="C3426" s="293">
        <v>69.930000000000007</v>
      </c>
      <c r="D3426" s="230">
        <f t="shared" si="163"/>
        <v>-2.8480133370380578E-2</v>
      </c>
      <c r="E3426" s="293">
        <v>-1.2101313320825424E-2</v>
      </c>
      <c r="F3426" s="266">
        <f t="shared" si="165"/>
        <v>3419</v>
      </c>
      <c r="G3426" s="230">
        <f t="shared" ca="1" si="164"/>
        <v>-2.2952474194044149E-2</v>
      </c>
    </row>
    <row r="3427" spans="2:7" x14ac:dyDescent="0.25">
      <c r="B3427" s="348" t="s">
        <v>2632</v>
      </c>
      <c r="C3427" s="293">
        <v>71.98</v>
      </c>
      <c r="D3427" s="230">
        <f t="shared" si="163"/>
        <v>3.2055749128920841E-3</v>
      </c>
      <c r="E3427" s="293">
        <v>-1.2143047771550508E-2</v>
      </c>
      <c r="F3427" s="266">
        <f t="shared" si="165"/>
        <v>3420</v>
      </c>
      <c r="G3427" s="230">
        <f t="shared" ca="1" si="164"/>
        <v>-1.4269734379595932E-2</v>
      </c>
    </row>
    <row r="3428" spans="2:7" x14ac:dyDescent="0.25">
      <c r="B3428" s="348" t="s">
        <v>2633</v>
      </c>
      <c r="C3428" s="293">
        <v>71.75</v>
      </c>
      <c r="D3428" s="230">
        <f t="shared" si="163"/>
        <v>-4.5782463928967232E-3</v>
      </c>
      <c r="E3428" s="293">
        <v>-1.222901612006666E-2</v>
      </c>
      <c r="F3428" s="266">
        <f t="shared" si="165"/>
        <v>3421</v>
      </c>
      <c r="G3428" s="230">
        <f t="shared" ca="1" si="164"/>
        <v>2.9388769080103801E-2</v>
      </c>
    </row>
    <row r="3429" spans="2:7" x14ac:dyDescent="0.25">
      <c r="B3429" s="348">
        <v>40822</v>
      </c>
      <c r="C3429" s="293">
        <v>72.08</v>
      </c>
      <c r="D3429" s="230">
        <f t="shared" si="163"/>
        <v>-3.0428769017980528E-3</v>
      </c>
      <c r="E3429" s="293">
        <v>-1.2285714285714344E-2</v>
      </c>
      <c r="F3429" s="266">
        <f t="shared" si="165"/>
        <v>3422</v>
      </c>
      <c r="G3429" s="230">
        <f t="shared" ca="1" si="164"/>
        <v>2.0466655150590887E-3</v>
      </c>
    </row>
    <row r="3430" spans="2:7" x14ac:dyDescent="0.25">
      <c r="B3430" s="348">
        <v>40792</v>
      </c>
      <c r="C3430" s="293">
        <v>72.3</v>
      </c>
      <c r="D3430" s="230">
        <f t="shared" si="163"/>
        <v>-5.5020632737277086E-3</v>
      </c>
      <c r="E3430" s="293">
        <v>-1.2285806660200405E-2</v>
      </c>
      <c r="F3430" s="266">
        <f t="shared" si="165"/>
        <v>3423</v>
      </c>
      <c r="G3430" s="230">
        <f t="shared" ca="1" si="164"/>
        <v>5.0957216469163158E-3</v>
      </c>
    </row>
    <row r="3431" spans="2:7" x14ac:dyDescent="0.25">
      <c r="B3431" s="348">
        <v>40761</v>
      </c>
      <c r="C3431" s="293">
        <v>72.7</v>
      </c>
      <c r="D3431" s="230">
        <f t="shared" si="163"/>
        <v>1.3774104683197397E-3</v>
      </c>
      <c r="E3431" s="293">
        <v>-1.2286535535140697E-2</v>
      </c>
      <c r="F3431" s="266">
        <f t="shared" si="165"/>
        <v>3424</v>
      </c>
      <c r="G3431" s="230">
        <f t="shared" ca="1" si="164"/>
        <v>-1.2879460908434103E-2</v>
      </c>
    </row>
    <row r="3432" spans="2:7" x14ac:dyDescent="0.25">
      <c r="B3432" s="348">
        <v>40730</v>
      </c>
      <c r="C3432" s="293">
        <v>72.599999999999994</v>
      </c>
      <c r="D3432" s="230">
        <f t="shared" si="163"/>
        <v>-9.954997954452538E-3</v>
      </c>
      <c r="E3432" s="293">
        <v>-1.2300661221314679E-2</v>
      </c>
      <c r="F3432" s="266">
        <f t="shared" si="165"/>
        <v>3425</v>
      </c>
      <c r="G3432" s="230">
        <f t="shared" ca="1" si="164"/>
        <v>3.0181051943852635E-2</v>
      </c>
    </row>
    <row r="3433" spans="2:7" x14ac:dyDescent="0.25">
      <c r="B3433" s="348">
        <v>40700</v>
      </c>
      <c r="C3433" s="293">
        <v>73.33</v>
      </c>
      <c r="D3433" s="230">
        <f t="shared" si="163"/>
        <v>4.3829612381864891E-3</v>
      </c>
      <c r="E3433" s="293">
        <v>-1.2301530539264749E-2</v>
      </c>
      <c r="F3433" s="266">
        <f t="shared" si="165"/>
        <v>3426</v>
      </c>
      <c r="G3433" s="230">
        <f t="shared" ca="1" si="164"/>
        <v>-8.8499085862473788E-3</v>
      </c>
    </row>
    <row r="3434" spans="2:7" x14ac:dyDescent="0.25">
      <c r="B3434" s="348">
        <v>40608</v>
      </c>
      <c r="C3434" s="293">
        <v>73.010000000000005</v>
      </c>
      <c r="D3434" s="230">
        <f t="shared" si="163"/>
        <v>2.7401013837535793E-4</v>
      </c>
      <c r="E3434" s="293">
        <v>-1.2341446691806701E-2</v>
      </c>
      <c r="F3434" s="266">
        <f t="shared" si="165"/>
        <v>3427</v>
      </c>
      <c r="G3434" s="230">
        <f t="shared" ca="1" si="164"/>
        <v>3.5854322885828523E-2</v>
      </c>
    </row>
    <row r="3435" spans="2:7" x14ac:dyDescent="0.25">
      <c r="B3435" s="348">
        <v>40580</v>
      </c>
      <c r="C3435" s="293">
        <v>72.989999999999995</v>
      </c>
      <c r="D3435" s="230">
        <f t="shared" si="163"/>
        <v>-1.1912819818600373E-2</v>
      </c>
      <c r="E3435" s="293">
        <v>-1.2345679012345623E-2</v>
      </c>
      <c r="F3435" s="266">
        <f t="shared" si="165"/>
        <v>3428</v>
      </c>
      <c r="G3435" s="230">
        <f t="shared" ca="1" si="164"/>
        <v>9.7067137438130655E-3</v>
      </c>
    </row>
    <row r="3436" spans="2:7" x14ac:dyDescent="0.25">
      <c r="B3436" s="348">
        <v>40549</v>
      </c>
      <c r="C3436" s="293">
        <v>73.87</v>
      </c>
      <c r="D3436" s="230">
        <f t="shared" si="163"/>
        <v>4.3507817811014871E-3</v>
      </c>
      <c r="E3436" s="293">
        <v>-1.2353500158378217E-2</v>
      </c>
      <c r="F3436" s="266">
        <f t="shared" si="165"/>
        <v>3429</v>
      </c>
      <c r="G3436" s="230">
        <f t="shared" ca="1" si="164"/>
        <v>-1.8676908123599602E-2</v>
      </c>
    </row>
    <row r="3437" spans="2:7" x14ac:dyDescent="0.25">
      <c r="B3437" s="348" t="s">
        <v>2634</v>
      </c>
      <c r="C3437" s="293">
        <v>73.55</v>
      </c>
      <c r="D3437" s="230">
        <f t="shared" si="163"/>
        <v>1.0302197802197766E-2</v>
      </c>
      <c r="E3437" s="293">
        <v>-1.2374049849743773E-2</v>
      </c>
      <c r="F3437" s="266">
        <f t="shared" si="165"/>
        <v>3430</v>
      </c>
      <c r="G3437" s="230">
        <f t="shared" ca="1" si="164"/>
        <v>1.4196860057321257E-2</v>
      </c>
    </row>
    <row r="3438" spans="2:7" x14ac:dyDescent="0.25">
      <c r="B3438" s="348" t="s">
        <v>2635</v>
      </c>
      <c r="C3438" s="293">
        <v>72.8</v>
      </c>
      <c r="D3438" s="230">
        <f t="shared" si="163"/>
        <v>-5.4914881933010307E-4</v>
      </c>
      <c r="E3438" s="293">
        <v>-1.2384341637010743E-2</v>
      </c>
      <c r="F3438" s="266">
        <f t="shared" si="165"/>
        <v>3431</v>
      </c>
      <c r="G3438" s="230">
        <f t="shared" ca="1" si="164"/>
        <v>4.6008862574771457E-3</v>
      </c>
    </row>
    <row r="3439" spans="2:7" x14ac:dyDescent="0.25">
      <c r="B3439" s="348" t="s">
        <v>2636</v>
      </c>
      <c r="C3439" s="293">
        <v>72.84</v>
      </c>
      <c r="D3439" s="230">
        <f t="shared" si="163"/>
        <v>1.6466648060284861E-2</v>
      </c>
      <c r="E3439" s="293">
        <v>-1.2431626056688239E-2</v>
      </c>
      <c r="F3439" s="266">
        <f t="shared" si="165"/>
        <v>3432</v>
      </c>
      <c r="G3439" s="230">
        <f t="shared" ca="1" si="164"/>
        <v>-1.8194924658403909E-2</v>
      </c>
    </row>
    <row r="3440" spans="2:7" x14ac:dyDescent="0.25">
      <c r="B3440" s="348" t="s">
        <v>2637</v>
      </c>
      <c r="C3440" s="293">
        <v>71.66</v>
      </c>
      <c r="D3440" s="230">
        <f t="shared" si="163"/>
        <v>-1.5326738191444589E-3</v>
      </c>
      <c r="E3440" s="293">
        <v>-1.2444663059517969E-2</v>
      </c>
      <c r="F3440" s="266">
        <f t="shared" si="165"/>
        <v>3433</v>
      </c>
      <c r="G3440" s="230">
        <f t="shared" ca="1" si="164"/>
        <v>2.0510347499894624E-2</v>
      </c>
    </row>
    <row r="3441" spans="2:7" x14ac:dyDescent="0.25">
      <c r="B3441" s="348" t="s">
        <v>2638</v>
      </c>
      <c r="C3441" s="293">
        <v>71.77</v>
      </c>
      <c r="D3441" s="230">
        <f t="shared" si="163"/>
        <v>-9.7958057395144404E-3</v>
      </c>
      <c r="E3441" s="293">
        <v>-1.2462080839550693E-2</v>
      </c>
      <c r="F3441" s="266">
        <f t="shared" si="165"/>
        <v>3434</v>
      </c>
      <c r="G3441" s="230">
        <f t="shared" ca="1" si="164"/>
        <v>-9.6800835191506174E-3</v>
      </c>
    </row>
    <row r="3442" spans="2:7" x14ac:dyDescent="0.25">
      <c r="B3442" s="348" t="s">
        <v>2639</v>
      </c>
      <c r="C3442" s="293">
        <v>72.48</v>
      </c>
      <c r="D3442" s="230">
        <f t="shared" si="163"/>
        <v>-4.1373603640881829E-4</v>
      </c>
      <c r="E3442" s="293">
        <v>-1.247201790853858E-2</v>
      </c>
      <c r="F3442" s="266">
        <f t="shared" si="165"/>
        <v>3435</v>
      </c>
      <c r="G3442" s="230">
        <f t="shared" ca="1" si="164"/>
        <v>7.1817387998542566E-3</v>
      </c>
    </row>
    <row r="3443" spans="2:7" x14ac:dyDescent="0.25">
      <c r="B3443" s="348" t="s">
        <v>2640</v>
      </c>
      <c r="C3443" s="293">
        <v>72.510000000000005</v>
      </c>
      <c r="D3443" s="230">
        <f t="shared" si="163"/>
        <v>-1.6280016280016074E-2</v>
      </c>
      <c r="E3443" s="293">
        <v>-1.2478816823293881E-2</v>
      </c>
      <c r="F3443" s="266">
        <f t="shared" si="165"/>
        <v>3436</v>
      </c>
      <c r="G3443" s="230">
        <f t="shared" ca="1" si="164"/>
        <v>2.1419410582873756E-2</v>
      </c>
    </row>
    <row r="3444" spans="2:7" x14ac:dyDescent="0.25">
      <c r="B3444" s="348" t="s">
        <v>2641</v>
      </c>
      <c r="C3444" s="293">
        <v>73.709999999999994</v>
      </c>
      <c r="D3444" s="230">
        <f t="shared" si="163"/>
        <v>1.0279605263157965E-2</v>
      </c>
      <c r="E3444" s="293">
        <v>-1.2482040229885083E-2</v>
      </c>
      <c r="F3444" s="266">
        <f t="shared" si="165"/>
        <v>3437</v>
      </c>
      <c r="G3444" s="230">
        <f t="shared" ca="1" si="164"/>
        <v>1.648847073846841E-2</v>
      </c>
    </row>
    <row r="3445" spans="2:7" x14ac:dyDescent="0.25">
      <c r="B3445" s="348" t="s">
        <v>2642</v>
      </c>
      <c r="C3445" s="293">
        <v>72.959999999999994</v>
      </c>
      <c r="D3445" s="230">
        <f t="shared" si="163"/>
        <v>-7.4819752414638785E-3</v>
      </c>
      <c r="E3445" s="293">
        <v>-1.2519837771116205E-2</v>
      </c>
      <c r="F3445" s="266">
        <f t="shared" si="165"/>
        <v>3438</v>
      </c>
      <c r="G3445" s="230">
        <f t="shared" ca="1" si="164"/>
        <v>-6.6877633300830045E-4</v>
      </c>
    </row>
    <row r="3446" spans="2:7" x14ac:dyDescent="0.25">
      <c r="B3446" s="348" t="s">
        <v>2643</v>
      </c>
      <c r="C3446" s="293">
        <v>73.510000000000005</v>
      </c>
      <c r="D3446" s="230">
        <f t="shared" si="163"/>
        <v>1.9697600221944889E-2</v>
      </c>
      <c r="E3446" s="293">
        <v>-1.2550685460513633E-2</v>
      </c>
      <c r="F3446" s="266">
        <f t="shared" si="165"/>
        <v>3439</v>
      </c>
      <c r="G3446" s="230">
        <f t="shared" ca="1" si="164"/>
        <v>2.3596742405387332E-2</v>
      </c>
    </row>
    <row r="3447" spans="2:7" x14ac:dyDescent="0.25">
      <c r="B3447" s="348" t="s">
        <v>2644</v>
      </c>
      <c r="C3447" s="293">
        <v>72.09</v>
      </c>
      <c r="D3447" s="230">
        <f t="shared" si="163"/>
        <v>-5.51800248310097E-3</v>
      </c>
      <c r="E3447" s="293">
        <v>-1.2599877074369936E-2</v>
      </c>
      <c r="F3447" s="266">
        <f t="shared" si="165"/>
        <v>3440</v>
      </c>
      <c r="G3447" s="230">
        <f t="shared" ca="1" si="164"/>
        <v>-9.3481202940286865E-3</v>
      </c>
    </row>
    <row r="3448" spans="2:7" x14ac:dyDescent="0.25">
      <c r="B3448" s="348" t="s">
        <v>2645</v>
      </c>
      <c r="C3448" s="293">
        <v>72.489999999999995</v>
      </c>
      <c r="D3448" s="230">
        <f t="shared" si="163"/>
        <v>-5.896873285792692E-3</v>
      </c>
      <c r="E3448" s="293">
        <v>-1.2613481160118845E-2</v>
      </c>
      <c r="F3448" s="266">
        <f t="shared" si="165"/>
        <v>3441</v>
      </c>
      <c r="G3448" s="230">
        <f t="shared" ca="1" si="164"/>
        <v>2.621309901262335E-2</v>
      </c>
    </row>
    <row r="3449" spans="2:7" x14ac:dyDescent="0.25">
      <c r="B3449" s="348" t="s">
        <v>2646</v>
      </c>
      <c r="C3449" s="293">
        <v>72.92</v>
      </c>
      <c r="D3449" s="230">
        <f t="shared" si="163"/>
        <v>2.1288515406162389E-2</v>
      </c>
      <c r="E3449" s="293">
        <v>-1.2614574825301816E-2</v>
      </c>
      <c r="F3449" s="266">
        <f t="shared" si="165"/>
        <v>3442</v>
      </c>
      <c r="G3449" s="230">
        <f t="shared" ca="1" si="164"/>
        <v>2.8688228471952397E-2</v>
      </c>
    </row>
    <row r="3450" spans="2:7" x14ac:dyDescent="0.25">
      <c r="B3450" s="348">
        <v>40882</v>
      </c>
      <c r="C3450" s="293">
        <v>71.400000000000006</v>
      </c>
      <c r="D3450" s="230">
        <f t="shared" si="163"/>
        <v>-1.3266998341625147E-2</v>
      </c>
      <c r="E3450" s="293">
        <v>-1.2636249638275365E-2</v>
      </c>
      <c r="F3450" s="266">
        <f t="shared" si="165"/>
        <v>3443</v>
      </c>
      <c r="G3450" s="230">
        <f t="shared" ca="1" si="164"/>
        <v>8.9900549695045434E-3</v>
      </c>
    </row>
    <row r="3451" spans="2:7" x14ac:dyDescent="0.25">
      <c r="B3451" s="348">
        <v>40852</v>
      </c>
      <c r="C3451" s="293">
        <v>72.36</v>
      </c>
      <c r="D3451" s="230">
        <f t="shared" si="163"/>
        <v>6.5377660314369646E-3</v>
      </c>
      <c r="E3451" s="293">
        <v>-1.2645343146850507E-2</v>
      </c>
      <c r="F3451" s="266">
        <f t="shared" si="165"/>
        <v>3444</v>
      </c>
      <c r="G3451" s="230">
        <f t="shared" ca="1" si="164"/>
        <v>-4.2527455195550418E-3</v>
      </c>
    </row>
    <row r="3452" spans="2:7" x14ac:dyDescent="0.25">
      <c r="B3452" s="348">
        <v>40821</v>
      </c>
      <c r="C3452" s="293">
        <v>71.89</v>
      </c>
      <c r="D3452" s="230">
        <f t="shared" si="163"/>
        <v>2.782802281897645E-4</v>
      </c>
      <c r="E3452" s="293">
        <v>-1.2648809523809423E-2</v>
      </c>
      <c r="F3452" s="266">
        <f t="shared" si="165"/>
        <v>3445</v>
      </c>
      <c r="G3452" s="230">
        <f t="shared" ca="1" si="164"/>
        <v>-1.9529146259168973E-3</v>
      </c>
    </row>
    <row r="3453" spans="2:7" x14ac:dyDescent="0.25">
      <c r="B3453" s="348">
        <v>40791</v>
      </c>
      <c r="C3453" s="293">
        <v>71.87</v>
      </c>
      <c r="D3453" s="230">
        <f t="shared" si="163"/>
        <v>-1.4128943758573431E-2</v>
      </c>
      <c r="E3453" s="293">
        <v>-1.2664771258723118E-2</v>
      </c>
      <c r="F3453" s="266">
        <f t="shared" si="165"/>
        <v>3446</v>
      </c>
      <c r="G3453" s="230">
        <f t="shared" ca="1" si="164"/>
        <v>1.3416456860001135E-2</v>
      </c>
    </row>
    <row r="3454" spans="2:7" x14ac:dyDescent="0.25">
      <c r="B3454" s="348">
        <v>40699</v>
      </c>
      <c r="C3454" s="293">
        <v>72.900000000000006</v>
      </c>
      <c r="D3454" s="230">
        <f t="shared" si="163"/>
        <v>2.30143137805221E-2</v>
      </c>
      <c r="E3454" s="293">
        <v>-1.2699396004336228E-2</v>
      </c>
      <c r="F3454" s="266">
        <f t="shared" si="165"/>
        <v>3447</v>
      </c>
      <c r="G3454" s="230">
        <f t="shared" ca="1" si="164"/>
        <v>-3.7820492504979757E-2</v>
      </c>
    </row>
    <row r="3455" spans="2:7" x14ac:dyDescent="0.25">
      <c r="B3455" s="348">
        <v>40668</v>
      </c>
      <c r="C3455" s="293">
        <v>71.260000000000005</v>
      </c>
      <c r="D3455" s="230">
        <f t="shared" si="163"/>
        <v>-1.0415220108318302E-2</v>
      </c>
      <c r="E3455" s="293">
        <v>-1.2709710218607007E-2</v>
      </c>
      <c r="F3455" s="266">
        <f t="shared" si="165"/>
        <v>3448</v>
      </c>
      <c r="G3455" s="230">
        <f t="shared" ca="1" si="164"/>
        <v>-7.3722889441069344E-3</v>
      </c>
    </row>
    <row r="3456" spans="2:7" x14ac:dyDescent="0.25">
      <c r="B3456" s="348">
        <v>40638</v>
      </c>
      <c r="C3456" s="293">
        <v>72.010000000000005</v>
      </c>
      <c r="D3456" s="230">
        <f t="shared" si="163"/>
        <v>8.3391243919384017E-4</v>
      </c>
      <c r="E3456" s="293">
        <v>-1.2716763005780396E-2</v>
      </c>
      <c r="F3456" s="266">
        <f t="shared" si="165"/>
        <v>3449</v>
      </c>
      <c r="G3456" s="230">
        <f t="shared" ca="1" si="164"/>
        <v>-3.0755915640571108E-3</v>
      </c>
    </row>
    <row r="3457" spans="2:7" x14ac:dyDescent="0.25">
      <c r="B3457" s="348">
        <v>40607</v>
      </c>
      <c r="C3457" s="293">
        <v>71.95</v>
      </c>
      <c r="D3457" s="230">
        <f t="shared" si="163"/>
        <v>-2.4406779661016897E-2</v>
      </c>
      <c r="E3457" s="293">
        <v>-1.2734746514064588E-2</v>
      </c>
      <c r="F3457" s="266">
        <f t="shared" si="165"/>
        <v>3450</v>
      </c>
      <c r="G3457" s="230">
        <f t="shared" ca="1" si="164"/>
        <v>9.3492088269778867E-3</v>
      </c>
    </row>
    <row r="3458" spans="2:7" x14ac:dyDescent="0.25">
      <c r="B3458" s="348">
        <v>40579</v>
      </c>
      <c r="C3458" s="293">
        <v>73.75</v>
      </c>
      <c r="D3458" s="230">
        <f t="shared" si="163"/>
        <v>-6.0646900269542003E-3</v>
      </c>
      <c r="E3458" s="293">
        <v>-1.2757201646090621E-2</v>
      </c>
      <c r="F3458" s="266">
        <f t="shared" si="165"/>
        <v>3451</v>
      </c>
      <c r="G3458" s="230">
        <f t="shared" ca="1" si="164"/>
        <v>4.5005116186123463E-4</v>
      </c>
    </row>
    <row r="3459" spans="2:7" x14ac:dyDescent="0.25">
      <c r="B3459" s="348" t="s">
        <v>2647</v>
      </c>
      <c r="C3459" s="293">
        <v>74.2</v>
      </c>
      <c r="D3459" s="230">
        <f t="shared" si="163"/>
        <v>8.2891697241473938E-3</v>
      </c>
      <c r="E3459" s="293">
        <v>-1.2802907915993478E-2</v>
      </c>
      <c r="F3459" s="266">
        <f t="shared" si="165"/>
        <v>3452</v>
      </c>
      <c r="G3459" s="230">
        <f t="shared" ca="1" si="164"/>
        <v>1.5875659421306101E-2</v>
      </c>
    </row>
    <row r="3460" spans="2:7" x14ac:dyDescent="0.25">
      <c r="B3460" s="348" t="s">
        <v>2648</v>
      </c>
      <c r="C3460" s="293">
        <v>73.59</v>
      </c>
      <c r="D3460" s="230">
        <f t="shared" si="163"/>
        <v>-9.9556033902864494E-3</v>
      </c>
      <c r="E3460" s="293">
        <v>-1.2809644909108076E-2</v>
      </c>
      <c r="F3460" s="266">
        <f t="shared" si="165"/>
        <v>3453</v>
      </c>
      <c r="G3460" s="230">
        <f t="shared" ca="1" si="164"/>
        <v>8.2405189057722299E-5</v>
      </c>
    </row>
    <row r="3461" spans="2:7" x14ac:dyDescent="0.25">
      <c r="B3461" s="348" t="s">
        <v>2649</v>
      </c>
      <c r="C3461" s="293">
        <v>74.33</v>
      </c>
      <c r="D3461" s="230">
        <f t="shared" si="163"/>
        <v>-2.9254277132035988E-2</v>
      </c>
      <c r="E3461" s="293">
        <v>-1.2814194184327277E-2</v>
      </c>
      <c r="F3461" s="266">
        <f t="shared" si="165"/>
        <v>3454</v>
      </c>
      <c r="G3461" s="230">
        <f t="shared" ca="1" si="164"/>
        <v>-6.8646615814267121E-4</v>
      </c>
    </row>
    <row r="3462" spans="2:7" x14ac:dyDescent="0.25">
      <c r="B3462" s="348" t="s">
        <v>2650</v>
      </c>
      <c r="C3462" s="293">
        <v>76.569999999999993</v>
      </c>
      <c r="D3462" s="230">
        <f t="shared" si="163"/>
        <v>-3.2543608435303684E-3</v>
      </c>
      <c r="E3462" s="293">
        <v>-1.2815378454144932E-2</v>
      </c>
      <c r="F3462" s="266">
        <f t="shared" si="165"/>
        <v>3455</v>
      </c>
      <c r="G3462" s="230">
        <f t="shared" ca="1" si="164"/>
        <v>-2.4073215389415654E-3</v>
      </c>
    </row>
    <row r="3463" spans="2:7" x14ac:dyDescent="0.25">
      <c r="B3463" s="348" t="s">
        <v>2651</v>
      </c>
      <c r="C3463" s="293">
        <v>76.819999999999993</v>
      </c>
      <c r="D3463" s="230">
        <f t="shared" si="163"/>
        <v>6.6832656270474633E-3</v>
      </c>
      <c r="E3463" s="293">
        <v>-1.2838403572425272E-2</v>
      </c>
      <c r="F3463" s="266">
        <f t="shared" si="165"/>
        <v>3456</v>
      </c>
      <c r="G3463" s="230">
        <f t="shared" ca="1" si="164"/>
        <v>-3.7389743014785747E-3</v>
      </c>
    </row>
    <row r="3464" spans="2:7" x14ac:dyDescent="0.25">
      <c r="B3464" s="348" t="s">
        <v>2652</v>
      </c>
      <c r="C3464" s="293">
        <v>76.31</v>
      </c>
      <c r="D3464" s="230">
        <f t="shared" si="163"/>
        <v>-1.1780104712042494E-3</v>
      </c>
      <c r="E3464" s="293">
        <v>-1.2873474877509894E-2</v>
      </c>
      <c r="F3464" s="266">
        <f t="shared" si="165"/>
        <v>3457</v>
      </c>
      <c r="G3464" s="230">
        <f t="shared" ca="1" si="164"/>
        <v>-2.715021183498921E-2</v>
      </c>
    </row>
    <row r="3465" spans="2:7" x14ac:dyDescent="0.25">
      <c r="B3465" s="348" t="s">
        <v>2653</v>
      </c>
      <c r="C3465" s="293">
        <v>76.400000000000006</v>
      </c>
      <c r="D3465" s="230">
        <f t="shared" ref="D3465:D3528" si="166">C3465/C3466-1</f>
        <v>3.1456730120156706E-2</v>
      </c>
      <c r="E3465" s="293">
        <v>-1.2895884695619197E-2</v>
      </c>
      <c r="F3465" s="266">
        <f t="shared" si="165"/>
        <v>3458</v>
      </c>
      <c r="G3465" s="230">
        <f t="shared" ref="G3465:G3528" ca="1" si="167">_xlfn.NORM.INV(RAND(),$M$10,$M$11)</f>
        <v>-8.8487615928070484E-3</v>
      </c>
    </row>
    <row r="3466" spans="2:7" x14ac:dyDescent="0.25">
      <c r="B3466" s="348" t="s">
        <v>2654</v>
      </c>
      <c r="C3466" s="293">
        <v>74.069999999999993</v>
      </c>
      <c r="D3466" s="230">
        <f t="shared" si="166"/>
        <v>9.2655675160102646E-3</v>
      </c>
      <c r="E3466" s="293">
        <v>-1.2906784335355748E-2</v>
      </c>
      <c r="F3466" s="266">
        <f t="shared" ref="F3466:F3529" si="168">F3465+1</f>
        <v>3459</v>
      </c>
      <c r="G3466" s="230">
        <f t="shared" ca="1" si="167"/>
        <v>-6.8257209027715966E-3</v>
      </c>
    </row>
    <row r="3467" spans="2:7" x14ac:dyDescent="0.25">
      <c r="B3467" s="348" t="s">
        <v>2655</v>
      </c>
      <c r="C3467" s="293">
        <v>73.39</v>
      </c>
      <c r="D3467" s="230">
        <f t="shared" si="166"/>
        <v>-9.7152880852786616E-3</v>
      </c>
      <c r="E3467" s="293">
        <v>-1.291512915129156E-2</v>
      </c>
      <c r="F3467" s="266">
        <f t="shared" si="168"/>
        <v>3460</v>
      </c>
      <c r="G3467" s="230">
        <f t="shared" ca="1" si="167"/>
        <v>9.8841033140293789E-3</v>
      </c>
    </row>
    <row r="3468" spans="2:7" x14ac:dyDescent="0.25">
      <c r="B3468" s="348" t="s">
        <v>2656</v>
      </c>
      <c r="C3468" s="293">
        <v>74.11</v>
      </c>
      <c r="D3468" s="230">
        <f t="shared" si="166"/>
        <v>-4.7918807810894193E-2</v>
      </c>
      <c r="E3468" s="293">
        <v>-1.2933366117531375E-2</v>
      </c>
      <c r="F3468" s="266">
        <f t="shared" si="168"/>
        <v>3461</v>
      </c>
      <c r="G3468" s="230">
        <f t="shared" ca="1" si="167"/>
        <v>9.2627502816142494E-3</v>
      </c>
    </row>
    <row r="3469" spans="2:7" x14ac:dyDescent="0.25">
      <c r="B3469" s="348" t="s">
        <v>2657</v>
      </c>
      <c r="C3469" s="293">
        <v>77.84</v>
      </c>
      <c r="D3469" s="230">
        <f t="shared" si="166"/>
        <v>2.6912928759894594E-2</v>
      </c>
      <c r="E3469" s="293">
        <v>-1.2946306895611714E-2</v>
      </c>
      <c r="F3469" s="266">
        <f t="shared" si="168"/>
        <v>3462</v>
      </c>
      <c r="G3469" s="230">
        <f t="shared" ca="1" si="167"/>
        <v>2.6071016349537447E-3</v>
      </c>
    </row>
    <row r="3470" spans="2:7" x14ac:dyDescent="0.25">
      <c r="B3470" s="348">
        <v>40851</v>
      </c>
      <c r="C3470" s="293">
        <v>75.8</v>
      </c>
      <c r="D3470" s="230">
        <f t="shared" si="166"/>
        <v>-1.1862860122539343E-2</v>
      </c>
      <c r="E3470" s="293">
        <v>-1.2952914405741311E-2</v>
      </c>
      <c r="F3470" s="266">
        <f t="shared" si="168"/>
        <v>3463</v>
      </c>
      <c r="G3470" s="230">
        <f t="shared" ca="1" si="167"/>
        <v>1.3813853844995569E-2</v>
      </c>
    </row>
    <row r="3471" spans="2:7" x14ac:dyDescent="0.25">
      <c r="B3471" s="348">
        <v>40759</v>
      </c>
      <c r="C3471" s="293">
        <v>76.709999999999994</v>
      </c>
      <c r="D3471" s="230">
        <f t="shared" si="166"/>
        <v>-1.4643545279383385E-2</v>
      </c>
      <c r="E3471" s="293">
        <v>-1.2962759529825396E-2</v>
      </c>
      <c r="F3471" s="266">
        <f t="shared" si="168"/>
        <v>3464</v>
      </c>
      <c r="G3471" s="230">
        <f t="shared" ca="1" si="167"/>
        <v>4.1163771973960987E-3</v>
      </c>
    </row>
    <row r="3472" spans="2:7" x14ac:dyDescent="0.25">
      <c r="B3472" s="348">
        <v>40728</v>
      </c>
      <c r="C3472" s="293">
        <v>77.849999999999994</v>
      </c>
      <c r="D3472" s="230">
        <f t="shared" si="166"/>
        <v>1.3935920812711444E-2</v>
      </c>
      <c r="E3472" s="293">
        <v>-1.2965009208103062E-2</v>
      </c>
      <c r="F3472" s="266">
        <f t="shared" si="168"/>
        <v>3465</v>
      </c>
      <c r="G3472" s="230">
        <f t="shared" ca="1" si="167"/>
        <v>-7.3733649507017694E-3</v>
      </c>
    </row>
    <row r="3473" spans="2:7" x14ac:dyDescent="0.25">
      <c r="B3473" s="348">
        <v>40698</v>
      </c>
      <c r="C3473" s="293">
        <v>76.78</v>
      </c>
      <c r="D3473" s="230">
        <f t="shared" si="166"/>
        <v>-3.1289427201614983E-2</v>
      </c>
      <c r="E3473" s="293">
        <v>-1.2978723404255321E-2</v>
      </c>
      <c r="F3473" s="266">
        <f t="shared" si="168"/>
        <v>3466</v>
      </c>
      <c r="G3473" s="230">
        <f t="shared" ca="1" si="167"/>
        <v>-1.6241355544395042E-2</v>
      </c>
    </row>
    <row r="3474" spans="2:7" x14ac:dyDescent="0.25">
      <c r="B3474" s="348">
        <v>40667</v>
      </c>
      <c r="C3474" s="293">
        <v>79.260000000000005</v>
      </c>
      <c r="D3474" s="230">
        <f t="shared" si="166"/>
        <v>0</v>
      </c>
      <c r="E3474" s="293">
        <v>-1.3004291845493565E-2</v>
      </c>
      <c r="F3474" s="266">
        <f t="shared" si="168"/>
        <v>3467</v>
      </c>
      <c r="G3474" s="230">
        <f t="shared" ca="1" si="167"/>
        <v>7.4721609526267182E-3</v>
      </c>
    </row>
    <row r="3475" spans="2:7" x14ac:dyDescent="0.25">
      <c r="B3475" s="348">
        <v>40637</v>
      </c>
      <c r="C3475" s="293">
        <v>79.260000000000005</v>
      </c>
      <c r="D3475" s="230">
        <f t="shared" si="166"/>
        <v>1.0453850076491689E-2</v>
      </c>
      <c r="E3475" s="293">
        <v>-1.300740076250273E-2</v>
      </c>
      <c r="F3475" s="266">
        <f t="shared" si="168"/>
        <v>3468</v>
      </c>
      <c r="G3475" s="230">
        <f t="shared" ca="1" si="167"/>
        <v>8.6284638626367115E-3</v>
      </c>
    </row>
    <row r="3476" spans="2:7" x14ac:dyDescent="0.25">
      <c r="B3476" s="348">
        <v>40547</v>
      </c>
      <c r="C3476" s="293">
        <v>78.44</v>
      </c>
      <c r="D3476" s="230">
        <f t="shared" si="166"/>
        <v>-8.5945399393327904E-3</v>
      </c>
      <c r="E3476" s="293">
        <v>-1.302448915925758E-2</v>
      </c>
      <c r="F3476" s="266">
        <f t="shared" si="168"/>
        <v>3469</v>
      </c>
      <c r="G3476" s="230">
        <f t="shared" ca="1" si="167"/>
        <v>1.2274667314734245E-2</v>
      </c>
    </row>
    <row r="3477" spans="2:7" x14ac:dyDescent="0.25">
      <c r="B3477" s="348" t="s">
        <v>2658</v>
      </c>
      <c r="C3477" s="293">
        <v>79.12</v>
      </c>
      <c r="D3477" s="230">
        <f t="shared" si="166"/>
        <v>1.5530740598126203E-2</v>
      </c>
      <c r="E3477" s="293">
        <v>-1.3051524301159079E-2</v>
      </c>
      <c r="F3477" s="266">
        <f t="shared" si="168"/>
        <v>3470</v>
      </c>
      <c r="G3477" s="230">
        <f t="shared" ca="1" si="167"/>
        <v>3.6155131939787671E-2</v>
      </c>
    </row>
    <row r="3478" spans="2:7" x14ac:dyDescent="0.25">
      <c r="B3478" s="348" t="s">
        <v>2659</v>
      </c>
      <c r="C3478" s="293">
        <v>77.91</v>
      </c>
      <c r="D3478" s="230">
        <f t="shared" si="166"/>
        <v>2.0164986251145711E-2</v>
      </c>
      <c r="E3478" s="293">
        <v>-1.3073794305636377E-2</v>
      </c>
      <c r="F3478" s="266">
        <f t="shared" si="168"/>
        <v>3471</v>
      </c>
      <c r="G3478" s="230">
        <f t="shared" ca="1" si="167"/>
        <v>-3.0156412166653448E-2</v>
      </c>
    </row>
    <row r="3479" spans="2:7" x14ac:dyDescent="0.25">
      <c r="B3479" s="348" t="s">
        <v>2660</v>
      </c>
      <c r="C3479" s="293">
        <v>76.37</v>
      </c>
      <c r="D3479" s="230">
        <f t="shared" si="166"/>
        <v>3.416108264354234E-3</v>
      </c>
      <c r="E3479" s="293">
        <v>-1.3084112149532756E-2</v>
      </c>
      <c r="F3479" s="266">
        <f t="shared" si="168"/>
        <v>3472</v>
      </c>
      <c r="G3479" s="230">
        <f t="shared" ca="1" si="167"/>
        <v>-2.9861504701071045E-2</v>
      </c>
    </row>
    <row r="3480" spans="2:7" x14ac:dyDescent="0.25">
      <c r="B3480" s="348" t="s">
        <v>2661</v>
      </c>
      <c r="C3480" s="293">
        <v>76.11</v>
      </c>
      <c r="D3480" s="230">
        <f t="shared" si="166"/>
        <v>1.317891373801916E-2</v>
      </c>
      <c r="E3480" s="293">
        <v>-1.3123480016519085E-2</v>
      </c>
      <c r="F3480" s="266">
        <f t="shared" si="168"/>
        <v>3473</v>
      </c>
      <c r="G3480" s="230">
        <f t="shared" ca="1" si="167"/>
        <v>8.7890306467483231E-3</v>
      </c>
    </row>
    <row r="3481" spans="2:7" x14ac:dyDescent="0.25">
      <c r="B3481" s="348" t="s">
        <v>2662</v>
      </c>
      <c r="C3481" s="293">
        <v>75.12</v>
      </c>
      <c r="D3481" s="230">
        <f t="shared" si="166"/>
        <v>3.6996134732192321E-2</v>
      </c>
      <c r="E3481" s="293">
        <v>-1.3149939540507694E-2</v>
      </c>
      <c r="F3481" s="266">
        <f t="shared" si="168"/>
        <v>3474</v>
      </c>
      <c r="G3481" s="230">
        <f t="shared" ca="1" si="167"/>
        <v>3.8730606969648385E-3</v>
      </c>
    </row>
    <row r="3482" spans="2:7" x14ac:dyDescent="0.25">
      <c r="B3482" s="348" t="s">
        <v>2663</v>
      </c>
      <c r="C3482" s="293">
        <v>72.44</v>
      </c>
      <c r="D3482" s="230">
        <f t="shared" si="166"/>
        <v>6.9502363080344853E-3</v>
      </c>
      <c r="E3482" s="293">
        <v>-1.3152804642166394E-2</v>
      </c>
      <c r="F3482" s="266">
        <f t="shared" si="168"/>
        <v>3475</v>
      </c>
      <c r="G3482" s="230">
        <f t="shared" ca="1" si="167"/>
        <v>-9.214789514745067E-3</v>
      </c>
    </row>
    <row r="3483" spans="2:7" x14ac:dyDescent="0.25">
      <c r="B3483" s="348" t="s">
        <v>2664</v>
      </c>
      <c r="C3483" s="293">
        <v>71.94</v>
      </c>
      <c r="D3483" s="230">
        <f t="shared" si="166"/>
        <v>5.0293378038557268E-3</v>
      </c>
      <c r="E3483" s="293">
        <v>-1.3161358252171573E-2</v>
      </c>
      <c r="F3483" s="266">
        <f t="shared" si="168"/>
        <v>3476</v>
      </c>
      <c r="G3483" s="230">
        <f t="shared" ca="1" si="167"/>
        <v>-1.0616690176169036E-2</v>
      </c>
    </row>
    <row r="3484" spans="2:7" x14ac:dyDescent="0.25">
      <c r="B3484" s="348" t="s">
        <v>2665</v>
      </c>
      <c r="C3484" s="293">
        <v>71.58</v>
      </c>
      <c r="D3484" s="230">
        <f t="shared" si="166"/>
        <v>1.2589173310952884E-3</v>
      </c>
      <c r="E3484" s="293">
        <v>-1.3203741059967022E-2</v>
      </c>
      <c r="F3484" s="266">
        <f t="shared" si="168"/>
        <v>3477</v>
      </c>
      <c r="G3484" s="230">
        <f t="shared" ca="1" si="167"/>
        <v>2.0004894463216379E-3</v>
      </c>
    </row>
    <row r="3485" spans="2:7" x14ac:dyDescent="0.25">
      <c r="B3485" s="348" t="s">
        <v>2666</v>
      </c>
      <c r="C3485" s="293">
        <v>71.489999999999995</v>
      </c>
      <c r="D3485" s="230">
        <f t="shared" si="166"/>
        <v>-1.365894039735116E-2</v>
      </c>
      <c r="E3485" s="293">
        <v>-1.3214088328392659E-2</v>
      </c>
      <c r="F3485" s="266">
        <f t="shared" si="168"/>
        <v>3478</v>
      </c>
      <c r="G3485" s="230">
        <f t="shared" ca="1" si="167"/>
        <v>-1.9182094115374852E-2</v>
      </c>
    </row>
    <row r="3486" spans="2:7" x14ac:dyDescent="0.25">
      <c r="B3486" s="348" t="s">
        <v>2667</v>
      </c>
      <c r="C3486" s="293">
        <v>72.48</v>
      </c>
      <c r="D3486" s="230">
        <f t="shared" si="166"/>
        <v>-8.0744491583412126E-3</v>
      </c>
      <c r="E3486" s="293">
        <v>-1.3219931589165235E-2</v>
      </c>
      <c r="F3486" s="266">
        <f t="shared" si="168"/>
        <v>3479</v>
      </c>
      <c r="G3486" s="230">
        <f t="shared" ca="1" si="167"/>
        <v>3.6936031104835335E-3</v>
      </c>
    </row>
    <row r="3487" spans="2:7" x14ac:dyDescent="0.25">
      <c r="B3487" s="348" t="s">
        <v>2668</v>
      </c>
      <c r="C3487" s="293">
        <v>73.069999999999993</v>
      </c>
      <c r="D3487" s="230">
        <f t="shared" si="166"/>
        <v>-4.3602670663579479E-3</v>
      </c>
      <c r="E3487" s="293">
        <v>-1.3221476510067109E-2</v>
      </c>
      <c r="F3487" s="266">
        <f t="shared" si="168"/>
        <v>3480</v>
      </c>
      <c r="G3487" s="230">
        <f t="shared" ca="1" si="167"/>
        <v>1.4103130535807456E-4</v>
      </c>
    </row>
    <row r="3488" spans="2:7" x14ac:dyDescent="0.25">
      <c r="B3488" s="348" t="s">
        <v>2669</v>
      </c>
      <c r="C3488" s="293">
        <v>73.39</v>
      </c>
      <c r="D3488" s="230">
        <f t="shared" si="166"/>
        <v>6.7215363511659021E-3</v>
      </c>
      <c r="E3488" s="293">
        <v>-1.322539275408785E-2</v>
      </c>
      <c r="F3488" s="266">
        <f t="shared" si="168"/>
        <v>3481</v>
      </c>
      <c r="G3488" s="230">
        <f t="shared" ca="1" si="167"/>
        <v>1.8003690096207912E-2</v>
      </c>
    </row>
    <row r="3489" spans="2:7" x14ac:dyDescent="0.25">
      <c r="B3489" s="348" t="s">
        <v>2670</v>
      </c>
      <c r="C3489" s="293">
        <v>72.900000000000006</v>
      </c>
      <c r="D3489" s="230">
        <f t="shared" si="166"/>
        <v>-3.0327214684756632E-2</v>
      </c>
      <c r="E3489" s="293">
        <v>-1.3238445056626968E-2</v>
      </c>
      <c r="F3489" s="266">
        <f t="shared" si="168"/>
        <v>3482</v>
      </c>
      <c r="G3489" s="230">
        <f t="shared" ca="1" si="167"/>
        <v>-7.8018888826761595E-3</v>
      </c>
    </row>
    <row r="3490" spans="2:7" x14ac:dyDescent="0.25">
      <c r="B3490" s="348" t="s">
        <v>2671</v>
      </c>
      <c r="C3490" s="293">
        <v>75.180000000000007</v>
      </c>
      <c r="D3490" s="230">
        <f t="shared" si="166"/>
        <v>1.553424287451044E-2</v>
      </c>
      <c r="E3490" s="293">
        <v>-1.3245033112582627E-2</v>
      </c>
      <c r="F3490" s="266">
        <f t="shared" si="168"/>
        <v>3483</v>
      </c>
      <c r="G3490" s="230">
        <f t="shared" ca="1" si="167"/>
        <v>-3.5969201965744692E-2</v>
      </c>
    </row>
    <row r="3491" spans="2:7" x14ac:dyDescent="0.25">
      <c r="B3491" s="348">
        <v>40850</v>
      </c>
      <c r="C3491" s="293">
        <v>74.03</v>
      </c>
      <c r="D3491" s="230">
        <f t="shared" si="166"/>
        <v>-1.2143047771550508E-2</v>
      </c>
      <c r="E3491" s="293">
        <v>-1.3253440308739206E-2</v>
      </c>
      <c r="F3491" s="266">
        <f t="shared" si="168"/>
        <v>3484</v>
      </c>
      <c r="G3491" s="230">
        <f t="shared" ca="1" si="167"/>
        <v>6.7966816049457148E-3</v>
      </c>
    </row>
    <row r="3492" spans="2:7" x14ac:dyDescent="0.25">
      <c r="B3492" s="348">
        <v>40819</v>
      </c>
      <c r="C3492" s="293">
        <v>74.94</v>
      </c>
      <c r="D3492" s="230">
        <f t="shared" si="166"/>
        <v>8.6137281292060219E-3</v>
      </c>
      <c r="E3492" s="293">
        <v>-1.3259195893926545E-2</v>
      </c>
      <c r="F3492" s="266">
        <f t="shared" si="168"/>
        <v>3485</v>
      </c>
      <c r="G3492" s="230">
        <f t="shared" ca="1" si="167"/>
        <v>-9.8357863257634327E-3</v>
      </c>
    </row>
    <row r="3493" spans="2:7" x14ac:dyDescent="0.25">
      <c r="B3493" s="348">
        <v>40789</v>
      </c>
      <c r="C3493" s="293">
        <v>74.3</v>
      </c>
      <c r="D3493" s="230">
        <f t="shared" si="166"/>
        <v>4.3254933765881631E-3</v>
      </c>
      <c r="E3493" s="293">
        <v>-1.3266998341625147E-2</v>
      </c>
      <c r="F3493" s="266">
        <f t="shared" si="168"/>
        <v>3486</v>
      </c>
      <c r="G3493" s="230">
        <f t="shared" ca="1" si="167"/>
        <v>-5.4011744146703049E-3</v>
      </c>
    </row>
    <row r="3494" spans="2:7" x14ac:dyDescent="0.25">
      <c r="B3494" s="348">
        <v>40758</v>
      </c>
      <c r="C3494" s="293">
        <v>73.98</v>
      </c>
      <c r="D3494" s="230">
        <f t="shared" si="166"/>
        <v>3.9354050753155345E-3</v>
      </c>
      <c r="E3494" s="293">
        <v>-1.3284132841328455E-2</v>
      </c>
      <c r="F3494" s="266">
        <f t="shared" si="168"/>
        <v>3487</v>
      </c>
      <c r="G3494" s="230">
        <f t="shared" ca="1" si="167"/>
        <v>-8.3738272141742152E-3</v>
      </c>
    </row>
    <row r="3495" spans="2:7" x14ac:dyDescent="0.25">
      <c r="B3495" s="348">
        <v>40727</v>
      </c>
      <c r="C3495" s="293">
        <v>73.69</v>
      </c>
      <c r="D3495" s="230">
        <f t="shared" si="166"/>
        <v>1.3199505018561819E-2</v>
      </c>
      <c r="E3495" s="293">
        <v>-1.3338307993657206E-2</v>
      </c>
      <c r="F3495" s="266">
        <f t="shared" si="168"/>
        <v>3488</v>
      </c>
      <c r="G3495" s="230">
        <f t="shared" ca="1" si="167"/>
        <v>2.852121898464087E-2</v>
      </c>
    </row>
    <row r="3496" spans="2:7" x14ac:dyDescent="0.25">
      <c r="B3496" s="348">
        <v>40636</v>
      </c>
      <c r="C3496" s="293">
        <v>72.73</v>
      </c>
      <c r="D3496" s="230">
        <f t="shared" si="166"/>
        <v>-6.556481355005972E-3</v>
      </c>
      <c r="E3496" s="293">
        <v>-1.3339872486513027E-2</v>
      </c>
      <c r="F3496" s="266">
        <f t="shared" si="168"/>
        <v>3489</v>
      </c>
      <c r="G3496" s="230">
        <f t="shared" ca="1" si="167"/>
        <v>1.772020905264636E-2</v>
      </c>
    </row>
    <row r="3497" spans="2:7" x14ac:dyDescent="0.25">
      <c r="B3497" s="348">
        <v>40605</v>
      </c>
      <c r="C3497" s="293">
        <v>73.209999999999994</v>
      </c>
      <c r="D3497" s="230">
        <f t="shared" si="166"/>
        <v>1.9159709867251351E-3</v>
      </c>
      <c r="E3497" s="293">
        <v>-1.337336244541476E-2</v>
      </c>
      <c r="F3497" s="266">
        <f t="shared" si="168"/>
        <v>3490</v>
      </c>
      <c r="G3497" s="230">
        <f t="shared" ca="1" si="167"/>
        <v>-9.5516829226776345E-3</v>
      </c>
    </row>
    <row r="3498" spans="2:7" x14ac:dyDescent="0.25">
      <c r="B3498" s="348">
        <v>40546</v>
      </c>
      <c r="C3498" s="293">
        <v>73.069999999999993</v>
      </c>
      <c r="D3498" s="230">
        <f t="shared" si="166"/>
        <v>1.2049861495844638E-2</v>
      </c>
      <c r="E3498" s="293">
        <v>-1.3376648194152407E-2</v>
      </c>
      <c r="F3498" s="266">
        <f t="shared" si="168"/>
        <v>3491</v>
      </c>
      <c r="G3498" s="230">
        <f t="shared" ca="1" si="167"/>
        <v>-1.4174971126946767E-2</v>
      </c>
    </row>
    <row r="3499" spans="2:7" x14ac:dyDescent="0.25">
      <c r="B3499" s="348" t="s">
        <v>2672</v>
      </c>
      <c r="C3499" s="293">
        <v>72.2</v>
      </c>
      <c r="D3499" s="230">
        <f t="shared" si="166"/>
        <v>1.1913104414856379E-2</v>
      </c>
      <c r="E3499" s="293">
        <v>-1.3393250506652521E-2</v>
      </c>
      <c r="F3499" s="266">
        <f t="shared" si="168"/>
        <v>3492</v>
      </c>
      <c r="G3499" s="230">
        <f t="shared" ca="1" si="167"/>
        <v>-2.9497237966638598E-2</v>
      </c>
    </row>
    <row r="3500" spans="2:7" x14ac:dyDescent="0.25">
      <c r="B3500" s="348" t="s">
        <v>2673</v>
      </c>
      <c r="C3500" s="293">
        <v>71.349999999999994</v>
      </c>
      <c r="D3500" s="230">
        <f t="shared" si="166"/>
        <v>1.3782324524012513E-2</v>
      </c>
      <c r="E3500" s="293">
        <v>-1.3420400810628341E-2</v>
      </c>
      <c r="F3500" s="266">
        <f t="shared" si="168"/>
        <v>3493</v>
      </c>
      <c r="G3500" s="230">
        <f t="shared" ca="1" si="167"/>
        <v>-2.2841244873187894E-2</v>
      </c>
    </row>
    <row r="3501" spans="2:7" x14ac:dyDescent="0.25">
      <c r="B3501" s="348" t="s">
        <v>2674</v>
      </c>
      <c r="C3501" s="293">
        <v>70.38</v>
      </c>
      <c r="D3501" s="230">
        <f t="shared" si="166"/>
        <v>-2.2092538557732411E-2</v>
      </c>
      <c r="E3501" s="293">
        <v>-1.3427561837455748E-2</v>
      </c>
      <c r="F3501" s="266">
        <f t="shared" si="168"/>
        <v>3494</v>
      </c>
      <c r="G3501" s="230">
        <f t="shared" ca="1" si="167"/>
        <v>-2.9042629446696194E-2</v>
      </c>
    </row>
    <row r="3502" spans="2:7" x14ac:dyDescent="0.25">
      <c r="B3502" s="348" t="s">
        <v>2675</v>
      </c>
      <c r="C3502" s="293">
        <v>71.97</v>
      </c>
      <c r="D3502" s="230">
        <f t="shared" si="166"/>
        <v>-1.8010642652476538E-2</v>
      </c>
      <c r="E3502" s="293">
        <v>-1.3432046536224207E-2</v>
      </c>
      <c r="F3502" s="266">
        <f t="shared" si="168"/>
        <v>3495</v>
      </c>
      <c r="G3502" s="230">
        <f t="shared" ca="1" si="167"/>
        <v>-1.2675959713208184E-2</v>
      </c>
    </row>
    <row r="3503" spans="2:7" x14ac:dyDescent="0.25">
      <c r="B3503" s="348" t="s">
        <v>2676</v>
      </c>
      <c r="C3503" s="293">
        <v>73.290000000000006</v>
      </c>
      <c r="D3503" s="230">
        <f t="shared" si="166"/>
        <v>-1.3858988159310859E-2</v>
      </c>
      <c r="E3503" s="293">
        <v>-1.3463754672962791E-2</v>
      </c>
      <c r="F3503" s="266">
        <f t="shared" si="168"/>
        <v>3496</v>
      </c>
      <c r="G3503" s="230">
        <f t="shared" ca="1" si="167"/>
        <v>1.8026245039728911E-2</v>
      </c>
    </row>
    <row r="3504" spans="2:7" x14ac:dyDescent="0.25">
      <c r="B3504" s="348" t="s">
        <v>2677</v>
      </c>
      <c r="C3504" s="293">
        <v>74.319999999999993</v>
      </c>
      <c r="D3504" s="230">
        <f t="shared" si="166"/>
        <v>4.2356241234221548E-2</v>
      </c>
      <c r="E3504" s="293">
        <v>-1.3472137170851273E-2</v>
      </c>
      <c r="F3504" s="266">
        <f t="shared" si="168"/>
        <v>3497</v>
      </c>
      <c r="G3504" s="230">
        <f t="shared" ca="1" si="167"/>
        <v>1.3785822695623489E-2</v>
      </c>
    </row>
    <row r="3505" spans="2:7" x14ac:dyDescent="0.25">
      <c r="B3505" s="348" t="s">
        <v>2678</v>
      </c>
      <c r="C3505" s="293">
        <v>71.3</v>
      </c>
      <c r="D3505" s="230">
        <f t="shared" si="166"/>
        <v>1.5451608371961356E-3</v>
      </c>
      <c r="E3505" s="293">
        <v>-1.3500665525765343E-2</v>
      </c>
      <c r="F3505" s="266">
        <f t="shared" si="168"/>
        <v>3498</v>
      </c>
      <c r="G3505" s="230">
        <f t="shared" ca="1" si="167"/>
        <v>-8.8834398732899906E-3</v>
      </c>
    </row>
    <row r="3506" spans="2:7" x14ac:dyDescent="0.25">
      <c r="B3506" s="348" t="s">
        <v>2679</v>
      </c>
      <c r="C3506" s="293">
        <v>71.19</v>
      </c>
      <c r="D3506" s="230">
        <f t="shared" si="166"/>
        <v>-1.1661807580174988E-2</v>
      </c>
      <c r="E3506" s="293">
        <v>-1.3588324106693528E-2</v>
      </c>
      <c r="F3506" s="266">
        <f t="shared" si="168"/>
        <v>3499</v>
      </c>
      <c r="G3506" s="230">
        <f t="shared" ca="1" si="167"/>
        <v>-1.5486780033260492E-2</v>
      </c>
    </row>
    <row r="3507" spans="2:7" x14ac:dyDescent="0.25">
      <c r="B3507" s="348" t="s">
        <v>2680</v>
      </c>
      <c r="C3507" s="293">
        <v>72.03</v>
      </c>
      <c r="D3507" s="230">
        <f t="shared" si="166"/>
        <v>2.753209700427961E-2</v>
      </c>
      <c r="E3507" s="293">
        <v>-1.365894039735116E-2</v>
      </c>
      <c r="F3507" s="266">
        <f t="shared" si="168"/>
        <v>3500</v>
      </c>
      <c r="G3507" s="230">
        <f t="shared" ca="1" si="167"/>
        <v>-2.2163350817112674E-2</v>
      </c>
    </row>
    <row r="3508" spans="2:7" x14ac:dyDescent="0.25">
      <c r="B3508" s="348" t="s">
        <v>2681</v>
      </c>
      <c r="C3508" s="293">
        <v>70.099999999999994</v>
      </c>
      <c r="D3508" s="230">
        <f t="shared" si="166"/>
        <v>2.4310024310023604E-3</v>
      </c>
      <c r="E3508" s="293">
        <v>-1.3666228646517786E-2</v>
      </c>
      <c r="F3508" s="266">
        <f t="shared" si="168"/>
        <v>3501</v>
      </c>
      <c r="G3508" s="230">
        <f t="shared" ca="1" si="167"/>
        <v>-2.0554230686273878E-2</v>
      </c>
    </row>
    <row r="3509" spans="2:7" x14ac:dyDescent="0.25">
      <c r="B3509" s="348" t="s">
        <v>2682</v>
      </c>
      <c r="C3509" s="293">
        <v>69.930000000000007</v>
      </c>
      <c r="D3509" s="230">
        <f t="shared" si="166"/>
        <v>9.8194945848375514E-3</v>
      </c>
      <c r="E3509" s="293">
        <v>-1.3681138270704163E-2</v>
      </c>
      <c r="F3509" s="266">
        <f t="shared" si="168"/>
        <v>3502</v>
      </c>
      <c r="G3509" s="230">
        <f t="shared" ca="1" si="167"/>
        <v>3.3594526009640621E-3</v>
      </c>
    </row>
    <row r="3510" spans="2:7" x14ac:dyDescent="0.25">
      <c r="B3510" s="348">
        <v>40849</v>
      </c>
      <c r="C3510" s="293">
        <v>69.25</v>
      </c>
      <c r="D3510" s="230">
        <f t="shared" si="166"/>
        <v>5.5176419340785543E-3</v>
      </c>
      <c r="E3510" s="293">
        <v>-1.3685507048036172E-2</v>
      </c>
      <c r="F3510" s="266">
        <f t="shared" si="168"/>
        <v>3503</v>
      </c>
      <c r="G3510" s="230">
        <f t="shared" ca="1" si="167"/>
        <v>-2.5452047919321069E-2</v>
      </c>
    </row>
    <row r="3511" spans="2:7" x14ac:dyDescent="0.25">
      <c r="B3511" s="348">
        <v>40818</v>
      </c>
      <c r="C3511" s="293">
        <v>68.87</v>
      </c>
      <c r="D3511" s="230">
        <f t="shared" si="166"/>
        <v>-1.4453348597595728E-2</v>
      </c>
      <c r="E3511" s="293">
        <v>-1.3693820224719211E-2</v>
      </c>
      <c r="F3511" s="266">
        <f t="shared" si="168"/>
        <v>3504</v>
      </c>
      <c r="G3511" s="230">
        <f t="shared" ca="1" si="167"/>
        <v>-7.7593644655829155E-3</v>
      </c>
    </row>
    <row r="3512" spans="2:7" x14ac:dyDescent="0.25">
      <c r="B3512" s="348">
        <v>40788</v>
      </c>
      <c r="C3512" s="293">
        <v>69.88</v>
      </c>
      <c r="D3512" s="230">
        <f t="shared" si="166"/>
        <v>-3.8488952245190333E-3</v>
      </c>
      <c r="E3512" s="293">
        <v>-1.3702074167190492E-2</v>
      </c>
      <c r="F3512" s="266">
        <f t="shared" si="168"/>
        <v>3505</v>
      </c>
      <c r="G3512" s="230">
        <f t="shared" ca="1" si="167"/>
        <v>2.3492399706736E-2</v>
      </c>
    </row>
    <row r="3513" spans="2:7" x14ac:dyDescent="0.25">
      <c r="B3513" s="348">
        <v>40757</v>
      </c>
      <c r="C3513" s="293">
        <v>70.150000000000006</v>
      </c>
      <c r="D3513" s="230">
        <f t="shared" si="166"/>
        <v>-2.7011657662779909E-3</v>
      </c>
      <c r="E3513" s="293">
        <v>-1.3746317950549036E-2</v>
      </c>
      <c r="F3513" s="266">
        <f t="shared" si="168"/>
        <v>3506</v>
      </c>
      <c r="G3513" s="230">
        <f t="shared" ca="1" si="167"/>
        <v>-6.057161778302715E-3</v>
      </c>
    </row>
    <row r="3514" spans="2:7" x14ac:dyDescent="0.25">
      <c r="B3514" s="348">
        <v>40726</v>
      </c>
      <c r="C3514" s="293">
        <v>70.34</v>
      </c>
      <c r="D3514" s="230">
        <f t="shared" si="166"/>
        <v>-2.2512506948304534E-2</v>
      </c>
      <c r="E3514" s="293">
        <v>-1.3747594171020117E-2</v>
      </c>
      <c r="F3514" s="266">
        <f t="shared" si="168"/>
        <v>3507</v>
      </c>
      <c r="G3514" s="230">
        <f t="shared" ca="1" si="167"/>
        <v>-5.1572186180149325E-4</v>
      </c>
    </row>
    <row r="3515" spans="2:7" x14ac:dyDescent="0.25">
      <c r="B3515" s="348">
        <v>40635</v>
      </c>
      <c r="C3515" s="293">
        <v>71.959999999999994</v>
      </c>
      <c r="D3515" s="230">
        <f t="shared" si="166"/>
        <v>-1.1945626802142062E-2</v>
      </c>
      <c r="E3515" s="293">
        <v>-1.3758312313689514E-2</v>
      </c>
      <c r="F3515" s="266">
        <f t="shared" si="168"/>
        <v>3508</v>
      </c>
      <c r="G3515" s="230">
        <f t="shared" ca="1" si="167"/>
        <v>-4.1406022159137426E-2</v>
      </c>
    </row>
    <row r="3516" spans="2:7" x14ac:dyDescent="0.25">
      <c r="B3516" s="348">
        <v>40604</v>
      </c>
      <c r="C3516" s="293">
        <v>72.83</v>
      </c>
      <c r="D3516" s="230">
        <f t="shared" si="166"/>
        <v>9.4248094248092773E-3</v>
      </c>
      <c r="E3516" s="293">
        <v>-1.3765182186234792E-2</v>
      </c>
      <c r="F3516" s="266">
        <f t="shared" si="168"/>
        <v>3509</v>
      </c>
      <c r="G3516" s="230">
        <f t="shared" ca="1" si="167"/>
        <v>-5.025475654291644E-3</v>
      </c>
    </row>
    <row r="3517" spans="2:7" x14ac:dyDescent="0.25">
      <c r="B3517" s="348">
        <v>40576</v>
      </c>
      <c r="C3517" s="293">
        <v>72.150000000000006</v>
      </c>
      <c r="D3517" s="230">
        <f t="shared" si="166"/>
        <v>1.9787985865724389E-2</v>
      </c>
      <c r="E3517" s="293">
        <v>-1.3789581205311485E-2</v>
      </c>
      <c r="F3517" s="266">
        <f t="shared" si="168"/>
        <v>3510</v>
      </c>
      <c r="G3517" s="230">
        <f t="shared" ca="1" si="167"/>
        <v>-1.0820696763835997E-2</v>
      </c>
    </row>
    <row r="3518" spans="2:7" x14ac:dyDescent="0.25">
      <c r="B3518" s="348">
        <v>40545</v>
      </c>
      <c r="C3518" s="293">
        <v>70.75</v>
      </c>
      <c r="D3518" s="230">
        <f t="shared" si="166"/>
        <v>-1.9947361130350449E-2</v>
      </c>
      <c r="E3518" s="293">
        <v>-1.3805970149253666E-2</v>
      </c>
      <c r="F3518" s="266">
        <f t="shared" si="168"/>
        <v>3511</v>
      </c>
      <c r="G3518" s="230">
        <f t="shared" ca="1" si="167"/>
        <v>-7.9455211203601633E-3</v>
      </c>
    </row>
    <row r="3519" spans="2:7" x14ac:dyDescent="0.25">
      <c r="B3519" s="348" t="s">
        <v>2683</v>
      </c>
      <c r="C3519" s="293">
        <v>72.19</v>
      </c>
      <c r="D3519" s="230">
        <f t="shared" si="166"/>
        <v>1.2482662968100744E-3</v>
      </c>
      <c r="E3519" s="293">
        <v>-1.3809209524292987E-2</v>
      </c>
      <c r="F3519" s="266">
        <f t="shared" si="168"/>
        <v>3512</v>
      </c>
      <c r="G3519" s="230">
        <f t="shared" ca="1" si="167"/>
        <v>-4.5902655384676319E-2</v>
      </c>
    </row>
    <row r="3520" spans="2:7" x14ac:dyDescent="0.25">
      <c r="B3520" s="348" t="s">
        <v>2684</v>
      </c>
      <c r="C3520" s="293">
        <v>72.099999999999994</v>
      </c>
      <c r="D3520" s="230">
        <f t="shared" si="166"/>
        <v>-2.4903154399558147E-3</v>
      </c>
      <c r="E3520" s="293">
        <v>-1.3832853025936731E-2</v>
      </c>
      <c r="F3520" s="266">
        <f t="shared" si="168"/>
        <v>3513</v>
      </c>
      <c r="G3520" s="230">
        <f t="shared" ca="1" si="167"/>
        <v>9.142207020473761E-3</v>
      </c>
    </row>
    <row r="3521" spans="2:7" x14ac:dyDescent="0.25">
      <c r="B3521" s="348" t="s">
        <v>2685</v>
      </c>
      <c r="C3521" s="293">
        <v>72.28</v>
      </c>
      <c r="D3521" s="230">
        <f t="shared" si="166"/>
        <v>-1.8468223791417659E-2</v>
      </c>
      <c r="E3521" s="293">
        <v>-1.3858988159310859E-2</v>
      </c>
      <c r="F3521" s="266">
        <f t="shared" si="168"/>
        <v>3514</v>
      </c>
      <c r="G3521" s="230">
        <f t="shared" ca="1" si="167"/>
        <v>-2.1504085108735867E-2</v>
      </c>
    </row>
    <row r="3522" spans="2:7" x14ac:dyDescent="0.25">
      <c r="B3522" s="348" t="s">
        <v>2686</v>
      </c>
      <c r="C3522" s="293">
        <v>73.64</v>
      </c>
      <c r="D3522" s="230">
        <f t="shared" si="166"/>
        <v>6.8362045392398318E-3</v>
      </c>
      <c r="E3522" s="293">
        <v>-1.393233903237534E-2</v>
      </c>
      <c r="F3522" s="266">
        <f t="shared" si="168"/>
        <v>3515</v>
      </c>
      <c r="G3522" s="230">
        <f t="shared" ca="1" si="167"/>
        <v>-1.4427483946832537E-2</v>
      </c>
    </row>
    <row r="3523" spans="2:7" x14ac:dyDescent="0.25">
      <c r="B3523" s="348" t="s">
        <v>2687</v>
      </c>
      <c r="C3523" s="293">
        <v>73.14</v>
      </c>
      <c r="D3523" s="230">
        <f t="shared" si="166"/>
        <v>-2.6487421802209421E-2</v>
      </c>
      <c r="E3523" s="293">
        <v>-1.3945358513508421E-2</v>
      </c>
      <c r="F3523" s="266">
        <f t="shared" si="168"/>
        <v>3516</v>
      </c>
      <c r="G3523" s="230">
        <f t="shared" ca="1" si="167"/>
        <v>-5.0703816968265215E-3</v>
      </c>
    </row>
    <row r="3524" spans="2:7" x14ac:dyDescent="0.25">
      <c r="B3524" s="348" t="s">
        <v>2688</v>
      </c>
      <c r="C3524" s="293">
        <v>75.13</v>
      </c>
      <c r="D3524" s="230">
        <f t="shared" si="166"/>
        <v>-4.511947127605509E-2</v>
      </c>
      <c r="E3524" s="293">
        <v>-1.3953488372092981E-2</v>
      </c>
      <c r="F3524" s="266">
        <f t="shared" si="168"/>
        <v>3517</v>
      </c>
      <c r="G3524" s="230">
        <f t="shared" ca="1" si="167"/>
        <v>-1.7477010135436698E-2</v>
      </c>
    </row>
    <row r="3525" spans="2:7" x14ac:dyDescent="0.25">
      <c r="B3525" s="348" t="s">
        <v>2689</v>
      </c>
      <c r="C3525" s="293">
        <v>78.680000000000007</v>
      </c>
      <c r="D3525" s="230">
        <f t="shared" si="166"/>
        <v>2.9318036966221594E-3</v>
      </c>
      <c r="E3525" s="293">
        <v>-1.3955266679411271E-2</v>
      </c>
      <c r="F3525" s="266">
        <f t="shared" si="168"/>
        <v>3518</v>
      </c>
      <c r="G3525" s="230">
        <f t="shared" ca="1" si="167"/>
        <v>9.7379562513003511E-3</v>
      </c>
    </row>
    <row r="3526" spans="2:7" x14ac:dyDescent="0.25">
      <c r="B3526" s="348" t="s">
        <v>2690</v>
      </c>
      <c r="C3526" s="293">
        <v>78.45</v>
      </c>
      <c r="D3526" s="230">
        <f t="shared" si="166"/>
        <v>-5.0729232720354567E-3</v>
      </c>
      <c r="E3526" s="293">
        <v>-1.3964092333998313E-2</v>
      </c>
      <c r="F3526" s="266">
        <f t="shared" si="168"/>
        <v>3519</v>
      </c>
      <c r="G3526" s="230">
        <f t="shared" ca="1" si="167"/>
        <v>1.5067785191705327E-2</v>
      </c>
    </row>
    <row r="3527" spans="2:7" x14ac:dyDescent="0.25">
      <c r="B3527" s="348" t="s">
        <v>2691</v>
      </c>
      <c r="C3527" s="293">
        <v>78.849999999999994</v>
      </c>
      <c r="D3527" s="230">
        <f t="shared" si="166"/>
        <v>2.522428812898192E-2</v>
      </c>
      <c r="E3527" s="293">
        <v>-1.3986013986013957E-2</v>
      </c>
      <c r="F3527" s="266">
        <f t="shared" si="168"/>
        <v>3520</v>
      </c>
      <c r="G3527" s="230">
        <f t="shared" ca="1" si="167"/>
        <v>3.6421782822542548E-2</v>
      </c>
    </row>
    <row r="3528" spans="2:7" x14ac:dyDescent="0.25">
      <c r="B3528" s="348" t="s">
        <v>2692</v>
      </c>
      <c r="C3528" s="293">
        <v>76.91</v>
      </c>
      <c r="D3528" s="230">
        <f t="shared" si="166"/>
        <v>7.8626654435853816E-3</v>
      </c>
      <c r="E3528" s="293">
        <v>-1.3986683910523601E-2</v>
      </c>
      <c r="F3528" s="266">
        <f t="shared" si="168"/>
        <v>3521</v>
      </c>
      <c r="G3528" s="230">
        <f t="shared" ca="1" si="167"/>
        <v>3.4122430425186819E-3</v>
      </c>
    </row>
    <row r="3529" spans="2:7" x14ac:dyDescent="0.25">
      <c r="B3529" s="348" t="s">
        <v>2693</v>
      </c>
      <c r="C3529" s="293">
        <v>76.31</v>
      </c>
      <c r="D3529" s="230">
        <f t="shared" ref="D3529:D3592" si="169">C3529/C3530-1</f>
        <v>2.1142780677104289E-2</v>
      </c>
      <c r="E3529" s="293">
        <v>-1.4006532691136608E-2</v>
      </c>
      <c r="F3529" s="266">
        <f t="shared" si="168"/>
        <v>3522</v>
      </c>
      <c r="G3529" s="230">
        <f t="shared" ref="G3529:G3592" ca="1" si="170">_xlfn.NORM.INV(RAND(),$M$10,$M$11)</f>
        <v>2.2026035555846264E-2</v>
      </c>
    </row>
    <row r="3530" spans="2:7" x14ac:dyDescent="0.25">
      <c r="B3530" s="348" t="s">
        <v>2694</v>
      </c>
      <c r="C3530" s="293">
        <v>74.73</v>
      </c>
      <c r="D3530" s="230">
        <f t="shared" si="169"/>
        <v>-3.0236179600311441E-2</v>
      </c>
      <c r="E3530" s="293">
        <v>-1.4010507880910628E-2</v>
      </c>
      <c r="F3530" s="266">
        <f t="shared" ref="F3530:F3593" si="171">F3529+1</f>
        <v>3523</v>
      </c>
      <c r="G3530" s="230">
        <f t="shared" ca="1" si="170"/>
        <v>-3.4297568429395839E-2</v>
      </c>
    </row>
    <row r="3531" spans="2:7" x14ac:dyDescent="0.25">
      <c r="B3531" s="348">
        <v>40878</v>
      </c>
      <c r="C3531" s="293">
        <v>77.06</v>
      </c>
      <c r="D3531" s="230">
        <f t="shared" si="169"/>
        <v>5.1934562451316779E-4</v>
      </c>
      <c r="E3531" s="293">
        <v>-1.4013275734906738E-2</v>
      </c>
      <c r="F3531" s="266">
        <f t="shared" si="171"/>
        <v>3524</v>
      </c>
      <c r="G3531" s="230">
        <f t="shared" ca="1" si="170"/>
        <v>-5.2345530929365182E-4</v>
      </c>
    </row>
    <row r="3532" spans="2:7" x14ac:dyDescent="0.25">
      <c r="B3532" s="348">
        <v>40848</v>
      </c>
      <c r="C3532" s="293">
        <v>77.02</v>
      </c>
      <c r="D3532" s="230">
        <f t="shared" si="169"/>
        <v>6.1397779229261928E-3</v>
      </c>
      <c r="E3532" s="293">
        <v>-1.4021479713604013E-2</v>
      </c>
      <c r="F3532" s="266">
        <f t="shared" si="171"/>
        <v>3525</v>
      </c>
      <c r="G3532" s="230">
        <f t="shared" ca="1" si="170"/>
        <v>4.3433622357961381E-2</v>
      </c>
    </row>
    <row r="3533" spans="2:7" x14ac:dyDescent="0.25">
      <c r="B3533" s="348">
        <v>40817</v>
      </c>
      <c r="C3533" s="293">
        <v>76.55</v>
      </c>
      <c r="D3533" s="230">
        <f t="shared" si="169"/>
        <v>-2.5957500954319923E-2</v>
      </c>
      <c r="E3533" s="293">
        <v>-1.4021935304734168E-2</v>
      </c>
      <c r="F3533" s="266">
        <f t="shared" si="171"/>
        <v>3526</v>
      </c>
      <c r="G3533" s="230">
        <f t="shared" ca="1" si="170"/>
        <v>-1.4317292396137039E-2</v>
      </c>
    </row>
    <row r="3534" spans="2:7" x14ac:dyDescent="0.25">
      <c r="B3534" s="348">
        <v>40725</v>
      </c>
      <c r="C3534" s="293">
        <v>78.59</v>
      </c>
      <c r="D3534" s="230">
        <f t="shared" si="169"/>
        <v>-1.9341152982281007E-2</v>
      </c>
      <c r="E3534" s="293">
        <v>-1.4023545706371099E-2</v>
      </c>
      <c r="F3534" s="266">
        <f t="shared" si="171"/>
        <v>3527</v>
      </c>
      <c r="G3534" s="230">
        <f t="shared" ca="1" si="170"/>
        <v>-3.502481204277396E-2</v>
      </c>
    </row>
    <row r="3535" spans="2:7" x14ac:dyDescent="0.25">
      <c r="B3535" s="348">
        <v>40695</v>
      </c>
      <c r="C3535" s="293">
        <v>80.14</v>
      </c>
      <c r="D3535" s="230">
        <f t="shared" si="169"/>
        <v>1.4996250937266975E-3</v>
      </c>
      <c r="E3535" s="293">
        <v>-1.4039262343842895E-2</v>
      </c>
      <c r="F3535" s="266">
        <f t="shared" si="171"/>
        <v>3528</v>
      </c>
      <c r="G3535" s="230">
        <f t="shared" ca="1" si="170"/>
        <v>3.6334180773428558E-2</v>
      </c>
    </row>
    <row r="3536" spans="2:7" x14ac:dyDescent="0.25">
      <c r="B3536" s="348">
        <v>40664</v>
      </c>
      <c r="C3536" s="293">
        <v>80.02</v>
      </c>
      <c r="D3536" s="230">
        <f t="shared" si="169"/>
        <v>2.0035061357375206E-3</v>
      </c>
      <c r="E3536" s="293">
        <v>-1.40602582496413E-2</v>
      </c>
      <c r="F3536" s="266">
        <f t="shared" si="171"/>
        <v>3529</v>
      </c>
      <c r="G3536" s="230">
        <f t="shared" ca="1" si="170"/>
        <v>2.5351659891710246E-2</v>
      </c>
    </row>
    <row r="3537" spans="2:7" x14ac:dyDescent="0.25">
      <c r="B3537" s="348">
        <v>40634</v>
      </c>
      <c r="C3537" s="293">
        <v>79.86</v>
      </c>
      <c r="D3537" s="230">
        <f t="shared" si="169"/>
        <v>3.3923859781379573E-3</v>
      </c>
      <c r="E3537" s="293">
        <v>-1.4084507042253502E-2</v>
      </c>
      <c r="F3537" s="266">
        <f t="shared" si="171"/>
        <v>3530</v>
      </c>
      <c r="G3537" s="230">
        <f t="shared" ca="1" si="170"/>
        <v>1.8594171436605203E-2</v>
      </c>
    </row>
    <row r="3538" spans="2:7" x14ac:dyDescent="0.25">
      <c r="B3538" s="348">
        <v>40603</v>
      </c>
      <c r="C3538" s="293">
        <v>79.59</v>
      </c>
      <c r="D3538" s="230">
        <f t="shared" si="169"/>
        <v>-1.6679021497405411E-2</v>
      </c>
      <c r="E3538" s="293">
        <v>-1.4084507042253613E-2</v>
      </c>
      <c r="F3538" s="266">
        <f t="shared" si="171"/>
        <v>3531</v>
      </c>
      <c r="G3538" s="230">
        <f t="shared" ca="1" si="170"/>
        <v>2.0395595753329034E-2</v>
      </c>
    </row>
    <row r="3539" spans="2:7" x14ac:dyDescent="0.25">
      <c r="B3539" s="348" t="s">
        <v>2695</v>
      </c>
      <c r="C3539" s="293">
        <v>80.94</v>
      </c>
      <c r="D3539" s="230">
        <f t="shared" si="169"/>
        <v>2.6012634708285631E-3</v>
      </c>
      <c r="E3539" s="293">
        <v>-1.4118962745509056E-2</v>
      </c>
      <c r="F3539" s="266">
        <f t="shared" si="171"/>
        <v>3532</v>
      </c>
      <c r="G3539" s="230">
        <f t="shared" ca="1" si="170"/>
        <v>-2.3231819465348975E-3</v>
      </c>
    </row>
    <row r="3540" spans="2:7" x14ac:dyDescent="0.25">
      <c r="B3540" s="348" t="s">
        <v>2696</v>
      </c>
      <c r="C3540" s="293">
        <v>80.73</v>
      </c>
      <c r="D3540" s="230">
        <f t="shared" si="169"/>
        <v>2.9817368617219842E-3</v>
      </c>
      <c r="E3540" s="293">
        <v>-1.4125669751582914E-2</v>
      </c>
      <c r="F3540" s="266">
        <f t="shared" si="171"/>
        <v>3533</v>
      </c>
      <c r="G3540" s="230">
        <f t="shared" ca="1" si="170"/>
        <v>5.0052764690224497E-3</v>
      </c>
    </row>
    <row r="3541" spans="2:7" x14ac:dyDescent="0.25">
      <c r="B3541" s="348" t="s">
        <v>2697</v>
      </c>
      <c r="C3541" s="293">
        <v>80.489999999999995</v>
      </c>
      <c r="D3541" s="230">
        <f t="shared" si="169"/>
        <v>-5.8053359683793992E-3</v>
      </c>
      <c r="E3541" s="293">
        <v>-1.4128943758573431E-2</v>
      </c>
      <c r="F3541" s="266">
        <f t="shared" si="171"/>
        <v>3534</v>
      </c>
      <c r="G3541" s="230">
        <f t="shared" ca="1" si="170"/>
        <v>-1.8018646444735421E-2</v>
      </c>
    </row>
    <row r="3542" spans="2:7" x14ac:dyDescent="0.25">
      <c r="B3542" s="348" t="s">
        <v>2698</v>
      </c>
      <c r="C3542" s="293">
        <v>80.959999999999994</v>
      </c>
      <c r="D3542" s="230">
        <f t="shared" si="169"/>
        <v>1.2886275491054588E-2</v>
      </c>
      <c r="E3542" s="293">
        <v>-1.41799472957711E-2</v>
      </c>
      <c r="F3542" s="266">
        <f t="shared" si="171"/>
        <v>3535</v>
      </c>
      <c r="G3542" s="230">
        <f t="shared" ca="1" si="170"/>
        <v>4.7049121980091597E-3</v>
      </c>
    </row>
    <row r="3543" spans="2:7" x14ac:dyDescent="0.25">
      <c r="B3543" s="348" t="s">
        <v>2699</v>
      </c>
      <c r="C3543" s="293">
        <v>79.930000000000007</v>
      </c>
      <c r="D3543" s="230">
        <f t="shared" si="169"/>
        <v>3.3894049711273855E-3</v>
      </c>
      <c r="E3543" s="293">
        <v>-1.4183712852180563E-2</v>
      </c>
      <c r="F3543" s="266">
        <f t="shared" si="171"/>
        <v>3536</v>
      </c>
      <c r="G3543" s="230">
        <f t="shared" ca="1" si="170"/>
        <v>3.3612707916089821E-2</v>
      </c>
    </row>
    <row r="3544" spans="2:7" x14ac:dyDescent="0.25">
      <c r="B3544" s="348" t="s">
        <v>2700</v>
      </c>
      <c r="C3544" s="293">
        <v>79.66</v>
      </c>
      <c r="D3544" s="230">
        <f t="shared" si="169"/>
        <v>8.2268067333248762E-3</v>
      </c>
      <c r="E3544" s="293">
        <v>-1.4190051020408156E-2</v>
      </c>
      <c r="F3544" s="266">
        <f t="shared" si="171"/>
        <v>3537</v>
      </c>
      <c r="G3544" s="230">
        <f t="shared" ca="1" si="170"/>
        <v>1.9385610377032698E-4</v>
      </c>
    </row>
    <row r="3545" spans="2:7" x14ac:dyDescent="0.25">
      <c r="B3545" s="348" t="s">
        <v>2701</v>
      </c>
      <c r="C3545" s="293">
        <v>79.010000000000005</v>
      </c>
      <c r="D3545" s="230">
        <f t="shared" si="169"/>
        <v>4.5772409408773029E-3</v>
      </c>
      <c r="E3545" s="293">
        <v>-1.419978305886993E-2</v>
      </c>
      <c r="F3545" s="266">
        <f t="shared" si="171"/>
        <v>3538</v>
      </c>
      <c r="G3545" s="230">
        <f t="shared" ca="1" si="170"/>
        <v>2.0240845076395085E-2</v>
      </c>
    </row>
    <row r="3546" spans="2:7" x14ac:dyDescent="0.25">
      <c r="B3546" s="348" t="s">
        <v>2702</v>
      </c>
      <c r="C3546" s="293">
        <v>78.650000000000006</v>
      </c>
      <c r="D3546" s="230">
        <f t="shared" si="169"/>
        <v>-1.6874999999999973E-2</v>
      </c>
      <c r="E3546" s="293">
        <v>-1.4218009478672911E-2</v>
      </c>
      <c r="F3546" s="266">
        <f t="shared" si="171"/>
        <v>3539</v>
      </c>
      <c r="G3546" s="230">
        <f t="shared" ca="1" si="170"/>
        <v>-4.9042660960825962E-2</v>
      </c>
    </row>
    <row r="3547" spans="2:7" x14ac:dyDescent="0.25">
      <c r="B3547" s="348" t="s">
        <v>2703</v>
      </c>
      <c r="C3547" s="293">
        <v>80</v>
      </c>
      <c r="D3547" s="230">
        <f t="shared" si="169"/>
        <v>1.6518424396442244E-2</v>
      </c>
      <c r="E3547" s="293">
        <v>-1.4225263347438566E-2</v>
      </c>
      <c r="F3547" s="266">
        <f t="shared" si="171"/>
        <v>3540</v>
      </c>
      <c r="G3547" s="230">
        <f t="shared" ca="1" si="170"/>
        <v>-8.505059983047349E-3</v>
      </c>
    </row>
    <row r="3548" spans="2:7" x14ac:dyDescent="0.25">
      <c r="B3548" s="348" t="s">
        <v>2704</v>
      </c>
      <c r="C3548" s="293">
        <v>78.7</v>
      </c>
      <c r="D3548" s="230">
        <f t="shared" si="169"/>
        <v>1.6139444803098701E-2</v>
      </c>
      <c r="E3548" s="293">
        <v>-1.4266465879369084E-2</v>
      </c>
      <c r="F3548" s="266">
        <f t="shared" si="171"/>
        <v>3541</v>
      </c>
      <c r="G3548" s="230">
        <f t="shared" ca="1" si="170"/>
        <v>-1.5178081961047472E-2</v>
      </c>
    </row>
    <row r="3549" spans="2:7" x14ac:dyDescent="0.25">
      <c r="B3549" s="348" t="s">
        <v>2705</v>
      </c>
      <c r="C3549" s="293">
        <v>77.45</v>
      </c>
      <c r="D3549" s="230">
        <f t="shared" si="169"/>
        <v>2.5420362769760452E-2</v>
      </c>
      <c r="E3549" s="293">
        <v>-1.4325703935451961E-2</v>
      </c>
      <c r="F3549" s="266">
        <f t="shared" si="171"/>
        <v>3542</v>
      </c>
      <c r="G3549" s="230">
        <f t="shared" ca="1" si="170"/>
        <v>1.2956217543309148E-3</v>
      </c>
    </row>
    <row r="3550" spans="2:7" x14ac:dyDescent="0.25">
      <c r="B3550" s="348" t="s">
        <v>2706</v>
      </c>
      <c r="C3550" s="293">
        <v>75.53</v>
      </c>
      <c r="D3550" s="230">
        <f t="shared" si="169"/>
        <v>8.8152798183518399E-3</v>
      </c>
      <c r="E3550" s="293">
        <v>-1.4328928514567796E-2</v>
      </c>
      <c r="F3550" s="266">
        <f t="shared" si="171"/>
        <v>3543</v>
      </c>
      <c r="G3550" s="230">
        <f t="shared" ca="1" si="170"/>
        <v>4.1003754893428626E-2</v>
      </c>
    </row>
    <row r="3551" spans="2:7" x14ac:dyDescent="0.25">
      <c r="B3551" s="348" t="s">
        <v>2707</v>
      </c>
      <c r="C3551" s="293">
        <v>74.87</v>
      </c>
      <c r="D3551" s="230">
        <f t="shared" si="169"/>
        <v>1.3949079089924155E-2</v>
      </c>
      <c r="E3551" s="293">
        <v>-1.4339622641509342E-2</v>
      </c>
      <c r="F3551" s="266">
        <f t="shared" si="171"/>
        <v>3544</v>
      </c>
      <c r="G3551" s="230">
        <f t="shared" ca="1" si="170"/>
        <v>9.5697805992723487E-3</v>
      </c>
    </row>
    <row r="3552" spans="2:7" x14ac:dyDescent="0.25">
      <c r="B3552" s="348" t="s">
        <v>2708</v>
      </c>
      <c r="C3552" s="293">
        <v>73.84</v>
      </c>
      <c r="D3552" s="230">
        <f t="shared" si="169"/>
        <v>-6.1911170928666825E-3</v>
      </c>
      <c r="E3552" s="293">
        <v>-1.434585997193194E-2</v>
      </c>
      <c r="F3552" s="266">
        <f t="shared" si="171"/>
        <v>3545</v>
      </c>
      <c r="G3552" s="230">
        <f t="shared" ca="1" si="170"/>
        <v>-1.6147886777449452E-2</v>
      </c>
    </row>
    <row r="3553" spans="2:7" x14ac:dyDescent="0.25">
      <c r="B3553" s="348">
        <v>40463</v>
      </c>
      <c r="C3553" s="293">
        <v>74.3</v>
      </c>
      <c r="D3553" s="230">
        <f t="shared" si="169"/>
        <v>3.1657872813107391E-2</v>
      </c>
      <c r="E3553" s="293">
        <v>-1.4373716632443689E-2</v>
      </c>
      <c r="F3553" s="266">
        <f t="shared" si="171"/>
        <v>3546</v>
      </c>
      <c r="G3553" s="230">
        <f t="shared" ca="1" si="170"/>
        <v>3.6700250939429736E-3</v>
      </c>
    </row>
    <row r="3554" spans="2:7" x14ac:dyDescent="0.25">
      <c r="B3554" s="348">
        <v>40433</v>
      </c>
      <c r="C3554" s="293">
        <v>72.02</v>
      </c>
      <c r="D3554" s="230">
        <f t="shared" si="169"/>
        <v>4.0429387982712228E-3</v>
      </c>
      <c r="E3554" s="293">
        <v>-1.4390519187358786E-2</v>
      </c>
      <c r="F3554" s="266">
        <f t="shared" si="171"/>
        <v>3547</v>
      </c>
      <c r="G3554" s="230">
        <f t="shared" ca="1" si="170"/>
        <v>-8.9706603832339256E-3</v>
      </c>
    </row>
    <row r="3555" spans="2:7" x14ac:dyDescent="0.25">
      <c r="B3555" s="348">
        <v>40402</v>
      </c>
      <c r="C3555" s="293">
        <v>71.73</v>
      </c>
      <c r="D3555" s="230">
        <f t="shared" si="169"/>
        <v>8.3717036416919299E-4</v>
      </c>
      <c r="E3555" s="293">
        <v>-1.4394306970726189E-2</v>
      </c>
      <c r="F3555" s="266">
        <f t="shared" si="171"/>
        <v>3548</v>
      </c>
      <c r="G3555" s="230">
        <f t="shared" ca="1" si="170"/>
        <v>2.7845651038353826E-2</v>
      </c>
    </row>
    <row r="3556" spans="2:7" x14ac:dyDescent="0.25">
      <c r="B3556" s="348">
        <v>40371</v>
      </c>
      <c r="C3556" s="293">
        <v>71.67</v>
      </c>
      <c r="D3556" s="230">
        <f t="shared" si="169"/>
        <v>1.0005636978579702E-2</v>
      </c>
      <c r="E3556" s="293">
        <v>-1.4396120624336817E-2</v>
      </c>
      <c r="F3556" s="266">
        <f t="shared" si="171"/>
        <v>3549</v>
      </c>
      <c r="G3556" s="230">
        <f t="shared" ca="1" si="170"/>
        <v>-1.1830721455248463E-2</v>
      </c>
    </row>
    <row r="3557" spans="2:7" x14ac:dyDescent="0.25">
      <c r="B3557" s="348">
        <v>40341</v>
      </c>
      <c r="C3557" s="293">
        <v>70.959999999999994</v>
      </c>
      <c r="D3557" s="230">
        <f t="shared" si="169"/>
        <v>7.0962248084018853E-3</v>
      </c>
      <c r="E3557" s="293">
        <v>-1.4441542479643577E-2</v>
      </c>
      <c r="F3557" s="266">
        <f t="shared" si="171"/>
        <v>3550</v>
      </c>
      <c r="G3557" s="230">
        <f t="shared" ca="1" si="170"/>
        <v>-6.3342043029636164E-3</v>
      </c>
    </row>
    <row r="3558" spans="2:7" x14ac:dyDescent="0.25">
      <c r="B3558" s="348">
        <v>40249</v>
      </c>
      <c r="C3558" s="293">
        <v>70.459999999999994</v>
      </c>
      <c r="D3558" s="230">
        <f t="shared" si="169"/>
        <v>3.7037037037035425E-3</v>
      </c>
      <c r="E3558" s="293">
        <v>-1.4453348597595728E-2</v>
      </c>
      <c r="F3558" s="266">
        <f t="shared" si="171"/>
        <v>3551</v>
      </c>
      <c r="G3558" s="230">
        <f t="shared" ca="1" si="170"/>
        <v>-1.1736773090589911E-2</v>
      </c>
    </row>
    <row r="3559" spans="2:7" x14ac:dyDescent="0.25">
      <c r="B3559" s="348">
        <v>40221</v>
      </c>
      <c r="C3559" s="293">
        <v>70.2</v>
      </c>
      <c r="D3559" s="230">
        <f t="shared" si="169"/>
        <v>2.7367188643348417E-2</v>
      </c>
      <c r="E3559" s="293">
        <v>-1.4487431985846344E-2</v>
      </c>
      <c r="F3559" s="266">
        <f t="shared" si="171"/>
        <v>3552</v>
      </c>
      <c r="G3559" s="230">
        <f t="shared" ca="1" si="170"/>
        <v>2.5368447456066499E-2</v>
      </c>
    </row>
    <row r="3560" spans="2:7" x14ac:dyDescent="0.25">
      <c r="B3560" s="348">
        <v>40190</v>
      </c>
      <c r="C3560" s="293">
        <v>68.33</v>
      </c>
      <c r="D3560" s="230">
        <f t="shared" si="169"/>
        <v>-1.1715360138848774E-2</v>
      </c>
      <c r="E3560" s="293">
        <v>-1.4504578007433655E-2</v>
      </c>
      <c r="F3560" s="266">
        <f t="shared" si="171"/>
        <v>3553</v>
      </c>
      <c r="G3560" s="230">
        <f t="shared" ca="1" si="170"/>
        <v>-9.2957950505908882E-3</v>
      </c>
    </row>
    <row r="3561" spans="2:7" x14ac:dyDescent="0.25">
      <c r="B3561" s="348" t="s">
        <v>2709</v>
      </c>
      <c r="C3561" s="293">
        <v>69.14</v>
      </c>
      <c r="D3561" s="230">
        <f t="shared" si="169"/>
        <v>4.5038500653784563E-3</v>
      </c>
      <c r="E3561" s="293">
        <v>-1.4506769825918697E-2</v>
      </c>
      <c r="F3561" s="266">
        <f t="shared" si="171"/>
        <v>3554</v>
      </c>
      <c r="G3561" s="230">
        <f t="shared" ca="1" si="170"/>
        <v>1.8602817840037554E-2</v>
      </c>
    </row>
    <row r="3562" spans="2:7" x14ac:dyDescent="0.25">
      <c r="B3562" s="348" t="s">
        <v>2710</v>
      </c>
      <c r="C3562" s="293">
        <v>68.83</v>
      </c>
      <c r="D3562" s="230">
        <f t="shared" si="169"/>
        <v>2.517128388442047E-2</v>
      </c>
      <c r="E3562" s="293">
        <v>-1.4528889954447344E-2</v>
      </c>
      <c r="F3562" s="266">
        <f t="shared" si="171"/>
        <v>3555</v>
      </c>
      <c r="G3562" s="230">
        <f t="shared" ca="1" si="170"/>
        <v>1.7449431042249802E-2</v>
      </c>
    </row>
    <row r="3563" spans="2:7" x14ac:dyDescent="0.25">
      <c r="B3563" s="348" t="s">
        <v>2711</v>
      </c>
      <c r="C3563" s="293">
        <v>67.14</v>
      </c>
      <c r="D3563" s="230">
        <f t="shared" si="169"/>
        <v>2.9877502240813758E-3</v>
      </c>
      <c r="E3563" s="293">
        <v>-1.4533965244865832E-2</v>
      </c>
      <c r="F3563" s="266">
        <f t="shared" si="171"/>
        <v>3556</v>
      </c>
      <c r="G3563" s="230">
        <f t="shared" ca="1" si="170"/>
        <v>-1.4055420639238474E-2</v>
      </c>
    </row>
    <row r="3564" spans="2:7" x14ac:dyDescent="0.25">
      <c r="B3564" s="348" t="s">
        <v>2712</v>
      </c>
      <c r="C3564" s="293">
        <v>66.94</v>
      </c>
      <c r="D3564" s="230">
        <f t="shared" si="169"/>
        <v>-8.4431936009481401E-3</v>
      </c>
      <c r="E3564" s="293">
        <v>-1.4535717701061435E-2</v>
      </c>
      <c r="F3564" s="266">
        <f t="shared" si="171"/>
        <v>3557</v>
      </c>
      <c r="G3564" s="230">
        <f t="shared" ca="1" si="170"/>
        <v>-5.1857816245359789E-3</v>
      </c>
    </row>
    <row r="3565" spans="2:7" x14ac:dyDescent="0.25">
      <c r="B3565" s="348" t="s">
        <v>2713</v>
      </c>
      <c r="C3565" s="293">
        <v>67.510000000000005</v>
      </c>
      <c r="D3565" s="230">
        <f t="shared" si="169"/>
        <v>-1.7607683352735659E-2</v>
      </c>
      <c r="E3565" s="293">
        <v>-1.4586372160866889E-2</v>
      </c>
      <c r="F3565" s="266">
        <f t="shared" si="171"/>
        <v>3558</v>
      </c>
      <c r="G3565" s="230">
        <f t="shared" ca="1" si="170"/>
        <v>-9.4368698940952359E-3</v>
      </c>
    </row>
    <row r="3566" spans="2:7" x14ac:dyDescent="0.25">
      <c r="B3566" s="348" t="s">
        <v>2714</v>
      </c>
      <c r="C3566" s="293">
        <v>68.72</v>
      </c>
      <c r="D3566" s="230">
        <f t="shared" si="169"/>
        <v>-2.9019152640743506E-3</v>
      </c>
      <c r="E3566" s="293">
        <v>-1.4633161772126368E-2</v>
      </c>
      <c r="F3566" s="266">
        <f t="shared" si="171"/>
        <v>3559</v>
      </c>
      <c r="G3566" s="230">
        <f t="shared" ca="1" si="170"/>
        <v>2.5319778432873898E-2</v>
      </c>
    </row>
    <row r="3567" spans="2:7" x14ac:dyDescent="0.25">
      <c r="B3567" s="348" t="s">
        <v>2715</v>
      </c>
      <c r="C3567" s="293">
        <v>68.92</v>
      </c>
      <c r="D3567" s="230">
        <f t="shared" si="169"/>
        <v>4.3451930355791202E-2</v>
      </c>
      <c r="E3567" s="293">
        <v>-1.4637968002639057E-2</v>
      </c>
      <c r="F3567" s="266">
        <f t="shared" si="171"/>
        <v>3560</v>
      </c>
      <c r="G3567" s="230">
        <f t="shared" ca="1" si="170"/>
        <v>1.237069042606425E-2</v>
      </c>
    </row>
    <row r="3568" spans="2:7" x14ac:dyDescent="0.25">
      <c r="B3568" s="348" t="s">
        <v>2716</v>
      </c>
      <c r="C3568" s="293">
        <v>66.05</v>
      </c>
      <c r="D3568" s="230">
        <f t="shared" si="169"/>
        <v>-4.1920510588917881E-2</v>
      </c>
      <c r="E3568" s="293">
        <v>-1.4643545279383385E-2</v>
      </c>
      <c r="F3568" s="266">
        <f t="shared" si="171"/>
        <v>3561</v>
      </c>
      <c r="G3568" s="230">
        <f t="shared" ca="1" si="170"/>
        <v>-1.5204074324758185E-2</v>
      </c>
    </row>
    <row r="3569" spans="2:7" x14ac:dyDescent="0.25">
      <c r="B3569" s="348" t="s">
        <v>2717</v>
      </c>
      <c r="C3569" s="293">
        <v>68.94</v>
      </c>
      <c r="D3569" s="230">
        <f t="shared" si="169"/>
        <v>-7.9148078860267201E-3</v>
      </c>
      <c r="E3569" s="293">
        <v>-1.46660971094974E-2</v>
      </c>
      <c r="F3569" s="266">
        <f t="shared" si="171"/>
        <v>3562</v>
      </c>
      <c r="G3569" s="230">
        <f t="shared" ca="1" si="170"/>
        <v>-2.7427969292247445E-2</v>
      </c>
    </row>
    <row r="3570" spans="2:7" x14ac:dyDescent="0.25">
      <c r="B3570" s="348" t="s">
        <v>2718</v>
      </c>
      <c r="C3570" s="293">
        <v>69.489999999999995</v>
      </c>
      <c r="D3570" s="230">
        <f t="shared" si="169"/>
        <v>-2.6478005043429564E-2</v>
      </c>
      <c r="E3570" s="293">
        <v>-1.4672364672364657E-2</v>
      </c>
      <c r="F3570" s="266">
        <f t="shared" si="171"/>
        <v>3563</v>
      </c>
      <c r="G3570" s="230">
        <f t="shared" ca="1" si="170"/>
        <v>-2.3637431240283308E-3</v>
      </c>
    </row>
    <row r="3571" spans="2:7" x14ac:dyDescent="0.25">
      <c r="B3571" s="348" t="s">
        <v>2719</v>
      </c>
      <c r="C3571" s="293">
        <v>71.38</v>
      </c>
      <c r="D3571" s="230">
        <f t="shared" si="169"/>
        <v>1.8840993434199094E-2</v>
      </c>
      <c r="E3571" s="293">
        <v>-1.4695077149154967E-2</v>
      </c>
      <c r="F3571" s="266">
        <f t="shared" si="171"/>
        <v>3564</v>
      </c>
      <c r="G3571" s="230">
        <f t="shared" ca="1" si="170"/>
        <v>-8.5330064232699062E-3</v>
      </c>
    </row>
    <row r="3572" spans="2:7" x14ac:dyDescent="0.25">
      <c r="B3572" s="348">
        <v>40523</v>
      </c>
      <c r="C3572" s="293">
        <v>70.06</v>
      </c>
      <c r="D3572" s="230">
        <f t="shared" si="169"/>
        <v>-8.0702251168057737E-3</v>
      </c>
      <c r="E3572" s="293">
        <v>-1.4732965009208066E-2</v>
      </c>
      <c r="F3572" s="266">
        <f t="shared" si="171"/>
        <v>3565</v>
      </c>
      <c r="G3572" s="230">
        <f t="shared" ca="1" si="170"/>
        <v>2.7696936131785567E-3</v>
      </c>
    </row>
    <row r="3573" spans="2:7" x14ac:dyDescent="0.25">
      <c r="B3573" s="348">
        <v>40493</v>
      </c>
      <c r="C3573" s="293">
        <v>70.63</v>
      </c>
      <c r="D3573" s="230">
        <f t="shared" si="169"/>
        <v>-1.8073126650910765E-2</v>
      </c>
      <c r="E3573" s="293">
        <v>-1.4760147601475926E-2</v>
      </c>
      <c r="F3573" s="266">
        <f t="shared" si="171"/>
        <v>3566</v>
      </c>
      <c r="G3573" s="230">
        <f t="shared" ca="1" si="170"/>
        <v>1.6553881694424663E-2</v>
      </c>
    </row>
    <row r="3574" spans="2:7" x14ac:dyDescent="0.25">
      <c r="B3574" s="348">
        <v>40462</v>
      </c>
      <c r="C3574" s="293">
        <v>71.930000000000007</v>
      </c>
      <c r="D3574" s="230">
        <f t="shared" si="169"/>
        <v>1.1389201349831346E-2</v>
      </c>
      <c r="E3574" s="293">
        <v>-1.4793882978723305E-2</v>
      </c>
      <c r="F3574" s="266">
        <f t="shared" si="171"/>
        <v>3567</v>
      </c>
      <c r="G3574" s="230">
        <f t="shared" ca="1" si="170"/>
        <v>3.5536645354532603E-2</v>
      </c>
    </row>
    <row r="3575" spans="2:7" x14ac:dyDescent="0.25">
      <c r="B3575" s="348">
        <v>40432</v>
      </c>
      <c r="C3575" s="293">
        <v>71.12</v>
      </c>
      <c r="D3575" s="230">
        <f t="shared" si="169"/>
        <v>9.852216748769127E-4</v>
      </c>
      <c r="E3575" s="293">
        <v>-1.4813581890812166E-2</v>
      </c>
      <c r="F3575" s="266">
        <f t="shared" si="171"/>
        <v>3568</v>
      </c>
      <c r="G3575" s="230">
        <f t="shared" ca="1" si="170"/>
        <v>1.9173326614984378E-4</v>
      </c>
    </row>
    <row r="3576" spans="2:7" x14ac:dyDescent="0.25">
      <c r="B3576" s="348">
        <v>40401</v>
      </c>
      <c r="C3576" s="293">
        <v>71.05</v>
      </c>
      <c r="D3576" s="230">
        <f t="shared" si="169"/>
        <v>-1.565530617899713E-2</v>
      </c>
      <c r="E3576" s="293">
        <v>-1.4863477725313046E-2</v>
      </c>
      <c r="F3576" s="266">
        <f t="shared" si="171"/>
        <v>3569</v>
      </c>
      <c r="G3576" s="230">
        <f t="shared" ca="1" si="170"/>
        <v>3.0722636719455131E-3</v>
      </c>
    </row>
    <row r="3577" spans="2:7" x14ac:dyDescent="0.25">
      <c r="B3577" s="348">
        <v>40309</v>
      </c>
      <c r="C3577" s="293">
        <v>72.180000000000007</v>
      </c>
      <c r="D3577" s="230">
        <f t="shared" si="169"/>
        <v>3.0572540300168871E-3</v>
      </c>
      <c r="E3577" s="293">
        <v>-1.4871306005719731E-2</v>
      </c>
      <c r="F3577" s="266">
        <f t="shared" si="171"/>
        <v>3570</v>
      </c>
      <c r="G3577" s="230">
        <f t="shared" ca="1" si="170"/>
        <v>8.9215149577987745E-3</v>
      </c>
    </row>
    <row r="3578" spans="2:7" x14ac:dyDescent="0.25">
      <c r="B3578" s="348">
        <v>40279</v>
      </c>
      <c r="C3578" s="293">
        <v>71.959999999999994</v>
      </c>
      <c r="D3578" s="230">
        <f t="shared" si="169"/>
        <v>4.607008236772181E-3</v>
      </c>
      <c r="E3578" s="293">
        <v>-1.4903706571179676E-2</v>
      </c>
      <c r="F3578" s="266">
        <f t="shared" si="171"/>
        <v>3571</v>
      </c>
      <c r="G3578" s="230">
        <f t="shared" ca="1" si="170"/>
        <v>4.4228134757108115E-2</v>
      </c>
    </row>
    <row r="3579" spans="2:7" x14ac:dyDescent="0.25">
      <c r="B3579" s="348">
        <v>40248</v>
      </c>
      <c r="C3579" s="293">
        <v>71.63</v>
      </c>
      <c r="D3579" s="230">
        <f t="shared" si="169"/>
        <v>1.9583158483704732E-3</v>
      </c>
      <c r="E3579" s="293">
        <v>-1.4904259081493509E-2</v>
      </c>
      <c r="F3579" s="266">
        <f t="shared" si="171"/>
        <v>3572</v>
      </c>
      <c r="G3579" s="230">
        <f t="shared" ca="1" si="170"/>
        <v>3.3396310933369602E-2</v>
      </c>
    </row>
    <row r="3580" spans="2:7" x14ac:dyDescent="0.25">
      <c r="B3580" s="348">
        <v>40220</v>
      </c>
      <c r="C3580" s="293">
        <v>71.489999999999995</v>
      </c>
      <c r="D3580" s="230">
        <f t="shared" si="169"/>
        <v>2.4065320154705416E-2</v>
      </c>
      <c r="E3580" s="293">
        <v>-1.4914243102162605E-2</v>
      </c>
      <c r="F3580" s="266">
        <f t="shared" si="171"/>
        <v>3573</v>
      </c>
      <c r="G3580" s="230">
        <f t="shared" ca="1" si="170"/>
        <v>-1.5052010068165511E-2</v>
      </c>
    </row>
    <row r="3581" spans="2:7" x14ac:dyDescent="0.25">
      <c r="B3581" s="348">
        <v>40189</v>
      </c>
      <c r="C3581" s="293">
        <v>69.81</v>
      </c>
      <c r="D3581" s="230">
        <f t="shared" si="169"/>
        <v>9.3984962406015171E-3</v>
      </c>
      <c r="E3581" s="293">
        <v>-1.4996395097332305E-2</v>
      </c>
      <c r="F3581" s="266">
        <f t="shared" si="171"/>
        <v>3574</v>
      </c>
      <c r="G3581" s="230">
        <f t="shared" ca="1" si="170"/>
        <v>1.8200627864795503E-2</v>
      </c>
    </row>
    <row r="3582" spans="2:7" x14ac:dyDescent="0.25">
      <c r="B3582" s="348" t="s">
        <v>2720</v>
      </c>
      <c r="C3582" s="293">
        <v>69.16</v>
      </c>
      <c r="D3582" s="230">
        <f t="shared" si="169"/>
        <v>-1.7194827341196595E-2</v>
      </c>
      <c r="E3582" s="293">
        <v>-1.500094643195149E-2</v>
      </c>
      <c r="F3582" s="266">
        <f t="shared" si="171"/>
        <v>3575</v>
      </c>
      <c r="G3582" s="230">
        <f t="shared" ca="1" si="170"/>
        <v>1.6650692498031687E-2</v>
      </c>
    </row>
    <row r="3583" spans="2:7" x14ac:dyDescent="0.25">
      <c r="B3583" s="348" t="s">
        <v>2721</v>
      </c>
      <c r="C3583" s="293">
        <v>70.37</v>
      </c>
      <c r="D3583" s="230">
        <f t="shared" si="169"/>
        <v>-8.5939701324316831E-3</v>
      </c>
      <c r="E3583" s="293">
        <v>-1.5031722791605695E-2</v>
      </c>
      <c r="F3583" s="266">
        <f t="shared" si="171"/>
        <v>3576</v>
      </c>
      <c r="G3583" s="230">
        <f t="shared" ca="1" si="170"/>
        <v>1.7329260705067212E-2</v>
      </c>
    </row>
    <row r="3584" spans="2:7" x14ac:dyDescent="0.25">
      <c r="B3584" s="348" t="s">
        <v>2722</v>
      </c>
      <c r="C3584" s="293">
        <v>70.98</v>
      </c>
      <c r="D3584" s="230">
        <f t="shared" si="169"/>
        <v>8.4602368866337763E-4</v>
      </c>
      <c r="E3584" s="293">
        <v>-1.507338357794541E-2</v>
      </c>
      <c r="F3584" s="266">
        <f t="shared" si="171"/>
        <v>3577</v>
      </c>
      <c r="G3584" s="230">
        <f t="shared" ca="1" si="170"/>
        <v>-2.4065101819110164E-3</v>
      </c>
    </row>
    <row r="3585" spans="2:7" x14ac:dyDescent="0.25">
      <c r="B3585" s="348" t="s">
        <v>2723</v>
      </c>
      <c r="C3585" s="293">
        <v>70.92</v>
      </c>
      <c r="D3585" s="230">
        <f t="shared" si="169"/>
        <v>1.410238330279423E-4</v>
      </c>
      <c r="E3585" s="293">
        <v>-1.511325659116225E-2</v>
      </c>
      <c r="F3585" s="266">
        <f t="shared" si="171"/>
        <v>3578</v>
      </c>
      <c r="G3585" s="230">
        <f t="shared" ca="1" si="170"/>
        <v>-4.6312780529417872E-3</v>
      </c>
    </row>
    <row r="3586" spans="2:7" x14ac:dyDescent="0.25">
      <c r="B3586" s="348" t="s">
        <v>2724</v>
      </c>
      <c r="C3586" s="293">
        <v>70.91</v>
      </c>
      <c r="D3586" s="230">
        <f t="shared" si="169"/>
        <v>-4.1368122211707492E-2</v>
      </c>
      <c r="E3586" s="293">
        <v>-1.5138612924590733E-2</v>
      </c>
      <c r="F3586" s="266">
        <f t="shared" si="171"/>
        <v>3579</v>
      </c>
      <c r="G3586" s="230">
        <f t="shared" ca="1" si="170"/>
        <v>5.8674035690249017E-2</v>
      </c>
    </row>
    <row r="3587" spans="2:7" x14ac:dyDescent="0.25">
      <c r="B3587" s="348" t="s">
        <v>2725</v>
      </c>
      <c r="C3587" s="293">
        <v>73.97</v>
      </c>
      <c r="D3587" s="230">
        <f t="shared" si="169"/>
        <v>-4.5178778882147941E-2</v>
      </c>
      <c r="E3587" s="293">
        <v>-1.5167119183597033E-2</v>
      </c>
      <c r="F3587" s="266">
        <f t="shared" si="171"/>
        <v>3580</v>
      </c>
      <c r="G3587" s="230">
        <f t="shared" ca="1" si="170"/>
        <v>-1.3606642860137795E-2</v>
      </c>
    </row>
    <row r="3588" spans="2:7" x14ac:dyDescent="0.25">
      <c r="B3588" s="348" t="s">
        <v>2726</v>
      </c>
      <c r="C3588" s="293">
        <v>77.47</v>
      </c>
      <c r="D3588" s="230">
        <f t="shared" si="169"/>
        <v>1.3342053629823436E-2</v>
      </c>
      <c r="E3588" s="293">
        <v>-1.5270049784545936E-2</v>
      </c>
      <c r="F3588" s="266">
        <f t="shared" si="171"/>
        <v>3581</v>
      </c>
      <c r="G3588" s="230">
        <f t="shared" ca="1" si="170"/>
        <v>-3.2387294665477948E-2</v>
      </c>
    </row>
    <row r="3589" spans="2:7" x14ac:dyDescent="0.25">
      <c r="B3589" s="348" t="s">
        <v>2727</v>
      </c>
      <c r="C3589" s="293">
        <v>76.45</v>
      </c>
      <c r="D3589" s="230">
        <f t="shared" si="169"/>
        <v>-1.175855761693323E-3</v>
      </c>
      <c r="E3589" s="293">
        <v>-1.5322912381735887E-2</v>
      </c>
      <c r="F3589" s="266">
        <f t="shared" si="171"/>
        <v>3582</v>
      </c>
      <c r="G3589" s="230">
        <f t="shared" ca="1" si="170"/>
        <v>-2.3214065909748879E-2</v>
      </c>
    </row>
    <row r="3590" spans="2:7" x14ac:dyDescent="0.25">
      <c r="B3590" s="348" t="s">
        <v>2728</v>
      </c>
      <c r="C3590" s="293">
        <v>76.540000000000006</v>
      </c>
      <c r="D3590" s="230">
        <f t="shared" si="169"/>
        <v>-7.1345180957321785E-3</v>
      </c>
      <c r="E3590" s="293">
        <v>-1.5328736764343764E-2</v>
      </c>
      <c r="F3590" s="266">
        <f t="shared" si="171"/>
        <v>3583</v>
      </c>
      <c r="G3590" s="230">
        <f t="shared" ca="1" si="170"/>
        <v>2.4881391803707751E-3</v>
      </c>
    </row>
    <row r="3591" spans="2:7" x14ac:dyDescent="0.25">
      <c r="B3591" s="348" t="s">
        <v>2729</v>
      </c>
      <c r="C3591" s="293">
        <v>77.09</v>
      </c>
      <c r="D3591" s="230">
        <f t="shared" si="169"/>
        <v>-1.179335982566343E-2</v>
      </c>
      <c r="E3591" s="293">
        <v>-1.5334947538337418E-2</v>
      </c>
      <c r="F3591" s="266">
        <f t="shared" si="171"/>
        <v>3584</v>
      </c>
      <c r="G3591" s="230">
        <f t="shared" ca="1" si="170"/>
        <v>1.3755681046240881E-2</v>
      </c>
    </row>
    <row r="3592" spans="2:7" x14ac:dyDescent="0.25">
      <c r="B3592" s="348" t="s">
        <v>2730</v>
      </c>
      <c r="C3592" s="293">
        <v>78.010000000000005</v>
      </c>
      <c r="D3592" s="230">
        <f t="shared" si="169"/>
        <v>-3.4649177082044291E-2</v>
      </c>
      <c r="E3592" s="293">
        <v>-1.5353329944077232E-2</v>
      </c>
      <c r="F3592" s="266">
        <f t="shared" si="171"/>
        <v>3585</v>
      </c>
      <c r="G3592" s="230">
        <f t="shared" ca="1" si="170"/>
        <v>1.9771612602020408E-3</v>
      </c>
    </row>
    <row r="3593" spans="2:7" x14ac:dyDescent="0.25">
      <c r="B3593" s="348" t="s">
        <v>2731</v>
      </c>
      <c r="C3593" s="293">
        <v>80.81</v>
      </c>
      <c r="D3593" s="230">
        <f t="shared" ref="D3593:D3656" si="172">C3593/C3594-1</f>
        <v>1.4563716258631398E-2</v>
      </c>
      <c r="E3593" s="293">
        <v>-1.5363574196489704E-2</v>
      </c>
      <c r="F3593" s="266">
        <f t="shared" si="171"/>
        <v>3586</v>
      </c>
      <c r="G3593" s="230">
        <f t="shared" ref="G3593:G3656" ca="1" si="173">_xlfn.NORM.INV(RAND(),$M$10,$M$11)</f>
        <v>-1.3307672881044789E-2</v>
      </c>
    </row>
    <row r="3594" spans="2:7" x14ac:dyDescent="0.25">
      <c r="B3594" s="348" t="s">
        <v>2732</v>
      </c>
      <c r="C3594" s="293">
        <v>79.650000000000006</v>
      </c>
      <c r="D3594" s="230">
        <f t="shared" si="172"/>
        <v>4.3085385018334366E-2</v>
      </c>
      <c r="E3594" s="293">
        <v>-1.5378334240609859E-2</v>
      </c>
      <c r="F3594" s="266">
        <f t="shared" ref="F3594:F3657" si="174">F3593+1</f>
        <v>3587</v>
      </c>
      <c r="G3594" s="230">
        <f t="shared" ca="1" si="173"/>
        <v>4.4126366573165828E-2</v>
      </c>
    </row>
    <row r="3595" spans="2:7" x14ac:dyDescent="0.25">
      <c r="B3595" s="348">
        <v>40522</v>
      </c>
      <c r="C3595" s="293">
        <v>76.36</v>
      </c>
      <c r="D3595" s="230">
        <f t="shared" si="172"/>
        <v>-5.2356020942412318E-4</v>
      </c>
      <c r="E3595" s="293">
        <v>-1.5398886827458158E-2</v>
      </c>
      <c r="F3595" s="266">
        <f t="shared" si="174"/>
        <v>3588</v>
      </c>
      <c r="G3595" s="230">
        <f t="shared" ca="1" si="173"/>
        <v>-4.451511734193473E-2</v>
      </c>
    </row>
    <row r="3596" spans="2:7" x14ac:dyDescent="0.25">
      <c r="B3596" s="348">
        <v>40492</v>
      </c>
      <c r="C3596" s="293">
        <v>76.400000000000006</v>
      </c>
      <c r="D3596" s="230">
        <f t="shared" si="172"/>
        <v>2.4931111402703987E-3</v>
      </c>
      <c r="E3596" s="293">
        <v>-1.5404699738903349E-2</v>
      </c>
      <c r="F3596" s="266">
        <f t="shared" si="174"/>
        <v>3589</v>
      </c>
      <c r="G3596" s="230">
        <f t="shared" ca="1" si="173"/>
        <v>1.3153772232594523E-3</v>
      </c>
    </row>
    <row r="3597" spans="2:7" x14ac:dyDescent="0.25">
      <c r="B3597" s="348">
        <v>40400</v>
      </c>
      <c r="C3597" s="293">
        <v>76.209999999999994</v>
      </c>
      <c r="D3597" s="230">
        <f t="shared" si="172"/>
        <v>1.0474675152479351E-2</v>
      </c>
      <c r="E3597" s="293">
        <v>-1.5431063401542988E-2</v>
      </c>
      <c r="F3597" s="266">
        <f t="shared" si="174"/>
        <v>3590</v>
      </c>
      <c r="G3597" s="230">
        <f t="shared" ca="1" si="173"/>
        <v>2.0964588861999443E-2</v>
      </c>
    </row>
    <row r="3598" spans="2:7" x14ac:dyDescent="0.25">
      <c r="B3598" s="348">
        <v>40369</v>
      </c>
      <c r="C3598" s="293">
        <v>75.42</v>
      </c>
      <c r="D3598" s="230">
        <f t="shared" si="172"/>
        <v>-1.5404699738903349E-2</v>
      </c>
      <c r="E3598" s="293">
        <v>-1.5436139442837504E-2</v>
      </c>
      <c r="F3598" s="266">
        <f t="shared" si="174"/>
        <v>3591</v>
      </c>
      <c r="G3598" s="230">
        <f t="shared" ca="1" si="173"/>
        <v>-3.4512403181463244E-2</v>
      </c>
    </row>
    <row r="3599" spans="2:7" x14ac:dyDescent="0.25">
      <c r="B3599" s="348">
        <v>40339</v>
      </c>
      <c r="C3599" s="293">
        <v>76.599999999999994</v>
      </c>
      <c r="D3599" s="230">
        <f t="shared" si="172"/>
        <v>8.1600421163463555E-3</v>
      </c>
      <c r="E3599" s="293">
        <v>-1.5450952209845381E-2</v>
      </c>
      <c r="F3599" s="266">
        <f t="shared" si="174"/>
        <v>3592</v>
      </c>
      <c r="G3599" s="230">
        <f t="shared" ca="1" si="173"/>
        <v>-1.9318120157871273E-2</v>
      </c>
    </row>
    <row r="3600" spans="2:7" x14ac:dyDescent="0.25">
      <c r="B3600" s="348">
        <v>40308</v>
      </c>
      <c r="C3600" s="293">
        <v>75.98</v>
      </c>
      <c r="D3600" s="230">
        <f t="shared" si="172"/>
        <v>-6.7973856209150307E-3</v>
      </c>
      <c r="E3600" s="293">
        <v>-1.5471167369901506E-2</v>
      </c>
      <c r="F3600" s="266">
        <f t="shared" si="174"/>
        <v>3593</v>
      </c>
      <c r="G3600" s="230">
        <f t="shared" ca="1" si="173"/>
        <v>1.2258663395786148E-2</v>
      </c>
    </row>
    <row r="3601" spans="2:7" x14ac:dyDescent="0.25">
      <c r="B3601" s="348">
        <v>40278</v>
      </c>
      <c r="C3601" s="293">
        <v>76.5</v>
      </c>
      <c r="D3601" s="230">
        <f t="shared" si="172"/>
        <v>5.5205047318611644E-3</v>
      </c>
      <c r="E3601" s="293">
        <v>-1.5478056426332265E-2</v>
      </c>
      <c r="F3601" s="266">
        <f t="shared" si="174"/>
        <v>3594</v>
      </c>
      <c r="G3601" s="230">
        <f t="shared" ca="1" si="173"/>
        <v>1.5376158497775252E-2</v>
      </c>
    </row>
    <row r="3602" spans="2:7" x14ac:dyDescent="0.25">
      <c r="B3602" s="348">
        <v>40188</v>
      </c>
      <c r="C3602" s="293">
        <v>76.08</v>
      </c>
      <c r="D3602" s="230">
        <f t="shared" si="172"/>
        <v>2.7275182284633992E-2</v>
      </c>
      <c r="E3602" s="293">
        <v>-1.5481299816063609E-2</v>
      </c>
      <c r="F3602" s="266">
        <f t="shared" si="174"/>
        <v>3595</v>
      </c>
      <c r="G3602" s="230">
        <f t="shared" ca="1" si="173"/>
        <v>3.3078934890911631E-3</v>
      </c>
    </row>
    <row r="3603" spans="2:7" x14ac:dyDescent="0.25">
      <c r="B3603" s="348" t="s">
        <v>2733</v>
      </c>
      <c r="C3603" s="293">
        <v>74.06</v>
      </c>
      <c r="D3603" s="230">
        <f t="shared" si="172"/>
        <v>1.6051584579503286E-2</v>
      </c>
      <c r="E3603" s="293">
        <v>-1.5485687470670917E-2</v>
      </c>
      <c r="F3603" s="266">
        <f t="shared" si="174"/>
        <v>3596</v>
      </c>
      <c r="G3603" s="230">
        <f t="shared" ca="1" si="173"/>
        <v>3.8098249426646767E-2</v>
      </c>
    </row>
    <row r="3604" spans="2:7" x14ac:dyDescent="0.25">
      <c r="B3604" s="348" t="s">
        <v>2734</v>
      </c>
      <c r="C3604" s="293">
        <v>72.89</v>
      </c>
      <c r="D3604" s="230">
        <f t="shared" si="172"/>
        <v>1.9243986254295908E-3</v>
      </c>
      <c r="E3604" s="293">
        <v>-1.5510507718058508E-2</v>
      </c>
      <c r="F3604" s="266">
        <f t="shared" si="174"/>
        <v>3597</v>
      </c>
      <c r="G3604" s="230">
        <f t="shared" ca="1" si="173"/>
        <v>-2.1626471260567201E-2</v>
      </c>
    </row>
    <row r="3605" spans="2:7" x14ac:dyDescent="0.25">
      <c r="B3605" s="348" t="s">
        <v>2735</v>
      </c>
      <c r="C3605" s="293">
        <v>72.75</v>
      </c>
      <c r="D3605" s="230">
        <f t="shared" si="172"/>
        <v>-6.9615069615069913E-3</v>
      </c>
      <c r="E3605" s="293">
        <v>-1.5527519755995978E-2</v>
      </c>
      <c r="F3605" s="266">
        <f t="shared" si="174"/>
        <v>3598</v>
      </c>
      <c r="G3605" s="230">
        <f t="shared" ca="1" si="173"/>
        <v>-6.9509767166485593E-3</v>
      </c>
    </row>
    <row r="3606" spans="2:7" x14ac:dyDescent="0.25">
      <c r="B3606" s="348" t="s">
        <v>2736</v>
      </c>
      <c r="C3606" s="293">
        <v>73.260000000000005</v>
      </c>
      <c r="D3606" s="230">
        <f t="shared" si="172"/>
        <v>-5.4303556882974169E-3</v>
      </c>
      <c r="E3606" s="293">
        <v>-1.5565548253199557E-2</v>
      </c>
      <c r="F3606" s="266">
        <f t="shared" si="174"/>
        <v>3599</v>
      </c>
      <c r="G3606" s="230">
        <f t="shared" ca="1" si="173"/>
        <v>-2.9846583926147084E-3</v>
      </c>
    </row>
    <row r="3607" spans="2:7" x14ac:dyDescent="0.25">
      <c r="B3607" s="348" t="s">
        <v>2737</v>
      </c>
      <c r="C3607" s="293">
        <v>73.66</v>
      </c>
      <c r="D3607" s="230">
        <f t="shared" si="172"/>
        <v>8.7647219939741561E-3</v>
      </c>
      <c r="E3607" s="293">
        <v>-1.5565817464847198E-2</v>
      </c>
      <c r="F3607" s="266">
        <f t="shared" si="174"/>
        <v>3600</v>
      </c>
      <c r="G3607" s="230">
        <f t="shared" ca="1" si="173"/>
        <v>1.8718012651151576E-2</v>
      </c>
    </row>
    <row r="3608" spans="2:7" x14ac:dyDescent="0.25">
      <c r="B3608" s="348" t="s">
        <v>2738</v>
      </c>
      <c r="C3608" s="293">
        <v>73.02</v>
      </c>
      <c r="D3608" s="230">
        <f t="shared" si="172"/>
        <v>8.0066261733848787E-3</v>
      </c>
      <c r="E3608" s="293">
        <v>-1.5573770491803196E-2</v>
      </c>
      <c r="F3608" s="266">
        <f t="shared" si="174"/>
        <v>3601</v>
      </c>
      <c r="G3608" s="230">
        <f t="shared" ca="1" si="173"/>
        <v>2.2848427147005204E-2</v>
      </c>
    </row>
    <row r="3609" spans="2:7" x14ac:dyDescent="0.25">
      <c r="B3609" s="348" t="s">
        <v>2739</v>
      </c>
      <c r="C3609" s="293">
        <v>72.44</v>
      </c>
      <c r="D3609" s="230">
        <f t="shared" si="172"/>
        <v>9.8982294716296604E-3</v>
      </c>
      <c r="E3609" s="293">
        <v>-1.5581823764200142E-2</v>
      </c>
      <c r="F3609" s="266">
        <f t="shared" si="174"/>
        <v>3602</v>
      </c>
      <c r="G3609" s="230">
        <f t="shared" ca="1" si="173"/>
        <v>-2.3128245624794236E-2</v>
      </c>
    </row>
    <row r="3610" spans="2:7" x14ac:dyDescent="0.25">
      <c r="B3610" s="348" t="s">
        <v>2740</v>
      </c>
      <c r="C3610" s="293">
        <v>71.73</v>
      </c>
      <c r="D3610" s="230">
        <f t="shared" si="172"/>
        <v>3.5662720184810759E-2</v>
      </c>
      <c r="E3610" s="293">
        <v>-1.5621609893686439E-2</v>
      </c>
      <c r="F3610" s="266">
        <f t="shared" si="174"/>
        <v>3603</v>
      </c>
      <c r="G3610" s="230">
        <f t="shared" ca="1" si="173"/>
        <v>3.5429565059378588E-3</v>
      </c>
    </row>
    <row r="3611" spans="2:7" x14ac:dyDescent="0.25">
      <c r="B3611" s="348" t="s">
        <v>2741</v>
      </c>
      <c r="C3611" s="293">
        <v>69.260000000000005</v>
      </c>
      <c r="D3611" s="230">
        <f t="shared" si="172"/>
        <v>1.4440433213014359E-4</v>
      </c>
      <c r="E3611" s="293">
        <v>-1.5624055605923171E-2</v>
      </c>
      <c r="F3611" s="266">
        <f t="shared" si="174"/>
        <v>3604</v>
      </c>
      <c r="G3611" s="230">
        <f t="shared" ca="1" si="173"/>
        <v>6.4507603065430356E-3</v>
      </c>
    </row>
    <row r="3612" spans="2:7" x14ac:dyDescent="0.25">
      <c r="B3612" s="348" t="s">
        <v>2742</v>
      </c>
      <c r="C3612" s="293">
        <v>69.25</v>
      </c>
      <c r="D3612" s="230">
        <f t="shared" si="172"/>
        <v>-7.4530600544646664E-3</v>
      </c>
      <c r="E3612" s="293">
        <v>-1.565530617899713E-2</v>
      </c>
      <c r="F3612" s="266">
        <f t="shared" si="174"/>
        <v>3605</v>
      </c>
      <c r="G3612" s="230">
        <f t="shared" ca="1" si="173"/>
        <v>4.3798856787229772E-3</v>
      </c>
    </row>
    <row r="3613" spans="2:7" x14ac:dyDescent="0.25">
      <c r="B3613" s="348" t="s">
        <v>2743</v>
      </c>
      <c r="C3613" s="293">
        <v>69.77</v>
      </c>
      <c r="D3613" s="230">
        <f t="shared" si="172"/>
        <v>-1.0775556500779881E-2</v>
      </c>
      <c r="E3613" s="293">
        <v>-1.5665052691540837E-2</v>
      </c>
      <c r="F3613" s="266">
        <f t="shared" si="174"/>
        <v>3606</v>
      </c>
      <c r="G3613" s="230">
        <f t="shared" ca="1" si="173"/>
        <v>-9.4162055291849272E-3</v>
      </c>
    </row>
    <row r="3614" spans="2:7" x14ac:dyDescent="0.25">
      <c r="B3614" s="348" t="s">
        <v>2744</v>
      </c>
      <c r="C3614" s="293">
        <v>70.53</v>
      </c>
      <c r="D3614" s="230">
        <f t="shared" si="172"/>
        <v>2.4252105721754402E-2</v>
      </c>
      <c r="E3614" s="293">
        <v>-1.5718434990602992E-2</v>
      </c>
      <c r="F3614" s="266">
        <f t="shared" si="174"/>
        <v>3607</v>
      </c>
      <c r="G3614" s="230">
        <f t="shared" ca="1" si="173"/>
        <v>-1.8082906654234968E-2</v>
      </c>
    </row>
    <row r="3615" spans="2:7" x14ac:dyDescent="0.25">
      <c r="B3615" s="348" t="s">
        <v>2745</v>
      </c>
      <c r="C3615" s="293">
        <v>68.86</v>
      </c>
      <c r="D3615" s="230">
        <f t="shared" si="172"/>
        <v>3.6423841059602724E-2</v>
      </c>
      <c r="E3615" s="293">
        <v>-1.5719696969696884E-2</v>
      </c>
      <c r="F3615" s="266">
        <f t="shared" si="174"/>
        <v>3608</v>
      </c>
      <c r="G3615" s="230">
        <f t="shared" ca="1" si="173"/>
        <v>2.1470227640184185E-2</v>
      </c>
    </row>
    <row r="3616" spans="2:7" x14ac:dyDescent="0.25">
      <c r="B3616" s="348" t="s">
        <v>2746</v>
      </c>
      <c r="C3616" s="293">
        <v>66.44</v>
      </c>
      <c r="D3616" s="230">
        <f t="shared" si="172"/>
        <v>-1.1750706529823129E-2</v>
      </c>
      <c r="E3616" s="293">
        <v>-1.5745007680491585E-2</v>
      </c>
      <c r="F3616" s="266">
        <f t="shared" si="174"/>
        <v>3609</v>
      </c>
      <c r="G3616" s="230">
        <f t="shared" ca="1" si="173"/>
        <v>-1.1071972328672917E-3</v>
      </c>
    </row>
    <row r="3617" spans="2:7" x14ac:dyDescent="0.25">
      <c r="B3617" s="348">
        <v>40430</v>
      </c>
      <c r="C3617" s="293">
        <v>67.23</v>
      </c>
      <c r="D3617" s="230">
        <f t="shared" si="172"/>
        <v>-6.2084257206208582E-3</v>
      </c>
      <c r="E3617" s="293">
        <v>-1.5754595090234691E-2</v>
      </c>
      <c r="F3617" s="266">
        <f t="shared" si="174"/>
        <v>3610</v>
      </c>
      <c r="G3617" s="230">
        <f t="shared" ca="1" si="173"/>
        <v>-3.8705770404918537E-2</v>
      </c>
    </row>
    <row r="3618" spans="2:7" x14ac:dyDescent="0.25">
      <c r="B3618" s="348">
        <v>40399</v>
      </c>
      <c r="C3618" s="293">
        <v>67.650000000000006</v>
      </c>
      <c r="D3618" s="230">
        <f t="shared" si="172"/>
        <v>5.6488776572025667E-3</v>
      </c>
      <c r="E3618" s="293">
        <v>-1.5759930915371312E-2</v>
      </c>
      <c r="F3618" s="266">
        <f t="shared" si="174"/>
        <v>3611</v>
      </c>
      <c r="G3618" s="230">
        <f t="shared" ca="1" si="173"/>
        <v>-2.016419461053065E-2</v>
      </c>
    </row>
    <row r="3619" spans="2:7" x14ac:dyDescent="0.25">
      <c r="B3619" s="348">
        <v>40368</v>
      </c>
      <c r="C3619" s="293">
        <v>67.27</v>
      </c>
      <c r="D3619" s="230">
        <f t="shared" si="172"/>
        <v>7.4883929908642344E-3</v>
      </c>
      <c r="E3619" s="293">
        <v>-1.5762567452428322E-2</v>
      </c>
      <c r="F3619" s="266">
        <f t="shared" si="174"/>
        <v>3612</v>
      </c>
      <c r="G3619" s="230">
        <f t="shared" ca="1" si="173"/>
        <v>-1.0346271661377348E-2</v>
      </c>
    </row>
    <row r="3620" spans="2:7" x14ac:dyDescent="0.25">
      <c r="B3620" s="348">
        <v>40338</v>
      </c>
      <c r="C3620" s="293">
        <v>66.77</v>
      </c>
      <c r="D3620" s="230">
        <f t="shared" si="172"/>
        <v>9.8306110102841515E-3</v>
      </c>
      <c r="E3620" s="293">
        <v>-1.5767019105917157E-2</v>
      </c>
      <c r="F3620" s="266">
        <f t="shared" si="174"/>
        <v>3613</v>
      </c>
      <c r="G3620" s="230">
        <f t="shared" ca="1" si="173"/>
        <v>-1.3597767194201018E-2</v>
      </c>
    </row>
    <row r="3621" spans="2:7" x14ac:dyDescent="0.25">
      <c r="B3621" s="348">
        <v>40246</v>
      </c>
      <c r="C3621" s="293">
        <v>66.12</v>
      </c>
      <c r="D3621" s="230">
        <f t="shared" si="172"/>
        <v>-5.4151624548736121E-3</v>
      </c>
      <c r="E3621" s="293">
        <v>-1.5767072934803616E-2</v>
      </c>
      <c r="F3621" s="266">
        <f t="shared" si="174"/>
        <v>3614</v>
      </c>
      <c r="G3621" s="230">
        <f t="shared" ca="1" si="173"/>
        <v>-3.2578516542346491E-3</v>
      </c>
    </row>
    <row r="3622" spans="2:7" x14ac:dyDescent="0.25">
      <c r="B3622" s="348">
        <v>40218</v>
      </c>
      <c r="C3622" s="293">
        <v>66.48</v>
      </c>
      <c r="D3622" s="230">
        <f t="shared" si="172"/>
        <v>-1.5039855617371423E-4</v>
      </c>
      <c r="E3622" s="293">
        <v>-1.5793528505392951E-2</v>
      </c>
      <c r="F3622" s="266">
        <f t="shared" si="174"/>
        <v>3615</v>
      </c>
      <c r="G3622" s="230">
        <f t="shared" ca="1" si="173"/>
        <v>1.3088622170803125E-2</v>
      </c>
    </row>
    <row r="3623" spans="2:7" x14ac:dyDescent="0.25">
      <c r="B3623" s="348">
        <v>40187</v>
      </c>
      <c r="C3623" s="293">
        <v>66.489999999999995</v>
      </c>
      <c r="D3623" s="230">
        <f t="shared" si="172"/>
        <v>8.1880212282030573E-3</v>
      </c>
      <c r="E3623" s="293">
        <v>-1.5823799850315456E-2</v>
      </c>
      <c r="F3623" s="266">
        <f t="shared" si="174"/>
        <v>3616</v>
      </c>
      <c r="G3623" s="230">
        <f t="shared" ca="1" si="173"/>
        <v>9.9428866319200247E-3</v>
      </c>
    </row>
    <row r="3624" spans="2:7" x14ac:dyDescent="0.25">
      <c r="B3624" s="348" t="s">
        <v>2747</v>
      </c>
      <c r="C3624" s="293">
        <v>65.95</v>
      </c>
      <c r="D3624" s="230">
        <f t="shared" si="172"/>
        <v>5.6419640134188764E-3</v>
      </c>
      <c r="E3624" s="293">
        <v>-1.5895724050230542E-2</v>
      </c>
      <c r="F3624" s="266">
        <f t="shared" si="174"/>
        <v>3617</v>
      </c>
      <c r="G3624" s="230">
        <f t="shared" ca="1" si="173"/>
        <v>-6.92004783210033E-3</v>
      </c>
    </row>
    <row r="3625" spans="2:7" x14ac:dyDescent="0.25">
      <c r="B3625" s="348" t="s">
        <v>2748</v>
      </c>
      <c r="C3625" s="293">
        <v>65.58</v>
      </c>
      <c r="D3625" s="230">
        <f t="shared" si="172"/>
        <v>2.5989909799724042E-3</v>
      </c>
      <c r="E3625" s="293">
        <v>-1.589637915808062E-2</v>
      </c>
      <c r="F3625" s="266">
        <f t="shared" si="174"/>
        <v>3618</v>
      </c>
      <c r="G3625" s="230">
        <f t="shared" ca="1" si="173"/>
        <v>1.3978414026283904E-2</v>
      </c>
    </row>
    <row r="3626" spans="2:7" x14ac:dyDescent="0.25">
      <c r="B3626" s="348" t="s">
        <v>2749</v>
      </c>
      <c r="C3626" s="293">
        <v>65.41</v>
      </c>
      <c r="D3626" s="230">
        <f t="shared" si="172"/>
        <v>-7.1341833636915375E-3</v>
      </c>
      <c r="E3626" s="293">
        <v>-1.5908400040530846E-2</v>
      </c>
      <c r="F3626" s="266">
        <f t="shared" si="174"/>
        <v>3619</v>
      </c>
      <c r="G3626" s="230">
        <f t="shared" ca="1" si="173"/>
        <v>-1.3153160999123661E-2</v>
      </c>
    </row>
    <row r="3627" spans="2:7" x14ac:dyDescent="0.25">
      <c r="B3627" s="348" t="s">
        <v>2750</v>
      </c>
      <c r="C3627" s="293">
        <v>65.88</v>
      </c>
      <c r="D3627" s="230">
        <f t="shared" si="172"/>
        <v>7.5953212820900617E-4</v>
      </c>
      <c r="E3627" s="293">
        <v>-1.5921078335612404E-2</v>
      </c>
      <c r="F3627" s="266">
        <f t="shared" si="174"/>
        <v>3620</v>
      </c>
      <c r="G3627" s="230">
        <f t="shared" ca="1" si="173"/>
        <v>1.8632552614254942E-2</v>
      </c>
    </row>
    <row r="3628" spans="2:7" x14ac:dyDescent="0.25">
      <c r="B3628" s="348" t="s">
        <v>2751</v>
      </c>
      <c r="C3628" s="293">
        <v>65.83</v>
      </c>
      <c r="D3628" s="230">
        <f t="shared" si="172"/>
        <v>-2.0969660916121291E-2</v>
      </c>
      <c r="E3628" s="293">
        <v>-1.5929837121890222E-2</v>
      </c>
      <c r="F3628" s="266">
        <f t="shared" si="174"/>
        <v>3621</v>
      </c>
      <c r="G3628" s="230">
        <f t="shared" ca="1" si="173"/>
        <v>-9.854179264030434E-3</v>
      </c>
    </row>
    <row r="3629" spans="2:7" x14ac:dyDescent="0.25">
      <c r="B3629" s="348" t="s">
        <v>2752</v>
      </c>
      <c r="C3629" s="293">
        <v>67.239999999999995</v>
      </c>
      <c r="D3629" s="230">
        <f t="shared" si="172"/>
        <v>-1.1757789535567498E-2</v>
      </c>
      <c r="E3629" s="293">
        <v>-1.5932133250568969E-2</v>
      </c>
      <c r="F3629" s="266">
        <f t="shared" si="174"/>
        <v>3622</v>
      </c>
      <c r="G3629" s="230">
        <f t="shared" ca="1" si="173"/>
        <v>2.0649913274771508E-3</v>
      </c>
    </row>
    <row r="3630" spans="2:7" x14ac:dyDescent="0.25">
      <c r="B3630" s="348" t="s">
        <v>2753</v>
      </c>
      <c r="C3630" s="293">
        <v>68.040000000000006</v>
      </c>
      <c r="D3630" s="230">
        <f t="shared" si="172"/>
        <v>2.9481132075472871E-3</v>
      </c>
      <c r="E3630" s="293">
        <v>-1.5939337666357134E-2</v>
      </c>
      <c r="F3630" s="266">
        <f t="shared" si="174"/>
        <v>3623</v>
      </c>
      <c r="G3630" s="230">
        <f t="shared" ca="1" si="173"/>
        <v>4.9490219055702538E-3</v>
      </c>
    </row>
    <row r="3631" spans="2:7" x14ac:dyDescent="0.25">
      <c r="B3631" s="348" t="s">
        <v>2754</v>
      </c>
      <c r="C3631" s="293">
        <v>67.84</v>
      </c>
      <c r="D3631" s="230">
        <f t="shared" si="172"/>
        <v>-1.8660494720092458E-2</v>
      </c>
      <c r="E3631" s="293">
        <v>-1.5940994527718244E-2</v>
      </c>
      <c r="F3631" s="266">
        <f t="shared" si="174"/>
        <v>3624</v>
      </c>
      <c r="G3631" s="230">
        <f t="shared" ca="1" si="173"/>
        <v>3.4237215537249892E-2</v>
      </c>
    </row>
    <row r="3632" spans="2:7" x14ac:dyDescent="0.25">
      <c r="B3632" s="348" t="s">
        <v>2755</v>
      </c>
      <c r="C3632" s="293">
        <v>69.13</v>
      </c>
      <c r="D3632" s="230">
        <f t="shared" si="172"/>
        <v>-2.4531024531024848E-3</v>
      </c>
      <c r="E3632" s="293">
        <v>-1.5956372450010137E-2</v>
      </c>
      <c r="F3632" s="266">
        <f t="shared" si="174"/>
        <v>3625</v>
      </c>
      <c r="G3632" s="230">
        <f t="shared" ca="1" si="173"/>
        <v>2.7415369103737965E-3</v>
      </c>
    </row>
    <row r="3633" spans="2:7" x14ac:dyDescent="0.25">
      <c r="B3633" s="348" t="s">
        <v>2756</v>
      </c>
      <c r="C3633" s="293">
        <v>69.3</v>
      </c>
      <c r="D3633" s="230">
        <f t="shared" si="172"/>
        <v>2.1220159151193574E-2</v>
      </c>
      <c r="E3633" s="293">
        <v>-1.5961327982488172E-2</v>
      </c>
      <c r="F3633" s="266">
        <f t="shared" si="174"/>
        <v>3626</v>
      </c>
      <c r="G3633" s="230">
        <f t="shared" ca="1" si="173"/>
        <v>2.4186893651201205E-2</v>
      </c>
    </row>
    <row r="3634" spans="2:7" x14ac:dyDescent="0.25">
      <c r="B3634" s="348" t="s">
        <v>2757</v>
      </c>
      <c r="C3634" s="293">
        <v>67.86</v>
      </c>
      <c r="D3634" s="230">
        <f t="shared" si="172"/>
        <v>-5.5685814771394559E-3</v>
      </c>
      <c r="E3634" s="293">
        <v>-1.5961568262823467E-2</v>
      </c>
      <c r="F3634" s="266">
        <f t="shared" si="174"/>
        <v>3627</v>
      </c>
      <c r="G3634" s="230">
        <f t="shared" ca="1" si="173"/>
        <v>-1.1435774955288061E-2</v>
      </c>
    </row>
    <row r="3635" spans="2:7" x14ac:dyDescent="0.25">
      <c r="B3635" s="348" t="s">
        <v>2758</v>
      </c>
      <c r="C3635" s="293">
        <v>68.239999999999995</v>
      </c>
      <c r="D3635" s="230">
        <f t="shared" si="172"/>
        <v>-2.0473822755191495E-3</v>
      </c>
      <c r="E3635" s="293">
        <v>-1.596897456370483E-2</v>
      </c>
      <c r="F3635" s="266">
        <f t="shared" si="174"/>
        <v>3628</v>
      </c>
      <c r="G3635" s="230">
        <f t="shared" ca="1" si="173"/>
        <v>2.4908744939317787E-2</v>
      </c>
    </row>
    <row r="3636" spans="2:7" x14ac:dyDescent="0.25">
      <c r="B3636" s="348" t="s">
        <v>2759</v>
      </c>
      <c r="C3636" s="293">
        <v>68.38</v>
      </c>
      <c r="D3636" s="230">
        <f t="shared" si="172"/>
        <v>8.1085065605188689E-3</v>
      </c>
      <c r="E3636" s="293">
        <v>-1.5975310883180605E-2</v>
      </c>
      <c r="F3636" s="266">
        <f t="shared" si="174"/>
        <v>3629</v>
      </c>
      <c r="G3636" s="230">
        <f t="shared" ca="1" si="173"/>
        <v>-2.6789211462536554E-3</v>
      </c>
    </row>
    <row r="3637" spans="2:7" x14ac:dyDescent="0.25">
      <c r="B3637" s="348">
        <v>40520</v>
      </c>
      <c r="C3637" s="293">
        <v>67.83</v>
      </c>
      <c r="D3637" s="230">
        <f t="shared" si="172"/>
        <v>-1.7383746197305538E-2</v>
      </c>
      <c r="E3637" s="293">
        <v>-1.6016016016016099E-2</v>
      </c>
      <c r="F3637" s="266">
        <f t="shared" si="174"/>
        <v>3630</v>
      </c>
      <c r="G3637" s="230">
        <f t="shared" ca="1" si="173"/>
        <v>3.0607625477167159E-2</v>
      </c>
    </row>
    <row r="3638" spans="2:7" x14ac:dyDescent="0.25">
      <c r="B3638" s="348">
        <v>40490</v>
      </c>
      <c r="C3638" s="293">
        <v>69.03</v>
      </c>
      <c r="D3638" s="230">
        <f t="shared" si="172"/>
        <v>-2.0712157752872606E-2</v>
      </c>
      <c r="E3638" s="293">
        <v>-1.6030874276384166E-2</v>
      </c>
      <c r="F3638" s="266">
        <f t="shared" si="174"/>
        <v>3631</v>
      </c>
      <c r="G3638" s="230">
        <f t="shared" ca="1" si="173"/>
        <v>-2.3552987796356784E-2</v>
      </c>
    </row>
    <row r="3639" spans="2:7" x14ac:dyDescent="0.25">
      <c r="B3639" s="348">
        <v>40459</v>
      </c>
      <c r="C3639" s="293">
        <v>70.489999999999995</v>
      </c>
      <c r="D3639" s="230">
        <f t="shared" si="172"/>
        <v>-2.0972222222222281E-2</v>
      </c>
      <c r="E3639" s="293">
        <v>-1.6037097864940675E-2</v>
      </c>
      <c r="F3639" s="266">
        <f t="shared" si="174"/>
        <v>3632</v>
      </c>
      <c r="G3639" s="230">
        <f t="shared" ca="1" si="173"/>
        <v>1.2006845733597366E-2</v>
      </c>
    </row>
    <row r="3640" spans="2:7" x14ac:dyDescent="0.25">
      <c r="B3640" s="348">
        <v>40429</v>
      </c>
      <c r="C3640" s="293">
        <v>72</v>
      </c>
      <c r="D3640" s="230">
        <f t="shared" si="172"/>
        <v>9.25147182506314E-3</v>
      </c>
      <c r="E3640" s="293">
        <v>-1.6048537038849231E-2</v>
      </c>
      <c r="F3640" s="266">
        <f t="shared" si="174"/>
        <v>3633</v>
      </c>
      <c r="G3640" s="230">
        <f t="shared" ca="1" si="173"/>
        <v>1.9473102932709284E-2</v>
      </c>
    </row>
    <row r="3641" spans="2:7" x14ac:dyDescent="0.25">
      <c r="B3641" s="348">
        <v>40337</v>
      </c>
      <c r="C3641" s="293">
        <v>71.34</v>
      </c>
      <c r="D3641" s="230">
        <f t="shared" si="172"/>
        <v>4.0816326530612734E-3</v>
      </c>
      <c r="E3641" s="293">
        <v>-1.6063111871495117E-2</v>
      </c>
      <c r="F3641" s="266">
        <f t="shared" si="174"/>
        <v>3634</v>
      </c>
      <c r="G3641" s="230">
        <f t="shared" ca="1" si="173"/>
        <v>-4.931691849454111E-4</v>
      </c>
    </row>
    <row r="3642" spans="2:7" x14ac:dyDescent="0.25">
      <c r="B3642" s="348">
        <v>40306</v>
      </c>
      <c r="C3642" s="293">
        <v>71.05</v>
      </c>
      <c r="D3642" s="230">
        <f t="shared" si="172"/>
        <v>5.6617126680820196E-3</v>
      </c>
      <c r="E3642" s="293">
        <v>-1.6149068322981353E-2</v>
      </c>
      <c r="F3642" s="266">
        <f t="shared" si="174"/>
        <v>3635</v>
      </c>
      <c r="G3642" s="230">
        <f t="shared" ca="1" si="173"/>
        <v>-1.4920769251541822E-2</v>
      </c>
    </row>
    <row r="3643" spans="2:7" x14ac:dyDescent="0.25">
      <c r="B3643" s="348">
        <v>40276</v>
      </c>
      <c r="C3643" s="293">
        <v>70.650000000000006</v>
      </c>
      <c r="D3643" s="230">
        <f t="shared" si="172"/>
        <v>4.0807307012374894E-2</v>
      </c>
      <c r="E3643" s="293">
        <v>-1.6162958042732156E-2</v>
      </c>
      <c r="F3643" s="266">
        <f t="shared" si="174"/>
        <v>3636</v>
      </c>
      <c r="G3643" s="230">
        <f t="shared" ca="1" si="173"/>
        <v>-3.3462936294220084E-2</v>
      </c>
    </row>
    <row r="3644" spans="2:7" x14ac:dyDescent="0.25">
      <c r="B3644" s="348">
        <v>40245</v>
      </c>
      <c r="C3644" s="293">
        <v>67.88</v>
      </c>
      <c r="D3644" s="230">
        <f t="shared" si="172"/>
        <v>-4.2540707055890303E-3</v>
      </c>
      <c r="E3644" s="293">
        <v>-1.6163334751169822E-2</v>
      </c>
      <c r="F3644" s="266">
        <f t="shared" si="174"/>
        <v>3637</v>
      </c>
      <c r="G3644" s="230">
        <f t="shared" ca="1" si="173"/>
        <v>-8.7493539608634856E-3</v>
      </c>
    </row>
    <row r="3645" spans="2:7" x14ac:dyDescent="0.25">
      <c r="B3645" s="348">
        <v>40217</v>
      </c>
      <c r="C3645" s="293">
        <v>68.17</v>
      </c>
      <c r="D3645" s="230">
        <f t="shared" si="172"/>
        <v>3.3853400058876382E-3</v>
      </c>
      <c r="E3645" s="293">
        <v>-1.6171909614532631E-2</v>
      </c>
      <c r="F3645" s="266">
        <f t="shared" si="174"/>
        <v>3638</v>
      </c>
      <c r="G3645" s="230">
        <f t="shared" ca="1" si="173"/>
        <v>-2.2341893585301635E-2</v>
      </c>
    </row>
    <row r="3646" spans="2:7" x14ac:dyDescent="0.25">
      <c r="B3646" s="348" t="s">
        <v>2760</v>
      </c>
      <c r="C3646" s="293">
        <v>67.94</v>
      </c>
      <c r="D3646" s="230">
        <f t="shared" si="172"/>
        <v>-1.0342316096140003E-2</v>
      </c>
      <c r="E3646" s="293">
        <v>-1.6202203499675938E-2</v>
      </c>
      <c r="F3646" s="266">
        <f t="shared" si="174"/>
        <v>3639</v>
      </c>
      <c r="G3646" s="230">
        <f t="shared" ca="1" si="173"/>
        <v>-6.2246706581319793E-3</v>
      </c>
    </row>
    <row r="3647" spans="2:7" x14ac:dyDescent="0.25">
      <c r="B3647" s="348" t="s">
        <v>2761</v>
      </c>
      <c r="C3647" s="293">
        <v>68.650000000000006</v>
      </c>
      <c r="D3647" s="230">
        <f t="shared" si="172"/>
        <v>4.3891733723484538E-3</v>
      </c>
      <c r="E3647" s="293">
        <v>-1.6202742002492609E-2</v>
      </c>
      <c r="F3647" s="266">
        <f t="shared" si="174"/>
        <v>3640</v>
      </c>
      <c r="G3647" s="230">
        <f t="shared" ca="1" si="173"/>
        <v>-3.9190524529758523E-3</v>
      </c>
    </row>
    <row r="3648" spans="2:7" x14ac:dyDescent="0.25">
      <c r="B3648" s="348" t="s">
        <v>2762</v>
      </c>
      <c r="C3648" s="293">
        <v>68.349999999999994</v>
      </c>
      <c r="D3648" s="230">
        <f t="shared" si="172"/>
        <v>-7.6945412311265615E-3</v>
      </c>
      <c r="E3648" s="293">
        <v>-1.6204394074957884E-2</v>
      </c>
      <c r="F3648" s="266">
        <f t="shared" si="174"/>
        <v>3641</v>
      </c>
      <c r="G3648" s="230">
        <f t="shared" ca="1" si="173"/>
        <v>2.6170664608287257E-2</v>
      </c>
    </row>
    <row r="3649" spans="2:7" x14ac:dyDescent="0.25">
      <c r="B3649" s="348" t="s">
        <v>2763</v>
      </c>
      <c r="C3649" s="293">
        <v>68.88</v>
      </c>
      <c r="D3649" s="230">
        <f t="shared" si="172"/>
        <v>1.1008366358432387E-2</v>
      </c>
      <c r="E3649" s="293">
        <v>-1.6209691326090736E-2</v>
      </c>
      <c r="F3649" s="266">
        <f t="shared" si="174"/>
        <v>3642</v>
      </c>
      <c r="G3649" s="230">
        <f t="shared" ca="1" si="173"/>
        <v>-2.7802141200244636E-2</v>
      </c>
    </row>
    <row r="3650" spans="2:7" x14ac:dyDescent="0.25">
      <c r="B3650" s="348" t="s">
        <v>2764</v>
      </c>
      <c r="C3650" s="293">
        <v>68.13</v>
      </c>
      <c r="D3650" s="230">
        <f t="shared" si="172"/>
        <v>2.5014714537963112E-3</v>
      </c>
      <c r="E3650" s="293">
        <v>-1.6231256763023616E-2</v>
      </c>
      <c r="F3650" s="266">
        <f t="shared" si="174"/>
        <v>3643</v>
      </c>
      <c r="G3650" s="230">
        <f t="shared" ca="1" si="173"/>
        <v>-2.019869491824839E-2</v>
      </c>
    </row>
    <row r="3651" spans="2:7" x14ac:dyDescent="0.25">
      <c r="B3651" s="348" t="s">
        <v>2765</v>
      </c>
      <c r="C3651" s="293">
        <v>67.959999999999994</v>
      </c>
      <c r="D3651" s="230">
        <f t="shared" si="172"/>
        <v>-7.1585098612126918E-3</v>
      </c>
      <c r="E3651" s="293">
        <v>-1.6280016280016074E-2</v>
      </c>
      <c r="F3651" s="266">
        <f t="shared" si="174"/>
        <v>3644</v>
      </c>
      <c r="G3651" s="230">
        <f t="shared" ca="1" si="173"/>
        <v>8.002928710270002E-3</v>
      </c>
    </row>
    <row r="3652" spans="2:7" x14ac:dyDescent="0.25">
      <c r="B3652" s="348" t="s">
        <v>2766</v>
      </c>
      <c r="C3652" s="293">
        <v>68.45</v>
      </c>
      <c r="D3652" s="230">
        <f t="shared" si="172"/>
        <v>8.7732124579620319E-4</v>
      </c>
      <c r="E3652" s="293">
        <v>-1.6350798959494761E-2</v>
      </c>
      <c r="F3652" s="266">
        <f t="shared" si="174"/>
        <v>3645</v>
      </c>
      <c r="G3652" s="230">
        <f t="shared" ca="1" si="173"/>
        <v>1.5652720033499726E-2</v>
      </c>
    </row>
    <row r="3653" spans="2:7" x14ac:dyDescent="0.25">
      <c r="B3653" s="348" t="s">
        <v>2767</v>
      </c>
      <c r="C3653" s="293">
        <v>68.39</v>
      </c>
      <c r="D3653" s="230">
        <f t="shared" si="172"/>
        <v>1.7254201993157858E-2</v>
      </c>
      <c r="E3653" s="293">
        <v>-1.6379242460036192E-2</v>
      </c>
      <c r="F3653" s="266">
        <f t="shared" si="174"/>
        <v>3646</v>
      </c>
      <c r="G3653" s="230">
        <f t="shared" ca="1" si="173"/>
        <v>-8.9600521728958413E-3</v>
      </c>
    </row>
    <row r="3654" spans="2:7" x14ac:dyDescent="0.25">
      <c r="B3654" s="348" t="s">
        <v>2768</v>
      </c>
      <c r="C3654" s="293">
        <v>67.23</v>
      </c>
      <c r="D3654" s="230">
        <f t="shared" si="172"/>
        <v>9.3079117249663668E-3</v>
      </c>
      <c r="E3654" s="293">
        <v>-1.6412661195779554E-2</v>
      </c>
      <c r="F3654" s="266">
        <f t="shared" si="174"/>
        <v>3647</v>
      </c>
      <c r="G3654" s="230">
        <f t="shared" ca="1" si="173"/>
        <v>-2.8713598957284855E-2</v>
      </c>
    </row>
    <row r="3655" spans="2:7" x14ac:dyDescent="0.25">
      <c r="B3655" s="348" t="s">
        <v>2769</v>
      </c>
      <c r="C3655" s="293">
        <v>66.61</v>
      </c>
      <c r="D3655" s="230">
        <f t="shared" si="172"/>
        <v>4.9788774894388155E-3</v>
      </c>
      <c r="E3655" s="293">
        <v>-1.6456474930790388E-2</v>
      </c>
      <c r="F3655" s="266">
        <f t="shared" si="174"/>
        <v>3648</v>
      </c>
      <c r="G3655" s="230">
        <f t="shared" ca="1" si="173"/>
        <v>-3.1842162449751667E-2</v>
      </c>
    </row>
    <row r="3656" spans="2:7" x14ac:dyDescent="0.25">
      <c r="B3656" s="348" t="s">
        <v>2770</v>
      </c>
      <c r="C3656" s="293">
        <v>66.28</v>
      </c>
      <c r="D3656" s="230">
        <f t="shared" si="172"/>
        <v>6.0386473429963061E-4</v>
      </c>
      <c r="E3656" s="293">
        <v>-1.647188736541827E-2</v>
      </c>
      <c r="F3656" s="266">
        <f t="shared" si="174"/>
        <v>3649</v>
      </c>
      <c r="G3656" s="230">
        <f t="shared" ca="1" si="173"/>
        <v>8.6601491615763034E-3</v>
      </c>
    </row>
    <row r="3657" spans="2:7" x14ac:dyDescent="0.25">
      <c r="B3657" s="348" t="s">
        <v>2771</v>
      </c>
      <c r="C3657" s="293">
        <v>66.239999999999995</v>
      </c>
      <c r="D3657" s="230">
        <f t="shared" ref="D3657:D3720" si="175">C3657/C3658-1</f>
        <v>7.1461152501139935E-3</v>
      </c>
      <c r="E3657" s="293">
        <v>-1.6479099678456621E-2</v>
      </c>
      <c r="F3657" s="266">
        <f t="shared" si="174"/>
        <v>3650</v>
      </c>
      <c r="G3657" s="230">
        <f t="shared" ref="G3657:G3720" ca="1" si="176">_xlfn.NORM.INV(RAND(),$M$10,$M$11)</f>
        <v>3.8573354894613269E-3</v>
      </c>
    </row>
    <row r="3658" spans="2:7" x14ac:dyDescent="0.25">
      <c r="B3658" s="348" t="s">
        <v>2772</v>
      </c>
      <c r="C3658" s="293">
        <v>65.77</v>
      </c>
      <c r="D3658" s="230">
        <f t="shared" si="175"/>
        <v>-1.186899038461553E-2</v>
      </c>
      <c r="E3658" s="293">
        <v>-1.651495448634599E-2</v>
      </c>
      <c r="F3658" s="266">
        <f t="shared" ref="F3658:F3721" si="177">F3657+1</f>
        <v>3651</v>
      </c>
      <c r="G3658" s="230">
        <f t="shared" ca="1" si="176"/>
        <v>3.4759758977006715E-4</v>
      </c>
    </row>
    <row r="3659" spans="2:7" x14ac:dyDescent="0.25">
      <c r="B3659" s="348" t="s">
        <v>2773</v>
      </c>
      <c r="C3659" s="293">
        <v>66.56</v>
      </c>
      <c r="D3659" s="230">
        <f t="shared" si="175"/>
        <v>-1.4218009478672911E-2</v>
      </c>
      <c r="E3659" s="293">
        <v>-1.6538037486218293E-2</v>
      </c>
      <c r="F3659" s="266">
        <f t="shared" si="177"/>
        <v>3652</v>
      </c>
      <c r="G3659" s="230">
        <f t="shared" ca="1" si="176"/>
        <v>1.11377440110913E-3</v>
      </c>
    </row>
    <row r="3660" spans="2:7" x14ac:dyDescent="0.25">
      <c r="B3660" s="348">
        <v>40519</v>
      </c>
      <c r="C3660" s="293">
        <v>67.52</v>
      </c>
      <c r="D3660" s="230">
        <f t="shared" si="175"/>
        <v>2.1328089547723472E-2</v>
      </c>
      <c r="E3660" s="293">
        <v>-1.6549187863929005E-2</v>
      </c>
      <c r="F3660" s="266">
        <f t="shared" si="177"/>
        <v>3653</v>
      </c>
      <c r="G3660" s="230">
        <f t="shared" ca="1" si="176"/>
        <v>8.2526877027876422E-3</v>
      </c>
    </row>
    <row r="3661" spans="2:7" x14ac:dyDescent="0.25">
      <c r="B3661" s="348">
        <v>40428</v>
      </c>
      <c r="C3661" s="293">
        <v>66.11</v>
      </c>
      <c r="D3661" s="230">
        <f t="shared" si="175"/>
        <v>1.4735226400613977E-2</v>
      </c>
      <c r="E3661" s="293">
        <v>-1.6591609386110373E-2</v>
      </c>
      <c r="F3661" s="266">
        <f t="shared" si="177"/>
        <v>3654</v>
      </c>
      <c r="G3661" s="230">
        <f t="shared" ca="1" si="176"/>
        <v>-1.2466470176157561E-2</v>
      </c>
    </row>
    <row r="3662" spans="2:7" x14ac:dyDescent="0.25">
      <c r="B3662" s="348">
        <v>40397</v>
      </c>
      <c r="C3662" s="293">
        <v>65.150000000000006</v>
      </c>
      <c r="D3662" s="230">
        <f t="shared" si="175"/>
        <v>5.2461039962969913E-3</v>
      </c>
      <c r="E3662" s="293">
        <v>-1.6598639455782327E-2</v>
      </c>
      <c r="F3662" s="266">
        <f t="shared" si="177"/>
        <v>3655</v>
      </c>
      <c r="G3662" s="230">
        <f t="shared" ca="1" si="176"/>
        <v>9.2441800601836596E-3</v>
      </c>
    </row>
    <row r="3663" spans="2:7" x14ac:dyDescent="0.25">
      <c r="B3663" s="348">
        <v>40366</v>
      </c>
      <c r="C3663" s="293">
        <v>64.81</v>
      </c>
      <c r="D3663" s="230">
        <f t="shared" si="175"/>
        <v>-1.0080953108293822E-2</v>
      </c>
      <c r="E3663" s="293">
        <v>-1.6603687163632252E-2</v>
      </c>
      <c r="F3663" s="266">
        <f t="shared" si="177"/>
        <v>3656</v>
      </c>
      <c r="G3663" s="230">
        <f t="shared" ca="1" si="176"/>
        <v>-3.6216014444131167E-2</v>
      </c>
    </row>
    <row r="3664" spans="2:7" x14ac:dyDescent="0.25">
      <c r="B3664" s="348">
        <v>40336</v>
      </c>
      <c r="C3664" s="293">
        <v>65.47</v>
      </c>
      <c r="D3664" s="230">
        <f t="shared" si="175"/>
        <v>1.8671230745293421E-2</v>
      </c>
      <c r="E3664" s="293">
        <v>-1.6640818208492281E-2</v>
      </c>
      <c r="F3664" s="266">
        <f t="shared" si="177"/>
        <v>3657</v>
      </c>
      <c r="G3664" s="230">
        <f t="shared" ca="1" si="176"/>
        <v>6.558136116453772E-3</v>
      </c>
    </row>
    <row r="3665" spans="2:7" x14ac:dyDescent="0.25">
      <c r="B3665" s="348">
        <v>40305</v>
      </c>
      <c r="C3665" s="293">
        <v>64.27</v>
      </c>
      <c r="D3665" s="230">
        <f t="shared" si="175"/>
        <v>1.1488825936417868E-2</v>
      </c>
      <c r="E3665" s="293">
        <v>-1.6641594584430153E-2</v>
      </c>
      <c r="F3665" s="266">
        <f t="shared" si="177"/>
        <v>3658</v>
      </c>
      <c r="G3665" s="230">
        <f t="shared" ca="1" si="176"/>
        <v>-1.7807532462305681E-2</v>
      </c>
    </row>
    <row r="3666" spans="2:7" x14ac:dyDescent="0.25">
      <c r="B3666" s="348">
        <v>40216</v>
      </c>
      <c r="C3666" s="293">
        <v>63.54</v>
      </c>
      <c r="D3666" s="230">
        <f t="shared" si="175"/>
        <v>2.7988998543924781E-2</v>
      </c>
      <c r="E3666" s="293">
        <v>-1.6651153169924493E-2</v>
      </c>
      <c r="F3666" s="266">
        <f t="shared" si="177"/>
        <v>3659</v>
      </c>
      <c r="G3666" s="230">
        <f t="shared" ca="1" si="176"/>
        <v>5.4243138099660491E-3</v>
      </c>
    </row>
    <row r="3667" spans="2:7" x14ac:dyDescent="0.25">
      <c r="B3667" s="348">
        <v>40185</v>
      </c>
      <c r="C3667" s="293">
        <v>61.81</v>
      </c>
      <c r="D3667" s="230">
        <f t="shared" si="175"/>
        <v>-2.4463383838383757E-2</v>
      </c>
      <c r="E3667" s="293">
        <v>-1.6652903936140828E-2</v>
      </c>
      <c r="F3667" s="266">
        <f t="shared" si="177"/>
        <v>3660</v>
      </c>
      <c r="G3667" s="230">
        <f t="shared" ca="1" si="176"/>
        <v>-7.3775906245045295E-3</v>
      </c>
    </row>
    <row r="3668" spans="2:7" x14ac:dyDescent="0.25">
      <c r="B3668" s="348" t="s">
        <v>2774</v>
      </c>
      <c r="C3668" s="293">
        <v>63.36</v>
      </c>
      <c r="D3668" s="230">
        <f t="shared" si="175"/>
        <v>-1.3084112149532756E-2</v>
      </c>
      <c r="E3668" s="293">
        <v>-1.6679021497405411E-2</v>
      </c>
      <c r="F3668" s="266">
        <f t="shared" si="177"/>
        <v>3661</v>
      </c>
      <c r="G3668" s="230">
        <f t="shared" ca="1" si="176"/>
        <v>2.0150495937256631E-2</v>
      </c>
    </row>
    <row r="3669" spans="2:7" x14ac:dyDescent="0.25">
      <c r="B3669" s="348" t="s">
        <v>2775</v>
      </c>
      <c r="C3669" s="293">
        <v>64.2</v>
      </c>
      <c r="D3669" s="230">
        <f t="shared" si="175"/>
        <v>-1.291512915129156E-2</v>
      </c>
      <c r="E3669" s="293">
        <v>-1.6715309100557074E-2</v>
      </c>
      <c r="F3669" s="266">
        <f t="shared" si="177"/>
        <v>3662</v>
      </c>
      <c r="G3669" s="230">
        <f t="shared" ca="1" si="176"/>
        <v>2.057151060752286E-2</v>
      </c>
    </row>
    <row r="3670" spans="2:7" x14ac:dyDescent="0.25">
      <c r="B3670" s="348" t="s">
        <v>2776</v>
      </c>
      <c r="C3670" s="293">
        <v>65.040000000000006</v>
      </c>
      <c r="D3670" s="230">
        <f t="shared" si="175"/>
        <v>1.3873733437256508E-2</v>
      </c>
      <c r="E3670" s="293">
        <v>-1.6739446870451258E-2</v>
      </c>
      <c r="F3670" s="266">
        <f t="shared" si="177"/>
        <v>3663</v>
      </c>
      <c r="G3670" s="230">
        <f t="shared" ca="1" si="176"/>
        <v>-1.8638964090947889E-2</v>
      </c>
    </row>
    <row r="3671" spans="2:7" x14ac:dyDescent="0.25">
      <c r="B3671" s="348" t="s">
        <v>2777</v>
      </c>
      <c r="C3671" s="293">
        <v>64.150000000000006</v>
      </c>
      <c r="D3671" s="230">
        <f t="shared" si="175"/>
        <v>-3.2136391068195436E-2</v>
      </c>
      <c r="E3671" s="293">
        <v>-1.6775044764866687E-2</v>
      </c>
      <c r="F3671" s="266">
        <f t="shared" si="177"/>
        <v>3664</v>
      </c>
      <c r="G3671" s="230">
        <f t="shared" ca="1" si="176"/>
        <v>1.1696613244093551E-2</v>
      </c>
    </row>
    <row r="3672" spans="2:7" x14ac:dyDescent="0.25">
      <c r="B3672" s="348" t="s">
        <v>2778</v>
      </c>
      <c r="C3672" s="293">
        <v>66.28</v>
      </c>
      <c r="D3672" s="230">
        <f t="shared" si="175"/>
        <v>-6.4458102233546644E-3</v>
      </c>
      <c r="E3672" s="293">
        <v>-1.6776075857038775E-2</v>
      </c>
      <c r="F3672" s="266">
        <f t="shared" si="177"/>
        <v>3665</v>
      </c>
      <c r="G3672" s="230">
        <f t="shared" ca="1" si="176"/>
        <v>-8.6205954358115778E-3</v>
      </c>
    </row>
    <row r="3673" spans="2:7" x14ac:dyDescent="0.25">
      <c r="B3673" s="348" t="s">
        <v>2779</v>
      </c>
      <c r="C3673" s="293">
        <v>66.709999999999994</v>
      </c>
      <c r="D3673" s="230">
        <f t="shared" si="175"/>
        <v>-3.7335722819593631E-3</v>
      </c>
      <c r="E3673" s="293">
        <v>-1.6779210149375889E-2</v>
      </c>
      <c r="F3673" s="266">
        <f t="shared" si="177"/>
        <v>3666</v>
      </c>
      <c r="G3673" s="230">
        <f t="shared" ca="1" si="176"/>
        <v>1.0568012965698224E-2</v>
      </c>
    </row>
    <row r="3674" spans="2:7" x14ac:dyDescent="0.25">
      <c r="B3674" s="348" t="s">
        <v>2780</v>
      </c>
      <c r="C3674" s="293">
        <v>66.959999999999994</v>
      </c>
      <c r="D3674" s="230">
        <f t="shared" si="175"/>
        <v>-2.1767713659605725E-2</v>
      </c>
      <c r="E3674" s="293">
        <v>-1.6786305908337851E-2</v>
      </c>
      <c r="F3674" s="266">
        <f t="shared" si="177"/>
        <v>3667</v>
      </c>
      <c r="G3674" s="230">
        <f t="shared" ca="1" si="176"/>
        <v>-1.620172177109222E-2</v>
      </c>
    </row>
    <row r="3675" spans="2:7" x14ac:dyDescent="0.25">
      <c r="B3675" s="348" t="s">
        <v>2781</v>
      </c>
      <c r="C3675" s="293">
        <v>68.45</v>
      </c>
      <c r="D3675" s="230">
        <f t="shared" si="175"/>
        <v>1.4224329530300839E-2</v>
      </c>
      <c r="E3675" s="293">
        <v>-1.6786570743405393E-2</v>
      </c>
      <c r="F3675" s="266">
        <f t="shared" si="177"/>
        <v>3668</v>
      </c>
      <c r="G3675" s="230">
        <f t="shared" ca="1" si="176"/>
        <v>-3.2497052231630764E-3</v>
      </c>
    </row>
    <row r="3676" spans="2:7" x14ac:dyDescent="0.25">
      <c r="B3676" s="348" t="s">
        <v>2782</v>
      </c>
      <c r="C3676" s="293">
        <v>67.489999999999995</v>
      </c>
      <c r="D3676" s="230">
        <f t="shared" si="175"/>
        <v>-9.2483852025838642E-3</v>
      </c>
      <c r="E3676" s="293">
        <v>-1.6818676261400767E-2</v>
      </c>
      <c r="F3676" s="266">
        <f t="shared" si="177"/>
        <v>3669</v>
      </c>
      <c r="G3676" s="230">
        <f t="shared" ca="1" si="176"/>
        <v>5.4140665080472584E-2</v>
      </c>
    </row>
    <row r="3677" spans="2:7" x14ac:dyDescent="0.25">
      <c r="B3677" s="348" t="s">
        <v>2783</v>
      </c>
      <c r="C3677" s="293">
        <v>68.12</v>
      </c>
      <c r="D3677" s="230">
        <f t="shared" si="175"/>
        <v>1.128266033254155E-2</v>
      </c>
      <c r="E3677" s="293">
        <v>-1.6820550324527006E-2</v>
      </c>
      <c r="F3677" s="266">
        <f t="shared" si="177"/>
        <v>3670</v>
      </c>
      <c r="G3677" s="230">
        <f t="shared" ca="1" si="176"/>
        <v>4.5910623235799815E-2</v>
      </c>
    </row>
    <row r="3678" spans="2:7" x14ac:dyDescent="0.25">
      <c r="B3678" s="348" t="s">
        <v>2784</v>
      </c>
      <c r="C3678" s="293">
        <v>67.36</v>
      </c>
      <c r="D3678" s="230">
        <f t="shared" si="175"/>
        <v>1.4867677668746193E-3</v>
      </c>
      <c r="E3678" s="293">
        <v>-1.6822195254634464E-2</v>
      </c>
      <c r="F3678" s="266">
        <f t="shared" si="177"/>
        <v>3671</v>
      </c>
      <c r="G3678" s="230">
        <f t="shared" ca="1" si="176"/>
        <v>-3.449874029631741E-3</v>
      </c>
    </row>
    <row r="3679" spans="2:7" x14ac:dyDescent="0.25">
      <c r="B3679" s="348" t="s">
        <v>2785</v>
      </c>
      <c r="C3679" s="293">
        <v>67.260000000000005</v>
      </c>
      <c r="D3679" s="230">
        <f t="shared" si="175"/>
        <v>9.1522880720180666E-3</v>
      </c>
      <c r="E3679" s="293">
        <v>-1.6835477689570277E-2</v>
      </c>
      <c r="F3679" s="266">
        <f t="shared" si="177"/>
        <v>3672</v>
      </c>
      <c r="G3679" s="230">
        <f t="shared" ca="1" si="176"/>
        <v>-8.4313876940553881E-3</v>
      </c>
    </row>
    <row r="3680" spans="2:7" x14ac:dyDescent="0.25">
      <c r="B3680" s="348" t="s">
        <v>2786</v>
      </c>
      <c r="C3680" s="293">
        <v>66.650000000000006</v>
      </c>
      <c r="D3680" s="230">
        <f t="shared" si="175"/>
        <v>4.1406250000000089E-2</v>
      </c>
      <c r="E3680" s="293">
        <v>-1.6854572372167254E-2</v>
      </c>
      <c r="F3680" s="266">
        <f t="shared" si="177"/>
        <v>3673</v>
      </c>
      <c r="G3680" s="230">
        <f t="shared" ca="1" si="176"/>
        <v>-1.9554660867783492E-2</v>
      </c>
    </row>
    <row r="3681" spans="2:7" x14ac:dyDescent="0.25">
      <c r="B3681" s="348">
        <v>40488</v>
      </c>
      <c r="C3681" s="293">
        <v>64</v>
      </c>
      <c r="D3681" s="230">
        <f t="shared" si="175"/>
        <v>7.5566750629723067E-3</v>
      </c>
      <c r="E3681" s="293">
        <v>-1.6874999999999973E-2</v>
      </c>
      <c r="F3681" s="266">
        <f t="shared" si="177"/>
        <v>3674</v>
      </c>
      <c r="G3681" s="230">
        <f t="shared" ca="1" si="176"/>
        <v>2.3027368838745227E-3</v>
      </c>
    </row>
    <row r="3682" spans="2:7" x14ac:dyDescent="0.25">
      <c r="B3682" s="348">
        <v>40457</v>
      </c>
      <c r="C3682" s="293">
        <v>63.52</v>
      </c>
      <c r="D3682" s="230">
        <f t="shared" si="175"/>
        <v>2.1057707764025047E-2</v>
      </c>
      <c r="E3682" s="293">
        <v>-1.6892289582107201E-2</v>
      </c>
      <c r="F3682" s="266">
        <f t="shared" si="177"/>
        <v>3675</v>
      </c>
      <c r="G3682" s="230">
        <f t="shared" ca="1" si="176"/>
        <v>3.5110154180232951E-2</v>
      </c>
    </row>
    <row r="3683" spans="2:7" x14ac:dyDescent="0.25">
      <c r="B3683" s="348">
        <v>40427</v>
      </c>
      <c r="C3683" s="293">
        <v>62.21</v>
      </c>
      <c r="D3683" s="230">
        <f t="shared" si="175"/>
        <v>-2.0314960629921219E-2</v>
      </c>
      <c r="E3683" s="293">
        <v>-1.689363902775376E-2</v>
      </c>
      <c r="F3683" s="266">
        <f t="shared" si="177"/>
        <v>3676</v>
      </c>
      <c r="G3683" s="230">
        <f t="shared" ca="1" si="176"/>
        <v>1.2939266415973021E-2</v>
      </c>
    </row>
    <row r="3684" spans="2:7" x14ac:dyDescent="0.25">
      <c r="B3684" s="348">
        <v>40396</v>
      </c>
      <c r="C3684" s="293">
        <v>63.5</v>
      </c>
      <c r="D3684" s="230">
        <f t="shared" si="175"/>
        <v>-1.5961568262823467E-2</v>
      </c>
      <c r="E3684" s="293">
        <v>-1.6907995323320435E-2</v>
      </c>
      <c r="F3684" s="266">
        <f t="shared" si="177"/>
        <v>3677</v>
      </c>
      <c r="G3684" s="230">
        <f t="shared" ca="1" si="176"/>
        <v>2.1606235831240897E-2</v>
      </c>
    </row>
    <row r="3685" spans="2:7" x14ac:dyDescent="0.25">
      <c r="B3685" s="348">
        <v>40365</v>
      </c>
      <c r="C3685" s="293">
        <v>64.53</v>
      </c>
      <c r="D3685" s="230">
        <f t="shared" si="175"/>
        <v>-4.1666666666666519E-3</v>
      </c>
      <c r="E3685" s="293">
        <v>-1.6918429003021207E-2</v>
      </c>
      <c r="F3685" s="266">
        <f t="shared" si="177"/>
        <v>3678</v>
      </c>
      <c r="G3685" s="230">
        <f t="shared" ca="1" si="176"/>
        <v>3.9791454422790371E-5</v>
      </c>
    </row>
    <row r="3686" spans="2:7" x14ac:dyDescent="0.25">
      <c r="B3686" s="348">
        <v>40274</v>
      </c>
      <c r="C3686" s="293">
        <v>64.8</v>
      </c>
      <c r="D3686" s="230">
        <f t="shared" si="175"/>
        <v>-1.5429717636172846E-4</v>
      </c>
      <c r="E3686" s="293">
        <v>-1.6942841184137025E-2</v>
      </c>
      <c r="F3686" s="266">
        <f t="shared" si="177"/>
        <v>3679</v>
      </c>
      <c r="G3686" s="230">
        <f t="shared" ca="1" si="176"/>
        <v>1.0187430637974828E-2</v>
      </c>
    </row>
    <row r="3687" spans="2:7" x14ac:dyDescent="0.25">
      <c r="B3687" s="348">
        <v>40243</v>
      </c>
      <c r="C3687" s="293">
        <v>64.81</v>
      </c>
      <c r="D3687" s="230">
        <f t="shared" si="175"/>
        <v>8.5589791472144849E-3</v>
      </c>
      <c r="E3687" s="293">
        <v>-1.696905016008543E-2</v>
      </c>
      <c r="F3687" s="266">
        <f t="shared" si="177"/>
        <v>3680</v>
      </c>
      <c r="G3687" s="230">
        <f t="shared" ca="1" si="176"/>
        <v>-1.4263653819088461E-2</v>
      </c>
    </row>
    <row r="3688" spans="2:7" x14ac:dyDescent="0.25">
      <c r="B3688" s="348">
        <v>40215</v>
      </c>
      <c r="C3688" s="293">
        <v>64.260000000000005</v>
      </c>
      <c r="D3688" s="230">
        <f t="shared" si="175"/>
        <v>-1.2599877074369936E-2</v>
      </c>
      <c r="E3688" s="293">
        <v>-1.698953693152383E-2</v>
      </c>
      <c r="F3688" s="266">
        <f t="shared" si="177"/>
        <v>3681</v>
      </c>
      <c r="G3688" s="230">
        <f t="shared" ca="1" si="176"/>
        <v>-2.1691424593017365E-2</v>
      </c>
    </row>
    <row r="3689" spans="2:7" x14ac:dyDescent="0.25">
      <c r="B3689" s="348">
        <v>40184</v>
      </c>
      <c r="C3689" s="293">
        <v>65.08</v>
      </c>
      <c r="D3689" s="230">
        <f t="shared" si="175"/>
        <v>-1.6918429003021207E-2</v>
      </c>
      <c r="E3689" s="293">
        <v>-1.6993776926759185E-2</v>
      </c>
      <c r="F3689" s="266">
        <f t="shared" si="177"/>
        <v>3682</v>
      </c>
      <c r="G3689" s="230">
        <f t="shared" ca="1" si="176"/>
        <v>-3.4839844915488728E-2</v>
      </c>
    </row>
    <row r="3690" spans="2:7" x14ac:dyDescent="0.25">
      <c r="B3690" s="348" t="s">
        <v>2787</v>
      </c>
      <c r="C3690" s="293">
        <v>66.2</v>
      </c>
      <c r="D3690" s="230">
        <f t="shared" si="175"/>
        <v>8.685052567423579E-3</v>
      </c>
      <c r="E3690" s="293">
        <v>-1.7030036492935441E-2</v>
      </c>
      <c r="F3690" s="266">
        <f t="shared" si="177"/>
        <v>3683</v>
      </c>
      <c r="G3690" s="230">
        <f t="shared" ca="1" si="176"/>
        <v>1.6915160282070844E-2</v>
      </c>
    </row>
    <row r="3691" spans="2:7" x14ac:dyDescent="0.25">
      <c r="B3691" s="348" t="s">
        <v>2788</v>
      </c>
      <c r="C3691" s="293">
        <v>65.63</v>
      </c>
      <c r="D3691" s="230">
        <f t="shared" si="175"/>
        <v>9.6923076923076668E-3</v>
      </c>
      <c r="E3691" s="293">
        <v>-1.7036726714146022E-2</v>
      </c>
      <c r="F3691" s="266">
        <f t="shared" si="177"/>
        <v>3684</v>
      </c>
      <c r="G3691" s="230">
        <f t="shared" ca="1" si="176"/>
        <v>1.6588808353815883E-2</v>
      </c>
    </row>
    <row r="3692" spans="2:7" x14ac:dyDescent="0.25">
      <c r="B3692" s="348" t="s">
        <v>2789</v>
      </c>
      <c r="C3692" s="293">
        <v>65</v>
      </c>
      <c r="D3692" s="230">
        <f t="shared" si="175"/>
        <v>1.1200995644057299E-2</v>
      </c>
      <c r="E3692" s="293">
        <v>-1.713491818462487E-2</v>
      </c>
      <c r="F3692" s="266">
        <f t="shared" si="177"/>
        <v>3685</v>
      </c>
      <c r="G3692" s="230">
        <f t="shared" ca="1" si="176"/>
        <v>-2.4174436547393284E-2</v>
      </c>
    </row>
    <row r="3693" spans="2:7" x14ac:dyDescent="0.25">
      <c r="B3693" s="348" t="s">
        <v>2790</v>
      </c>
      <c r="C3693" s="293">
        <v>64.28</v>
      </c>
      <c r="D3693" s="230">
        <f t="shared" si="175"/>
        <v>2.6181353767560589E-2</v>
      </c>
      <c r="E3693" s="293">
        <v>-1.71414578401764E-2</v>
      </c>
      <c r="F3693" s="266">
        <f t="shared" si="177"/>
        <v>3686</v>
      </c>
      <c r="G3693" s="230">
        <f t="shared" ca="1" si="176"/>
        <v>3.6350746849601989E-2</v>
      </c>
    </row>
    <row r="3694" spans="2:7" x14ac:dyDescent="0.25">
      <c r="B3694" s="348" t="s">
        <v>2791</v>
      </c>
      <c r="C3694" s="293">
        <v>62.64</v>
      </c>
      <c r="D3694" s="230">
        <f t="shared" si="175"/>
        <v>-2.2166718701217669E-2</v>
      </c>
      <c r="E3694" s="293">
        <v>-1.7159818198682952E-2</v>
      </c>
      <c r="F3694" s="266">
        <f t="shared" si="177"/>
        <v>3687</v>
      </c>
      <c r="G3694" s="230">
        <f t="shared" ca="1" si="176"/>
        <v>3.0263583954819234E-2</v>
      </c>
    </row>
    <row r="3695" spans="2:7" x14ac:dyDescent="0.25">
      <c r="B3695" s="348" t="s">
        <v>2792</v>
      </c>
      <c r="C3695" s="293">
        <v>64.06</v>
      </c>
      <c r="D3695" s="230">
        <f t="shared" si="175"/>
        <v>9.7730138713745252E-3</v>
      </c>
      <c r="E3695" s="293">
        <v>-1.7185531761741868E-2</v>
      </c>
      <c r="F3695" s="266">
        <f t="shared" si="177"/>
        <v>3688</v>
      </c>
      <c r="G3695" s="230">
        <f t="shared" ca="1" si="176"/>
        <v>7.1484687007364982E-3</v>
      </c>
    </row>
    <row r="3696" spans="2:7" x14ac:dyDescent="0.25">
      <c r="B3696" s="348" t="s">
        <v>2793</v>
      </c>
      <c r="C3696" s="293">
        <v>63.44</v>
      </c>
      <c r="D3696" s="230">
        <f t="shared" si="175"/>
        <v>-1.9019638162981356E-2</v>
      </c>
      <c r="E3696" s="293">
        <v>-1.7190082644628069E-2</v>
      </c>
      <c r="F3696" s="266">
        <f t="shared" si="177"/>
        <v>3689</v>
      </c>
      <c r="G3696" s="230">
        <f t="shared" ca="1" si="176"/>
        <v>-2.8068757968836293E-3</v>
      </c>
    </row>
    <row r="3697" spans="2:7" x14ac:dyDescent="0.25">
      <c r="B3697" s="348" t="s">
        <v>2794</v>
      </c>
      <c r="C3697" s="293">
        <v>64.67</v>
      </c>
      <c r="D3697" s="230">
        <f t="shared" si="175"/>
        <v>6.8503814416938091E-3</v>
      </c>
      <c r="E3697" s="293">
        <v>-1.7194827341196595E-2</v>
      </c>
      <c r="F3697" s="266">
        <f t="shared" si="177"/>
        <v>3690</v>
      </c>
      <c r="G3697" s="230">
        <f t="shared" ca="1" si="176"/>
        <v>1.3588652099064827E-2</v>
      </c>
    </row>
    <row r="3698" spans="2:7" x14ac:dyDescent="0.25">
      <c r="B3698" s="348" t="s">
        <v>2795</v>
      </c>
      <c r="C3698" s="293">
        <v>64.23</v>
      </c>
      <c r="D3698" s="230">
        <f t="shared" si="175"/>
        <v>-1.5481299816063609E-2</v>
      </c>
      <c r="E3698" s="293">
        <v>-1.7206063088897938E-2</v>
      </c>
      <c r="F3698" s="266">
        <f t="shared" si="177"/>
        <v>3691</v>
      </c>
      <c r="G3698" s="230">
        <f t="shared" ca="1" si="176"/>
        <v>-9.6464303680420006E-3</v>
      </c>
    </row>
    <row r="3699" spans="2:7" x14ac:dyDescent="0.25">
      <c r="B3699" s="348" t="s">
        <v>2796</v>
      </c>
      <c r="C3699" s="293">
        <v>65.239999999999995</v>
      </c>
      <c r="D3699" s="230">
        <f t="shared" si="175"/>
        <v>2.241028052029459E-2</v>
      </c>
      <c r="E3699" s="293">
        <v>-1.7213712618526555E-2</v>
      </c>
      <c r="F3699" s="266">
        <f t="shared" si="177"/>
        <v>3692</v>
      </c>
      <c r="G3699" s="230">
        <f t="shared" ca="1" si="176"/>
        <v>4.6807300073555286E-3</v>
      </c>
    </row>
    <row r="3700" spans="2:7" x14ac:dyDescent="0.25">
      <c r="B3700" s="348" t="s">
        <v>2797</v>
      </c>
      <c r="C3700" s="293">
        <v>63.81</v>
      </c>
      <c r="D3700" s="230">
        <f t="shared" si="175"/>
        <v>-3.1420765027322273E-2</v>
      </c>
      <c r="E3700" s="293">
        <v>-1.7222820236813652E-2</v>
      </c>
      <c r="F3700" s="266">
        <f t="shared" si="177"/>
        <v>3693</v>
      </c>
      <c r="G3700" s="230">
        <f t="shared" ca="1" si="176"/>
        <v>9.1449644288047558E-3</v>
      </c>
    </row>
    <row r="3701" spans="2:7" x14ac:dyDescent="0.25">
      <c r="B3701" s="348" t="s">
        <v>2798</v>
      </c>
      <c r="C3701" s="293">
        <v>65.88</v>
      </c>
      <c r="D3701" s="230">
        <f t="shared" si="175"/>
        <v>-1.0216346153846256E-2</v>
      </c>
      <c r="E3701" s="293">
        <v>-1.722585003377608E-2</v>
      </c>
      <c r="F3701" s="266">
        <f t="shared" si="177"/>
        <v>3694</v>
      </c>
      <c r="G3701" s="230">
        <f t="shared" ca="1" si="176"/>
        <v>6.8193849624744573E-3</v>
      </c>
    </row>
    <row r="3702" spans="2:7" x14ac:dyDescent="0.25">
      <c r="B3702" s="348" t="s">
        <v>2799</v>
      </c>
      <c r="C3702" s="293">
        <v>66.56</v>
      </c>
      <c r="D3702" s="230">
        <f t="shared" si="175"/>
        <v>-1.1289364230540611E-2</v>
      </c>
      <c r="E3702" s="293">
        <v>-1.7241379310344751E-2</v>
      </c>
      <c r="F3702" s="266">
        <f t="shared" si="177"/>
        <v>3695</v>
      </c>
      <c r="G3702" s="230">
        <f t="shared" ca="1" si="176"/>
        <v>3.3824157085404642E-2</v>
      </c>
    </row>
    <row r="3703" spans="2:7" x14ac:dyDescent="0.25">
      <c r="B3703" s="348">
        <v>40517</v>
      </c>
      <c r="C3703" s="293">
        <v>67.319999999999993</v>
      </c>
      <c r="D3703" s="230">
        <f t="shared" si="175"/>
        <v>1.9227857683572935E-2</v>
      </c>
      <c r="E3703" s="293">
        <v>-1.7269736842105199E-2</v>
      </c>
      <c r="F3703" s="266">
        <f t="shared" si="177"/>
        <v>3696</v>
      </c>
      <c r="G3703" s="230">
        <f t="shared" ca="1" si="176"/>
        <v>-1.7228782452701069E-2</v>
      </c>
    </row>
    <row r="3704" spans="2:7" x14ac:dyDescent="0.25">
      <c r="B3704" s="348">
        <v>40487</v>
      </c>
      <c r="C3704" s="293">
        <v>66.05</v>
      </c>
      <c r="D3704" s="230">
        <f t="shared" si="175"/>
        <v>-6.3186399879645583E-3</v>
      </c>
      <c r="E3704" s="293">
        <v>-1.7272727272727217E-2</v>
      </c>
      <c r="F3704" s="266">
        <f t="shared" si="177"/>
        <v>3697</v>
      </c>
      <c r="G3704" s="230">
        <f t="shared" ca="1" si="176"/>
        <v>-2.3882283657555028E-2</v>
      </c>
    </row>
    <row r="3705" spans="2:7" x14ac:dyDescent="0.25">
      <c r="B3705" s="348">
        <v>40456</v>
      </c>
      <c r="C3705" s="293">
        <v>66.47</v>
      </c>
      <c r="D3705" s="230">
        <f t="shared" si="175"/>
        <v>5.4242664551942932E-2</v>
      </c>
      <c r="E3705" s="293">
        <v>-1.7279349483313666E-2</v>
      </c>
      <c r="F3705" s="266">
        <f t="shared" si="177"/>
        <v>3698</v>
      </c>
      <c r="G3705" s="230">
        <f t="shared" ca="1" si="176"/>
        <v>1.9414277389571861E-2</v>
      </c>
    </row>
    <row r="3706" spans="2:7" x14ac:dyDescent="0.25">
      <c r="B3706" s="348">
        <v>40364</v>
      </c>
      <c r="C3706" s="293">
        <v>63.05</v>
      </c>
      <c r="D3706" s="230">
        <f t="shared" si="175"/>
        <v>-3.2975460122699474E-2</v>
      </c>
      <c r="E3706" s="293">
        <v>-1.7317287936601033E-2</v>
      </c>
      <c r="F3706" s="266">
        <f t="shared" si="177"/>
        <v>3699</v>
      </c>
      <c r="G3706" s="230">
        <f t="shared" ca="1" si="176"/>
        <v>7.6700407336477748E-3</v>
      </c>
    </row>
    <row r="3707" spans="2:7" x14ac:dyDescent="0.25">
      <c r="B3707" s="348">
        <v>40334</v>
      </c>
      <c r="C3707" s="293">
        <v>65.2</v>
      </c>
      <c r="D3707" s="230">
        <f t="shared" si="175"/>
        <v>-1.7776438686351148E-2</v>
      </c>
      <c r="E3707" s="293">
        <v>-1.735604217356046E-2</v>
      </c>
      <c r="F3707" s="266">
        <f t="shared" si="177"/>
        <v>3700</v>
      </c>
      <c r="G3707" s="230">
        <f t="shared" ca="1" si="176"/>
        <v>-6.4107252730707665E-3</v>
      </c>
    </row>
    <row r="3708" spans="2:7" x14ac:dyDescent="0.25">
      <c r="B3708" s="348">
        <v>40303</v>
      </c>
      <c r="C3708" s="293">
        <v>66.38</v>
      </c>
      <c r="D3708" s="230">
        <f t="shared" si="175"/>
        <v>1.73180076628352E-2</v>
      </c>
      <c r="E3708" s="293">
        <v>-1.7357656163626389E-2</v>
      </c>
      <c r="F3708" s="266">
        <f t="shared" si="177"/>
        <v>3701</v>
      </c>
      <c r="G3708" s="230">
        <f t="shared" ca="1" si="176"/>
        <v>-1.3736687295037417E-2</v>
      </c>
    </row>
    <row r="3709" spans="2:7" x14ac:dyDescent="0.25">
      <c r="B3709" s="348">
        <v>40273</v>
      </c>
      <c r="C3709" s="293">
        <v>65.25</v>
      </c>
      <c r="D3709" s="230">
        <f t="shared" si="175"/>
        <v>-2.1739130434782705E-2</v>
      </c>
      <c r="E3709" s="293">
        <v>-1.7358958462492247E-2</v>
      </c>
      <c r="F3709" s="266">
        <f t="shared" si="177"/>
        <v>3702</v>
      </c>
      <c r="G3709" s="230">
        <f t="shared" ca="1" si="176"/>
        <v>2.8233730746770033E-2</v>
      </c>
    </row>
    <row r="3710" spans="2:7" x14ac:dyDescent="0.25">
      <c r="B3710" s="348">
        <v>40242</v>
      </c>
      <c r="C3710" s="293">
        <v>66.7</v>
      </c>
      <c r="D3710" s="230">
        <f t="shared" si="175"/>
        <v>4.669377918361306E-3</v>
      </c>
      <c r="E3710" s="293">
        <v>-1.7383746197305538E-2</v>
      </c>
      <c r="F3710" s="266">
        <f t="shared" si="177"/>
        <v>3703</v>
      </c>
      <c r="G3710" s="230">
        <f t="shared" ca="1" si="176"/>
        <v>-3.4110927755451994E-3</v>
      </c>
    </row>
    <row r="3711" spans="2:7" x14ac:dyDescent="0.25">
      <c r="B3711" s="348" t="s">
        <v>2800</v>
      </c>
      <c r="C3711" s="293">
        <v>66.39</v>
      </c>
      <c r="D3711" s="230">
        <f t="shared" si="175"/>
        <v>-2.6539589442815315E-2</v>
      </c>
      <c r="E3711" s="293">
        <v>-1.7399999999999971E-2</v>
      </c>
      <c r="F3711" s="266">
        <f t="shared" si="177"/>
        <v>3704</v>
      </c>
      <c r="G3711" s="230">
        <f t="shared" ca="1" si="176"/>
        <v>-2.4054504735714806E-2</v>
      </c>
    </row>
    <row r="3712" spans="2:7" x14ac:dyDescent="0.25">
      <c r="B3712" s="348" t="s">
        <v>2801</v>
      </c>
      <c r="C3712" s="293">
        <v>68.2</v>
      </c>
      <c r="D3712" s="230">
        <f t="shared" si="175"/>
        <v>-1.3179089178504411E-3</v>
      </c>
      <c r="E3712" s="293">
        <v>-1.7405951712521017E-2</v>
      </c>
      <c r="F3712" s="266">
        <f t="shared" si="177"/>
        <v>3705</v>
      </c>
      <c r="G3712" s="230">
        <f t="shared" ca="1" si="176"/>
        <v>2.7297469528672819E-3</v>
      </c>
    </row>
    <row r="3713" spans="2:7" x14ac:dyDescent="0.25">
      <c r="B3713" s="348" t="s">
        <v>2802</v>
      </c>
      <c r="C3713" s="293">
        <v>68.290000000000006</v>
      </c>
      <c r="D3713" s="230">
        <f t="shared" si="175"/>
        <v>-1.1006517016654449E-2</v>
      </c>
      <c r="E3713" s="293">
        <v>-1.7454107733975266E-2</v>
      </c>
      <c r="F3713" s="266">
        <f t="shared" si="177"/>
        <v>3706</v>
      </c>
      <c r="G3713" s="230">
        <f t="shared" ca="1" si="176"/>
        <v>5.6423475521371579E-3</v>
      </c>
    </row>
    <row r="3714" spans="2:7" x14ac:dyDescent="0.25">
      <c r="B3714" s="348" t="s">
        <v>2803</v>
      </c>
      <c r="C3714" s="293">
        <v>69.05</v>
      </c>
      <c r="D3714" s="230">
        <f t="shared" si="175"/>
        <v>-1.0127314814816213E-3</v>
      </c>
      <c r="E3714" s="293">
        <v>-1.746529332736213E-2</v>
      </c>
      <c r="F3714" s="266">
        <f t="shared" si="177"/>
        <v>3707</v>
      </c>
      <c r="G3714" s="230">
        <f t="shared" ca="1" si="176"/>
        <v>6.2801612795285516E-3</v>
      </c>
    </row>
    <row r="3715" spans="2:7" x14ac:dyDescent="0.25">
      <c r="B3715" s="348" t="s">
        <v>2804</v>
      </c>
      <c r="C3715" s="293">
        <v>69.12</v>
      </c>
      <c r="D3715" s="230">
        <f t="shared" si="175"/>
        <v>1.0526315789473717E-2</v>
      </c>
      <c r="E3715" s="293">
        <v>-1.7470074409576264E-2</v>
      </c>
      <c r="F3715" s="266">
        <f t="shared" si="177"/>
        <v>3708</v>
      </c>
      <c r="G3715" s="230">
        <f t="shared" ca="1" si="176"/>
        <v>-2.1376425702539101E-2</v>
      </c>
    </row>
    <row r="3716" spans="2:7" x14ac:dyDescent="0.25">
      <c r="B3716" s="348" t="s">
        <v>2805</v>
      </c>
      <c r="C3716" s="293">
        <v>68.400000000000006</v>
      </c>
      <c r="D3716" s="230">
        <f t="shared" si="175"/>
        <v>-1.7523700086182092E-2</v>
      </c>
      <c r="E3716" s="293">
        <v>-1.751127620058357E-2</v>
      </c>
      <c r="F3716" s="266">
        <f t="shared" si="177"/>
        <v>3709</v>
      </c>
      <c r="G3716" s="230">
        <f t="shared" ca="1" si="176"/>
        <v>-1.1895703674142319E-2</v>
      </c>
    </row>
    <row r="3717" spans="2:7" x14ac:dyDescent="0.25">
      <c r="B3717" s="348" t="s">
        <v>2806</v>
      </c>
      <c r="C3717" s="293">
        <v>69.62</v>
      </c>
      <c r="D3717" s="230">
        <f t="shared" si="175"/>
        <v>-1.1477761836441447E-3</v>
      </c>
      <c r="E3717" s="293">
        <v>-1.7511330861145424E-2</v>
      </c>
      <c r="F3717" s="266">
        <f t="shared" si="177"/>
        <v>3710</v>
      </c>
      <c r="G3717" s="230">
        <f t="shared" ca="1" si="176"/>
        <v>1.3007928216095831E-2</v>
      </c>
    </row>
    <row r="3718" spans="2:7" x14ac:dyDescent="0.25">
      <c r="B3718" s="348" t="s">
        <v>2807</v>
      </c>
      <c r="C3718" s="293">
        <v>69.7</v>
      </c>
      <c r="D3718" s="230">
        <f t="shared" si="175"/>
        <v>1.3523338665115681E-2</v>
      </c>
      <c r="E3718" s="293">
        <v>-1.7519379844961325E-2</v>
      </c>
      <c r="F3718" s="266">
        <f t="shared" si="177"/>
        <v>3711</v>
      </c>
      <c r="G3718" s="230">
        <f t="shared" ca="1" si="176"/>
        <v>-2.4141931465467018E-2</v>
      </c>
    </row>
    <row r="3719" spans="2:7" x14ac:dyDescent="0.25">
      <c r="B3719" s="348" t="s">
        <v>2808</v>
      </c>
      <c r="C3719" s="293">
        <v>68.77</v>
      </c>
      <c r="D3719" s="230">
        <f t="shared" si="175"/>
        <v>-1.2067231719580573E-2</v>
      </c>
      <c r="E3719" s="293">
        <v>-1.7523700086182092E-2</v>
      </c>
      <c r="F3719" s="266">
        <f t="shared" si="177"/>
        <v>3712</v>
      </c>
      <c r="G3719" s="230">
        <f t="shared" ca="1" si="176"/>
        <v>2.9948404399800783E-3</v>
      </c>
    </row>
    <row r="3720" spans="2:7" x14ac:dyDescent="0.25">
      <c r="B3720" s="348" t="s">
        <v>2809</v>
      </c>
      <c r="C3720" s="293">
        <v>69.61</v>
      </c>
      <c r="D3720" s="230">
        <f t="shared" si="175"/>
        <v>-2.4933464070598155E-2</v>
      </c>
      <c r="E3720" s="293">
        <v>-1.752980957465744E-2</v>
      </c>
      <c r="F3720" s="266">
        <f t="shared" si="177"/>
        <v>3713</v>
      </c>
      <c r="G3720" s="230">
        <f t="shared" ca="1" si="176"/>
        <v>1.1595223015141662E-2</v>
      </c>
    </row>
    <row r="3721" spans="2:7" x14ac:dyDescent="0.25">
      <c r="B3721" s="348" t="s">
        <v>2810</v>
      </c>
      <c r="C3721" s="293">
        <v>71.39</v>
      </c>
      <c r="D3721" s="230">
        <f t="shared" ref="D3721:D3784" si="178">C3721/C3722-1</f>
        <v>0</v>
      </c>
      <c r="E3721" s="293">
        <v>-1.7535763728657061E-2</v>
      </c>
      <c r="F3721" s="266">
        <f t="shared" si="177"/>
        <v>3714</v>
      </c>
      <c r="G3721" s="230">
        <f t="shared" ref="G3721:G3784" ca="1" si="179">_xlfn.NORM.INV(RAND(),$M$10,$M$11)</f>
        <v>9.6278831330267635E-3</v>
      </c>
    </row>
    <row r="3722" spans="2:7" x14ac:dyDescent="0.25">
      <c r="B3722" s="348" t="s">
        <v>2811</v>
      </c>
      <c r="C3722" s="293">
        <v>71.39</v>
      </c>
      <c r="D3722" s="230">
        <f t="shared" si="178"/>
        <v>3.2321528948848766E-3</v>
      </c>
      <c r="E3722" s="293">
        <v>-1.7564075703610516E-2</v>
      </c>
      <c r="F3722" s="266">
        <f t="shared" ref="F3722:F3785" si="180">F3721+1</f>
        <v>3715</v>
      </c>
      <c r="G3722" s="230">
        <f t="shared" ca="1" si="179"/>
        <v>-7.3701544908597993E-4</v>
      </c>
    </row>
    <row r="3723" spans="2:7" x14ac:dyDescent="0.25">
      <c r="B3723" s="348" t="s">
        <v>2812</v>
      </c>
      <c r="C3723" s="293">
        <v>71.16</v>
      </c>
      <c r="D3723" s="230">
        <f t="shared" si="178"/>
        <v>2.5655808590371976E-2</v>
      </c>
      <c r="E3723" s="293">
        <v>-1.7583664208735139E-2</v>
      </c>
      <c r="F3723" s="266">
        <f t="shared" si="180"/>
        <v>3716</v>
      </c>
      <c r="G3723" s="230">
        <f t="shared" ca="1" si="179"/>
        <v>2.0112592141416983E-3</v>
      </c>
    </row>
    <row r="3724" spans="2:7" x14ac:dyDescent="0.25">
      <c r="B3724" s="348">
        <v>40516</v>
      </c>
      <c r="C3724" s="293">
        <v>69.38</v>
      </c>
      <c r="D3724" s="230">
        <f t="shared" si="178"/>
        <v>-1.2384341637010743E-2</v>
      </c>
      <c r="E3724" s="293">
        <v>-1.7607683352735659E-2</v>
      </c>
      <c r="F3724" s="266">
        <f t="shared" si="180"/>
        <v>3717</v>
      </c>
      <c r="G3724" s="230">
        <f t="shared" ca="1" si="179"/>
        <v>3.2248399447476955E-2</v>
      </c>
    </row>
    <row r="3725" spans="2:7" x14ac:dyDescent="0.25">
      <c r="B3725" s="348">
        <v>40425</v>
      </c>
      <c r="C3725" s="293">
        <v>70.25</v>
      </c>
      <c r="D3725" s="230">
        <f t="shared" si="178"/>
        <v>-8.6085238498447847E-3</v>
      </c>
      <c r="E3725" s="293">
        <v>-1.7642907551164377E-2</v>
      </c>
      <c r="F3725" s="266">
        <f t="shared" si="180"/>
        <v>3718</v>
      </c>
      <c r="G3725" s="230">
        <f t="shared" ca="1" si="179"/>
        <v>-1.3953928077899505E-2</v>
      </c>
    </row>
    <row r="3726" spans="2:7" x14ac:dyDescent="0.25">
      <c r="B3726" s="348">
        <v>40394</v>
      </c>
      <c r="C3726" s="293">
        <v>70.86</v>
      </c>
      <c r="D3726" s="230">
        <f t="shared" si="178"/>
        <v>2.830455703368262E-3</v>
      </c>
      <c r="E3726" s="293">
        <v>-1.7644093429675656E-2</v>
      </c>
      <c r="F3726" s="266">
        <f t="shared" si="180"/>
        <v>3719</v>
      </c>
      <c r="G3726" s="230">
        <f t="shared" ca="1" si="179"/>
        <v>-7.2072233914367324E-5</v>
      </c>
    </row>
    <row r="3727" spans="2:7" x14ac:dyDescent="0.25">
      <c r="B3727" s="348">
        <v>40363</v>
      </c>
      <c r="C3727" s="293">
        <v>70.66</v>
      </c>
      <c r="D3727" s="230">
        <f t="shared" si="178"/>
        <v>-7.0711356243813306E-4</v>
      </c>
      <c r="E3727" s="293">
        <v>-1.7657607945923637E-2</v>
      </c>
      <c r="F3727" s="266">
        <f t="shared" si="180"/>
        <v>3720</v>
      </c>
      <c r="G3727" s="230">
        <f t="shared" ca="1" si="179"/>
        <v>9.0126487247192376E-3</v>
      </c>
    </row>
    <row r="3728" spans="2:7" x14ac:dyDescent="0.25">
      <c r="B3728" s="348">
        <v>40333</v>
      </c>
      <c r="C3728" s="293">
        <v>70.709999999999994</v>
      </c>
      <c r="D3728" s="230">
        <f t="shared" si="178"/>
        <v>-9.5251435775319804E-3</v>
      </c>
      <c r="E3728" s="293">
        <v>-1.7703768624014016E-2</v>
      </c>
      <c r="F3728" s="266">
        <f t="shared" si="180"/>
        <v>3721</v>
      </c>
      <c r="G3728" s="230">
        <f t="shared" ca="1" si="179"/>
        <v>1.4424987675596168E-2</v>
      </c>
    </row>
    <row r="3729" spans="2:7" x14ac:dyDescent="0.25">
      <c r="B3729" s="348">
        <v>40302</v>
      </c>
      <c r="C3729" s="293">
        <v>71.39</v>
      </c>
      <c r="D3729" s="230">
        <f t="shared" si="178"/>
        <v>9.8149186763896168E-4</v>
      </c>
      <c r="E3729" s="293">
        <v>-1.7730496453900679E-2</v>
      </c>
      <c r="F3729" s="266">
        <f t="shared" si="180"/>
        <v>3722</v>
      </c>
      <c r="G3729" s="230">
        <f t="shared" ca="1" si="179"/>
        <v>-1.1192026688892009E-4</v>
      </c>
    </row>
    <row r="3730" spans="2:7" x14ac:dyDescent="0.25">
      <c r="B3730" s="348">
        <v>40182</v>
      </c>
      <c r="C3730" s="293">
        <v>71.319999999999993</v>
      </c>
      <c r="D3730" s="230">
        <f t="shared" si="178"/>
        <v>2.0460723994848884E-2</v>
      </c>
      <c r="E3730" s="293">
        <v>-1.7740712661106883E-2</v>
      </c>
      <c r="F3730" s="266">
        <f t="shared" si="180"/>
        <v>3723</v>
      </c>
      <c r="G3730" s="230">
        <f t="shared" ca="1" si="179"/>
        <v>7.4092448055733751E-3</v>
      </c>
    </row>
    <row r="3731" spans="2:7" x14ac:dyDescent="0.25">
      <c r="B3731" s="348" t="s">
        <v>2813</v>
      </c>
      <c r="C3731" s="293">
        <v>69.89</v>
      </c>
      <c r="D3731" s="230">
        <f t="shared" si="178"/>
        <v>7.6412918108419436E-3</v>
      </c>
      <c r="E3731" s="293">
        <v>-1.7741668048416481E-2</v>
      </c>
      <c r="F3731" s="266">
        <f t="shared" si="180"/>
        <v>3724</v>
      </c>
      <c r="G3731" s="230">
        <f t="shared" ca="1" si="179"/>
        <v>-1.9121065420369288E-2</v>
      </c>
    </row>
    <row r="3732" spans="2:7" x14ac:dyDescent="0.25">
      <c r="B3732" s="348" t="s">
        <v>2814</v>
      </c>
      <c r="C3732" s="293">
        <v>69.36</v>
      </c>
      <c r="D3732" s="230">
        <f t="shared" si="178"/>
        <v>-1.9646643109540673E-2</v>
      </c>
      <c r="E3732" s="293">
        <v>-1.7751479289940919E-2</v>
      </c>
      <c r="F3732" s="266">
        <f t="shared" si="180"/>
        <v>3725</v>
      </c>
      <c r="G3732" s="230">
        <f t="shared" ca="1" si="179"/>
        <v>8.8241640585533122E-3</v>
      </c>
    </row>
    <row r="3733" spans="2:7" x14ac:dyDescent="0.25">
      <c r="B3733" s="348" t="s">
        <v>2815</v>
      </c>
      <c r="C3733" s="293">
        <v>70.75</v>
      </c>
      <c r="D3733" s="230">
        <f t="shared" si="178"/>
        <v>-2.5377132384041268E-3</v>
      </c>
      <c r="E3733" s="293">
        <v>-1.7753656517339622E-2</v>
      </c>
      <c r="F3733" s="266">
        <f t="shared" si="180"/>
        <v>3726</v>
      </c>
      <c r="G3733" s="230">
        <f t="shared" ca="1" si="179"/>
        <v>1.6166059943617979E-2</v>
      </c>
    </row>
    <row r="3734" spans="2:7" x14ac:dyDescent="0.25">
      <c r="B3734" s="348" t="s">
        <v>2816</v>
      </c>
      <c r="C3734" s="293">
        <v>70.930000000000007</v>
      </c>
      <c r="D3734" s="230">
        <f t="shared" si="178"/>
        <v>-2.3909985935300915E-3</v>
      </c>
      <c r="E3734" s="293">
        <v>-1.7762237762237731E-2</v>
      </c>
      <c r="F3734" s="266">
        <f t="shared" si="180"/>
        <v>3727</v>
      </c>
      <c r="G3734" s="230">
        <f t="shared" ca="1" si="179"/>
        <v>1.345408385941666E-3</v>
      </c>
    </row>
    <row r="3735" spans="2:7" x14ac:dyDescent="0.25">
      <c r="B3735" s="348" t="s">
        <v>2817</v>
      </c>
      <c r="C3735" s="293">
        <v>71.099999999999994</v>
      </c>
      <c r="D3735" s="230">
        <f t="shared" si="178"/>
        <v>-1.544726864204482E-3</v>
      </c>
      <c r="E3735" s="293">
        <v>-1.7776438686351148E-2</v>
      </c>
      <c r="F3735" s="266">
        <f t="shared" si="180"/>
        <v>3728</v>
      </c>
      <c r="G3735" s="230">
        <f t="shared" ca="1" si="179"/>
        <v>9.6989457120651278E-3</v>
      </c>
    </row>
    <row r="3736" spans="2:7" x14ac:dyDescent="0.25">
      <c r="B3736" s="348" t="s">
        <v>2818</v>
      </c>
      <c r="C3736" s="293">
        <v>71.209999999999994</v>
      </c>
      <c r="D3736" s="230">
        <f t="shared" si="178"/>
        <v>-1.0559955537029375E-2</v>
      </c>
      <c r="E3736" s="293">
        <v>-1.7783561049663832E-2</v>
      </c>
      <c r="F3736" s="266">
        <f t="shared" si="180"/>
        <v>3729</v>
      </c>
      <c r="G3736" s="230">
        <f t="shared" ca="1" si="179"/>
        <v>2.0809169162550691E-2</v>
      </c>
    </row>
    <row r="3737" spans="2:7" x14ac:dyDescent="0.25">
      <c r="B3737" s="348" t="s">
        <v>2819</v>
      </c>
      <c r="C3737" s="293">
        <v>71.97</v>
      </c>
      <c r="D3737" s="230">
        <f t="shared" si="178"/>
        <v>2.0885547201336951E-3</v>
      </c>
      <c r="E3737" s="293">
        <v>-1.7801474230108139E-2</v>
      </c>
      <c r="F3737" s="266">
        <f t="shared" si="180"/>
        <v>3730</v>
      </c>
      <c r="G3737" s="230">
        <f t="shared" ca="1" si="179"/>
        <v>1.8304751068973293E-2</v>
      </c>
    </row>
    <row r="3738" spans="2:7" x14ac:dyDescent="0.25">
      <c r="B3738" s="348" t="s">
        <v>2820</v>
      </c>
      <c r="C3738" s="293">
        <v>71.819999999999993</v>
      </c>
      <c r="D3738" s="230">
        <f t="shared" si="178"/>
        <v>-3.4688497294297349E-3</v>
      </c>
      <c r="E3738" s="293">
        <v>-1.7857142857142794E-2</v>
      </c>
      <c r="F3738" s="266">
        <f t="shared" si="180"/>
        <v>3731</v>
      </c>
      <c r="G3738" s="230">
        <f t="shared" ca="1" si="179"/>
        <v>-6.8562213781211264E-3</v>
      </c>
    </row>
    <row r="3739" spans="2:7" x14ac:dyDescent="0.25">
      <c r="B3739" s="348" t="s">
        <v>2821</v>
      </c>
      <c r="C3739" s="293">
        <v>72.069999999999993</v>
      </c>
      <c r="D3739" s="230">
        <f t="shared" si="178"/>
        <v>-1.3685507048036172E-2</v>
      </c>
      <c r="E3739" s="293">
        <v>-1.7860726469998034E-2</v>
      </c>
      <c r="F3739" s="266">
        <f t="shared" si="180"/>
        <v>3732</v>
      </c>
      <c r="G3739" s="230">
        <f t="shared" ca="1" si="179"/>
        <v>-7.3959729551358704E-3</v>
      </c>
    </row>
    <row r="3740" spans="2:7" x14ac:dyDescent="0.25">
      <c r="B3740" s="348" t="s">
        <v>2822</v>
      </c>
      <c r="C3740" s="293">
        <v>73.069999999999993</v>
      </c>
      <c r="D3740" s="230">
        <f t="shared" si="178"/>
        <v>1.5707534056157879E-2</v>
      </c>
      <c r="E3740" s="293">
        <v>-1.7870221180606438E-2</v>
      </c>
      <c r="F3740" s="266">
        <f t="shared" si="180"/>
        <v>3733</v>
      </c>
      <c r="G3740" s="230">
        <f t="shared" ca="1" si="179"/>
        <v>-2.2903505625161996E-2</v>
      </c>
    </row>
    <row r="3741" spans="2:7" x14ac:dyDescent="0.25">
      <c r="B3741" s="348" t="s">
        <v>2823</v>
      </c>
      <c r="C3741" s="293">
        <v>71.94</v>
      </c>
      <c r="D3741" s="230">
        <f t="shared" si="178"/>
        <v>-1.3881177123821198E-3</v>
      </c>
      <c r="E3741" s="293">
        <v>-1.7875041764116251E-2</v>
      </c>
      <c r="F3741" s="266">
        <f t="shared" si="180"/>
        <v>3734</v>
      </c>
      <c r="G3741" s="230">
        <f t="shared" ca="1" si="179"/>
        <v>-6.3453934353768469E-3</v>
      </c>
    </row>
    <row r="3742" spans="2:7" x14ac:dyDescent="0.25">
      <c r="B3742" s="348" t="s">
        <v>2824</v>
      </c>
      <c r="C3742" s="293">
        <v>72.040000000000006</v>
      </c>
      <c r="D3742" s="230">
        <f t="shared" si="178"/>
        <v>2.6210826210826266E-2</v>
      </c>
      <c r="E3742" s="293">
        <v>-1.7878008880579555E-2</v>
      </c>
      <c r="F3742" s="266">
        <f t="shared" si="180"/>
        <v>3735</v>
      </c>
      <c r="G3742" s="230">
        <f t="shared" ca="1" si="179"/>
        <v>-1.2615896062323703E-2</v>
      </c>
    </row>
    <row r="3743" spans="2:7" x14ac:dyDescent="0.25">
      <c r="B3743" s="348">
        <v>40515</v>
      </c>
      <c r="C3743" s="293">
        <v>70.2</v>
      </c>
      <c r="D3743" s="230">
        <f t="shared" si="178"/>
        <v>9.9814629972927449E-4</v>
      </c>
      <c r="E3743" s="293">
        <v>-1.7920173771381886E-2</v>
      </c>
      <c r="F3743" s="266">
        <f t="shared" si="180"/>
        <v>3736</v>
      </c>
      <c r="G3743" s="230">
        <f t="shared" ca="1" si="179"/>
        <v>-3.7037915860088973E-3</v>
      </c>
    </row>
    <row r="3744" spans="2:7" x14ac:dyDescent="0.25">
      <c r="B3744" s="348">
        <v>40485</v>
      </c>
      <c r="C3744" s="293">
        <v>70.13</v>
      </c>
      <c r="D3744" s="230">
        <f t="shared" si="178"/>
        <v>1.8739105171411863E-2</v>
      </c>
      <c r="E3744" s="293">
        <v>-1.7937219730941756E-2</v>
      </c>
      <c r="F3744" s="266">
        <f t="shared" si="180"/>
        <v>3737</v>
      </c>
      <c r="G3744" s="230">
        <f t="shared" ca="1" si="179"/>
        <v>-4.683418138650676E-3</v>
      </c>
    </row>
    <row r="3745" spans="2:7" x14ac:dyDescent="0.25">
      <c r="B3745" s="348">
        <v>40454</v>
      </c>
      <c r="C3745" s="293">
        <v>68.84</v>
      </c>
      <c r="D3745" s="230">
        <f t="shared" si="178"/>
        <v>-8.2120731883013054E-3</v>
      </c>
      <c r="E3745" s="293">
        <v>-1.7977761612802734E-2</v>
      </c>
      <c r="F3745" s="266">
        <f t="shared" si="180"/>
        <v>3738</v>
      </c>
      <c r="G3745" s="230">
        <f t="shared" ca="1" si="179"/>
        <v>-2.2173383590452976E-2</v>
      </c>
    </row>
    <row r="3746" spans="2:7" x14ac:dyDescent="0.25">
      <c r="B3746" s="348">
        <v>40424</v>
      </c>
      <c r="C3746" s="293">
        <v>69.41</v>
      </c>
      <c r="D3746" s="230">
        <f t="shared" si="178"/>
        <v>6.233690924905666E-3</v>
      </c>
      <c r="E3746" s="293">
        <v>-1.8005540166205036E-2</v>
      </c>
      <c r="F3746" s="266">
        <f t="shared" si="180"/>
        <v>3739</v>
      </c>
      <c r="G3746" s="230">
        <f t="shared" ca="1" si="179"/>
        <v>-3.0533942660006794E-2</v>
      </c>
    </row>
    <row r="3747" spans="2:7" x14ac:dyDescent="0.25">
      <c r="B3747" s="348">
        <v>40393</v>
      </c>
      <c r="C3747" s="293">
        <v>68.98</v>
      </c>
      <c r="D3747" s="230">
        <f t="shared" si="178"/>
        <v>1.7254092316767444E-2</v>
      </c>
      <c r="E3747" s="293">
        <v>-1.8010642652476538E-2</v>
      </c>
      <c r="F3747" s="266">
        <f t="shared" si="180"/>
        <v>3740</v>
      </c>
      <c r="G3747" s="230">
        <f t="shared" ca="1" si="179"/>
        <v>-5.0742454078605359E-3</v>
      </c>
    </row>
    <row r="3748" spans="2:7" x14ac:dyDescent="0.25">
      <c r="B3748" s="348">
        <v>40301</v>
      </c>
      <c r="C3748" s="293">
        <v>67.81</v>
      </c>
      <c r="D3748" s="230">
        <f t="shared" si="178"/>
        <v>-1.1371920104971567E-2</v>
      </c>
      <c r="E3748" s="293">
        <v>-1.8013149599207412E-2</v>
      </c>
      <c r="F3748" s="266">
        <f t="shared" si="180"/>
        <v>3741</v>
      </c>
      <c r="G3748" s="230">
        <f t="shared" ca="1" si="179"/>
        <v>-3.4035117450350608E-2</v>
      </c>
    </row>
    <row r="3749" spans="2:7" x14ac:dyDescent="0.25">
      <c r="B3749" s="348">
        <v>40271</v>
      </c>
      <c r="C3749" s="293">
        <v>68.59</v>
      </c>
      <c r="D3749" s="230">
        <f t="shared" si="178"/>
        <v>-6.8056762235736423E-3</v>
      </c>
      <c r="E3749" s="293">
        <v>-1.8015834545160758E-2</v>
      </c>
      <c r="F3749" s="266">
        <f t="shared" si="180"/>
        <v>3742</v>
      </c>
      <c r="G3749" s="230">
        <f t="shared" ca="1" si="179"/>
        <v>-2.5797336649621784E-2</v>
      </c>
    </row>
    <row r="3750" spans="2:7" x14ac:dyDescent="0.25">
      <c r="B3750" s="348">
        <v>40240</v>
      </c>
      <c r="C3750" s="293">
        <v>69.06</v>
      </c>
      <c r="D3750" s="230">
        <f t="shared" si="178"/>
        <v>-3.8944180008653184E-3</v>
      </c>
      <c r="E3750" s="293">
        <v>-1.8045705279747914E-2</v>
      </c>
      <c r="F3750" s="266">
        <f t="shared" si="180"/>
        <v>3743</v>
      </c>
      <c r="G3750" s="230">
        <f t="shared" ca="1" si="179"/>
        <v>-9.8431743430550753E-3</v>
      </c>
    </row>
    <row r="3751" spans="2:7" x14ac:dyDescent="0.25">
      <c r="B3751" s="348">
        <v>40212</v>
      </c>
      <c r="C3751" s="293">
        <v>69.33</v>
      </c>
      <c r="D3751" s="230">
        <f t="shared" si="178"/>
        <v>3.5085100029859539E-2</v>
      </c>
      <c r="E3751" s="293">
        <v>-1.8056245203809884E-2</v>
      </c>
      <c r="F3751" s="266">
        <f t="shared" si="180"/>
        <v>3744</v>
      </c>
      <c r="G3751" s="230">
        <f t="shared" ca="1" si="179"/>
        <v>-1.4996832423015423E-2</v>
      </c>
    </row>
    <row r="3752" spans="2:7" x14ac:dyDescent="0.25">
      <c r="B3752" s="348" t="s">
        <v>2825</v>
      </c>
      <c r="C3752" s="293">
        <v>66.98</v>
      </c>
      <c r="D3752" s="230">
        <f t="shared" si="178"/>
        <v>1.2088244182532515E-2</v>
      </c>
      <c r="E3752" s="293">
        <v>-1.8059522712614129E-2</v>
      </c>
      <c r="F3752" s="266">
        <f t="shared" si="180"/>
        <v>3745</v>
      </c>
      <c r="G3752" s="230">
        <f t="shared" ca="1" si="179"/>
        <v>2.6064167208362653E-2</v>
      </c>
    </row>
    <row r="3753" spans="2:7" x14ac:dyDescent="0.25">
      <c r="B3753" s="348" t="s">
        <v>2826</v>
      </c>
      <c r="C3753" s="293">
        <v>66.180000000000007</v>
      </c>
      <c r="D3753" s="230">
        <f t="shared" si="178"/>
        <v>-4.2130604875111333E-3</v>
      </c>
      <c r="E3753" s="293">
        <v>-1.8073126650910765E-2</v>
      </c>
      <c r="F3753" s="266">
        <f t="shared" si="180"/>
        <v>3746</v>
      </c>
      <c r="G3753" s="230">
        <f t="shared" ca="1" si="179"/>
        <v>3.329747956949182E-2</v>
      </c>
    </row>
    <row r="3754" spans="2:7" x14ac:dyDescent="0.25">
      <c r="B3754" s="348" t="s">
        <v>2827</v>
      </c>
      <c r="C3754" s="293">
        <v>66.459999999999994</v>
      </c>
      <c r="D3754" s="230">
        <f t="shared" si="178"/>
        <v>-6.1312995364141143E-3</v>
      </c>
      <c r="E3754" s="293">
        <v>-1.8084988350160813E-2</v>
      </c>
      <c r="F3754" s="266">
        <f t="shared" si="180"/>
        <v>3747</v>
      </c>
      <c r="G3754" s="230">
        <f t="shared" ca="1" si="179"/>
        <v>-2.431414750004908E-2</v>
      </c>
    </row>
    <row r="3755" spans="2:7" x14ac:dyDescent="0.25">
      <c r="B3755" s="348" t="s">
        <v>2828</v>
      </c>
      <c r="C3755" s="293">
        <v>66.87</v>
      </c>
      <c r="D3755" s="230">
        <f t="shared" si="178"/>
        <v>1.2261580381471404E-2</v>
      </c>
      <c r="E3755" s="293">
        <v>-1.8208955223880552E-2</v>
      </c>
      <c r="F3755" s="266">
        <f t="shared" si="180"/>
        <v>3748</v>
      </c>
      <c r="G3755" s="230">
        <f t="shared" ca="1" si="179"/>
        <v>-1.2835333760584393E-2</v>
      </c>
    </row>
    <row r="3756" spans="2:7" x14ac:dyDescent="0.25">
      <c r="B3756" s="348" t="s">
        <v>2829</v>
      </c>
      <c r="C3756" s="293">
        <v>66.06</v>
      </c>
      <c r="D3756" s="230">
        <f t="shared" si="178"/>
        <v>3.6463081130357899E-3</v>
      </c>
      <c r="E3756" s="293">
        <v>-1.823517082372661E-2</v>
      </c>
      <c r="F3756" s="266">
        <f t="shared" si="180"/>
        <v>3749</v>
      </c>
      <c r="G3756" s="230">
        <f t="shared" ca="1" si="179"/>
        <v>-8.7654564465233075E-3</v>
      </c>
    </row>
    <row r="3757" spans="2:7" x14ac:dyDescent="0.25">
      <c r="B3757" s="348" t="s">
        <v>2830</v>
      </c>
      <c r="C3757" s="293">
        <v>65.819999999999993</v>
      </c>
      <c r="D3757" s="230">
        <f t="shared" si="178"/>
        <v>-3.180372557928357E-3</v>
      </c>
      <c r="E3757" s="293">
        <v>-1.8244684764217034E-2</v>
      </c>
      <c r="F3757" s="266">
        <f t="shared" si="180"/>
        <v>3750</v>
      </c>
      <c r="G3757" s="230">
        <f t="shared" ca="1" si="179"/>
        <v>-1.6247817808007093E-3</v>
      </c>
    </row>
    <row r="3758" spans="2:7" x14ac:dyDescent="0.25">
      <c r="B3758" s="348" t="s">
        <v>2831</v>
      </c>
      <c r="C3758" s="293">
        <v>66.03</v>
      </c>
      <c r="D3758" s="230">
        <f t="shared" si="178"/>
        <v>-5.2726724917142587E-3</v>
      </c>
      <c r="E3758" s="293">
        <v>-1.8255343731946816E-2</v>
      </c>
      <c r="F3758" s="266">
        <f t="shared" si="180"/>
        <v>3751</v>
      </c>
      <c r="G3758" s="230">
        <f t="shared" ca="1" si="179"/>
        <v>-4.3073302913177922E-4</v>
      </c>
    </row>
    <row r="3759" spans="2:7" x14ac:dyDescent="0.25">
      <c r="B3759" s="348" t="s">
        <v>2832</v>
      </c>
      <c r="C3759" s="293">
        <v>66.38</v>
      </c>
      <c r="D3759" s="230">
        <f t="shared" si="178"/>
        <v>2.264834667069282E-3</v>
      </c>
      <c r="E3759" s="293">
        <v>-1.8255578093306246E-2</v>
      </c>
      <c r="F3759" s="266">
        <f t="shared" si="180"/>
        <v>3752</v>
      </c>
      <c r="G3759" s="230">
        <f t="shared" ca="1" si="179"/>
        <v>7.0233173495991633E-3</v>
      </c>
    </row>
    <row r="3760" spans="2:7" x14ac:dyDescent="0.25">
      <c r="B3760" s="348" t="s">
        <v>2833</v>
      </c>
      <c r="C3760" s="293">
        <v>66.23</v>
      </c>
      <c r="D3760" s="230">
        <f t="shared" si="178"/>
        <v>1.5174739423666539E-2</v>
      </c>
      <c r="E3760" s="293">
        <v>-1.8261276728578024E-2</v>
      </c>
      <c r="F3760" s="266">
        <f t="shared" si="180"/>
        <v>3753</v>
      </c>
      <c r="G3760" s="230">
        <f t="shared" ca="1" si="179"/>
        <v>2.1370950940358104E-2</v>
      </c>
    </row>
    <row r="3761" spans="2:7" x14ac:dyDescent="0.25">
      <c r="B3761" s="348" t="s">
        <v>2834</v>
      </c>
      <c r="C3761" s="293">
        <v>65.239999999999995</v>
      </c>
      <c r="D3761" s="230">
        <f t="shared" si="178"/>
        <v>6.4794816414686096E-3</v>
      </c>
      <c r="E3761" s="293">
        <v>-1.8281191104410066E-2</v>
      </c>
      <c r="F3761" s="266">
        <f t="shared" si="180"/>
        <v>3754</v>
      </c>
      <c r="G3761" s="230">
        <f t="shared" ca="1" si="179"/>
        <v>-1.377882093722602E-2</v>
      </c>
    </row>
    <row r="3762" spans="2:7" x14ac:dyDescent="0.25">
      <c r="B3762" s="348">
        <v>40484</v>
      </c>
      <c r="C3762" s="293">
        <v>64.819999999999993</v>
      </c>
      <c r="D3762" s="230">
        <f t="shared" si="178"/>
        <v>1.2337966578166437E-2</v>
      </c>
      <c r="E3762" s="293">
        <v>-1.8356493395093376E-2</v>
      </c>
      <c r="F3762" s="266">
        <f t="shared" si="180"/>
        <v>3755</v>
      </c>
      <c r="G3762" s="230">
        <f t="shared" ca="1" si="179"/>
        <v>-6.8399843318088637E-3</v>
      </c>
    </row>
    <row r="3763" spans="2:7" x14ac:dyDescent="0.25">
      <c r="B3763" s="348">
        <v>40453</v>
      </c>
      <c r="C3763" s="293">
        <v>64.03</v>
      </c>
      <c r="D3763" s="230">
        <f t="shared" si="178"/>
        <v>-1.0202504251043409E-2</v>
      </c>
      <c r="E3763" s="293">
        <v>-1.8363939899833093E-2</v>
      </c>
      <c r="F3763" s="266">
        <f t="shared" si="180"/>
        <v>3756</v>
      </c>
      <c r="G3763" s="230">
        <f t="shared" ca="1" si="179"/>
        <v>-1.2262208461785601E-2</v>
      </c>
    </row>
    <row r="3764" spans="2:7" x14ac:dyDescent="0.25">
      <c r="B3764" s="348">
        <v>40423</v>
      </c>
      <c r="C3764" s="293">
        <v>64.69</v>
      </c>
      <c r="D3764" s="230">
        <f t="shared" si="178"/>
        <v>2.8457869634340272E-2</v>
      </c>
      <c r="E3764" s="293">
        <v>-1.8400418191322543E-2</v>
      </c>
      <c r="F3764" s="266">
        <f t="shared" si="180"/>
        <v>3757</v>
      </c>
      <c r="G3764" s="230">
        <f t="shared" ca="1" si="179"/>
        <v>-1.8644990973501287E-2</v>
      </c>
    </row>
    <row r="3765" spans="2:7" x14ac:dyDescent="0.25">
      <c r="B3765" s="348">
        <v>40392</v>
      </c>
      <c r="C3765" s="293">
        <v>62.9</v>
      </c>
      <c r="D3765" s="230">
        <f t="shared" si="178"/>
        <v>-1.8261276728578024E-2</v>
      </c>
      <c r="E3765" s="293">
        <v>-1.8451915559030474E-2</v>
      </c>
      <c r="F3765" s="266">
        <f t="shared" si="180"/>
        <v>3758</v>
      </c>
      <c r="G3765" s="230">
        <f t="shared" ca="1" si="179"/>
        <v>2.0669833345647849E-2</v>
      </c>
    </row>
    <row r="3766" spans="2:7" x14ac:dyDescent="0.25">
      <c r="B3766" s="348">
        <v>40331</v>
      </c>
      <c r="C3766" s="293">
        <v>64.069999999999993</v>
      </c>
      <c r="D3766" s="230">
        <f t="shared" si="178"/>
        <v>6.2823935919584795E-3</v>
      </c>
      <c r="E3766" s="293">
        <v>-1.8468223791417659E-2</v>
      </c>
      <c r="F3766" s="266">
        <f t="shared" si="180"/>
        <v>3759</v>
      </c>
      <c r="G3766" s="230">
        <f t="shared" ca="1" si="179"/>
        <v>3.5016246939112469E-2</v>
      </c>
    </row>
    <row r="3767" spans="2:7" x14ac:dyDescent="0.25">
      <c r="B3767" s="348">
        <v>40300</v>
      </c>
      <c r="C3767" s="293">
        <v>63.67</v>
      </c>
      <c r="D3767" s="230">
        <f t="shared" si="178"/>
        <v>-1.713491818462487E-2</v>
      </c>
      <c r="E3767" s="293">
        <v>-1.8481660506113218E-2</v>
      </c>
      <c r="F3767" s="266">
        <f t="shared" si="180"/>
        <v>3760</v>
      </c>
      <c r="G3767" s="230">
        <f t="shared" ca="1" si="179"/>
        <v>-4.1680569721838777E-2</v>
      </c>
    </row>
    <row r="3768" spans="2:7" x14ac:dyDescent="0.25">
      <c r="B3768" s="348">
        <v>40270</v>
      </c>
      <c r="C3768" s="293">
        <v>64.78</v>
      </c>
      <c r="D3768" s="230">
        <f t="shared" si="178"/>
        <v>-2.4397590361445842E-2</v>
      </c>
      <c r="E3768" s="293">
        <v>-1.8486802337296049E-2</v>
      </c>
      <c r="F3768" s="266">
        <f t="shared" si="180"/>
        <v>3761</v>
      </c>
      <c r="G3768" s="230">
        <f t="shared" ca="1" si="179"/>
        <v>-4.2282774921752085E-3</v>
      </c>
    </row>
    <row r="3769" spans="2:7" x14ac:dyDescent="0.25">
      <c r="B3769" s="348">
        <v>40239</v>
      </c>
      <c r="C3769" s="293">
        <v>66.400000000000006</v>
      </c>
      <c r="D3769" s="230">
        <f t="shared" si="178"/>
        <v>2.8182099721276055E-2</v>
      </c>
      <c r="E3769" s="293">
        <v>-1.8510158013544054E-2</v>
      </c>
      <c r="F3769" s="266">
        <f t="shared" si="180"/>
        <v>3762</v>
      </c>
      <c r="G3769" s="230">
        <f t="shared" ca="1" si="179"/>
        <v>1.9475212205049781E-2</v>
      </c>
    </row>
    <row r="3770" spans="2:7" x14ac:dyDescent="0.25">
      <c r="B3770" s="348">
        <v>40211</v>
      </c>
      <c r="C3770" s="293">
        <v>64.58</v>
      </c>
      <c r="D3770" s="230">
        <f t="shared" si="178"/>
        <v>-2.255183895868007E-2</v>
      </c>
      <c r="E3770" s="293">
        <v>-1.8513323983169738E-2</v>
      </c>
      <c r="F3770" s="266">
        <f t="shared" si="180"/>
        <v>3763</v>
      </c>
      <c r="G3770" s="230">
        <f t="shared" ca="1" si="179"/>
        <v>1.2358400961179957E-2</v>
      </c>
    </row>
    <row r="3771" spans="2:7" x14ac:dyDescent="0.25">
      <c r="B3771" s="348">
        <v>40180</v>
      </c>
      <c r="C3771" s="293">
        <v>66.069999999999993</v>
      </c>
      <c r="D3771" s="230">
        <f t="shared" si="178"/>
        <v>3.1376834217920591E-2</v>
      </c>
      <c r="E3771" s="293">
        <v>-1.8636470865770249E-2</v>
      </c>
      <c r="F3771" s="266">
        <f t="shared" si="180"/>
        <v>3764</v>
      </c>
      <c r="G3771" s="230">
        <f t="shared" ca="1" si="179"/>
        <v>-2.2040712140398315E-2</v>
      </c>
    </row>
    <row r="3772" spans="2:7" x14ac:dyDescent="0.25">
      <c r="B3772" s="348" t="s">
        <v>2835</v>
      </c>
      <c r="C3772" s="293">
        <v>64.06</v>
      </c>
      <c r="D3772" s="230">
        <f t="shared" si="178"/>
        <v>-3.7849203965154676E-2</v>
      </c>
      <c r="E3772" s="293">
        <v>-1.8650530503978802E-2</v>
      </c>
      <c r="F3772" s="266">
        <f t="shared" si="180"/>
        <v>3765</v>
      </c>
      <c r="G3772" s="230">
        <f t="shared" ca="1" si="179"/>
        <v>-4.9569315041704384E-3</v>
      </c>
    </row>
    <row r="3773" spans="2:7" x14ac:dyDescent="0.25">
      <c r="B3773" s="348" t="s">
        <v>2836</v>
      </c>
      <c r="C3773" s="293">
        <v>66.58</v>
      </c>
      <c r="D3773" s="230">
        <f t="shared" si="178"/>
        <v>2.7469135802469236E-2</v>
      </c>
      <c r="E3773" s="293">
        <v>-1.8660494720092458E-2</v>
      </c>
      <c r="F3773" s="266">
        <f t="shared" si="180"/>
        <v>3766</v>
      </c>
      <c r="G3773" s="230">
        <f t="shared" ca="1" si="179"/>
        <v>2.0122824091373226E-2</v>
      </c>
    </row>
    <row r="3774" spans="2:7" x14ac:dyDescent="0.25">
      <c r="B3774" s="348" t="s">
        <v>2837</v>
      </c>
      <c r="C3774" s="293">
        <v>64.8</v>
      </c>
      <c r="D3774" s="230">
        <f t="shared" si="178"/>
        <v>-5.7043073341094375E-2</v>
      </c>
      <c r="E3774" s="293">
        <v>-1.8694406754108162E-2</v>
      </c>
      <c r="F3774" s="266">
        <f t="shared" si="180"/>
        <v>3767</v>
      </c>
      <c r="G3774" s="230">
        <f t="shared" ca="1" si="179"/>
        <v>2.8142085142476461E-3</v>
      </c>
    </row>
    <row r="3775" spans="2:7" x14ac:dyDescent="0.25">
      <c r="B3775" s="348" t="s">
        <v>2838</v>
      </c>
      <c r="C3775" s="293">
        <v>68.72</v>
      </c>
      <c r="D3775" s="230">
        <f t="shared" si="178"/>
        <v>-7.0799017483021975E-3</v>
      </c>
      <c r="E3775" s="293">
        <v>-1.8781425613723868E-2</v>
      </c>
      <c r="F3775" s="266">
        <f t="shared" si="180"/>
        <v>3768</v>
      </c>
      <c r="G3775" s="230">
        <f t="shared" ca="1" si="179"/>
        <v>-1.2441453008320979E-2</v>
      </c>
    </row>
    <row r="3776" spans="2:7" x14ac:dyDescent="0.25">
      <c r="B3776" s="348" t="s">
        <v>2839</v>
      </c>
      <c r="C3776" s="293">
        <v>69.209999999999994</v>
      </c>
      <c r="D3776" s="230">
        <f t="shared" si="178"/>
        <v>-1.3259195893926545E-2</v>
      </c>
      <c r="E3776" s="293">
        <v>-1.8789144050104345E-2</v>
      </c>
      <c r="F3776" s="266">
        <f t="shared" si="180"/>
        <v>3769</v>
      </c>
      <c r="G3776" s="230">
        <f t="shared" ca="1" si="179"/>
        <v>-1.9040420519746077E-3</v>
      </c>
    </row>
    <row r="3777" spans="2:7" x14ac:dyDescent="0.25">
      <c r="B3777" s="348" t="s">
        <v>2840</v>
      </c>
      <c r="C3777" s="293">
        <v>70.14</v>
      </c>
      <c r="D3777" s="230">
        <f t="shared" si="178"/>
        <v>-2.3527773910622218E-2</v>
      </c>
      <c r="E3777" s="293">
        <v>-1.879820051413883E-2</v>
      </c>
      <c r="F3777" s="266">
        <f t="shared" si="180"/>
        <v>3770</v>
      </c>
      <c r="G3777" s="230">
        <f t="shared" ca="1" si="179"/>
        <v>-1.2372901367421602E-2</v>
      </c>
    </row>
    <row r="3778" spans="2:7" x14ac:dyDescent="0.25">
      <c r="B3778" s="348" t="s">
        <v>2841</v>
      </c>
      <c r="C3778" s="293">
        <v>71.83</v>
      </c>
      <c r="D3778" s="230">
        <f t="shared" si="178"/>
        <v>-1.6835477689570277E-2</v>
      </c>
      <c r="E3778" s="293">
        <v>-1.8843334238392573E-2</v>
      </c>
      <c r="F3778" s="266">
        <f t="shared" si="180"/>
        <v>3771</v>
      </c>
      <c r="G3778" s="230">
        <f t="shared" ca="1" si="179"/>
        <v>-7.5700446747091043E-3</v>
      </c>
    </row>
    <row r="3779" spans="2:7" x14ac:dyDescent="0.25">
      <c r="B3779" s="348" t="s">
        <v>2842</v>
      </c>
      <c r="C3779" s="293">
        <v>73.06</v>
      </c>
      <c r="D3779" s="230">
        <f t="shared" si="178"/>
        <v>-1.1366711772665794E-2</v>
      </c>
      <c r="E3779" s="293">
        <v>-1.8849916487711837E-2</v>
      </c>
      <c r="F3779" s="266">
        <f t="shared" si="180"/>
        <v>3772</v>
      </c>
      <c r="G3779" s="230">
        <f t="shared" ca="1" si="179"/>
        <v>1.4920495947239881E-2</v>
      </c>
    </row>
    <row r="3780" spans="2:7" x14ac:dyDescent="0.25">
      <c r="B3780" s="348" t="s">
        <v>2843</v>
      </c>
      <c r="C3780" s="293">
        <v>73.900000000000006</v>
      </c>
      <c r="D3780" s="230">
        <f t="shared" si="178"/>
        <v>1.5807560137457211E-2</v>
      </c>
      <c r="E3780" s="293">
        <v>-1.8860188601886096E-2</v>
      </c>
      <c r="F3780" s="266">
        <f t="shared" si="180"/>
        <v>3773</v>
      </c>
      <c r="G3780" s="230">
        <f t="shared" ca="1" si="179"/>
        <v>1.8154328569466964E-2</v>
      </c>
    </row>
    <row r="3781" spans="2:7" x14ac:dyDescent="0.25">
      <c r="B3781" s="348" t="s">
        <v>2844</v>
      </c>
      <c r="C3781" s="293">
        <v>72.75</v>
      </c>
      <c r="D3781" s="230">
        <f t="shared" si="178"/>
        <v>-7.0970383513033752E-3</v>
      </c>
      <c r="E3781" s="293">
        <v>-1.8862319916827519E-2</v>
      </c>
      <c r="F3781" s="266">
        <f t="shared" si="180"/>
        <v>3774</v>
      </c>
      <c r="G3781" s="230">
        <f t="shared" ca="1" si="179"/>
        <v>8.0568553784653792E-4</v>
      </c>
    </row>
    <row r="3782" spans="2:7" x14ac:dyDescent="0.25">
      <c r="B3782" s="348" t="s">
        <v>2845</v>
      </c>
      <c r="C3782" s="293">
        <v>73.27</v>
      </c>
      <c r="D3782" s="230">
        <f t="shared" si="178"/>
        <v>3.5618374558303856E-2</v>
      </c>
      <c r="E3782" s="293">
        <v>-1.887738055462751E-2</v>
      </c>
      <c r="F3782" s="266">
        <f t="shared" si="180"/>
        <v>3775</v>
      </c>
      <c r="G3782" s="230">
        <f t="shared" ca="1" si="179"/>
        <v>-2.6421099726760211E-2</v>
      </c>
    </row>
    <row r="3783" spans="2:7" x14ac:dyDescent="0.25">
      <c r="B3783" s="348" t="s">
        <v>2846</v>
      </c>
      <c r="C3783" s="293">
        <v>70.75</v>
      </c>
      <c r="D3783" s="230">
        <f t="shared" si="178"/>
        <v>3.1491471059921228E-2</v>
      </c>
      <c r="E3783" s="293">
        <v>-1.8882024711040168E-2</v>
      </c>
      <c r="F3783" s="266">
        <f t="shared" si="180"/>
        <v>3776</v>
      </c>
      <c r="G3783" s="230">
        <f t="shared" ca="1" si="179"/>
        <v>-1.4863702523342827E-2</v>
      </c>
    </row>
    <row r="3784" spans="2:7" x14ac:dyDescent="0.25">
      <c r="B3784" s="348">
        <v>40513</v>
      </c>
      <c r="C3784" s="293">
        <v>68.59</v>
      </c>
      <c r="D3784" s="230">
        <f t="shared" si="178"/>
        <v>4.8937146352653338E-2</v>
      </c>
      <c r="E3784" s="293">
        <v>-1.8894009216589791E-2</v>
      </c>
      <c r="F3784" s="266">
        <f t="shared" si="180"/>
        <v>3777</v>
      </c>
      <c r="G3784" s="230">
        <f t="shared" ca="1" si="179"/>
        <v>-7.2405721477206211E-3</v>
      </c>
    </row>
    <row r="3785" spans="2:7" x14ac:dyDescent="0.25">
      <c r="B3785" s="348">
        <v>40483</v>
      </c>
      <c r="C3785" s="293">
        <v>65.39</v>
      </c>
      <c r="D3785" s="230">
        <f t="shared" ref="D3785:D3848" si="181">C3785/C3786-1</f>
        <v>-9.992429977289885E-3</v>
      </c>
      <c r="E3785" s="293">
        <v>-1.8903036238981374E-2</v>
      </c>
      <c r="F3785" s="266">
        <f t="shared" si="180"/>
        <v>3778</v>
      </c>
      <c r="G3785" s="230">
        <f t="shared" ref="G3785:G3848" ca="1" si="182">_xlfn.NORM.INV(RAND(),$M$10,$M$11)</f>
        <v>2.2706463787771275E-2</v>
      </c>
    </row>
    <row r="3786" spans="2:7" x14ac:dyDescent="0.25">
      <c r="B3786" s="348">
        <v>40391</v>
      </c>
      <c r="C3786" s="293">
        <v>66.05</v>
      </c>
      <c r="D3786" s="230">
        <f t="shared" si="181"/>
        <v>-1.4914243102162605E-2</v>
      </c>
      <c r="E3786" s="293">
        <v>-1.8917419159562132E-2</v>
      </c>
      <c r="F3786" s="266">
        <f t="shared" ref="F3786:F3849" si="183">F3785+1</f>
        <v>3779</v>
      </c>
      <c r="G3786" s="230">
        <f t="shared" ca="1" si="182"/>
        <v>-4.3974593086102539E-3</v>
      </c>
    </row>
    <row r="3787" spans="2:7" x14ac:dyDescent="0.25">
      <c r="B3787" s="348">
        <v>40360</v>
      </c>
      <c r="C3787" s="293">
        <v>67.05</v>
      </c>
      <c r="D3787" s="230">
        <f t="shared" si="181"/>
        <v>-1.7870221180606438E-2</v>
      </c>
      <c r="E3787" s="293">
        <v>-1.8919455755288528E-2</v>
      </c>
      <c r="F3787" s="266">
        <f t="shared" si="183"/>
        <v>3780</v>
      </c>
      <c r="G3787" s="230">
        <f t="shared" ca="1" si="182"/>
        <v>-5.4663929281207344E-3</v>
      </c>
    </row>
    <row r="3788" spans="2:7" x14ac:dyDescent="0.25">
      <c r="B3788" s="348">
        <v>40330</v>
      </c>
      <c r="C3788" s="293">
        <v>68.27</v>
      </c>
      <c r="D3788" s="230">
        <f t="shared" si="181"/>
        <v>-2.0094732309458907E-2</v>
      </c>
      <c r="E3788" s="293">
        <v>-1.893195213430976E-2</v>
      </c>
      <c r="F3788" s="266">
        <f t="shared" si="183"/>
        <v>3781</v>
      </c>
      <c r="G3788" s="230">
        <f t="shared" ca="1" si="182"/>
        <v>3.8522052808185815E-3</v>
      </c>
    </row>
    <row r="3789" spans="2:7" x14ac:dyDescent="0.25">
      <c r="B3789" s="348">
        <v>40299</v>
      </c>
      <c r="C3789" s="293">
        <v>69.67</v>
      </c>
      <c r="D3789" s="230">
        <f t="shared" si="181"/>
        <v>1.5745735529960614E-2</v>
      </c>
      <c r="E3789" s="293">
        <v>-1.8935715672946274E-2</v>
      </c>
      <c r="F3789" s="266">
        <f t="shared" si="183"/>
        <v>3782</v>
      </c>
      <c r="G3789" s="230">
        <f t="shared" ca="1" si="182"/>
        <v>4.1861129366832818E-2</v>
      </c>
    </row>
    <row r="3790" spans="2:7" x14ac:dyDescent="0.25">
      <c r="B3790" s="348">
        <v>40269</v>
      </c>
      <c r="C3790" s="293">
        <v>68.59</v>
      </c>
      <c r="D3790" s="230">
        <f t="shared" si="181"/>
        <v>2.0229064405771213E-2</v>
      </c>
      <c r="E3790" s="293">
        <v>-1.8952156334231751E-2</v>
      </c>
      <c r="F3790" s="266">
        <f t="shared" si="183"/>
        <v>3783</v>
      </c>
      <c r="G3790" s="230">
        <f t="shared" ca="1" si="182"/>
        <v>3.1919176651439081E-3</v>
      </c>
    </row>
    <row r="3791" spans="2:7" x14ac:dyDescent="0.25">
      <c r="B3791" s="348" t="s">
        <v>2847</v>
      </c>
      <c r="C3791" s="293">
        <v>67.23</v>
      </c>
      <c r="D3791" s="230">
        <f t="shared" si="181"/>
        <v>-1.9299287410925459E-3</v>
      </c>
      <c r="E3791" s="293">
        <v>-1.8962545055633995E-2</v>
      </c>
      <c r="F3791" s="266">
        <f t="shared" si="183"/>
        <v>3784</v>
      </c>
      <c r="G3791" s="230">
        <f t="shared" ca="1" si="182"/>
        <v>1.6578427641419737E-2</v>
      </c>
    </row>
    <row r="3792" spans="2:7" x14ac:dyDescent="0.25">
      <c r="B3792" s="348" t="s">
        <v>2848</v>
      </c>
      <c r="C3792" s="293">
        <v>67.36</v>
      </c>
      <c r="D3792" s="230">
        <f t="shared" si="181"/>
        <v>2.9700029700019392E-4</v>
      </c>
      <c r="E3792" s="293">
        <v>-1.8967798853109952E-2</v>
      </c>
      <c r="F3792" s="266">
        <f t="shared" si="183"/>
        <v>3785</v>
      </c>
      <c r="G3792" s="230">
        <f t="shared" ca="1" si="182"/>
        <v>-2.6817708789473073E-2</v>
      </c>
    </row>
    <row r="3793" spans="2:7" x14ac:dyDescent="0.25">
      <c r="B3793" s="348" t="s">
        <v>2849</v>
      </c>
      <c r="C3793" s="293">
        <v>67.34</v>
      </c>
      <c r="D3793" s="230">
        <f t="shared" si="181"/>
        <v>-1.9082301529497525E-2</v>
      </c>
      <c r="E3793" s="293">
        <v>-1.8975332068311146E-2</v>
      </c>
      <c r="F3793" s="266">
        <f t="shared" si="183"/>
        <v>3786</v>
      </c>
      <c r="G3793" s="230">
        <f t="shared" ca="1" si="182"/>
        <v>2.4222132019068664E-2</v>
      </c>
    </row>
    <row r="3794" spans="2:7" x14ac:dyDescent="0.25">
      <c r="B3794" s="348" t="s">
        <v>2850</v>
      </c>
      <c r="C3794" s="293">
        <v>68.650000000000006</v>
      </c>
      <c r="D3794" s="230">
        <f t="shared" si="181"/>
        <v>1.3127187864645506E-3</v>
      </c>
      <c r="E3794" s="293">
        <v>-1.9019638162981356E-2</v>
      </c>
      <c r="F3794" s="266">
        <f t="shared" si="183"/>
        <v>3787</v>
      </c>
      <c r="G3794" s="230">
        <f t="shared" ca="1" si="182"/>
        <v>-3.1238574431692078E-3</v>
      </c>
    </row>
    <row r="3795" spans="2:7" x14ac:dyDescent="0.25">
      <c r="B3795" s="348" t="s">
        <v>2851</v>
      </c>
      <c r="C3795" s="293">
        <v>68.56</v>
      </c>
      <c r="D3795" s="230">
        <f t="shared" si="181"/>
        <v>2.1758569299552999E-2</v>
      </c>
      <c r="E3795" s="293">
        <v>-1.9082301529497525E-2</v>
      </c>
      <c r="F3795" s="266">
        <f t="shared" si="183"/>
        <v>3788</v>
      </c>
      <c r="G3795" s="230">
        <f t="shared" ca="1" si="182"/>
        <v>9.8291131997052701E-3</v>
      </c>
    </row>
    <row r="3796" spans="2:7" x14ac:dyDescent="0.25">
      <c r="B3796" s="348" t="s">
        <v>2852</v>
      </c>
      <c r="C3796" s="293">
        <v>67.099999999999994</v>
      </c>
      <c r="D3796" s="230">
        <f t="shared" si="181"/>
        <v>1.9411676870240147E-3</v>
      </c>
      <c r="E3796" s="293">
        <v>-1.9117060253201479E-2</v>
      </c>
      <c r="F3796" s="266">
        <f t="shared" si="183"/>
        <v>3789</v>
      </c>
      <c r="G3796" s="230">
        <f t="shared" ca="1" si="182"/>
        <v>-1.3185322663421865E-2</v>
      </c>
    </row>
    <row r="3797" spans="2:7" x14ac:dyDescent="0.25">
      <c r="B3797" s="348" t="s">
        <v>2853</v>
      </c>
      <c r="C3797" s="293">
        <v>66.97</v>
      </c>
      <c r="D3797" s="230">
        <f t="shared" si="181"/>
        <v>4.0479760119940256E-3</v>
      </c>
      <c r="E3797" s="293">
        <v>-1.9152185578074077E-2</v>
      </c>
      <c r="F3797" s="266">
        <f t="shared" si="183"/>
        <v>3790</v>
      </c>
      <c r="G3797" s="230">
        <f t="shared" ca="1" si="182"/>
        <v>-1.4524449317660445E-2</v>
      </c>
    </row>
    <row r="3798" spans="2:7" x14ac:dyDescent="0.25">
      <c r="B3798" s="348" t="s">
        <v>2854</v>
      </c>
      <c r="C3798" s="293">
        <v>66.7</v>
      </c>
      <c r="D3798" s="230">
        <f t="shared" si="181"/>
        <v>4.5180722891566827E-3</v>
      </c>
      <c r="E3798" s="293">
        <v>-1.9194162436548257E-2</v>
      </c>
      <c r="F3798" s="266">
        <f t="shared" si="183"/>
        <v>3791</v>
      </c>
      <c r="G3798" s="230">
        <f t="shared" ca="1" si="182"/>
        <v>2.2362784596321975E-2</v>
      </c>
    </row>
    <row r="3799" spans="2:7" x14ac:dyDescent="0.25">
      <c r="B3799" s="348" t="s">
        <v>2855</v>
      </c>
      <c r="C3799" s="293">
        <v>66.400000000000006</v>
      </c>
      <c r="D3799" s="230">
        <f t="shared" si="181"/>
        <v>9.0443171540544043E-4</v>
      </c>
      <c r="E3799" s="293">
        <v>-1.9201010579504185E-2</v>
      </c>
      <c r="F3799" s="266">
        <f t="shared" si="183"/>
        <v>3792</v>
      </c>
      <c r="G3799" s="230">
        <f t="shared" ca="1" si="182"/>
        <v>-1.601713128924627E-2</v>
      </c>
    </row>
    <row r="3800" spans="2:7" x14ac:dyDescent="0.25">
      <c r="B3800" s="348" t="s">
        <v>2856</v>
      </c>
      <c r="C3800" s="293">
        <v>66.34</v>
      </c>
      <c r="D3800" s="230">
        <f t="shared" si="181"/>
        <v>1.8109269490484969E-2</v>
      </c>
      <c r="E3800" s="293">
        <v>-1.9222238651485979E-2</v>
      </c>
      <c r="F3800" s="266">
        <f t="shared" si="183"/>
        <v>3793</v>
      </c>
      <c r="G3800" s="230">
        <f t="shared" ca="1" si="182"/>
        <v>-2.044203907617128E-2</v>
      </c>
    </row>
    <row r="3801" spans="2:7" x14ac:dyDescent="0.25">
      <c r="B3801" s="348" t="s">
        <v>2857</v>
      </c>
      <c r="C3801" s="293">
        <v>65.16</v>
      </c>
      <c r="D3801" s="230">
        <f t="shared" si="181"/>
        <v>7.6793119336504567E-4</v>
      </c>
      <c r="E3801" s="293">
        <v>-1.9298722478934383E-2</v>
      </c>
      <c r="F3801" s="266">
        <f t="shared" si="183"/>
        <v>3794</v>
      </c>
      <c r="G3801" s="230">
        <f t="shared" ca="1" si="182"/>
        <v>-7.7099421552862951E-3</v>
      </c>
    </row>
    <row r="3802" spans="2:7" x14ac:dyDescent="0.25">
      <c r="B3802" s="348" t="s">
        <v>2858</v>
      </c>
      <c r="C3802" s="293">
        <v>65.11</v>
      </c>
      <c r="D3802" s="230">
        <f t="shared" si="181"/>
        <v>2.1974572280646587E-2</v>
      </c>
      <c r="E3802" s="293">
        <v>-1.9302302201668842E-2</v>
      </c>
      <c r="F3802" s="266">
        <f t="shared" si="183"/>
        <v>3795</v>
      </c>
      <c r="G3802" s="230">
        <f t="shared" ca="1" si="182"/>
        <v>2.0964236376145209E-2</v>
      </c>
    </row>
    <row r="3803" spans="2:7" x14ac:dyDescent="0.25">
      <c r="B3803" s="348">
        <v>40129</v>
      </c>
      <c r="C3803" s="293">
        <v>63.71</v>
      </c>
      <c r="D3803" s="230">
        <f t="shared" si="181"/>
        <v>-6.0842433697346765E-3</v>
      </c>
      <c r="E3803" s="293">
        <v>-1.9341152982281007E-2</v>
      </c>
      <c r="F3803" s="266">
        <f t="shared" si="183"/>
        <v>3796</v>
      </c>
      <c r="G3803" s="230">
        <f t="shared" ca="1" si="182"/>
        <v>3.2998752345134219E-2</v>
      </c>
    </row>
    <row r="3804" spans="2:7" x14ac:dyDescent="0.25">
      <c r="B3804" s="348">
        <v>40098</v>
      </c>
      <c r="C3804" s="293">
        <v>64.099999999999994</v>
      </c>
      <c r="D3804" s="230">
        <f t="shared" si="181"/>
        <v>-9.579728059332604E-3</v>
      </c>
      <c r="E3804" s="293">
        <v>-1.9409623938536291E-2</v>
      </c>
      <c r="F3804" s="266">
        <f t="shared" si="183"/>
        <v>3797</v>
      </c>
      <c r="G3804" s="230">
        <f t="shared" ca="1" si="182"/>
        <v>-2.2100502426395155E-3</v>
      </c>
    </row>
    <row r="3805" spans="2:7" x14ac:dyDescent="0.25">
      <c r="B3805" s="348">
        <v>40068</v>
      </c>
      <c r="C3805" s="293">
        <v>64.72</v>
      </c>
      <c r="D3805" s="230">
        <f t="shared" si="181"/>
        <v>1.0934083099031655E-2</v>
      </c>
      <c r="E3805" s="293">
        <v>-1.9424079812561335E-2</v>
      </c>
      <c r="F3805" s="266">
        <f t="shared" si="183"/>
        <v>3798</v>
      </c>
      <c r="G3805" s="230">
        <f t="shared" ca="1" si="182"/>
        <v>3.7404763745963613E-3</v>
      </c>
    </row>
    <row r="3806" spans="2:7" x14ac:dyDescent="0.25">
      <c r="B3806" s="348">
        <v>40037</v>
      </c>
      <c r="C3806" s="293">
        <v>64.02</v>
      </c>
      <c r="D3806" s="230">
        <f t="shared" si="181"/>
        <v>1.5223596574690745E-2</v>
      </c>
      <c r="E3806" s="293">
        <v>-1.9449241116059279E-2</v>
      </c>
      <c r="F3806" s="266">
        <f t="shared" si="183"/>
        <v>3799</v>
      </c>
      <c r="G3806" s="230">
        <f t="shared" ca="1" si="182"/>
        <v>2.7121524600906215E-2</v>
      </c>
    </row>
    <row r="3807" spans="2:7" x14ac:dyDescent="0.25">
      <c r="B3807" s="348">
        <v>40006</v>
      </c>
      <c r="C3807" s="293">
        <v>63.06</v>
      </c>
      <c r="D3807" s="230">
        <f t="shared" si="181"/>
        <v>-1.5855398763275907E-4</v>
      </c>
      <c r="E3807" s="293">
        <v>-1.9467878001297789E-2</v>
      </c>
      <c r="F3807" s="266">
        <f t="shared" si="183"/>
        <v>3800</v>
      </c>
      <c r="G3807" s="230">
        <f t="shared" ca="1" si="182"/>
        <v>1.6413462143105836E-2</v>
      </c>
    </row>
    <row r="3808" spans="2:7" x14ac:dyDescent="0.25">
      <c r="B3808" s="348">
        <v>39915</v>
      </c>
      <c r="C3808" s="293">
        <v>63.07</v>
      </c>
      <c r="D3808" s="230">
        <f t="shared" si="181"/>
        <v>-4.2627091885065749E-3</v>
      </c>
      <c r="E3808" s="293">
        <v>-1.949173451764119E-2</v>
      </c>
      <c r="F3808" s="266">
        <f t="shared" si="183"/>
        <v>3801</v>
      </c>
      <c r="G3808" s="230">
        <f t="shared" ca="1" si="182"/>
        <v>1.5972858923546031E-2</v>
      </c>
    </row>
    <row r="3809" spans="2:7" x14ac:dyDescent="0.25">
      <c r="B3809" s="348">
        <v>39884</v>
      </c>
      <c r="C3809" s="293">
        <v>63.34</v>
      </c>
      <c r="D3809" s="230">
        <f t="shared" si="181"/>
        <v>1.2144455097475415E-2</v>
      </c>
      <c r="E3809" s="293">
        <v>-1.9502681618722706E-2</v>
      </c>
      <c r="F3809" s="266">
        <f t="shared" si="183"/>
        <v>3802</v>
      </c>
      <c r="G3809" s="230">
        <f t="shared" ca="1" si="182"/>
        <v>1.379114060844858E-2</v>
      </c>
    </row>
    <row r="3810" spans="2:7" x14ac:dyDescent="0.25">
      <c r="B3810" s="348">
        <v>39856</v>
      </c>
      <c r="C3810" s="293">
        <v>62.58</v>
      </c>
      <c r="D3810" s="230">
        <f t="shared" si="181"/>
        <v>-8.0836899667142692E-3</v>
      </c>
      <c r="E3810" s="293">
        <v>-1.9504480759093279E-2</v>
      </c>
      <c r="F3810" s="266">
        <f t="shared" si="183"/>
        <v>3803</v>
      </c>
      <c r="G3810" s="230">
        <f t="shared" ca="1" si="182"/>
        <v>-1.3875409345637928E-2</v>
      </c>
    </row>
    <row r="3811" spans="2:7" x14ac:dyDescent="0.25">
      <c r="B3811" s="348">
        <v>39825</v>
      </c>
      <c r="C3811" s="293">
        <v>63.09</v>
      </c>
      <c r="D3811" s="230">
        <f t="shared" si="181"/>
        <v>1.4471780028943559E-2</v>
      </c>
      <c r="E3811" s="293">
        <v>-1.9528316058284423E-2</v>
      </c>
      <c r="F3811" s="266">
        <f t="shared" si="183"/>
        <v>3804</v>
      </c>
      <c r="G3811" s="230">
        <f t="shared" ca="1" si="182"/>
        <v>6.882351300376209E-4</v>
      </c>
    </row>
    <row r="3812" spans="2:7" x14ac:dyDescent="0.25">
      <c r="B3812" s="348" t="s">
        <v>2859</v>
      </c>
      <c r="C3812" s="293">
        <v>62.19</v>
      </c>
      <c r="D3812" s="230">
        <f t="shared" si="181"/>
        <v>1.0398050365556522E-2</v>
      </c>
      <c r="E3812" s="293">
        <v>-1.9556486816832641E-2</v>
      </c>
      <c r="F3812" s="266">
        <f t="shared" si="183"/>
        <v>3805</v>
      </c>
      <c r="G3812" s="230">
        <f t="shared" ca="1" si="182"/>
        <v>-1.9221782481609113E-2</v>
      </c>
    </row>
    <row r="3813" spans="2:7" x14ac:dyDescent="0.25">
      <c r="B3813" s="348" t="s">
        <v>2860</v>
      </c>
      <c r="C3813" s="293">
        <v>61.55</v>
      </c>
      <c r="D3813" s="230">
        <f t="shared" si="181"/>
        <v>-1.0609226812409611E-2</v>
      </c>
      <c r="E3813" s="293">
        <v>-1.9572068336374149E-2</v>
      </c>
      <c r="F3813" s="266">
        <f t="shared" si="183"/>
        <v>3806</v>
      </c>
      <c r="G3813" s="230">
        <f t="shared" ca="1" si="182"/>
        <v>1.3561531086209994E-2</v>
      </c>
    </row>
    <row r="3814" spans="2:7" x14ac:dyDescent="0.25">
      <c r="B3814" s="348" t="s">
        <v>2861</v>
      </c>
      <c r="C3814" s="293">
        <v>62.21</v>
      </c>
      <c r="D3814" s="230">
        <f t="shared" si="181"/>
        <v>-2.5227201504230634E-2</v>
      </c>
      <c r="E3814" s="293">
        <v>-1.960214897633239E-2</v>
      </c>
      <c r="F3814" s="266">
        <f t="shared" si="183"/>
        <v>3807</v>
      </c>
      <c r="G3814" s="230">
        <f t="shared" ca="1" si="182"/>
        <v>-6.6063357007873679E-3</v>
      </c>
    </row>
    <row r="3815" spans="2:7" x14ac:dyDescent="0.25">
      <c r="B3815" s="348" t="s">
        <v>2862</v>
      </c>
      <c r="C3815" s="293">
        <v>63.82</v>
      </c>
      <c r="D3815" s="230">
        <f t="shared" si="181"/>
        <v>-2.5007814942168416E-3</v>
      </c>
      <c r="E3815" s="293">
        <v>-1.9646365422396839E-2</v>
      </c>
      <c r="F3815" s="266">
        <f t="shared" si="183"/>
        <v>3808</v>
      </c>
      <c r="G3815" s="230">
        <f t="shared" ca="1" si="182"/>
        <v>-3.9698024975745269E-4</v>
      </c>
    </row>
    <row r="3816" spans="2:7" x14ac:dyDescent="0.25">
      <c r="B3816" s="348" t="s">
        <v>2863</v>
      </c>
      <c r="C3816" s="293">
        <v>63.98</v>
      </c>
      <c r="D3816" s="230">
        <f t="shared" si="181"/>
        <v>3.4504391468004325E-3</v>
      </c>
      <c r="E3816" s="293">
        <v>-1.9646643109540673E-2</v>
      </c>
      <c r="F3816" s="266">
        <f t="shared" si="183"/>
        <v>3809</v>
      </c>
      <c r="G3816" s="230">
        <f t="shared" ca="1" si="182"/>
        <v>-2.4416493298747607E-2</v>
      </c>
    </row>
    <row r="3817" spans="2:7" x14ac:dyDescent="0.25">
      <c r="B3817" s="348" t="s">
        <v>2864</v>
      </c>
      <c r="C3817" s="293">
        <v>63.76</v>
      </c>
      <c r="D3817" s="230">
        <f t="shared" si="181"/>
        <v>-6.3892784790401391E-3</v>
      </c>
      <c r="E3817" s="293">
        <v>-1.9653720168460564E-2</v>
      </c>
      <c r="F3817" s="266">
        <f t="shared" si="183"/>
        <v>3810</v>
      </c>
      <c r="G3817" s="230">
        <f t="shared" ca="1" si="182"/>
        <v>8.1843115565526682E-3</v>
      </c>
    </row>
    <row r="3818" spans="2:7" x14ac:dyDescent="0.25">
      <c r="B3818" s="348" t="s">
        <v>2865</v>
      </c>
      <c r="C3818" s="293">
        <v>64.17</v>
      </c>
      <c r="D3818" s="230">
        <f t="shared" si="181"/>
        <v>4.539762053850982E-3</v>
      </c>
      <c r="E3818" s="293">
        <v>-1.9693541752365151E-2</v>
      </c>
      <c r="F3818" s="266">
        <f t="shared" si="183"/>
        <v>3811</v>
      </c>
      <c r="G3818" s="230">
        <f t="shared" ca="1" si="182"/>
        <v>1.2016600875172201E-2</v>
      </c>
    </row>
    <row r="3819" spans="2:7" x14ac:dyDescent="0.25">
      <c r="B3819" s="348" t="s">
        <v>2866</v>
      </c>
      <c r="C3819" s="293">
        <v>63.88</v>
      </c>
      <c r="D3819" s="230">
        <f t="shared" si="181"/>
        <v>2.3536795857523884E-3</v>
      </c>
      <c r="E3819" s="293">
        <v>-1.9734019734019892E-2</v>
      </c>
      <c r="F3819" s="266">
        <f t="shared" si="183"/>
        <v>3812</v>
      </c>
      <c r="G3819" s="230">
        <f t="shared" ca="1" si="182"/>
        <v>-7.7336470612972587E-3</v>
      </c>
    </row>
    <row r="3820" spans="2:7" x14ac:dyDescent="0.25">
      <c r="B3820" s="348" t="s">
        <v>2867</v>
      </c>
      <c r="C3820" s="293">
        <v>63.73</v>
      </c>
      <c r="D3820" s="230">
        <f t="shared" si="181"/>
        <v>3.3060453400501899E-3</v>
      </c>
      <c r="E3820" s="293">
        <v>-1.9752358490566113E-2</v>
      </c>
      <c r="F3820" s="266">
        <f t="shared" si="183"/>
        <v>3813</v>
      </c>
      <c r="G3820" s="230">
        <f t="shared" ca="1" si="182"/>
        <v>1.9259206902357363E-2</v>
      </c>
    </row>
    <row r="3821" spans="2:7" x14ac:dyDescent="0.25">
      <c r="B3821" s="348" t="s">
        <v>2868</v>
      </c>
      <c r="C3821" s="293">
        <v>63.52</v>
      </c>
      <c r="D3821" s="230">
        <f t="shared" si="181"/>
        <v>7.4544012688344541E-3</v>
      </c>
      <c r="E3821" s="293">
        <v>-1.9765593961064809E-2</v>
      </c>
      <c r="F3821" s="266">
        <f t="shared" si="183"/>
        <v>3814</v>
      </c>
      <c r="G3821" s="230">
        <f t="shared" ca="1" si="182"/>
        <v>7.1649120010393143E-3</v>
      </c>
    </row>
    <row r="3822" spans="2:7" x14ac:dyDescent="0.25">
      <c r="B3822" s="348" t="s">
        <v>2869</v>
      </c>
      <c r="C3822" s="293">
        <v>63.05</v>
      </c>
      <c r="D3822" s="230">
        <f t="shared" si="181"/>
        <v>7.6714080230142478E-3</v>
      </c>
      <c r="E3822" s="293">
        <v>-1.9774274787799584E-2</v>
      </c>
      <c r="F3822" s="266">
        <f t="shared" si="183"/>
        <v>3815</v>
      </c>
      <c r="G3822" s="230">
        <f t="shared" ca="1" si="182"/>
        <v>4.9513331567986327E-3</v>
      </c>
    </row>
    <row r="3823" spans="2:7" x14ac:dyDescent="0.25">
      <c r="B3823" s="348" t="s">
        <v>2870</v>
      </c>
      <c r="C3823" s="293">
        <v>62.57</v>
      </c>
      <c r="D3823" s="230">
        <f t="shared" si="181"/>
        <v>1.3443472627145958E-2</v>
      </c>
      <c r="E3823" s="293">
        <v>-1.9795554113256619E-2</v>
      </c>
      <c r="F3823" s="266">
        <f t="shared" si="183"/>
        <v>3816</v>
      </c>
      <c r="G3823" s="230">
        <f t="shared" ca="1" si="182"/>
        <v>1.4777078750628893E-2</v>
      </c>
    </row>
    <row r="3824" spans="2:7" x14ac:dyDescent="0.25">
      <c r="B3824" s="348">
        <v>40158</v>
      </c>
      <c r="C3824" s="293">
        <v>61.74</v>
      </c>
      <c r="D3824" s="230">
        <f t="shared" si="181"/>
        <v>1.2795275590551158E-2</v>
      </c>
      <c r="E3824" s="293">
        <v>-1.9831730769230838E-2</v>
      </c>
      <c r="F3824" s="266">
        <f t="shared" si="183"/>
        <v>3817</v>
      </c>
      <c r="G3824" s="230">
        <f t="shared" ca="1" si="182"/>
        <v>-1.4559413709246901E-2</v>
      </c>
    </row>
    <row r="3825" spans="2:7" x14ac:dyDescent="0.25">
      <c r="B3825" s="348">
        <v>40128</v>
      </c>
      <c r="C3825" s="293">
        <v>60.96</v>
      </c>
      <c r="D3825" s="230">
        <f t="shared" si="181"/>
        <v>3.8500851788756396E-2</v>
      </c>
      <c r="E3825" s="293">
        <v>-1.985111662531025E-2</v>
      </c>
      <c r="F3825" s="266">
        <f t="shared" si="183"/>
        <v>3818</v>
      </c>
      <c r="G3825" s="230">
        <f t="shared" ca="1" si="182"/>
        <v>-9.4420467845877688E-3</v>
      </c>
    </row>
    <row r="3826" spans="2:7" x14ac:dyDescent="0.25">
      <c r="B3826" s="348">
        <v>40097</v>
      </c>
      <c r="C3826" s="293">
        <v>58.7</v>
      </c>
      <c r="D3826" s="230">
        <f t="shared" si="181"/>
        <v>-1.5431063401542988E-2</v>
      </c>
      <c r="E3826" s="293">
        <v>-1.9874177866742948E-2</v>
      </c>
      <c r="F3826" s="266">
        <f t="shared" si="183"/>
        <v>3819</v>
      </c>
      <c r="G3826" s="230">
        <f t="shared" ca="1" si="182"/>
        <v>-2.8975977386181039E-2</v>
      </c>
    </row>
    <row r="3827" spans="2:7" x14ac:dyDescent="0.25">
      <c r="B3827" s="348">
        <v>40067</v>
      </c>
      <c r="C3827" s="293">
        <v>59.62</v>
      </c>
      <c r="D3827" s="230">
        <f t="shared" si="181"/>
        <v>7.7755240027046479E-3</v>
      </c>
      <c r="E3827" s="293">
        <v>-1.9885823025689753E-2</v>
      </c>
      <c r="F3827" s="266">
        <f t="shared" si="183"/>
        <v>3820</v>
      </c>
      <c r="G3827" s="230">
        <f t="shared" ca="1" si="182"/>
        <v>-3.0159362636121741E-2</v>
      </c>
    </row>
    <row r="3828" spans="2:7" x14ac:dyDescent="0.25">
      <c r="B3828" s="348">
        <v>39975</v>
      </c>
      <c r="C3828" s="293">
        <v>59.16</v>
      </c>
      <c r="D3828" s="230">
        <f t="shared" si="181"/>
        <v>-2.5290844714214167E-3</v>
      </c>
      <c r="E3828" s="293">
        <v>-1.9885840545019406E-2</v>
      </c>
      <c r="F3828" s="266">
        <f t="shared" si="183"/>
        <v>3821</v>
      </c>
      <c r="G3828" s="230">
        <f t="shared" ca="1" si="182"/>
        <v>-1.4992224516902537E-2</v>
      </c>
    </row>
    <row r="3829" spans="2:7" x14ac:dyDescent="0.25">
      <c r="B3829" s="348">
        <v>39944</v>
      </c>
      <c r="C3829" s="293">
        <v>59.31</v>
      </c>
      <c r="D3829" s="230">
        <f t="shared" si="181"/>
        <v>3.7231342020647151E-3</v>
      </c>
      <c r="E3829" s="293">
        <v>-1.9947361130350449E-2</v>
      </c>
      <c r="F3829" s="266">
        <f t="shared" si="183"/>
        <v>3822</v>
      </c>
      <c r="G3829" s="230">
        <f t="shared" ca="1" si="182"/>
        <v>-1.54069326751215E-2</v>
      </c>
    </row>
    <row r="3830" spans="2:7" x14ac:dyDescent="0.25">
      <c r="B3830" s="348">
        <v>39914</v>
      </c>
      <c r="C3830" s="293">
        <v>59.09</v>
      </c>
      <c r="D3830" s="230">
        <f t="shared" si="181"/>
        <v>2.8009742519137237E-2</v>
      </c>
      <c r="E3830" s="293">
        <v>-1.9962659773086311E-2</v>
      </c>
      <c r="F3830" s="266">
        <f t="shared" si="183"/>
        <v>3823</v>
      </c>
      <c r="G3830" s="230">
        <f t="shared" ca="1" si="182"/>
        <v>4.1744665195158376E-2</v>
      </c>
    </row>
    <row r="3831" spans="2:7" x14ac:dyDescent="0.25">
      <c r="B3831" s="348">
        <v>39883</v>
      </c>
      <c r="C3831" s="293">
        <v>57.48</v>
      </c>
      <c r="D3831" s="230">
        <f t="shared" si="181"/>
        <v>-4.0400667779632804E-2</v>
      </c>
      <c r="E3831" s="293">
        <v>-2.0055893473615027E-2</v>
      </c>
      <c r="F3831" s="266">
        <f t="shared" si="183"/>
        <v>3824</v>
      </c>
      <c r="G3831" s="230">
        <f t="shared" ca="1" si="182"/>
        <v>2.0196682693162493E-2</v>
      </c>
    </row>
    <row r="3832" spans="2:7" x14ac:dyDescent="0.25">
      <c r="B3832" s="348" t="s">
        <v>2871</v>
      </c>
      <c r="C3832" s="293">
        <v>59.9</v>
      </c>
      <c r="D3832" s="230">
        <f t="shared" si="181"/>
        <v>-2.9802397149335969E-2</v>
      </c>
      <c r="E3832" s="293">
        <v>-2.0059582919563002E-2</v>
      </c>
      <c r="F3832" s="266">
        <f t="shared" si="183"/>
        <v>3825</v>
      </c>
      <c r="G3832" s="230">
        <f t="shared" ca="1" si="182"/>
        <v>-1.7068129567240943E-2</v>
      </c>
    </row>
    <row r="3833" spans="2:7" x14ac:dyDescent="0.25">
      <c r="B3833" s="348" t="s">
        <v>2872</v>
      </c>
      <c r="C3833" s="293">
        <v>61.74</v>
      </c>
      <c r="D3833" s="230">
        <f t="shared" si="181"/>
        <v>-1.9398642095053154E-3</v>
      </c>
      <c r="E3833" s="293">
        <v>-2.0094732309458907E-2</v>
      </c>
      <c r="F3833" s="266">
        <f t="shared" si="183"/>
        <v>3826</v>
      </c>
      <c r="G3833" s="230">
        <f t="shared" ca="1" si="182"/>
        <v>6.2170345028296162E-3</v>
      </c>
    </row>
    <row r="3834" spans="2:7" x14ac:dyDescent="0.25">
      <c r="B3834" s="348" t="s">
        <v>2873</v>
      </c>
      <c r="C3834" s="293">
        <v>61.86</v>
      </c>
      <c r="D3834" s="230">
        <f t="shared" si="181"/>
        <v>3.3066132264528925E-2</v>
      </c>
      <c r="E3834" s="293">
        <v>-2.0097136158097495E-2</v>
      </c>
      <c r="F3834" s="266">
        <f t="shared" si="183"/>
        <v>3827</v>
      </c>
      <c r="G3834" s="230">
        <f t="shared" ca="1" si="182"/>
        <v>3.7857547808128438E-2</v>
      </c>
    </row>
    <row r="3835" spans="2:7" x14ac:dyDescent="0.25">
      <c r="B3835" s="348" t="s">
        <v>2874</v>
      </c>
      <c r="C3835" s="293">
        <v>59.88</v>
      </c>
      <c r="D3835" s="230">
        <f t="shared" si="181"/>
        <v>2.4114930733709627E-2</v>
      </c>
      <c r="E3835" s="293">
        <v>-2.0152303120356652E-2</v>
      </c>
      <c r="F3835" s="266">
        <f t="shared" si="183"/>
        <v>3828</v>
      </c>
      <c r="G3835" s="230">
        <f t="shared" ca="1" si="182"/>
        <v>-1.1271980255485599E-2</v>
      </c>
    </row>
    <row r="3836" spans="2:7" x14ac:dyDescent="0.25">
      <c r="B3836" s="348" t="s">
        <v>2875</v>
      </c>
      <c r="C3836" s="293">
        <v>58.47</v>
      </c>
      <c r="D3836" s="230">
        <f t="shared" si="181"/>
        <v>4.466586497165359E-3</v>
      </c>
      <c r="E3836" s="293">
        <v>-2.0161612929034289E-2</v>
      </c>
      <c r="F3836" s="266">
        <f t="shared" si="183"/>
        <v>3829</v>
      </c>
      <c r="G3836" s="230">
        <f t="shared" ca="1" si="182"/>
        <v>2.0647031114070921E-3</v>
      </c>
    </row>
    <row r="3837" spans="2:7" x14ac:dyDescent="0.25">
      <c r="B3837" s="348" t="s">
        <v>2876</v>
      </c>
      <c r="C3837" s="293">
        <v>58.21</v>
      </c>
      <c r="D3837" s="230">
        <f t="shared" si="181"/>
        <v>2.0333041191936907E-2</v>
      </c>
      <c r="E3837" s="293">
        <v>-2.0168804121451278E-2</v>
      </c>
      <c r="F3837" s="266">
        <f t="shared" si="183"/>
        <v>3830</v>
      </c>
      <c r="G3837" s="230">
        <f t="shared" ca="1" si="182"/>
        <v>-1.1649063520086787E-2</v>
      </c>
    </row>
    <row r="3838" spans="2:7" x14ac:dyDescent="0.25">
      <c r="B3838" s="348" t="s">
        <v>2877</v>
      </c>
      <c r="C3838" s="293">
        <v>57.05</v>
      </c>
      <c r="D3838" s="230">
        <f t="shared" si="181"/>
        <v>-1.6209691326090736E-2</v>
      </c>
      <c r="E3838" s="293">
        <v>-2.0174533170685849E-2</v>
      </c>
      <c r="F3838" s="266">
        <f t="shared" si="183"/>
        <v>3831</v>
      </c>
      <c r="G3838" s="230">
        <f t="shared" ca="1" si="182"/>
        <v>1.7196949621954198E-3</v>
      </c>
    </row>
    <row r="3839" spans="2:7" x14ac:dyDescent="0.25">
      <c r="B3839" s="348" t="s">
        <v>2878</v>
      </c>
      <c r="C3839" s="293">
        <v>57.99</v>
      </c>
      <c r="D3839" s="230">
        <f t="shared" si="181"/>
        <v>4.3297540699687165E-3</v>
      </c>
      <c r="E3839" s="293">
        <v>-2.0305589063128182E-2</v>
      </c>
      <c r="F3839" s="266">
        <f t="shared" si="183"/>
        <v>3832</v>
      </c>
      <c r="G3839" s="230">
        <f t="shared" ca="1" si="182"/>
        <v>1.5355991936131151E-2</v>
      </c>
    </row>
    <row r="3840" spans="2:7" x14ac:dyDescent="0.25">
      <c r="B3840" s="348" t="s">
        <v>2879</v>
      </c>
      <c r="C3840" s="293">
        <v>57.74</v>
      </c>
      <c r="D3840" s="230">
        <f t="shared" si="181"/>
        <v>1.7983074753173511E-2</v>
      </c>
      <c r="E3840" s="293">
        <v>-2.0314960629921219E-2</v>
      </c>
      <c r="F3840" s="266">
        <f t="shared" si="183"/>
        <v>3833</v>
      </c>
      <c r="G3840" s="230">
        <f t="shared" ca="1" si="182"/>
        <v>-2.0789437449187681E-2</v>
      </c>
    </row>
    <row r="3841" spans="2:7" x14ac:dyDescent="0.25">
      <c r="B3841" s="348" t="s">
        <v>2880</v>
      </c>
      <c r="C3841" s="293">
        <v>56.72</v>
      </c>
      <c r="D3841" s="230">
        <f t="shared" si="181"/>
        <v>2.2972256582434181E-3</v>
      </c>
      <c r="E3841" s="293">
        <v>-2.0385552847330013E-2</v>
      </c>
      <c r="F3841" s="266">
        <f t="shared" si="183"/>
        <v>3834</v>
      </c>
      <c r="G3841" s="230">
        <f t="shared" ca="1" si="182"/>
        <v>-1.2890434071694634E-3</v>
      </c>
    </row>
    <row r="3842" spans="2:7" x14ac:dyDescent="0.25">
      <c r="B3842" s="348" t="s">
        <v>2881</v>
      </c>
      <c r="C3842" s="293">
        <v>56.59</v>
      </c>
      <c r="D3842" s="230">
        <f t="shared" si="181"/>
        <v>-4.3983110485573684E-3</v>
      </c>
      <c r="E3842" s="293">
        <v>-2.0417633410672931E-2</v>
      </c>
      <c r="F3842" s="266">
        <f t="shared" si="183"/>
        <v>3835</v>
      </c>
      <c r="G3842" s="230">
        <f t="shared" ca="1" si="182"/>
        <v>3.2998735317935651E-2</v>
      </c>
    </row>
    <row r="3843" spans="2:7" x14ac:dyDescent="0.25">
      <c r="B3843" s="348" t="s">
        <v>2882</v>
      </c>
      <c r="C3843" s="293">
        <v>56.84</v>
      </c>
      <c r="D3843" s="230">
        <f t="shared" si="181"/>
        <v>-1.1650147800382427E-2</v>
      </c>
      <c r="E3843" s="293">
        <v>-2.0537573348476279E-2</v>
      </c>
      <c r="F3843" s="266">
        <f t="shared" si="183"/>
        <v>3836</v>
      </c>
      <c r="G3843" s="230">
        <f t="shared" ca="1" si="182"/>
        <v>-1.8107145083104854E-2</v>
      </c>
    </row>
    <row r="3844" spans="2:7" x14ac:dyDescent="0.25">
      <c r="B3844" s="348" t="s">
        <v>2883</v>
      </c>
      <c r="C3844" s="293">
        <v>57.51</v>
      </c>
      <c r="D3844" s="230">
        <f t="shared" si="181"/>
        <v>1.4285714285714235E-2</v>
      </c>
      <c r="E3844" s="293">
        <v>-2.0565058620026888E-2</v>
      </c>
      <c r="F3844" s="266">
        <f t="shared" si="183"/>
        <v>3837</v>
      </c>
      <c r="G3844" s="230">
        <f t="shared" ca="1" si="182"/>
        <v>-1.1804978311855749E-2</v>
      </c>
    </row>
    <row r="3845" spans="2:7" x14ac:dyDescent="0.25">
      <c r="B3845" s="348">
        <v>40157</v>
      </c>
      <c r="C3845" s="293">
        <v>56.7</v>
      </c>
      <c r="D3845" s="230">
        <f t="shared" si="181"/>
        <v>3.9794608472400572E-2</v>
      </c>
      <c r="E3845" s="293">
        <v>-2.0629716689348099E-2</v>
      </c>
      <c r="F3845" s="266">
        <f t="shared" si="183"/>
        <v>3838</v>
      </c>
      <c r="G3845" s="230">
        <f t="shared" ca="1" si="182"/>
        <v>1.88937912071672E-2</v>
      </c>
    </row>
    <row r="3846" spans="2:7" x14ac:dyDescent="0.25">
      <c r="B3846" s="348">
        <v>40066</v>
      </c>
      <c r="C3846" s="293">
        <v>54.53</v>
      </c>
      <c r="D3846" s="230">
        <f t="shared" si="181"/>
        <v>-2.3984249149812009E-2</v>
      </c>
      <c r="E3846" s="293">
        <v>-2.0629750271444092E-2</v>
      </c>
      <c r="F3846" s="266">
        <f t="shared" si="183"/>
        <v>3839</v>
      </c>
      <c r="G3846" s="230">
        <f t="shared" ca="1" si="182"/>
        <v>1.9473596043432885E-2</v>
      </c>
    </row>
    <row r="3847" spans="2:7" x14ac:dyDescent="0.25">
      <c r="B3847" s="348">
        <v>40035</v>
      </c>
      <c r="C3847" s="293">
        <v>55.87</v>
      </c>
      <c r="D3847" s="230">
        <f t="shared" si="181"/>
        <v>-1.2374049849743773E-2</v>
      </c>
      <c r="E3847" s="293">
        <v>-2.0641356431994051E-2</v>
      </c>
      <c r="F3847" s="266">
        <f t="shared" si="183"/>
        <v>3840</v>
      </c>
      <c r="G3847" s="230">
        <f t="shared" ca="1" si="182"/>
        <v>-9.7912703511689753E-3</v>
      </c>
    </row>
    <row r="3848" spans="2:7" x14ac:dyDescent="0.25">
      <c r="B3848" s="348">
        <v>40004</v>
      </c>
      <c r="C3848" s="293">
        <v>56.57</v>
      </c>
      <c r="D3848" s="230">
        <f t="shared" si="181"/>
        <v>-4.5554243293403074E-2</v>
      </c>
      <c r="E3848" s="293">
        <v>-2.0664869721473522E-2</v>
      </c>
      <c r="F3848" s="266">
        <f t="shared" si="183"/>
        <v>3841</v>
      </c>
      <c r="G3848" s="230">
        <f t="shared" ca="1" si="182"/>
        <v>1.7226616368060922E-2</v>
      </c>
    </row>
    <row r="3849" spans="2:7" x14ac:dyDescent="0.25">
      <c r="B3849" s="348">
        <v>39974</v>
      </c>
      <c r="C3849" s="293">
        <v>59.27</v>
      </c>
      <c r="D3849" s="230">
        <f t="shared" ref="D3849:D3912" si="184">C3849/C3850-1</f>
        <v>-1.4793882978723305E-2</v>
      </c>
      <c r="E3849" s="293">
        <v>-2.0699252043833827E-2</v>
      </c>
      <c r="F3849" s="266">
        <f t="shared" si="183"/>
        <v>3842</v>
      </c>
      <c r="G3849" s="230">
        <f t="shared" ref="G3849:G3912" ca="1" si="185">_xlfn.NORM.INV(RAND(),$M$10,$M$11)</f>
        <v>9.5211335206610813E-3</v>
      </c>
    </row>
    <row r="3850" spans="2:7" x14ac:dyDescent="0.25">
      <c r="B3850" s="348">
        <v>39943</v>
      </c>
      <c r="C3850" s="293">
        <v>60.16</v>
      </c>
      <c r="D3850" s="230">
        <f t="shared" si="184"/>
        <v>8.3180835135587827E-4</v>
      </c>
      <c r="E3850" s="293">
        <v>-2.0712157752872606E-2</v>
      </c>
      <c r="F3850" s="266">
        <f t="shared" ref="F3850:F3913" si="186">F3849+1</f>
        <v>3843</v>
      </c>
      <c r="G3850" s="230">
        <f t="shared" ca="1" si="185"/>
        <v>3.4164658500887547E-2</v>
      </c>
    </row>
    <row r="3851" spans="2:7" x14ac:dyDescent="0.25">
      <c r="B3851" s="348">
        <v>39823</v>
      </c>
      <c r="C3851" s="293">
        <v>60.11</v>
      </c>
      <c r="D3851" s="230">
        <f t="shared" si="184"/>
        <v>9.7429867293801209E-3</v>
      </c>
      <c r="E3851" s="293">
        <v>-2.072232089994086E-2</v>
      </c>
      <c r="F3851" s="266">
        <f t="shared" si="186"/>
        <v>3844</v>
      </c>
      <c r="G3851" s="230">
        <f t="shared" ca="1" si="185"/>
        <v>3.7587342071512724E-3</v>
      </c>
    </row>
    <row r="3852" spans="2:7" x14ac:dyDescent="0.25">
      <c r="B3852" s="348" t="s">
        <v>2884</v>
      </c>
      <c r="C3852" s="293">
        <v>59.53</v>
      </c>
      <c r="D3852" s="230">
        <f t="shared" si="184"/>
        <v>3.458463677441781E-2</v>
      </c>
      <c r="E3852" s="293">
        <v>-2.0833333333333259E-2</v>
      </c>
      <c r="F3852" s="266">
        <f t="shared" si="186"/>
        <v>3845</v>
      </c>
      <c r="G3852" s="230">
        <f t="shared" ca="1" si="185"/>
        <v>1.225486649611375E-2</v>
      </c>
    </row>
    <row r="3853" spans="2:7" x14ac:dyDescent="0.25">
      <c r="B3853" s="348" t="s">
        <v>2885</v>
      </c>
      <c r="C3853" s="293">
        <v>57.54</v>
      </c>
      <c r="D3853" s="230">
        <f t="shared" si="184"/>
        <v>2.7683514913377394E-2</v>
      </c>
      <c r="E3853" s="293">
        <v>-2.0848776871756902E-2</v>
      </c>
      <c r="F3853" s="266">
        <f t="shared" si="186"/>
        <v>3846</v>
      </c>
      <c r="G3853" s="230">
        <f t="shared" ca="1" si="185"/>
        <v>5.8547471325403819E-3</v>
      </c>
    </row>
    <row r="3854" spans="2:7" x14ac:dyDescent="0.25">
      <c r="B3854" s="348" t="s">
        <v>2886</v>
      </c>
      <c r="C3854" s="293">
        <v>55.99</v>
      </c>
      <c r="D3854" s="230">
        <f t="shared" si="184"/>
        <v>-2.4904214559386961E-2</v>
      </c>
      <c r="E3854" s="293">
        <v>-2.086119283230814E-2</v>
      </c>
      <c r="F3854" s="266">
        <f t="shared" si="186"/>
        <v>3847</v>
      </c>
      <c r="G3854" s="230">
        <f t="shared" ca="1" si="185"/>
        <v>8.5811264547182454E-3</v>
      </c>
    </row>
    <row r="3855" spans="2:7" x14ac:dyDescent="0.25">
      <c r="B3855" s="348" t="s">
        <v>2887</v>
      </c>
      <c r="C3855" s="293">
        <v>57.42</v>
      </c>
      <c r="D3855" s="230">
        <f t="shared" si="184"/>
        <v>2.4625267665952855E-2</v>
      </c>
      <c r="E3855" s="293">
        <v>-2.0880856290577343E-2</v>
      </c>
      <c r="F3855" s="266">
        <f t="shared" si="186"/>
        <v>3848</v>
      </c>
      <c r="G3855" s="230">
        <f t="shared" ca="1" si="185"/>
        <v>-8.0566050578138107E-3</v>
      </c>
    </row>
    <row r="3856" spans="2:7" x14ac:dyDescent="0.25">
      <c r="B3856" s="348" t="s">
        <v>2888</v>
      </c>
      <c r="C3856" s="293">
        <v>56.04</v>
      </c>
      <c r="D3856" s="230">
        <f t="shared" si="184"/>
        <v>-1.7703768624014016E-2</v>
      </c>
      <c r="E3856" s="293">
        <v>-2.0922868129382599E-2</v>
      </c>
      <c r="F3856" s="266">
        <f t="shared" si="186"/>
        <v>3849</v>
      </c>
      <c r="G3856" s="230">
        <f t="shared" ca="1" si="185"/>
        <v>-1.8506593338276367E-2</v>
      </c>
    </row>
    <row r="3857" spans="2:7" x14ac:dyDescent="0.25">
      <c r="B3857" s="348" t="s">
        <v>2889</v>
      </c>
      <c r="C3857" s="293">
        <v>57.05</v>
      </c>
      <c r="D3857" s="230">
        <f t="shared" si="184"/>
        <v>1.3861738048693617E-2</v>
      </c>
      <c r="E3857" s="293">
        <v>-2.0969660916121291E-2</v>
      </c>
      <c r="F3857" s="266">
        <f t="shared" si="186"/>
        <v>3850</v>
      </c>
      <c r="G3857" s="230">
        <f t="shared" ca="1" si="185"/>
        <v>6.2108946710058923E-4</v>
      </c>
    </row>
    <row r="3858" spans="2:7" x14ac:dyDescent="0.25">
      <c r="B3858" s="348" t="s">
        <v>2890</v>
      </c>
      <c r="C3858" s="293">
        <v>56.27</v>
      </c>
      <c r="D3858" s="230">
        <f t="shared" si="184"/>
        <v>5.1804215791355634E-3</v>
      </c>
      <c r="E3858" s="293">
        <v>-2.0972222222222281E-2</v>
      </c>
      <c r="F3858" s="266">
        <f t="shared" si="186"/>
        <v>3851</v>
      </c>
      <c r="G3858" s="230">
        <f t="shared" ca="1" si="185"/>
        <v>1.0965678357221165E-2</v>
      </c>
    </row>
    <row r="3859" spans="2:7" x14ac:dyDescent="0.25">
      <c r="B3859" s="348" t="s">
        <v>2891</v>
      </c>
      <c r="C3859" s="293">
        <v>55.98</v>
      </c>
      <c r="D3859" s="230">
        <f t="shared" si="184"/>
        <v>2.0415603353991951E-2</v>
      </c>
      <c r="E3859" s="293">
        <v>-2.097560975609758E-2</v>
      </c>
      <c r="F3859" s="266">
        <f t="shared" si="186"/>
        <v>3852</v>
      </c>
      <c r="G3859" s="230">
        <f t="shared" ca="1" si="185"/>
        <v>1.3508184014009491E-3</v>
      </c>
    </row>
    <row r="3860" spans="2:7" x14ac:dyDescent="0.25">
      <c r="B3860" s="348" t="s">
        <v>2892</v>
      </c>
      <c r="C3860" s="293">
        <v>54.86</v>
      </c>
      <c r="D3860" s="230">
        <f t="shared" si="184"/>
        <v>-8.1359609473875549E-3</v>
      </c>
      <c r="E3860" s="293">
        <v>-2.1159290716733836E-2</v>
      </c>
      <c r="F3860" s="266">
        <f t="shared" si="186"/>
        <v>3853</v>
      </c>
      <c r="G3860" s="230">
        <f t="shared" ca="1" si="185"/>
        <v>-4.6360695583176549E-2</v>
      </c>
    </row>
    <row r="3861" spans="2:7" x14ac:dyDescent="0.25">
      <c r="B3861" s="348" t="s">
        <v>2893</v>
      </c>
      <c r="C3861" s="293">
        <v>55.31</v>
      </c>
      <c r="D3861" s="230">
        <f t="shared" si="184"/>
        <v>3.6291054255126465E-3</v>
      </c>
      <c r="E3861" s="293">
        <v>-2.1160728177999077E-2</v>
      </c>
      <c r="F3861" s="266">
        <f t="shared" si="186"/>
        <v>3854</v>
      </c>
      <c r="G3861" s="230">
        <f t="shared" ca="1" si="185"/>
        <v>-8.0109375636734409E-4</v>
      </c>
    </row>
    <row r="3862" spans="2:7" x14ac:dyDescent="0.25">
      <c r="B3862" s="348" t="s">
        <v>2894</v>
      </c>
      <c r="C3862" s="293">
        <v>55.11</v>
      </c>
      <c r="D3862" s="230">
        <f t="shared" si="184"/>
        <v>1.1749586928584632E-2</v>
      </c>
      <c r="E3862" s="293">
        <v>-2.1176879014060179E-2</v>
      </c>
      <c r="F3862" s="266">
        <f t="shared" si="186"/>
        <v>3855</v>
      </c>
      <c r="G3862" s="230">
        <f t="shared" ca="1" si="185"/>
        <v>-3.473997730192082E-2</v>
      </c>
    </row>
    <row r="3863" spans="2:7" x14ac:dyDescent="0.25">
      <c r="B3863" s="348">
        <v>40126</v>
      </c>
      <c r="C3863" s="293">
        <v>54.47</v>
      </c>
      <c r="D3863" s="230">
        <f t="shared" si="184"/>
        <v>1.3583922590249209E-2</v>
      </c>
      <c r="E3863" s="293">
        <v>-2.1232828951955884E-2</v>
      </c>
      <c r="F3863" s="266">
        <f t="shared" si="186"/>
        <v>3856</v>
      </c>
      <c r="G3863" s="230">
        <f t="shared" ca="1" si="185"/>
        <v>-2.0098834045619324E-2</v>
      </c>
    </row>
    <row r="3864" spans="2:7" x14ac:dyDescent="0.25">
      <c r="B3864" s="348">
        <v>40095</v>
      </c>
      <c r="C3864" s="293">
        <v>53.74</v>
      </c>
      <c r="D3864" s="230">
        <f t="shared" si="184"/>
        <v>1.8642803877704228E-3</v>
      </c>
      <c r="E3864" s="293">
        <v>-2.1247429746401592E-2</v>
      </c>
      <c r="F3864" s="266">
        <f t="shared" si="186"/>
        <v>3857</v>
      </c>
      <c r="G3864" s="230">
        <f t="shared" ca="1" si="185"/>
        <v>1.1284000589082795E-2</v>
      </c>
    </row>
    <row r="3865" spans="2:7" x14ac:dyDescent="0.25">
      <c r="B3865" s="348">
        <v>40065</v>
      </c>
      <c r="C3865" s="293">
        <v>53.64</v>
      </c>
      <c r="D3865" s="230">
        <f t="shared" si="184"/>
        <v>-1.4695077149154967E-2</v>
      </c>
      <c r="E3865" s="293">
        <v>-2.136334535161899E-2</v>
      </c>
      <c r="F3865" s="266">
        <f t="shared" si="186"/>
        <v>3858</v>
      </c>
      <c r="G3865" s="230">
        <f t="shared" ca="1" si="185"/>
        <v>-2.8092753723037163E-2</v>
      </c>
    </row>
    <row r="3866" spans="2:7" x14ac:dyDescent="0.25">
      <c r="B3866" s="348">
        <v>40034</v>
      </c>
      <c r="C3866" s="293">
        <v>54.44</v>
      </c>
      <c r="D3866" s="230">
        <f t="shared" si="184"/>
        <v>-6.7505929574895873E-3</v>
      </c>
      <c r="E3866" s="293">
        <v>-2.1436848203939762E-2</v>
      </c>
      <c r="F3866" s="266">
        <f t="shared" si="186"/>
        <v>3859</v>
      </c>
      <c r="G3866" s="230">
        <f t="shared" ca="1" si="185"/>
        <v>-1.8197922147742525E-2</v>
      </c>
    </row>
    <row r="3867" spans="2:7" x14ac:dyDescent="0.25">
      <c r="B3867" s="348">
        <v>40003</v>
      </c>
      <c r="C3867" s="293">
        <v>54.81</v>
      </c>
      <c r="D3867" s="230">
        <f t="shared" si="184"/>
        <v>3.8461538461538325E-3</v>
      </c>
      <c r="E3867" s="293">
        <v>-2.1437035441128849E-2</v>
      </c>
      <c r="F3867" s="266">
        <f t="shared" si="186"/>
        <v>3860</v>
      </c>
      <c r="G3867" s="230">
        <f t="shared" ca="1" si="185"/>
        <v>-1.7356545557819562E-2</v>
      </c>
    </row>
    <row r="3868" spans="2:7" x14ac:dyDescent="0.25">
      <c r="B3868" s="348">
        <v>39912</v>
      </c>
      <c r="C3868" s="293">
        <v>54.6</v>
      </c>
      <c r="D3868" s="230">
        <f t="shared" si="184"/>
        <v>1.2836970474967568E-3</v>
      </c>
      <c r="E3868" s="293">
        <v>-2.1468002453485902E-2</v>
      </c>
      <c r="F3868" s="266">
        <f t="shared" si="186"/>
        <v>3861</v>
      </c>
      <c r="G3868" s="230">
        <f t="shared" ca="1" si="185"/>
        <v>-3.3723333358644135E-3</v>
      </c>
    </row>
    <row r="3869" spans="2:7" x14ac:dyDescent="0.25">
      <c r="B3869" s="348">
        <v>39881</v>
      </c>
      <c r="C3869" s="293">
        <v>54.53</v>
      </c>
      <c r="D3869" s="230">
        <f t="shared" si="184"/>
        <v>-5.1085568326947328E-3</v>
      </c>
      <c r="E3869" s="293">
        <v>-2.1469256608733778E-2</v>
      </c>
      <c r="F3869" s="266">
        <f t="shared" si="186"/>
        <v>3862</v>
      </c>
      <c r="G3869" s="230">
        <f t="shared" ca="1" si="185"/>
        <v>-7.1675889131057064E-3</v>
      </c>
    </row>
    <row r="3870" spans="2:7" x14ac:dyDescent="0.25">
      <c r="B3870" s="348">
        <v>39853</v>
      </c>
      <c r="C3870" s="293">
        <v>54.81</v>
      </c>
      <c r="D3870" s="230">
        <f t="shared" si="184"/>
        <v>-8.3227790844943028E-3</v>
      </c>
      <c r="E3870" s="293">
        <v>-2.1485847440202765E-2</v>
      </c>
      <c r="F3870" s="266">
        <f t="shared" si="186"/>
        <v>3863</v>
      </c>
      <c r="G3870" s="230">
        <f t="shared" ca="1" si="185"/>
        <v>3.146980086598547E-2</v>
      </c>
    </row>
    <row r="3871" spans="2:7" x14ac:dyDescent="0.25">
      <c r="B3871" s="348">
        <v>39822</v>
      </c>
      <c r="C3871" s="293">
        <v>55.27</v>
      </c>
      <c r="D3871" s="230">
        <f t="shared" si="184"/>
        <v>1.6553246275519795E-2</v>
      </c>
      <c r="E3871" s="293">
        <v>-2.1527024934179906E-2</v>
      </c>
      <c r="F3871" s="266">
        <f t="shared" si="186"/>
        <v>3864</v>
      </c>
      <c r="G3871" s="230">
        <f t="shared" ca="1" si="185"/>
        <v>-3.7403371363464964E-3</v>
      </c>
    </row>
    <row r="3872" spans="2:7" x14ac:dyDescent="0.25">
      <c r="B3872" s="348" t="s">
        <v>2895</v>
      </c>
      <c r="C3872" s="293">
        <v>54.37</v>
      </c>
      <c r="D3872" s="230">
        <f t="shared" si="184"/>
        <v>-2.6499552372426183E-2</v>
      </c>
      <c r="E3872" s="293">
        <v>-2.1541617819460623E-2</v>
      </c>
      <c r="F3872" s="266">
        <f t="shared" si="186"/>
        <v>3865</v>
      </c>
      <c r="G3872" s="230">
        <f t="shared" ca="1" si="185"/>
        <v>-3.8643912617795191E-3</v>
      </c>
    </row>
    <row r="3873" spans="2:7" x14ac:dyDescent="0.25">
      <c r="B3873" s="348" t="s">
        <v>2896</v>
      </c>
      <c r="C3873" s="293">
        <v>55.85</v>
      </c>
      <c r="D3873" s="230">
        <f t="shared" si="184"/>
        <v>-6.5812877979366524E-3</v>
      </c>
      <c r="E3873" s="293">
        <v>-2.1545893719806752E-2</v>
      </c>
      <c r="F3873" s="266">
        <f t="shared" si="186"/>
        <v>3866</v>
      </c>
      <c r="G3873" s="230">
        <f t="shared" ca="1" si="185"/>
        <v>2.2123995779625791E-3</v>
      </c>
    </row>
    <row r="3874" spans="2:7" x14ac:dyDescent="0.25">
      <c r="B3874" s="348" t="s">
        <v>2897</v>
      </c>
      <c r="C3874" s="293">
        <v>56.22</v>
      </c>
      <c r="D3874" s="230">
        <f t="shared" si="184"/>
        <v>2.0882513165062733E-2</v>
      </c>
      <c r="E3874" s="293">
        <v>-2.1712484678690247E-2</v>
      </c>
      <c r="F3874" s="266">
        <f t="shared" si="186"/>
        <v>3867</v>
      </c>
      <c r="G3874" s="230">
        <f t="shared" ca="1" si="185"/>
        <v>8.9930121445825784E-3</v>
      </c>
    </row>
    <row r="3875" spans="2:7" x14ac:dyDescent="0.25">
      <c r="B3875" s="348" t="s">
        <v>2898</v>
      </c>
      <c r="C3875" s="293">
        <v>55.07</v>
      </c>
      <c r="D3875" s="230">
        <f t="shared" si="184"/>
        <v>2.4367559523809534E-2</v>
      </c>
      <c r="E3875" s="293">
        <v>-2.1720937309799071E-2</v>
      </c>
      <c r="F3875" s="266">
        <f t="shared" si="186"/>
        <v>3868</v>
      </c>
      <c r="G3875" s="230">
        <f t="shared" ca="1" si="185"/>
        <v>-4.3421948716394097E-3</v>
      </c>
    </row>
    <row r="3876" spans="2:7" x14ac:dyDescent="0.25">
      <c r="B3876" s="348" t="s">
        <v>2899</v>
      </c>
      <c r="C3876" s="293">
        <v>53.76</v>
      </c>
      <c r="D3876" s="230">
        <f t="shared" si="184"/>
        <v>3.7037037037036979E-2</v>
      </c>
      <c r="E3876" s="293">
        <v>-2.1739130434782705E-2</v>
      </c>
      <c r="F3876" s="266">
        <f t="shared" si="186"/>
        <v>3869</v>
      </c>
      <c r="G3876" s="230">
        <f t="shared" ca="1" si="185"/>
        <v>1.7466241987144832E-2</v>
      </c>
    </row>
    <row r="3877" spans="2:7" x14ac:dyDescent="0.25">
      <c r="B3877" s="348" t="s">
        <v>2900</v>
      </c>
      <c r="C3877" s="293">
        <v>51.84</v>
      </c>
      <c r="D3877" s="230">
        <f t="shared" si="184"/>
        <v>2.208201892744488E-2</v>
      </c>
      <c r="E3877" s="293">
        <v>-2.1758436944937731E-2</v>
      </c>
      <c r="F3877" s="266">
        <f t="shared" si="186"/>
        <v>3870</v>
      </c>
      <c r="G3877" s="230">
        <f t="shared" ca="1" si="185"/>
        <v>3.8531185017756014E-2</v>
      </c>
    </row>
    <row r="3878" spans="2:7" x14ac:dyDescent="0.25">
      <c r="B3878" s="348" t="s">
        <v>2901</v>
      </c>
      <c r="C3878" s="293">
        <v>50.72</v>
      </c>
      <c r="D3878" s="230">
        <f t="shared" si="184"/>
        <v>1.6636600521146461E-2</v>
      </c>
      <c r="E3878" s="293">
        <v>-2.1767713659605725E-2</v>
      </c>
      <c r="F3878" s="266">
        <f t="shared" si="186"/>
        <v>3871</v>
      </c>
      <c r="G3878" s="230">
        <f t="shared" ca="1" si="185"/>
        <v>-6.0371686501677806E-4</v>
      </c>
    </row>
    <row r="3879" spans="2:7" x14ac:dyDescent="0.25">
      <c r="B3879" s="348" t="s">
        <v>2902</v>
      </c>
      <c r="C3879" s="293">
        <v>49.89</v>
      </c>
      <c r="D3879" s="230">
        <f t="shared" si="184"/>
        <v>1.9828291087489847E-2</v>
      </c>
      <c r="E3879" s="293">
        <v>-2.1837820914214157E-2</v>
      </c>
      <c r="F3879" s="266">
        <f t="shared" si="186"/>
        <v>3872</v>
      </c>
      <c r="G3879" s="230">
        <f t="shared" ca="1" si="185"/>
        <v>2.4422678424720567E-2</v>
      </c>
    </row>
    <row r="3880" spans="2:7" x14ac:dyDescent="0.25">
      <c r="B3880" s="348" t="s">
        <v>2903</v>
      </c>
      <c r="C3880" s="293">
        <v>48.92</v>
      </c>
      <c r="D3880" s="230">
        <f t="shared" si="184"/>
        <v>-1.1117849201536245E-2</v>
      </c>
      <c r="E3880" s="293">
        <v>-2.1868787276341894E-2</v>
      </c>
      <c r="F3880" s="266">
        <f t="shared" si="186"/>
        <v>3873</v>
      </c>
      <c r="G3880" s="230">
        <f t="shared" ca="1" si="185"/>
        <v>3.1944025702075267E-2</v>
      </c>
    </row>
    <row r="3881" spans="2:7" x14ac:dyDescent="0.25">
      <c r="B3881" s="348" t="s">
        <v>2904</v>
      </c>
      <c r="C3881" s="293">
        <v>49.47</v>
      </c>
      <c r="D3881" s="230">
        <f t="shared" si="184"/>
        <v>6.9204152249133788E-3</v>
      </c>
      <c r="E3881" s="293">
        <v>-2.2085710106772072E-2</v>
      </c>
      <c r="F3881" s="266">
        <f t="shared" si="186"/>
        <v>3874</v>
      </c>
      <c r="G3881" s="230">
        <f t="shared" ca="1" si="185"/>
        <v>1.8870453993346009E-3</v>
      </c>
    </row>
    <row r="3882" spans="2:7" x14ac:dyDescent="0.25">
      <c r="B3882" s="348" t="s">
        <v>2905</v>
      </c>
      <c r="C3882" s="293">
        <v>49.13</v>
      </c>
      <c r="D3882" s="230">
        <f t="shared" si="184"/>
        <v>-2.8283227848101222E-2</v>
      </c>
      <c r="E3882" s="293">
        <v>-2.2085889570552131E-2</v>
      </c>
      <c r="F3882" s="266">
        <f t="shared" si="186"/>
        <v>3875</v>
      </c>
      <c r="G3882" s="230">
        <f t="shared" ca="1" si="185"/>
        <v>-6.7519112357678482E-3</v>
      </c>
    </row>
    <row r="3883" spans="2:7" x14ac:dyDescent="0.25">
      <c r="B3883" s="348" t="s">
        <v>2906</v>
      </c>
      <c r="C3883" s="293">
        <v>50.56</v>
      </c>
      <c r="D3883" s="230">
        <f t="shared" si="184"/>
        <v>-1.0180109631949819E-2</v>
      </c>
      <c r="E3883" s="293">
        <v>-2.2092538557732411E-2</v>
      </c>
      <c r="F3883" s="266">
        <f t="shared" si="186"/>
        <v>3876</v>
      </c>
      <c r="G3883" s="230">
        <f t="shared" ca="1" si="185"/>
        <v>-1.9337284244695649E-2</v>
      </c>
    </row>
    <row r="3884" spans="2:7" x14ac:dyDescent="0.25">
      <c r="B3884" s="348" t="s">
        <v>2907</v>
      </c>
      <c r="C3884" s="293">
        <v>51.08</v>
      </c>
      <c r="D3884" s="230">
        <f t="shared" si="184"/>
        <v>2.1395720855828859E-2</v>
      </c>
      <c r="E3884" s="293">
        <v>-2.2166718701217669E-2</v>
      </c>
      <c r="F3884" s="266">
        <f t="shared" si="186"/>
        <v>3877</v>
      </c>
      <c r="G3884" s="230">
        <f t="shared" ca="1" si="185"/>
        <v>2.826436377614526E-2</v>
      </c>
    </row>
    <row r="3885" spans="2:7" x14ac:dyDescent="0.25">
      <c r="B3885" s="348">
        <v>40155</v>
      </c>
      <c r="C3885" s="293">
        <v>50.01</v>
      </c>
      <c r="D3885" s="230">
        <f t="shared" si="184"/>
        <v>-5.9630292188432854E-3</v>
      </c>
      <c r="E3885" s="293">
        <v>-2.2168235651381596E-2</v>
      </c>
      <c r="F3885" s="266">
        <f t="shared" si="186"/>
        <v>3878</v>
      </c>
      <c r="G3885" s="230">
        <f t="shared" ca="1" si="185"/>
        <v>-1.0331802507513869E-2</v>
      </c>
    </row>
    <row r="3886" spans="2:7" x14ac:dyDescent="0.25">
      <c r="B3886" s="348">
        <v>40125</v>
      </c>
      <c r="C3886" s="293">
        <v>50.31</v>
      </c>
      <c r="D3886" s="230">
        <f t="shared" si="184"/>
        <v>-8.4745762711864181E-3</v>
      </c>
      <c r="E3886" s="293">
        <v>-2.2183210979891399E-2</v>
      </c>
      <c r="F3886" s="266">
        <f t="shared" si="186"/>
        <v>3879</v>
      </c>
      <c r="G3886" s="230">
        <f t="shared" ca="1" si="185"/>
        <v>-2.736005348205485E-2</v>
      </c>
    </row>
    <row r="3887" spans="2:7" x14ac:dyDescent="0.25">
      <c r="B3887" s="348">
        <v>40094</v>
      </c>
      <c r="C3887" s="293">
        <v>50.74</v>
      </c>
      <c r="D3887" s="230">
        <f t="shared" si="184"/>
        <v>2.691762801052433E-2</v>
      </c>
      <c r="E3887" s="293">
        <v>-2.2242509751846606E-2</v>
      </c>
      <c r="F3887" s="266">
        <f t="shared" si="186"/>
        <v>3880</v>
      </c>
      <c r="G3887" s="230">
        <f t="shared" ca="1" si="185"/>
        <v>2.2916345900127887E-2</v>
      </c>
    </row>
    <row r="3888" spans="2:7" x14ac:dyDescent="0.25">
      <c r="B3888" s="348">
        <v>40002</v>
      </c>
      <c r="C3888" s="293">
        <v>49.41</v>
      </c>
      <c r="D3888" s="230">
        <f t="shared" si="184"/>
        <v>2.4345709068775978E-3</v>
      </c>
      <c r="E3888" s="293">
        <v>-2.2252845403970878E-2</v>
      </c>
      <c r="F3888" s="266">
        <f t="shared" si="186"/>
        <v>3881</v>
      </c>
      <c r="G3888" s="230">
        <f t="shared" ca="1" si="185"/>
        <v>-1.8546606855267891E-2</v>
      </c>
    </row>
    <row r="3889" spans="2:7" x14ac:dyDescent="0.25">
      <c r="B3889" s="348">
        <v>39972</v>
      </c>
      <c r="C3889" s="293">
        <v>49.29</v>
      </c>
      <c r="D3889" s="230">
        <f t="shared" si="184"/>
        <v>8.1218274111671818E-4</v>
      </c>
      <c r="E3889" s="293">
        <v>-2.2258414766558099E-2</v>
      </c>
      <c r="F3889" s="266">
        <f t="shared" si="186"/>
        <v>3882</v>
      </c>
      <c r="G3889" s="230">
        <f t="shared" ca="1" si="185"/>
        <v>4.3944834820554245E-3</v>
      </c>
    </row>
    <row r="3890" spans="2:7" x14ac:dyDescent="0.25">
      <c r="B3890" s="348">
        <v>39941</v>
      </c>
      <c r="C3890" s="293">
        <v>49.25</v>
      </c>
      <c r="D3890" s="230">
        <f t="shared" si="184"/>
        <v>3.2711260222268779E-2</v>
      </c>
      <c r="E3890" s="293">
        <v>-2.2386831275720165E-2</v>
      </c>
      <c r="F3890" s="266">
        <f t="shared" si="186"/>
        <v>3883</v>
      </c>
      <c r="G3890" s="230">
        <f t="shared" ca="1" si="185"/>
        <v>7.66937931719755E-3</v>
      </c>
    </row>
    <row r="3891" spans="2:7" x14ac:dyDescent="0.25">
      <c r="B3891" s="348">
        <v>39911</v>
      </c>
      <c r="C3891" s="293">
        <v>47.69</v>
      </c>
      <c r="D3891" s="230">
        <f t="shared" si="184"/>
        <v>-1.7511330861145424E-2</v>
      </c>
      <c r="E3891" s="293">
        <v>-2.240735420856077E-2</v>
      </c>
      <c r="F3891" s="266">
        <f t="shared" si="186"/>
        <v>3884</v>
      </c>
      <c r="G3891" s="230">
        <f t="shared" ca="1" si="185"/>
        <v>2.2321088213158598E-2</v>
      </c>
    </row>
    <row r="3892" spans="2:7" x14ac:dyDescent="0.25">
      <c r="B3892" s="348">
        <v>39880</v>
      </c>
      <c r="C3892" s="293">
        <v>48.54</v>
      </c>
      <c r="D3892" s="230">
        <f t="shared" si="184"/>
        <v>1.6508460586051044E-3</v>
      </c>
      <c r="E3892" s="293">
        <v>-2.2440908672859305E-2</v>
      </c>
      <c r="F3892" s="266">
        <f t="shared" si="186"/>
        <v>3885</v>
      </c>
      <c r="G3892" s="230">
        <f t="shared" ca="1" si="185"/>
        <v>1.81371079681035E-2</v>
      </c>
    </row>
    <row r="3893" spans="2:7" x14ac:dyDescent="0.25">
      <c r="B3893" s="348" t="s">
        <v>2908</v>
      </c>
      <c r="C3893" s="293">
        <v>48.46</v>
      </c>
      <c r="D3893" s="230">
        <f t="shared" si="184"/>
        <v>6.0203446128295202E-3</v>
      </c>
      <c r="E3893" s="293">
        <v>-2.2451946373768239E-2</v>
      </c>
      <c r="F3893" s="266">
        <f t="shared" si="186"/>
        <v>3886</v>
      </c>
      <c r="G3893" s="230">
        <f t="shared" ca="1" si="185"/>
        <v>1.0485863013395171E-3</v>
      </c>
    </row>
    <row r="3894" spans="2:7" x14ac:dyDescent="0.25">
      <c r="B3894" s="348" t="s">
        <v>2909</v>
      </c>
      <c r="C3894" s="293">
        <v>48.17</v>
      </c>
      <c r="D3894" s="230">
        <f t="shared" si="184"/>
        <v>4.3092247726288502E-2</v>
      </c>
      <c r="E3894" s="293">
        <v>-2.248068387308888E-2</v>
      </c>
      <c r="F3894" s="266">
        <f t="shared" si="186"/>
        <v>3887</v>
      </c>
      <c r="G3894" s="230">
        <f t="shared" ca="1" si="185"/>
        <v>-1.2807017412068062E-2</v>
      </c>
    </row>
    <row r="3895" spans="2:7" x14ac:dyDescent="0.25">
      <c r="B3895" s="348" t="s">
        <v>2910</v>
      </c>
      <c r="C3895" s="293">
        <v>46.18</v>
      </c>
      <c r="D3895" s="230">
        <f t="shared" si="184"/>
        <v>6.7582297798125524E-3</v>
      </c>
      <c r="E3895" s="293">
        <v>-2.249384602325788E-2</v>
      </c>
      <c r="F3895" s="266">
        <f t="shared" si="186"/>
        <v>3888</v>
      </c>
      <c r="G3895" s="230">
        <f t="shared" ca="1" si="185"/>
        <v>5.7408558779282635E-3</v>
      </c>
    </row>
    <row r="3896" spans="2:7" x14ac:dyDescent="0.25">
      <c r="B3896" s="348" t="s">
        <v>2911</v>
      </c>
      <c r="C3896" s="293">
        <v>45.87</v>
      </c>
      <c r="D3896" s="230">
        <f t="shared" si="184"/>
        <v>7.9103493737640029E-3</v>
      </c>
      <c r="E3896" s="293">
        <v>-2.2501747030048924E-2</v>
      </c>
      <c r="F3896" s="266">
        <f t="shared" si="186"/>
        <v>3889</v>
      </c>
      <c r="G3896" s="230">
        <f t="shared" ca="1" si="185"/>
        <v>1.6268950967756404E-3</v>
      </c>
    </row>
    <row r="3897" spans="2:7" x14ac:dyDescent="0.25">
      <c r="B3897" s="348" t="s">
        <v>2912</v>
      </c>
      <c r="C3897" s="293">
        <v>45.51</v>
      </c>
      <c r="D3897" s="230">
        <f t="shared" si="184"/>
        <v>-6.5876152832677892E-4</v>
      </c>
      <c r="E3897" s="293">
        <v>-2.2512506948304534E-2</v>
      </c>
      <c r="F3897" s="266">
        <f t="shared" si="186"/>
        <v>3890</v>
      </c>
      <c r="G3897" s="230">
        <f t="shared" ca="1" si="185"/>
        <v>5.5522249096821271E-3</v>
      </c>
    </row>
    <row r="3898" spans="2:7" x14ac:dyDescent="0.25">
      <c r="B3898" s="348" t="s">
        <v>2913</v>
      </c>
      <c r="C3898" s="293">
        <v>45.54</v>
      </c>
      <c r="D3898" s="230">
        <f t="shared" si="184"/>
        <v>9.0848659428317546E-3</v>
      </c>
      <c r="E3898" s="293">
        <v>-2.2535667963683559E-2</v>
      </c>
      <c r="F3898" s="266">
        <f t="shared" si="186"/>
        <v>3891</v>
      </c>
      <c r="G3898" s="230">
        <f t="shared" ca="1" si="185"/>
        <v>2.7736534460475002E-5</v>
      </c>
    </row>
    <row r="3899" spans="2:7" x14ac:dyDescent="0.25">
      <c r="B3899" s="348" t="s">
        <v>2914</v>
      </c>
      <c r="C3899" s="293">
        <v>45.13</v>
      </c>
      <c r="D3899" s="230">
        <f t="shared" si="184"/>
        <v>1.1883408071748924E-2</v>
      </c>
      <c r="E3899" s="293">
        <v>-2.255183895868007E-2</v>
      </c>
      <c r="F3899" s="266">
        <f t="shared" si="186"/>
        <v>3892</v>
      </c>
      <c r="G3899" s="230">
        <f t="shared" ca="1" si="185"/>
        <v>-3.7475490998974646E-2</v>
      </c>
    </row>
    <row r="3900" spans="2:7" x14ac:dyDescent="0.25">
      <c r="B3900" s="348" t="s">
        <v>2915</v>
      </c>
      <c r="C3900" s="293">
        <v>44.6</v>
      </c>
      <c r="D3900" s="230">
        <f t="shared" si="184"/>
        <v>-1.6538037486218293E-2</v>
      </c>
      <c r="E3900" s="293">
        <v>-2.2591302794892409E-2</v>
      </c>
      <c r="F3900" s="266">
        <f t="shared" si="186"/>
        <v>3893</v>
      </c>
      <c r="G3900" s="230">
        <f t="shared" ca="1" si="185"/>
        <v>-2.1202699200325748E-2</v>
      </c>
    </row>
    <row r="3901" spans="2:7" x14ac:dyDescent="0.25">
      <c r="B3901" s="348" t="s">
        <v>2916</v>
      </c>
      <c r="C3901" s="293">
        <v>45.35</v>
      </c>
      <c r="D3901" s="230">
        <f t="shared" si="184"/>
        <v>-2.6391027050801652E-3</v>
      </c>
      <c r="E3901" s="293">
        <v>-2.259492196599111E-2</v>
      </c>
      <c r="F3901" s="266">
        <f t="shared" si="186"/>
        <v>3894</v>
      </c>
      <c r="G3901" s="230">
        <f t="shared" ca="1" si="185"/>
        <v>3.0077591340370323E-2</v>
      </c>
    </row>
    <row r="3902" spans="2:7" x14ac:dyDescent="0.25">
      <c r="B3902" s="348" t="s">
        <v>2917</v>
      </c>
      <c r="C3902" s="293">
        <v>45.47</v>
      </c>
      <c r="D3902" s="230">
        <f t="shared" si="184"/>
        <v>7.08902496467263E-2</v>
      </c>
      <c r="E3902" s="293">
        <v>-2.2638452006481735E-2</v>
      </c>
      <c r="F3902" s="266">
        <f t="shared" si="186"/>
        <v>3895</v>
      </c>
      <c r="G3902" s="230">
        <f t="shared" ca="1" si="185"/>
        <v>9.9536517386393554E-3</v>
      </c>
    </row>
    <row r="3903" spans="2:7" x14ac:dyDescent="0.25">
      <c r="B3903" s="348" t="s">
        <v>2918</v>
      </c>
      <c r="C3903" s="293">
        <v>42.46</v>
      </c>
      <c r="D3903" s="230">
        <f t="shared" si="184"/>
        <v>3.0832726389900644E-2</v>
      </c>
      <c r="E3903" s="293">
        <v>-2.2763706316126897E-2</v>
      </c>
      <c r="F3903" s="266">
        <f t="shared" si="186"/>
        <v>3896</v>
      </c>
      <c r="G3903" s="230">
        <f t="shared" ca="1" si="185"/>
        <v>-1.0171466995017933E-2</v>
      </c>
    </row>
    <row r="3904" spans="2:7" x14ac:dyDescent="0.25">
      <c r="B3904" s="348" t="s">
        <v>2919</v>
      </c>
      <c r="C3904" s="293">
        <v>41.19</v>
      </c>
      <c r="D3904" s="230">
        <f t="shared" si="184"/>
        <v>8.3231334149325154E-3</v>
      </c>
      <c r="E3904" s="293">
        <v>-2.2855898998693891E-2</v>
      </c>
      <c r="F3904" s="266">
        <f t="shared" si="186"/>
        <v>3897</v>
      </c>
      <c r="G3904" s="230">
        <f t="shared" ca="1" si="185"/>
        <v>-2.1850371644217624E-2</v>
      </c>
    </row>
    <row r="3905" spans="2:7" x14ac:dyDescent="0.25">
      <c r="B3905" s="348" t="s">
        <v>2920</v>
      </c>
      <c r="C3905" s="293">
        <v>40.85</v>
      </c>
      <c r="D3905" s="230">
        <f t="shared" si="184"/>
        <v>3.2086912582112159E-2</v>
      </c>
      <c r="E3905" s="293">
        <v>-2.2956841138659367E-2</v>
      </c>
      <c r="F3905" s="266">
        <f t="shared" si="186"/>
        <v>3898</v>
      </c>
      <c r="G3905" s="230">
        <f t="shared" ca="1" si="185"/>
        <v>9.7952151421005409E-3</v>
      </c>
    </row>
    <row r="3906" spans="2:7" x14ac:dyDescent="0.25">
      <c r="B3906" s="348" t="s">
        <v>2921</v>
      </c>
      <c r="C3906" s="293">
        <v>39.58</v>
      </c>
      <c r="D3906" s="230">
        <f t="shared" si="184"/>
        <v>2.9388816644993376E-2</v>
      </c>
      <c r="E3906" s="293">
        <v>-2.3000880884799901E-2</v>
      </c>
      <c r="F3906" s="266">
        <f t="shared" si="186"/>
        <v>3899</v>
      </c>
      <c r="G3906" s="230">
        <f t="shared" ca="1" si="185"/>
        <v>1.1901064627837415E-2</v>
      </c>
    </row>
    <row r="3907" spans="2:7" x14ac:dyDescent="0.25">
      <c r="B3907" s="348" t="s">
        <v>2922</v>
      </c>
      <c r="C3907" s="293">
        <v>38.450000000000003</v>
      </c>
      <c r="D3907" s="230">
        <f t="shared" si="184"/>
        <v>1.0778128286014876E-2</v>
      </c>
      <c r="E3907" s="293">
        <v>-2.3031069364161771E-2</v>
      </c>
      <c r="F3907" s="266">
        <f t="shared" si="186"/>
        <v>3900</v>
      </c>
      <c r="G3907" s="230">
        <f t="shared" ca="1" si="185"/>
        <v>-5.1319217241765315E-3</v>
      </c>
    </row>
    <row r="3908" spans="2:7" x14ac:dyDescent="0.25">
      <c r="B3908" s="348">
        <v>40093</v>
      </c>
      <c r="C3908" s="293">
        <v>38.04</v>
      </c>
      <c r="D3908" s="230">
        <f t="shared" si="184"/>
        <v>3.0615009482525046E-2</v>
      </c>
      <c r="E3908" s="293">
        <v>-2.304347826086961E-2</v>
      </c>
      <c r="F3908" s="266">
        <f t="shared" si="186"/>
        <v>3901</v>
      </c>
      <c r="G3908" s="230">
        <f t="shared" ca="1" si="185"/>
        <v>8.1048123678221118E-4</v>
      </c>
    </row>
    <row r="3909" spans="2:7" x14ac:dyDescent="0.25">
      <c r="B3909" s="348">
        <v>40063</v>
      </c>
      <c r="C3909" s="293">
        <v>36.909999999999997</v>
      </c>
      <c r="D3909" s="230">
        <f t="shared" si="184"/>
        <v>-4.8530601240228677E-3</v>
      </c>
      <c r="E3909" s="293">
        <v>-2.3087071240105561E-2</v>
      </c>
      <c r="F3909" s="266">
        <f t="shared" si="186"/>
        <v>3902</v>
      </c>
      <c r="G3909" s="230">
        <f t="shared" ca="1" si="185"/>
        <v>-3.0083344053184649E-2</v>
      </c>
    </row>
    <row r="3910" spans="2:7" x14ac:dyDescent="0.25">
      <c r="B3910" s="348">
        <v>40032</v>
      </c>
      <c r="C3910" s="293">
        <v>37.090000000000003</v>
      </c>
      <c r="D3910" s="230">
        <f t="shared" si="184"/>
        <v>-9.0836227624898624E-3</v>
      </c>
      <c r="E3910" s="293">
        <v>-2.3133345871732214E-2</v>
      </c>
      <c r="F3910" s="266">
        <f t="shared" si="186"/>
        <v>3903</v>
      </c>
      <c r="G3910" s="230">
        <f t="shared" ca="1" si="185"/>
        <v>2.139959813455658E-2</v>
      </c>
    </row>
    <row r="3911" spans="2:7" x14ac:dyDescent="0.25">
      <c r="B3911" s="348">
        <v>40001</v>
      </c>
      <c r="C3911" s="293">
        <v>37.43</v>
      </c>
      <c r="D3911" s="230">
        <f t="shared" si="184"/>
        <v>1.7119565217391441E-2</v>
      </c>
      <c r="E3911" s="293">
        <v>-2.3133543638275467E-2</v>
      </c>
      <c r="F3911" s="266">
        <f t="shared" si="186"/>
        <v>3904</v>
      </c>
      <c r="G3911" s="230">
        <f t="shared" ca="1" si="185"/>
        <v>1.0830944187382511E-2</v>
      </c>
    </row>
    <row r="3912" spans="2:7" x14ac:dyDescent="0.25">
      <c r="B3912" s="348">
        <v>39971</v>
      </c>
      <c r="C3912" s="293">
        <v>36.799999999999997</v>
      </c>
      <c r="D3912" s="230">
        <f t="shared" si="184"/>
        <v>-3.4120734908136607E-2</v>
      </c>
      <c r="E3912" s="293">
        <v>-2.314368370298947E-2</v>
      </c>
      <c r="F3912" s="266">
        <f t="shared" si="186"/>
        <v>3905</v>
      </c>
      <c r="G3912" s="230">
        <f t="shared" ca="1" si="185"/>
        <v>-1.6441919236892227E-2</v>
      </c>
    </row>
    <row r="3913" spans="2:7" x14ac:dyDescent="0.25">
      <c r="B3913" s="348">
        <v>39879</v>
      </c>
      <c r="C3913" s="293">
        <v>38.1</v>
      </c>
      <c r="D3913" s="230">
        <f t="shared" ref="D3913:D3976" si="187">C3913/C3914-1</f>
        <v>9.5389507154213238E-3</v>
      </c>
      <c r="E3913" s="293">
        <v>-2.3394019432129043E-2</v>
      </c>
      <c r="F3913" s="266">
        <f t="shared" si="186"/>
        <v>3906</v>
      </c>
      <c r="G3913" s="230">
        <f t="shared" ref="G3913:G3976" ca="1" si="188">_xlfn.NORM.INV(RAND(),$M$10,$M$11)</f>
        <v>-1.1564446489059429E-2</v>
      </c>
    </row>
    <row r="3914" spans="2:7" x14ac:dyDescent="0.25">
      <c r="B3914" s="348">
        <v>39851</v>
      </c>
      <c r="C3914" s="293">
        <v>37.74</v>
      </c>
      <c r="D3914" s="230">
        <f t="shared" si="187"/>
        <v>6.3999999999999613E-3</v>
      </c>
      <c r="E3914" s="293">
        <v>-2.3396022676145045E-2</v>
      </c>
      <c r="F3914" s="266">
        <f t="shared" ref="F3914:F3977" si="189">F3913+1</f>
        <v>3907</v>
      </c>
      <c r="G3914" s="230">
        <f t="shared" ca="1" si="188"/>
        <v>1.9343980074377647E-2</v>
      </c>
    </row>
    <row r="3915" spans="2:7" x14ac:dyDescent="0.25">
      <c r="B3915" s="348">
        <v>39820</v>
      </c>
      <c r="C3915" s="293">
        <v>37.5</v>
      </c>
      <c r="D3915" s="230">
        <f t="shared" si="187"/>
        <v>3.4787262510036498E-3</v>
      </c>
      <c r="E3915" s="293">
        <v>-2.3404661826518902E-2</v>
      </c>
      <c r="F3915" s="266">
        <f t="shared" si="189"/>
        <v>3908</v>
      </c>
      <c r="G3915" s="230">
        <f t="shared" ca="1" si="188"/>
        <v>-1.7749686620817866E-3</v>
      </c>
    </row>
    <row r="3916" spans="2:7" x14ac:dyDescent="0.25">
      <c r="B3916" s="348" t="s">
        <v>2923</v>
      </c>
      <c r="C3916" s="293">
        <v>37.369999999999997</v>
      </c>
      <c r="D3916" s="230">
        <f t="shared" si="187"/>
        <v>-3.2008535609496791E-3</v>
      </c>
      <c r="E3916" s="293">
        <v>-2.3485204321277542E-2</v>
      </c>
      <c r="F3916" s="266">
        <f t="shared" si="189"/>
        <v>3909</v>
      </c>
      <c r="G3916" s="230">
        <f t="shared" ca="1" si="188"/>
        <v>-1.8608877705968259E-2</v>
      </c>
    </row>
    <row r="3917" spans="2:7" x14ac:dyDescent="0.25">
      <c r="B3917" s="348" t="s">
        <v>2924</v>
      </c>
      <c r="C3917" s="293">
        <v>37.49</v>
      </c>
      <c r="D3917" s="230">
        <f t="shared" si="187"/>
        <v>-1.3161358252171573E-2</v>
      </c>
      <c r="E3917" s="293">
        <v>-2.3527773910622218E-2</v>
      </c>
      <c r="F3917" s="266">
        <f t="shared" si="189"/>
        <v>3910</v>
      </c>
      <c r="G3917" s="230">
        <f t="shared" ca="1" si="188"/>
        <v>-1.5217721096226907E-2</v>
      </c>
    </row>
    <row r="3918" spans="2:7" x14ac:dyDescent="0.25">
      <c r="B3918" s="348" t="s">
        <v>2925</v>
      </c>
      <c r="C3918" s="293">
        <v>37.99</v>
      </c>
      <c r="D3918" s="230">
        <f t="shared" si="187"/>
        <v>2.5924925735889781E-2</v>
      </c>
      <c r="E3918" s="293">
        <v>-2.3550454613206151E-2</v>
      </c>
      <c r="F3918" s="266">
        <f t="shared" si="189"/>
        <v>3911</v>
      </c>
      <c r="G3918" s="230">
        <f t="shared" ca="1" si="188"/>
        <v>-4.3550917167768308E-3</v>
      </c>
    </row>
    <row r="3919" spans="2:7" x14ac:dyDescent="0.25">
      <c r="B3919" s="348" t="s">
        <v>2926</v>
      </c>
      <c r="C3919" s="293">
        <v>37.03</v>
      </c>
      <c r="D3919" s="230">
        <f t="shared" si="187"/>
        <v>-1.751127620058357E-2</v>
      </c>
      <c r="E3919" s="293">
        <v>-2.3635731664928827E-2</v>
      </c>
      <c r="F3919" s="266">
        <f t="shared" si="189"/>
        <v>3912</v>
      </c>
      <c r="G3919" s="230">
        <f t="shared" ca="1" si="188"/>
        <v>1.3521463679722007E-2</v>
      </c>
    </row>
    <row r="3920" spans="2:7" x14ac:dyDescent="0.25">
      <c r="B3920" s="348" t="s">
        <v>2927</v>
      </c>
      <c r="C3920" s="293">
        <v>37.69</v>
      </c>
      <c r="D3920" s="230">
        <f t="shared" si="187"/>
        <v>1.0184937014205087E-2</v>
      </c>
      <c r="E3920" s="293">
        <v>-2.3707134193405976E-2</v>
      </c>
      <c r="F3920" s="266">
        <f t="shared" si="189"/>
        <v>3913</v>
      </c>
      <c r="G3920" s="230">
        <f t="shared" ca="1" si="188"/>
        <v>-3.3825173953364193E-2</v>
      </c>
    </row>
    <row r="3921" spans="2:7" x14ac:dyDescent="0.25">
      <c r="B3921" s="348" t="s">
        <v>2928</v>
      </c>
      <c r="C3921" s="293">
        <v>37.31</v>
      </c>
      <c r="D3921" s="230">
        <f t="shared" si="187"/>
        <v>-5.0666666666665527E-3</v>
      </c>
      <c r="E3921" s="293">
        <v>-2.3757149142103029E-2</v>
      </c>
      <c r="F3921" s="266">
        <f t="shared" si="189"/>
        <v>3914</v>
      </c>
      <c r="G3921" s="230">
        <f t="shared" ca="1" si="188"/>
        <v>-2.207235170588062E-3</v>
      </c>
    </row>
    <row r="3922" spans="2:7" x14ac:dyDescent="0.25">
      <c r="B3922" s="348" t="s">
        <v>2929</v>
      </c>
      <c r="C3922" s="293">
        <v>37.5</v>
      </c>
      <c r="D3922" s="230">
        <f t="shared" si="187"/>
        <v>-2.6595744680851796E-3</v>
      </c>
      <c r="E3922" s="293">
        <v>-2.3758099352051754E-2</v>
      </c>
      <c r="F3922" s="266">
        <f t="shared" si="189"/>
        <v>3915</v>
      </c>
      <c r="G3922" s="230">
        <f t="shared" ca="1" si="188"/>
        <v>-1.2440917984758468E-2</v>
      </c>
    </row>
    <row r="3923" spans="2:7" x14ac:dyDescent="0.25">
      <c r="B3923" s="348" t="s">
        <v>2930</v>
      </c>
      <c r="C3923" s="293">
        <v>37.6</v>
      </c>
      <c r="D3923" s="230">
        <f t="shared" si="187"/>
        <v>9.6670247046186653E-3</v>
      </c>
      <c r="E3923" s="293">
        <v>-2.3766364551862984E-2</v>
      </c>
      <c r="F3923" s="266">
        <f t="shared" si="189"/>
        <v>3916</v>
      </c>
      <c r="G3923" s="230">
        <f t="shared" ca="1" si="188"/>
        <v>-6.2376230862813764E-3</v>
      </c>
    </row>
    <row r="3924" spans="2:7" x14ac:dyDescent="0.25">
      <c r="B3924" s="348" t="s">
        <v>2931</v>
      </c>
      <c r="C3924" s="293">
        <v>37.24</v>
      </c>
      <c r="D3924" s="230">
        <f t="shared" si="187"/>
        <v>-9.8378090933262108E-3</v>
      </c>
      <c r="E3924" s="293">
        <v>-2.3812051091533171E-2</v>
      </c>
      <c r="F3924" s="266">
        <f t="shared" si="189"/>
        <v>3917</v>
      </c>
      <c r="G3924" s="230">
        <f t="shared" ca="1" si="188"/>
        <v>1.7722075548051797E-3</v>
      </c>
    </row>
    <row r="3925" spans="2:7" x14ac:dyDescent="0.25">
      <c r="B3925" s="348" t="s">
        <v>2932</v>
      </c>
      <c r="C3925" s="293">
        <v>37.61</v>
      </c>
      <c r="D3925" s="230">
        <f t="shared" si="187"/>
        <v>-4.0561224489796044E-2</v>
      </c>
      <c r="E3925" s="293">
        <v>-2.3857961901239122E-2</v>
      </c>
      <c r="F3925" s="266">
        <f t="shared" si="189"/>
        <v>3918</v>
      </c>
      <c r="G3925" s="230">
        <f t="shared" ca="1" si="188"/>
        <v>-1.120941292717228E-2</v>
      </c>
    </row>
    <row r="3926" spans="2:7" x14ac:dyDescent="0.25">
      <c r="B3926" s="348" t="s">
        <v>2933</v>
      </c>
      <c r="C3926" s="293">
        <v>39.200000000000003</v>
      </c>
      <c r="D3926" s="230">
        <f t="shared" si="187"/>
        <v>-1.3588324106693528E-2</v>
      </c>
      <c r="E3926" s="293">
        <v>-2.3928659895962268E-2</v>
      </c>
      <c r="F3926" s="266">
        <f t="shared" si="189"/>
        <v>3919</v>
      </c>
      <c r="G3926" s="230">
        <f t="shared" ca="1" si="188"/>
        <v>-1.6837163658891069E-2</v>
      </c>
    </row>
    <row r="3927" spans="2:7" x14ac:dyDescent="0.25">
      <c r="B3927" s="348" t="s">
        <v>2934</v>
      </c>
      <c r="C3927" s="293">
        <v>39.74</v>
      </c>
      <c r="D3927" s="230">
        <f t="shared" si="187"/>
        <v>-1.949173451764119E-2</v>
      </c>
      <c r="E3927" s="293">
        <v>-2.3935919585362009E-2</v>
      </c>
      <c r="F3927" s="266">
        <f t="shared" si="189"/>
        <v>3920</v>
      </c>
      <c r="G3927" s="230">
        <f t="shared" ca="1" si="188"/>
        <v>1.5327022462354547E-3</v>
      </c>
    </row>
    <row r="3928" spans="2:7" x14ac:dyDescent="0.25">
      <c r="B3928" s="348">
        <v>40153</v>
      </c>
      <c r="C3928" s="293">
        <v>40.53</v>
      </c>
      <c r="D3928" s="230">
        <f t="shared" si="187"/>
        <v>-3.2696897374701606E-2</v>
      </c>
      <c r="E3928" s="293">
        <v>-2.3943245639964417E-2</v>
      </c>
      <c r="F3928" s="266">
        <f t="shared" si="189"/>
        <v>3921</v>
      </c>
      <c r="G3928" s="230">
        <f t="shared" ca="1" si="188"/>
        <v>-7.790107731185306E-3</v>
      </c>
    </row>
    <row r="3929" spans="2:7" x14ac:dyDescent="0.25">
      <c r="B3929" s="348">
        <v>40123</v>
      </c>
      <c r="C3929" s="293">
        <v>41.9</v>
      </c>
      <c r="D3929" s="230">
        <f t="shared" si="187"/>
        <v>-1.9653720168460564E-2</v>
      </c>
      <c r="E3929" s="293">
        <v>-2.3946360153256685E-2</v>
      </c>
      <c r="F3929" s="266">
        <f t="shared" si="189"/>
        <v>3922</v>
      </c>
      <c r="G3929" s="230">
        <f t="shared" ca="1" si="188"/>
        <v>-8.6991133436015826E-3</v>
      </c>
    </row>
    <row r="3930" spans="2:7" x14ac:dyDescent="0.25">
      <c r="B3930" s="348">
        <v>40092</v>
      </c>
      <c r="C3930" s="293">
        <v>42.74</v>
      </c>
      <c r="D3930" s="230">
        <f t="shared" si="187"/>
        <v>2.0534861509073465E-2</v>
      </c>
      <c r="E3930" s="293">
        <v>-2.3984249149812009E-2</v>
      </c>
      <c r="F3930" s="266">
        <f t="shared" si="189"/>
        <v>3923</v>
      </c>
      <c r="G3930" s="230">
        <f t="shared" ca="1" si="188"/>
        <v>1.8673894800732664E-2</v>
      </c>
    </row>
    <row r="3931" spans="2:7" x14ac:dyDescent="0.25">
      <c r="B3931" s="348">
        <v>40062</v>
      </c>
      <c r="C3931" s="293">
        <v>41.88</v>
      </c>
      <c r="D3931" s="230">
        <f t="shared" si="187"/>
        <v>4.4128646222887147E-2</v>
      </c>
      <c r="E3931" s="293">
        <v>-2.4018362160832751E-2</v>
      </c>
      <c r="F3931" s="266">
        <f t="shared" si="189"/>
        <v>3924</v>
      </c>
      <c r="G3931" s="230">
        <f t="shared" ca="1" si="188"/>
        <v>5.3387936368159018E-3</v>
      </c>
    </row>
    <row r="3932" spans="2:7" x14ac:dyDescent="0.25">
      <c r="B3932" s="348">
        <v>40031</v>
      </c>
      <c r="C3932" s="293">
        <v>40.11</v>
      </c>
      <c r="D3932" s="230">
        <f t="shared" si="187"/>
        <v>3.1105398457583533E-2</v>
      </c>
      <c r="E3932" s="293">
        <v>-2.4073573167433082E-2</v>
      </c>
      <c r="F3932" s="266">
        <f t="shared" si="189"/>
        <v>3925</v>
      </c>
      <c r="G3932" s="230">
        <f t="shared" ca="1" si="188"/>
        <v>1.5869022305834347E-2</v>
      </c>
    </row>
    <row r="3933" spans="2:7" x14ac:dyDescent="0.25">
      <c r="B3933" s="348">
        <v>39939</v>
      </c>
      <c r="C3933" s="293">
        <v>38.9</v>
      </c>
      <c r="D3933" s="230">
        <f t="shared" si="187"/>
        <v>7.2501294665976435E-3</v>
      </c>
      <c r="E3933" s="293">
        <v>-2.4113536364420707E-2</v>
      </c>
      <c r="F3933" s="266">
        <f t="shared" si="189"/>
        <v>3926</v>
      </c>
      <c r="G3933" s="230">
        <f t="shared" ca="1" si="188"/>
        <v>1.717322662549587E-2</v>
      </c>
    </row>
    <row r="3934" spans="2:7" x14ac:dyDescent="0.25">
      <c r="B3934" s="348">
        <v>39909</v>
      </c>
      <c r="C3934" s="293">
        <v>38.619999999999997</v>
      </c>
      <c r="D3934" s="230">
        <f t="shared" si="187"/>
        <v>-1.3789581205311485E-2</v>
      </c>
      <c r="E3934" s="293">
        <v>-2.4140687450040055E-2</v>
      </c>
      <c r="F3934" s="266">
        <f t="shared" si="189"/>
        <v>3927</v>
      </c>
      <c r="G3934" s="230">
        <f t="shared" ca="1" si="188"/>
        <v>-9.8037629399667751E-3</v>
      </c>
    </row>
    <row r="3935" spans="2:7" x14ac:dyDescent="0.25">
      <c r="B3935" s="348">
        <v>39878</v>
      </c>
      <c r="C3935" s="293">
        <v>39.159999999999997</v>
      </c>
      <c r="D3935" s="230">
        <f t="shared" si="187"/>
        <v>1.1363636363636243E-2</v>
      </c>
      <c r="E3935" s="293">
        <v>-2.4164677804295986E-2</v>
      </c>
      <c r="F3935" s="266">
        <f t="shared" si="189"/>
        <v>3928</v>
      </c>
      <c r="G3935" s="230">
        <f t="shared" ca="1" si="188"/>
        <v>1.1569623502331821E-2</v>
      </c>
    </row>
    <row r="3936" spans="2:7" x14ac:dyDescent="0.25">
      <c r="B3936" s="348">
        <v>39850</v>
      </c>
      <c r="C3936" s="293">
        <v>38.72</v>
      </c>
      <c r="D3936" s="230">
        <f t="shared" si="187"/>
        <v>-1.8255578093306246E-2</v>
      </c>
      <c r="E3936" s="293">
        <v>-2.4189199599414568E-2</v>
      </c>
      <c r="F3936" s="266">
        <f t="shared" si="189"/>
        <v>3929</v>
      </c>
      <c r="G3936" s="230">
        <f t="shared" ca="1" si="188"/>
        <v>1.3300724543678788E-2</v>
      </c>
    </row>
    <row r="3937" spans="2:7" x14ac:dyDescent="0.25">
      <c r="B3937" s="348">
        <v>39819</v>
      </c>
      <c r="C3937" s="293">
        <v>39.44</v>
      </c>
      <c r="D3937" s="230">
        <f t="shared" si="187"/>
        <v>4.366234453559148E-2</v>
      </c>
      <c r="E3937" s="293">
        <v>-2.4212745698156901E-2</v>
      </c>
      <c r="F3937" s="266">
        <f t="shared" si="189"/>
        <v>3930</v>
      </c>
      <c r="G3937" s="230">
        <f t="shared" ca="1" si="188"/>
        <v>2.04883094769472E-2</v>
      </c>
    </row>
    <row r="3938" spans="2:7" x14ac:dyDescent="0.25">
      <c r="B3938" s="348" t="s">
        <v>2935</v>
      </c>
      <c r="C3938" s="293">
        <v>37.79</v>
      </c>
      <c r="D3938" s="230">
        <f t="shared" si="187"/>
        <v>3.5342465753424701E-2</v>
      </c>
      <c r="E3938" s="293">
        <v>-2.4216161101198064E-2</v>
      </c>
      <c r="F3938" s="266">
        <f t="shared" si="189"/>
        <v>3931</v>
      </c>
      <c r="G3938" s="230">
        <f t="shared" ca="1" si="188"/>
        <v>-2.1985108107614661E-3</v>
      </c>
    </row>
    <row r="3939" spans="2:7" x14ac:dyDescent="0.25">
      <c r="B3939" s="348" t="s">
        <v>2936</v>
      </c>
      <c r="C3939" s="293">
        <v>36.5</v>
      </c>
      <c r="D3939" s="230">
        <f t="shared" si="187"/>
        <v>-2.6407041877834159E-2</v>
      </c>
      <c r="E3939" s="293">
        <v>-2.4252280279997263E-2</v>
      </c>
      <c r="F3939" s="266">
        <f t="shared" si="189"/>
        <v>3932</v>
      </c>
      <c r="G3939" s="230">
        <f t="shared" ca="1" si="188"/>
        <v>-2.0421760605026561E-2</v>
      </c>
    </row>
    <row r="3940" spans="2:7" x14ac:dyDescent="0.25">
      <c r="B3940" s="348" t="s">
        <v>2937</v>
      </c>
      <c r="C3940" s="293">
        <v>37.49</v>
      </c>
      <c r="D3940" s="230">
        <f t="shared" si="187"/>
        <v>1.4065458479848525E-2</v>
      </c>
      <c r="E3940" s="293">
        <v>-2.4384558000745904E-2</v>
      </c>
      <c r="F3940" s="266">
        <f t="shared" si="189"/>
        <v>3933</v>
      </c>
      <c r="G3940" s="230">
        <f t="shared" ca="1" si="188"/>
        <v>2.1148502530292178E-2</v>
      </c>
    </row>
    <row r="3941" spans="2:7" x14ac:dyDescent="0.25">
      <c r="B3941" s="348" t="s">
        <v>2938</v>
      </c>
      <c r="C3941" s="293">
        <v>36.97</v>
      </c>
      <c r="D3941" s="230">
        <f t="shared" si="187"/>
        <v>1.9018743109151082E-2</v>
      </c>
      <c r="E3941" s="293">
        <v>-2.4397590361445842E-2</v>
      </c>
      <c r="F3941" s="266">
        <f t="shared" si="189"/>
        <v>3934</v>
      </c>
      <c r="G3941" s="230">
        <f t="shared" ca="1" si="188"/>
        <v>6.8241062390806849E-3</v>
      </c>
    </row>
    <row r="3942" spans="2:7" x14ac:dyDescent="0.25">
      <c r="B3942" s="348" t="s">
        <v>2939</v>
      </c>
      <c r="C3942" s="293">
        <v>36.28</v>
      </c>
      <c r="D3942" s="230">
        <f t="shared" si="187"/>
        <v>-6.5717415115006395E-3</v>
      </c>
      <c r="E3942" s="293">
        <v>-2.4406779661016897E-2</v>
      </c>
      <c r="F3942" s="266">
        <f t="shared" si="189"/>
        <v>3935</v>
      </c>
      <c r="G3942" s="230">
        <f t="shared" ca="1" si="188"/>
        <v>-1.2769644085233829E-2</v>
      </c>
    </row>
    <row r="3943" spans="2:7" x14ac:dyDescent="0.25">
      <c r="B3943" s="348" t="s">
        <v>2940</v>
      </c>
      <c r="C3943" s="293">
        <v>36.520000000000003</v>
      </c>
      <c r="D3943" s="230">
        <f t="shared" si="187"/>
        <v>-1.7222820236813652E-2</v>
      </c>
      <c r="E3943" s="293">
        <v>-2.4429315178213784E-2</v>
      </c>
      <c r="F3943" s="266">
        <f t="shared" si="189"/>
        <v>3936</v>
      </c>
      <c r="G3943" s="230">
        <f t="shared" ca="1" si="188"/>
        <v>1.4270565246265566E-2</v>
      </c>
    </row>
    <row r="3944" spans="2:7" x14ac:dyDescent="0.25">
      <c r="B3944" s="348" t="s">
        <v>2941</v>
      </c>
      <c r="C3944" s="293">
        <v>37.159999999999997</v>
      </c>
      <c r="D3944" s="230">
        <f t="shared" si="187"/>
        <v>-5.1314781720704694E-2</v>
      </c>
      <c r="E3944" s="293">
        <v>-2.445738485971416E-2</v>
      </c>
      <c r="F3944" s="266">
        <f t="shared" si="189"/>
        <v>3937</v>
      </c>
      <c r="G3944" s="230">
        <f t="shared" ca="1" si="188"/>
        <v>-1.5661671695693949E-2</v>
      </c>
    </row>
    <row r="3945" spans="2:7" x14ac:dyDescent="0.25">
      <c r="B3945" s="348" t="s">
        <v>2942</v>
      </c>
      <c r="C3945" s="293">
        <v>39.17</v>
      </c>
      <c r="D3945" s="230">
        <f t="shared" si="187"/>
        <v>2.8083989501312301E-2</v>
      </c>
      <c r="E3945" s="293">
        <v>-2.4463383838383757E-2</v>
      </c>
      <c r="F3945" s="266">
        <f t="shared" si="189"/>
        <v>3938</v>
      </c>
      <c r="G3945" s="230">
        <f t="shared" ca="1" si="188"/>
        <v>-1.9784721770278201E-2</v>
      </c>
    </row>
    <row r="3946" spans="2:7" x14ac:dyDescent="0.25">
      <c r="B3946" s="348" t="s">
        <v>2943</v>
      </c>
      <c r="C3946" s="293">
        <v>38.1</v>
      </c>
      <c r="D3946" s="230">
        <f t="shared" si="187"/>
        <v>-7.5691411935953412E-2</v>
      </c>
      <c r="E3946" s="293">
        <v>-2.4497436314804277E-2</v>
      </c>
      <c r="F3946" s="266">
        <f t="shared" si="189"/>
        <v>3939</v>
      </c>
      <c r="G3946" s="230">
        <f t="shared" ca="1" si="188"/>
        <v>4.696098850060081E-4</v>
      </c>
    </row>
    <row r="3947" spans="2:7" x14ac:dyDescent="0.25">
      <c r="B3947" s="348" t="s">
        <v>2944</v>
      </c>
      <c r="C3947" s="293">
        <v>41.22</v>
      </c>
      <c r="D3947" s="230">
        <f t="shared" si="187"/>
        <v>0.10420573265470123</v>
      </c>
      <c r="E3947" s="293">
        <v>-2.4500907441016406E-2</v>
      </c>
      <c r="F3947" s="266">
        <f t="shared" si="189"/>
        <v>3940</v>
      </c>
      <c r="G3947" s="230">
        <f t="shared" ca="1" si="188"/>
        <v>-2.1236603985802842E-2</v>
      </c>
    </row>
    <row r="3948" spans="2:7" x14ac:dyDescent="0.25">
      <c r="B3948" s="348" t="s">
        <v>2945</v>
      </c>
      <c r="C3948" s="293">
        <v>37.33</v>
      </c>
      <c r="D3948" s="230">
        <f t="shared" si="187"/>
        <v>3.8964653492902901E-2</v>
      </c>
      <c r="E3948" s="293">
        <v>-2.4558275247203776E-2</v>
      </c>
      <c r="F3948" s="266">
        <f t="shared" si="189"/>
        <v>3941</v>
      </c>
      <c r="G3948" s="230">
        <f t="shared" ca="1" si="188"/>
        <v>-1.5868473519289737E-2</v>
      </c>
    </row>
    <row r="3949" spans="2:7" x14ac:dyDescent="0.25">
      <c r="B3949" s="348" t="s">
        <v>2946</v>
      </c>
      <c r="C3949" s="293">
        <v>35.93</v>
      </c>
      <c r="D3949" s="230">
        <f t="shared" si="187"/>
        <v>-2.9705644072373749E-2</v>
      </c>
      <c r="E3949" s="293">
        <v>-2.4613220815752457E-2</v>
      </c>
      <c r="F3949" s="266">
        <f t="shared" si="189"/>
        <v>3942</v>
      </c>
      <c r="G3949" s="230">
        <f t="shared" ca="1" si="188"/>
        <v>1.2615805403014247E-3</v>
      </c>
    </row>
    <row r="3950" spans="2:7" x14ac:dyDescent="0.25">
      <c r="B3950" s="348" t="s">
        <v>2947</v>
      </c>
      <c r="C3950" s="293">
        <v>37.03</v>
      </c>
      <c r="D3950" s="230">
        <f t="shared" si="187"/>
        <v>2.7012425715833288E-4</v>
      </c>
      <c r="E3950" s="293">
        <v>-2.4732941969011546E-2</v>
      </c>
      <c r="F3950" s="266">
        <f t="shared" si="189"/>
        <v>3943</v>
      </c>
      <c r="G3950" s="230">
        <f t="shared" ca="1" si="188"/>
        <v>-1.9551448730970859E-2</v>
      </c>
    </row>
    <row r="3951" spans="2:7" x14ac:dyDescent="0.25">
      <c r="B3951" s="348">
        <v>40152</v>
      </c>
      <c r="C3951" s="293">
        <v>37.020000000000003</v>
      </c>
      <c r="D3951" s="230">
        <f t="shared" si="187"/>
        <v>7.118055555555558E-2</v>
      </c>
      <c r="E3951" s="293">
        <v>-2.4804177545691863E-2</v>
      </c>
      <c r="F3951" s="266">
        <f t="shared" si="189"/>
        <v>3944</v>
      </c>
      <c r="G3951" s="230">
        <f t="shared" ca="1" si="188"/>
        <v>-5.3100108500900431E-3</v>
      </c>
    </row>
    <row r="3952" spans="2:7" x14ac:dyDescent="0.25">
      <c r="B3952" s="348">
        <v>40122</v>
      </c>
      <c r="C3952" s="293">
        <v>34.56</v>
      </c>
      <c r="D3952" s="230">
        <f t="shared" si="187"/>
        <v>-1.5665052691540837E-2</v>
      </c>
      <c r="E3952" s="293">
        <v>-2.4860557768924374E-2</v>
      </c>
      <c r="F3952" s="266">
        <f t="shared" si="189"/>
        <v>3945</v>
      </c>
      <c r="G3952" s="230">
        <f t="shared" ca="1" si="188"/>
        <v>3.1147897957168286E-3</v>
      </c>
    </row>
    <row r="3953" spans="2:7" x14ac:dyDescent="0.25">
      <c r="B3953" s="348">
        <v>40030</v>
      </c>
      <c r="C3953" s="293">
        <v>35.11</v>
      </c>
      <c r="D3953" s="230">
        <f t="shared" si="187"/>
        <v>-6.8205944798301443E-2</v>
      </c>
      <c r="E3953" s="293">
        <v>-2.489581445914113E-2</v>
      </c>
      <c r="F3953" s="266">
        <f t="shared" si="189"/>
        <v>3946</v>
      </c>
      <c r="G3953" s="230">
        <f t="shared" ca="1" si="188"/>
        <v>-9.8798943796309709E-3</v>
      </c>
    </row>
    <row r="3954" spans="2:7" x14ac:dyDescent="0.25">
      <c r="B3954" s="348">
        <v>39999</v>
      </c>
      <c r="C3954" s="293">
        <v>37.68</v>
      </c>
      <c r="D3954" s="230">
        <f t="shared" si="187"/>
        <v>6.0512243174781766E-2</v>
      </c>
      <c r="E3954" s="293">
        <v>-2.4904214559386961E-2</v>
      </c>
      <c r="F3954" s="266">
        <f t="shared" si="189"/>
        <v>3947</v>
      </c>
      <c r="G3954" s="230">
        <f t="shared" ca="1" si="188"/>
        <v>-9.0095404064435437E-3</v>
      </c>
    </row>
    <row r="3955" spans="2:7" x14ac:dyDescent="0.25">
      <c r="B3955" s="348">
        <v>39969</v>
      </c>
      <c r="C3955" s="293">
        <v>35.53</v>
      </c>
      <c r="D3955" s="230">
        <f t="shared" si="187"/>
        <v>-2.737476047084586E-2</v>
      </c>
      <c r="E3955" s="293">
        <v>-2.4933464070598155E-2</v>
      </c>
      <c r="F3955" s="266">
        <f t="shared" si="189"/>
        <v>3948</v>
      </c>
      <c r="G3955" s="230">
        <f t="shared" ca="1" si="188"/>
        <v>4.4196831660542682E-2</v>
      </c>
    </row>
    <row r="3956" spans="2:7" x14ac:dyDescent="0.25">
      <c r="B3956" s="348">
        <v>39938</v>
      </c>
      <c r="C3956" s="293">
        <v>36.53</v>
      </c>
      <c r="D3956" s="230">
        <f t="shared" si="187"/>
        <v>1.0791366906474753E-2</v>
      </c>
      <c r="E3956" s="293">
        <v>-2.4988138541831351E-2</v>
      </c>
      <c r="F3956" s="266">
        <f t="shared" si="189"/>
        <v>3949</v>
      </c>
      <c r="G3956" s="230">
        <f t="shared" ca="1" si="188"/>
        <v>6.3692241094473884E-3</v>
      </c>
    </row>
    <row r="3957" spans="2:7" x14ac:dyDescent="0.25">
      <c r="B3957" s="348">
        <v>39908</v>
      </c>
      <c r="C3957" s="293">
        <v>36.14</v>
      </c>
      <c r="D3957" s="230">
        <f t="shared" si="187"/>
        <v>0.10486089880770399</v>
      </c>
      <c r="E3957" s="293">
        <v>-2.5000000000000022E-2</v>
      </c>
      <c r="F3957" s="266">
        <f t="shared" si="189"/>
        <v>3950</v>
      </c>
      <c r="G3957" s="230">
        <f t="shared" ca="1" si="188"/>
        <v>-5.2702452584860084E-3</v>
      </c>
    </row>
    <row r="3958" spans="2:7" x14ac:dyDescent="0.25">
      <c r="B3958" s="348" t="s">
        <v>2948</v>
      </c>
      <c r="C3958" s="293">
        <v>32.71</v>
      </c>
      <c r="D3958" s="230">
        <f t="shared" si="187"/>
        <v>4.9069916613213582E-2</v>
      </c>
      <c r="E3958" s="293">
        <v>-2.5161690440329565E-2</v>
      </c>
      <c r="F3958" s="266">
        <f t="shared" si="189"/>
        <v>3951</v>
      </c>
      <c r="G3958" s="230">
        <f t="shared" ca="1" si="188"/>
        <v>-2.3158726493683529E-2</v>
      </c>
    </row>
    <row r="3959" spans="2:7" x14ac:dyDescent="0.25">
      <c r="B3959" s="348" t="s">
        <v>2949</v>
      </c>
      <c r="C3959" s="293">
        <v>31.18</v>
      </c>
      <c r="D3959" s="230">
        <f t="shared" si="187"/>
        <v>-3.2278088144009898E-2</v>
      </c>
      <c r="E3959" s="293">
        <v>-2.5202092249167918E-2</v>
      </c>
      <c r="F3959" s="266">
        <f t="shared" si="189"/>
        <v>3952</v>
      </c>
      <c r="G3959" s="230">
        <f t="shared" ca="1" si="188"/>
        <v>-5.0957913757015919E-3</v>
      </c>
    </row>
    <row r="3960" spans="2:7" x14ac:dyDescent="0.25">
      <c r="B3960" s="348" t="s">
        <v>2950</v>
      </c>
      <c r="C3960" s="293">
        <v>32.22</v>
      </c>
      <c r="D3960" s="230">
        <f t="shared" si="187"/>
        <v>4.3731778425655898E-2</v>
      </c>
      <c r="E3960" s="293">
        <v>-2.5225430886885003E-2</v>
      </c>
      <c r="F3960" s="266">
        <f t="shared" si="189"/>
        <v>3953</v>
      </c>
      <c r="G3960" s="230">
        <f t="shared" ca="1" si="188"/>
        <v>1.2490739411180183E-2</v>
      </c>
    </row>
    <row r="3961" spans="2:7" x14ac:dyDescent="0.25">
      <c r="B3961" s="348" t="s">
        <v>2951</v>
      </c>
      <c r="C3961" s="293">
        <v>30.87</v>
      </c>
      <c r="D3961" s="230">
        <f t="shared" si="187"/>
        <v>-1.9398642095053154E-3</v>
      </c>
      <c r="E3961" s="293">
        <v>-2.5227201504230634E-2</v>
      </c>
      <c r="F3961" s="266">
        <f t="shared" si="189"/>
        <v>3954</v>
      </c>
      <c r="G3961" s="230">
        <f t="shared" ca="1" si="188"/>
        <v>-1.0088300271689218E-2</v>
      </c>
    </row>
    <row r="3962" spans="2:7" x14ac:dyDescent="0.25">
      <c r="B3962" s="348" t="s">
        <v>2952</v>
      </c>
      <c r="C3962" s="293">
        <v>30.93</v>
      </c>
      <c r="D3962" s="230">
        <f t="shared" si="187"/>
        <v>0.11299028427491908</v>
      </c>
      <c r="E3962" s="293">
        <v>-2.5230085687083514E-2</v>
      </c>
      <c r="F3962" s="266">
        <f t="shared" si="189"/>
        <v>3955</v>
      </c>
      <c r="G3962" s="230">
        <f t="shared" ca="1" si="188"/>
        <v>-2.3401241062644372E-2</v>
      </c>
    </row>
    <row r="3963" spans="2:7" x14ac:dyDescent="0.25">
      <c r="B3963" s="348" t="s">
        <v>2953</v>
      </c>
      <c r="C3963" s="293">
        <v>27.79</v>
      </c>
      <c r="D3963" s="230">
        <f t="shared" si="187"/>
        <v>2.3949889462048679E-2</v>
      </c>
      <c r="E3963" s="293">
        <v>-2.5298664792691494E-2</v>
      </c>
      <c r="F3963" s="266">
        <f t="shared" si="189"/>
        <v>3956</v>
      </c>
      <c r="G3963" s="230">
        <f t="shared" ca="1" si="188"/>
        <v>-5.2528729461325807E-3</v>
      </c>
    </row>
    <row r="3964" spans="2:7" x14ac:dyDescent="0.25">
      <c r="B3964" s="348" t="s">
        <v>2954</v>
      </c>
      <c r="C3964" s="293">
        <v>27.14</v>
      </c>
      <c r="D3964" s="230">
        <f t="shared" si="187"/>
        <v>2.956393200295615E-3</v>
      </c>
      <c r="E3964" s="293">
        <v>-2.5326797385620936E-2</v>
      </c>
      <c r="F3964" s="266">
        <f t="shared" si="189"/>
        <v>3957</v>
      </c>
      <c r="G3964" s="230">
        <f t="shared" ca="1" si="188"/>
        <v>-1.5554114692286394E-2</v>
      </c>
    </row>
    <row r="3965" spans="2:7" x14ac:dyDescent="0.25">
      <c r="B3965" s="348" t="s">
        <v>2955</v>
      </c>
      <c r="C3965" s="293">
        <v>27.06</v>
      </c>
      <c r="D3965" s="230">
        <f t="shared" si="187"/>
        <v>-4.4150110375276164E-3</v>
      </c>
      <c r="E3965" s="293">
        <v>-2.5371406521319639E-2</v>
      </c>
      <c r="F3965" s="266">
        <f t="shared" si="189"/>
        <v>3958</v>
      </c>
      <c r="G3965" s="230">
        <f t="shared" ca="1" si="188"/>
        <v>-9.5867746522954097E-3</v>
      </c>
    </row>
    <row r="3966" spans="2:7" x14ac:dyDescent="0.25">
      <c r="B3966" s="348" t="s">
        <v>2956</v>
      </c>
      <c r="C3966" s="293">
        <v>27.18</v>
      </c>
      <c r="D3966" s="230">
        <f t="shared" si="187"/>
        <v>-9.475218658892226E-3</v>
      </c>
      <c r="E3966" s="293">
        <v>-2.5376115862413395E-2</v>
      </c>
      <c r="F3966" s="266">
        <f t="shared" si="189"/>
        <v>3959</v>
      </c>
      <c r="G3966" s="230">
        <f t="shared" ca="1" si="188"/>
        <v>1.9978209462906855E-2</v>
      </c>
    </row>
    <row r="3967" spans="2:7" x14ac:dyDescent="0.25">
      <c r="B3967" s="348" t="s">
        <v>2957</v>
      </c>
      <c r="C3967" s="293">
        <v>27.44</v>
      </c>
      <c r="D3967" s="230">
        <f t="shared" si="187"/>
        <v>3.196690485144793E-2</v>
      </c>
      <c r="E3967" s="293">
        <v>-2.5391939982687295E-2</v>
      </c>
      <c r="F3967" s="266">
        <f t="shared" si="189"/>
        <v>3960</v>
      </c>
      <c r="G3967" s="230">
        <f t="shared" ca="1" si="188"/>
        <v>1.294340436938091E-2</v>
      </c>
    </row>
    <row r="3968" spans="2:7" x14ac:dyDescent="0.25">
      <c r="B3968" s="348" t="s">
        <v>2958</v>
      </c>
      <c r="C3968" s="293">
        <v>26.59</v>
      </c>
      <c r="D3968" s="230">
        <f t="shared" si="187"/>
        <v>7.5272864132469586E-4</v>
      </c>
      <c r="E3968" s="293">
        <v>-2.5461320085166772E-2</v>
      </c>
      <c r="F3968" s="266">
        <f t="shared" si="189"/>
        <v>3961</v>
      </c>
      <c r="G3968" s="230">
        <f t="shared" ca="1" si="188"/>
        <v>9.0688952174226099E-3</v>
      </c>
    </row>
    <row r="3969" spans="2:7" x14ac:dyDescent="0.25">
      <c r="B3969" s="348" t="s">
        <v>2959</v>
      </c>
      <c r="C3969" s="293">
        <v>26.57</v>
      </c>
      <c r="D3969" s="230">
        <f t="shared" si="187"/>
        <v>-2.0641356431994051E-2</v>
      </c>
      <c r="E3969" s="293">
        <v>-2.5490381881929314E-2</v>
      </c>
      <c r="F3969" s="266">
        <f t="shared" si="189"/>
        <v>3962</v>
      </c>
      <c r="G3969" s="230">
        <f t="shared" ca="1" si="188"/>
        <v>2.678368794309597E-2</v>
      </c>
    </row>
    <row r="3970" spans="2:7" x14ac:dyDescent="0.25">
      <c r="B3970" s="348">
        <v>40060</v>
      </c>
      <c r="C3970" s="293">
        <v>27.13</v>
      </c>
      <c r="D3970" s="230">
        <f t="shared" si="187"/>
        <v>-2.7946972411322157E-2</v>
      </c>
      <c r="E3970" s="293">
        <v>-2.5627240143369145E-2</v>
      </c>
      <c r="F3970" s="266">
        <f t="shared" si="189"/>
        <v>3963</v>
      </c>
      <c r="G3970" s="230">
        <f t="shared" ca="1" si="188"/>
        <v>-9.7768660839063861E-4</v>
      </c>
    </row>
    <row r="3971" spans="2:7" x14ac:dyDescent="0.25">
      <c r="B3971" s="348">
        <v>40029</v>
      </c>
      <c r="C3971" s="293">
        <v>27.91</v>
      </c>
      <c r="D3971" s="230">
        <f t="shared" si="187"/>
        <v>4.7672672672672611E-2</v>
      </c>
      <c r="E3971" s="293">
        <v>-2.5702662721893477E-2</v>
      </c>
      <c r="F3971" s="266">
        <f t="shared" si="189"/>
        <v>3964</v>
      </c>
      <c r="G3971" s="230">
        <f t="shared" ca="1" si="188"/>
        <v>-1.4315576904647074E-2</v>
      </c>
    </row>
    <row r="3972" spans="2:7" x14ac:dyDescent="0.25">
      <c r="B3972" s="348">
        <v>39968</v>
      </c>
      <c r="C3972" s="293">
        <v>26.64</v>
      </c>
      <c r="D3972" s="230">
        <f t="shared" si="187"/>
        <v>-2.2471910112359383E-3</v>
      </c>
      <c r="E3972" s="293">
        <v>-2.5706010137581448E-2</v>
      </c>
      <c r="F3972" s="266">
        <f t="shared" si="189"/>
        <v>3965</v>
      </c>
      <c r="G3972" s="230">
        <f t="shared" ca="1" si="188"/>
        <v>2.731810744000239E-2</v>
      </c>
    </row>
    <row r="3973" spans="2:7" x14ac:dyDescent="0.25">
      <c r="B3973" s="348">
        <v>39848</v>
      </c>
      <c r="C3973" s="293">
        <v>26.7</v>
      </c>
      <c r="D3973" s="230">
        <f t="shared" si="187"/>
        <v>7.0140280561122204E-2</v>
      </c>
      <c r="E3973" s="293">
        <v>-2.5709219858155996E-2</v>
      </c>
      <c r="F3973" s="266">
        <f t="shared" si="189"/>
        <v>3966</v>
      </c>
      <c r="G3973" s="230">
        <f t="shared" ca="1" si="188"/>
        <v>-1.0929365318426467E-2</v>
      </c>
    </row>
    <row r="3974" spans="2:7" x14ac:dyDescent="0.25">
      <c r="B3974" s="348">
        <v>39817</v>
      </c>
      <c r="C3974" s="293">
        <v>24.95</v>
      </c>
      <c r="D3974" s="230">
        <f t="shared" si="187"/>
        <v>2.6326614561908768E-2</v>
      </c>
      <c r="E3974" s="293">
        <v>-2.5776602775941848E-2</v>
      </c>
      <c r="F3974" s="266">
        <f t="shared" si="189"/>
        <v>3967</v>
      </c>
      <c r="G3974" s="230">
        <f t="shared" ca="1" si="188"/>
        <v>-1.2284707222465238E-2</v>
      </c>
    </row>
    <row r="3975" spans="2:7" x14ac:dyDescent="0.25">
      <c r="B3975" s="348" t="s">
        <v>2960</v>
      </c>
      <c r="C3975" s="293">
        <v>24.31</v>
      </c>
      <c r="D3975" s="230">
        <f t="shared" si="187"/>
        <v>2.014267729752417E-2</v>
      </c>
      <c r="E3975" s="293">
        <v>-2.5815027284175174E-2</v>
      </c>
      <c r="F3975" s="266">
        <f t="shared" si="189"/>
        <v>3968</v>
      </c>
      <c r="G3975" s="230">
        <f t="shared" ca="1" si="188"/>
        <v>3.6906781888591256E-2</v>
      </c>
    </row>
    <row r="3976" spans="2:7" x14ac:dyDescent="0.25">
      <c r="B3976" s="348" t="s">
        <v>2961</v>
      </c>
      <c r="C3976" s="293">
        <v>23.83</v>
      </c>
      <c r="D3976" s="230">
        <f t="shared" si="187"/>
        <v>-4.7561950439648282E-2</v>
      </c>
      <c r="E3976" s="293">
        <v>-2.5890941933541578E-2</v>
      </c>
      <c r="F3976" s="266">
        <f t="shared" si="189"/>
        <v>3969</v>
      </c>
      <c r="G3976" s="230">
        <f t="shared" ca="1" si="188"/>
        <v>3.7684224971808573E-2</v>
      </c>
    </row>
    <row r="3977" spans="2:7" x14ac:dyDescent="0.25">
      <c r="B3977" s="348" t="s">
        <v>2962</v>
      </c>
      <c r="C3977" s="293">
        <v>25.02</v>
      </c>
      <c r="D3977" s="230">
        <f t="shared" ref="D3977:D4040" si="190">C3977/C3978-1</f>
        <v>-9.5011876484560887E-3</v>
      </c>
      <c r="E3977" s="293">
        <v>-2.5957500954319923E-2</v>
      </c>
      <c r="F3977" s="266">
        <f t="shared" si="189"/>
        <v>3970</v>
      </c>
      <c r="G3977" s="230">
        <f t="shared" ref="G3977:G4040" ca="1" si="191">_xlfn.NORM.INV(RAND(),$M$10,$M$11)</f>
        <v>-1.6725246653602345E-2</v>
      </c>
    </row>
    <row r="3978" spans="2:7" x14ac:dyDescent="0.25">
      <c r="B3978" s="348" t="s">
        <v>2963</v>
      </c>
      <c r="C3978" s="293">
        <v>25.26</v>
      </c>
      <c r="D3978" s="230">
        <f t="shared" si="190"/>
        <v>5.3377814845704696E-2</v>
      </c>
      <c r="E3978" s="293">
        <v>-2.6109660574412552E-2</v>
      </c>
      <c r="F3978" s="266">
        <f t="shared" ref="F3978:F4041" si="192">F3977+1</f>
        <v>3971</v>
      </c>
      <c r="G3978" s="230">
        <f t="shared" ca="1" si="191"/>
        <v>-1.9343865131053233E-2</v>
      </c>
    </row>
    <row r="3979" spans="2:7" x14ac:dyDescent="0.25">
      <c r="B3979" s="348" t="s">
        <v>2964</v>
      </c>
      <c r="C3979" s="293">
        <v>23.98</v>
      </c>
      <c r="D3979" s="230">
        <f t="shared" si="190"/>
        <v>-3.3250207813798616E-3</v>
      </c>
      <c r="E3979" s="293">
        <v>-2.6143182769688855E-2</v>
      </c>
      <c r="F3979" s="266">
        <f t="shared" si="192"/>
        <v>3972</v>
      </c>
      <c r="G3979" s="230">
        <f t="shared" ca="1" si="191"/>
        <v>1.9571396985391773E-2</v>
      </c>
    </row>
    <row r="3980" spans="2:7" x14ac:dyDescent="0.25">
      <c r="B3980" s="348" t="s">
        <v>2965</v>
      </c>
      <c r="C3980" s="293">
        <v>24.06</v>
      </c>
      <c r="D3980" s="230">
        <f t="shared" si="190"/>
        <v>1.690617075232459E-2</v>
      </c>
      <c r="E3980" s="293">
        <v>-2.6213684110911295E-2</v>
      </c>
      <c r="F3980" s="266">
        <f t="shared" si="192"/>
        <v>3973</v>
      </c>
      <c r="G3980" s="230">
        <f t="shared" ca="1" si="191"/>
        <v>9.1128467216058072E-4</v>
      </c>
    </row>
    <row r="3981" spans="2:7" x14ac:dyDescent="0.25">
      <c r="B3981" s="348" t="s">
        <v>2966</v>
      </c>
      <c r="C3981" s="293">
        <v>23.66</v>
      </c>
      <c r="D3981" s="230">
        <f t="shared" si="190"/>
        <v>3.5901926444833698E-2</v>
      </c>
      <c r="E3981" s="293">
        <v>-2.6271893244370403E-2</v>
      </c>
      <c r="F3981" s="266">
        <f t="shared" si="192"/>
        <v>3974</v>
      </c>
      <c r="G3981" s="230">
        <f t="shared" ca="1" si="191"/>
        <v>8.1191167897310193E-3</v>
      </c>
    </row>
    <row r="3982" spans="2:7" x14ac:dyDescent="0.25">
      <c r="B3982" s="348" t="s">
        <v>2967</v>
      </c>
      <c r="C3982" s="293">
        <v>22.84</v>
      </c>
      <c r="D3982" s="230">
        <f t="shared" si="190"/>
        <v>-6.9565217391304168E-3</v>
      </c>
      <c r="E3982" s="293">
        <v>-2.6294637731082648E-2</v>
      </c>
      <c r="F3982" s="266">
        <f t="shared" si="192"/>
        <v>3975</v>
      </c>
      <c r="G3982" s="230">
        <f t="shared" ca="1" si="191"/>
        <v>4.392180575002521E-2</v>
      </c>
    </row>
    <row r="3983" spans="2:7" x14ac:dyDescent="0.25">
      <c r="B3983" s="348" t="s">
        <v>2968</v>
      </c>
      <c r="C3983" s="293">
        <v>23</v>
      </c>
      <c r="D3983" s="230">
        <f t="shared" si="190"/>
        <v>9.2145677928916481E-3</v>
      </c>
      <c r="E3983" s="293">
        <v>-2.6405622489959812E-2</v>
      </c>
      <c r="F3983" s="266">
        <f t="shared" si="192"/>
        <v>3976</v>
      </c>
      <c r="G3983" s="230">
        <f t="shared" ca="1" si="191"/>
        <v>-3.4999477791333632E-2</v>
      </c>
    </row>
    <row r="3984" spans="2:7" x14ac:dyDescent="0.25">
      <c r="B3984" s="348" t="s">
        <v>2969</v>
      </c>
      <c r="C3984" s="293">
        <v>22.79</v>
      </c>
      <c r="D3984" s="230">
        <f t="shared" si="190"/>
        <v>1.1989342806394188E-2</v>
      </c>
      <c r="E3984" s="293">
        <v>-2.6407041877834159E-2</v>
      </c>
      <c r="F3984" s="266">
        <f t="shared" si="192"/>
        <v>3977</v>
      </c>
      <c r="G3984" s="230">
        <f t="shared" ca="1" si="191"/>
        <v>3.9859543114472276E-2</v>
      </c>
    </row>
    <row r="3985" spans="2:7" x14ac:dyDescent="0.25">
      <c r="B3985" s="348" t="s">
        <v>2970</v>
      </c>
      <c r="C3985" s="293">
        <v>22.52</v>
      </c>
      <c r="D3985" s="230">
        <f t="shared" si="190"/>
        <v>-2.6572187776793266E-3</v>
      </c>
      <c r="E3985" s="293">
        <v>-2.6435357290375938E-2</v>
      </c>
      <c r="F3985" s="266">
        <f t="shared" si="192"/>
        <v>3978</v>
      </c>
      <c r="G3985" s="230">
        <f t="shared" ca="1" si="191"/>
        <v>6.4748199427425001E-3</v>
      </c>
    </row>
    <row r="3986" spans="2:7" x14ac:dyDescent="0.25">
      <c r="B3986" s="348" t="s">
        <v>2971</v>
      </c>
      <c r="C3986" s="293">
        <v>22.58</v>
      </c>
      <c r="D3986" s="230">
        <f t="shared" si="190"/>
        <v>1.5744489428699771E-2</v>
      </c>
      <c r="E3986" s="293">
        <v>-2.646055671691061E-2</v>
      </c>
      <c r="F3986" s="266">
        <f t="shared" si="192"/>
        <v>3979</v>
      </c>
      <c r="G3986" s="230">
        <f t="shared" ca="1" si="191"/>
        <v>2.5304139483549669E-2</v>
      </c>
    </row>
    <row r="3987" spans="2:7" x14ac:dyDescent="0.25">
      <c r="B3987" s="348" t="s">
        <v>2972</v>
      </c>
      <c r="C3987" s="293">
        <v>22.23</v>
      </c>
      <c r="D3987" s="230">
        <f t="shared" si="190"/>
        <v>6.0591603053435028E-2</v>
      </c>
      <c r="E3987" s="293">
        <v>-2.6478005043429564E-2</v>
      </c>
      <c r="F3987" s="266">
        <f t="shared" si="192"/>
        <v>3980</v>
      </c>
      <c r="G3987" s="230">
        <f t="shared" ca="1" si="191"/>
        <v>1.9092244823223616E-2</v>
      </c>
    </row>
    <row r="3988" spans="2:7" x14ac:dyDescent="0.25">
      <c r="B3988" s="348">
        <v>40150</v>
      </c>
      <c r="C3988" s="293">
        <v>20.96</v>
      </c>
      <c r="D3988" s="230">
        <f t="shared" si="190"/>
        <v>2.7450980392156987E-2</v>
      </c>
      <c r="E3988" s="293">
        <v>-2.6487421802209421E-2</v>
      </c>
      <c r="F3988" s="266">
        <f t="shared" si="192"/>
        <v>3981</v>
      </c>
      <c r="G3988" s="230">
        <f t="shared" ca="1" si="191"/>
        <v>-1.5234176969328413E-2</v>
      </c>
    </row>
    <row r="3989" spans="2:7" x14ac:dyDescent="0.25">
      <c r="B3989" s="348">
        <v>40059</v>
      </c>
      <c r="C3989" s="293">
        <v>20.399999999999999</v>
      </c>
      <c r="D3989" s="230">
        <f t="shared" si="190"/>
        <v>-3.271692745376964E-2</v>
      </c>
      <c r="E3989" s="293">
        <v>-2.6499552372426183E-2</v>
      </c>
      <c r="F3989" s="266">
        <f t="shared" si="192"/>
        <v>3982</v>
      </c>
      <c r="G3989" s="230">
        <f t="shared" ca="1" si="191"/>
        <v>4.3710781134284962E-3</v>
      </c>
    </row>
    <row r="3990" spans="2:7" x14ac:dyDescent="0.25">
      <c r="B3990" s="348">
        <v>39967</v>
      </c>
      <c r="C3990" s="293">
        <v>21.09</v>
      </c>
      <c r="D3990" s="230">
        <f t="shared" si="190"/>
        <v>3.180039138943247E-2</v>
      </c>
      <c r="E3990" s="293">
        <v>-2.6539589442815315E-2</v>
      </c>
      <c r="F3990" s="266">
        <f t="shared" si="192"/>
        <v>3983</v>
      </c>
      <c r="G3990" s="230">
        <f t="shared" ca="1" si="191"/>
        <v>-1.0249747517720328E-3</v>
      </c>
    </row>
    <row r="3991" spans="2:7" x14ac:dyDescent="0.25">
      <c r="B3991" s="348">
        <v>39936</v>
      </c>
      <c r="C3991" s="293">
        <v>20.440000000000001</v>
      </c>
      <c r="D3991" s="230">
        <f t="shared" si="190"/>
        <v>3.9292730844795454E-3</v>
      </c>
      <c r="E3991" s="293">
        <v>-2.6546681664791905E-2</v>
      </c>
      <c r="F3991" s="266">
        <f t="shared" si="192"/>
        <v>3984</v>
      </c>
      <c r="G3991" s="230">
        <f t="shared" ca="1" si="191"/>
        <v>4.7248510084710871E-3</v>
      </c>
    </row>
    <row r="3992" spans="2:7" x14ac:dyDescent="0.25">
      <c r="B3992" s="348">
        <v>39906</v>
      </c>
      <c r="C3992" s="293">
        <v>20.36</v>
      </c>
      <c r="D3992" s="230">
        <f t="shared" si="190"/>
        <v>2.5176233635448186E-2</v>
      </c>
      <c r="E3992" s="293">
        <v>-2.6672979797979779E-2</v>
      </c>
      <c r="F3992" s="266">
        <f t="shared" si="192"/>
        <v>3985</v>
      </c>
      <c r="G3992" s="230">
        <f t="shared" ca="1" si="191"/>
        <v>-2.4213138994275622E-2</v>
      </c>
    </row>
    <row r="3993" spans="2:7" x14ac:dyDescent="0.25">
      <c r="B3993" s="348">
        <v>39875</v>
      </c>
      <c r="C3993" s="293">
        <v>19.86</v>
      </c>
      <c r="D3993" s="230">
        <f t="shared" si="190"/>
        <v>-1.2431626056688239E-2</v>
      </c>
      <c r="E3993" s="293">
        <v>-2.6695440195020459E-2</v>
      </c>
      <c r="F3993" s="266">
        <f t="shared" si="192"/>
        <v>3986</v>
      </c>
      <c r="G3993" s="230">
        <f t="shared" ca="1" si="191"/>
        <v>-9.6486868794293723E-4</v>
      </c>
    </row>
    <row r="3994" spans="2:7" x14ac:dyDescent="0.25">
      <c r="B3994" s="348">
        <v>39847</v>
      </c>
      <c r="C3994" s="293">
        <v>20.11</v>
      </c>
      <c r="D3994" s="230">
        <f t="shared" si="190"/>
        <v>-1.9502681618722706E-2</v>
      </c>
      <c r="E3994" s="293">
        <v>-2.6730518067043962E-2</v>
      </c>
      <c r="F3994" s="266">
        <f t="shared" si="192"/>
        <v>3987</v>
      </c>
      <c r="G3994" s="230">
        <f t="shared" ca="1" si="191"/>
        <v>6.9174575980592414E-4</v>
      </c>
    </row>
    <row r="3995" spans="2:7" x14ac:dyDescent="0.25">
      <c r="B3995" s="348" t="s">
        <v>2973</v>
      </c>
      <c r="C3995" s="293">
        <v>20.51</v>
      </c>
      <c r="D3995" s="230">
        <f t="shared" si="190"/>
        <v>-3.5731076633756409E-2</v>
      </c>
      <c r="E3995" s="293">
        <v>-2.6750475076743108E-2</v>
      </c>
      <c r="F3995" s="266">
        <f t="shared" si="192"/>
        <v>3988</v>
      </c>
      <c r="G3995" s="230">
        <f t="shared" ca="1" si="191"/>
        <v>1.5275459888733073E-2</v>
      </c>
    </row>
    <row r="3996" spans="2:7" x14ac:dyDescent="0.25">
      <c r="B3996" s="348" t="s">
        <v>2974</v>
      </c>
      <c r="C3996" s="293">
        <v>21.27</v>
      </c>
      <c r="D3996" s="230">
        <f t="shared" si="190"/>
        <v>-1.1157601115760252E-2</v>
      </c>
      <c r="E3996" s="293">
        <v>-2.6835813613076298E-2</v>
      </c>
      <c r="F3996" s="266">
        <f t="shared" si="192"/>
        <v>3989</v>
      </c>
      <c r="G3996" s="230">
        <f t="shared" ca="1" si="191"/>
        <v>-7.6647144121351467E-3</v>
      </c>
    </row>
    <row r="3997" spans="2:7" x14ac:dyDescent="0.25">
      <c r="B3997" s="348" t="s">
        <v>2975</v>
      </c>
      <c r="C3997" s="293">
        <v>21.51</v>
      </c>
      <c r="D3997" s="230">
        <f t="shared" si="190"/>
        <v>2.1852731591448959E-2</v>
      </c>
      <c r="E3997" s="293">
        <v>-2.7017605020045243E-2</v>
      </c>
      <c r="F3997" s="266">
        <f t="shared" si="192"/>
        <v>3990</v>
      </c>
      <c r="G3997" s="230">
        <f t="shared" ca="1" si="191"/>
        <v>1.4603206942573194E-2</v>
      </c>
    </row>
    <row r="3998" spans="2:7" x14ac:dyDescent="0.25">
      <c r="B3998" s="348" t="s">
        <v>2976</v>
      </c>
      <c r="C3998" s="293">
        <v>21.05</v>
      </c>
      <c r="D3998" s="230">
        <f t="shared" si="190"/>
        <v>-1.0808270676691767E-2</v>
      </c>
      <c r="E3998" s="293">
        <v>-2.7122641509433998E-2</v>
      </c>
      <c r="F3998" s="266">
        <f t="shared" si="192"/>
        <v>3991</v>
      </c>
      <c r="G3998" s="230">
        <f t="shared" ca="1" si="191"/>
        <v>-1.8127560646294455E-3</v>
      </c>
    </row>
    <row r="3999" spans="2:7" x14ac:dyDescent="0.25">
      <c r="B3999" s="348" t="s">
        <v>2977</v>
      </c>
      <c r="C3999" s="293">
        <v>21.28</v>
      </c>
      <c r="D3999" s="230">
        <f t="shared" si="190"/>
        <v>-2.2956841138659367E-2</v>
      </c>
      <c r="E3999" s="293">
        <v>-2.7198549410698214E-2</v>
      </c>
      <c r="F3999" s="266">
        <f t="shared" si="192"/>
        <v>3992</v>
      </c>
      <c r="G3999" s="230">
        <f t="shared" ca="1" si="191"/>
        <v>2.4616803557060897E-2</v>
      </c>
    </row>
    <row r="4000" spans="2:7" x14ac:dyDescent="0.25">
      <c r="B4000" s="348" t="s">
        <v>2978</v>
      </c>
      <c r="C4000" s="293">
        <v>21.78</v>
      </c>
      <c r="D4000" s="230">
        <f t="shared" si="190"/>
        <v>5.319148936170226E-2</v>
      </c>
      <c r="E4000" s="293">
        <v>-2.737476047084586E-2</v>
      </c>
      <c r="F4000" s="266">
        <f t="shared" si="192"/>
        <v>3993</v>
      </c>
      <c r="G4000" s="230">
        <f t="shared" ca="1" si="191"/>
        <v>3.3267755597538279E-2</v>
      </c>
    </row>
    <row r="4001" spans="2:7" x14ac:dyDescent="0.25">
      <c r="B4001" s="348" t="s">
        <v>2979</v>
      </c>
      <c r="C4001" s="293">
        <v>20.68</v>
      </c>
      <c r="D4001" s="230">
        <f t="shared" si="190"/>
        <v>-2.4119633381572969E-3</v>
      </c>
      <c r="E4001" s="293">
        <v>-2.7391032562368522E-2</v>
      </c>
      <c r="F4001" s="266">
        <f t="shared" si="192"/>
        <v>3994</v>
      </c>
      <c r="G4001" s="230">
        <f t="shared" ca="1" si="191"/>
        <v>1.1685627801814856E-2</v>
      </c>
    </row>
    <row r="4002" spans="2:7" x14ac:dyDescent="0.25">
      <c r="B4002" s="348" t="s">
        <v>2980</v>
      </c>
      <c r="C4002" s="293">
        <v>20.73</v>
      </c>
      <c r="D4002" s="230">
        <f t="shared" si="190"/>
        <v>-2.9494382022471899E-2</v>
      </c>
      <c r="E4002" s="293">
        <v>-2.7445402058405177E-2</v>
      </c>
      <c r="F4002" s="266">
        <f t="shared" si="192"/>
        <v>3995</v>
      </c>
      <c r="G4002" s="230">
        <f t="shared" ca="1" si="191"/>
        <v>-2.201118081147109E-2</v>
      </c>
    </row>
    <row r="4003" spans="2:7" x14ac:dyDescent="0.25">
      <c r="B4003" s="348" t="s">
        <v>2981</v>
      </c>
      <c r="C4003" s="293">
        <v>21.36</v>
      </c>
      <c r="D4003" s="230">
        <f t="shared" si="190"/>
        <v>-3.479439674649798E-2</v>
      </c>
      <c r="E4003" s="293">
        <v>-2.7536349606043342E-2</v>
      </c>
      <c r="F4003" s="266">
        <f t="shared" si="192"/>
        <v>3996</v>
      </c>
      <c r="G4003" s="230">
        <f t="shared" ca="1" si="191"/>
        <v>1.5757508806032222E-3</v>
      </c>
    </row>
    <row r="4004" spans="2:7" x14ac:dyDescent="0.25">
      <c r="B4004" s="348" t="s">
        <v>2982</v>
      </c>
      <c r="C4004" s="293">
        <v>22.13</v>
      </c>
      <c r="D4004" s="230">
        <f t="shared" si="190"/>
        <v>6.8243858052774442E-3</v>
      </c>
      <c r="E4004" s="293">
        <v>-2.7639902676399042E-2</v>
      </c>
      <c r="F4004" s="266">
        <f t="shared" si="192"/>
        <v>3997</v>
      </c>
      <c r="G4004" s="230">
        <f t="shared" ca="1" si="191"/>
        <v>-1.3937762595230354E-2</v>
      </c>
    </row>
    <row r="4005" spans="2:7" x14ac:dyDescent="0.25">
      <c r="B4005" s="348">
        <v>40149</v>
      </c>
      <c r="C4005" s="293">
        <v>21.98</v>
      </c>
      <c r="D4005" s="230">
        <f t="shared" si="190"/>
        <v>1.8231540565176729E-3</v>
      </c>
      <c r="E4005" s="293">
        <v>-2.7724867724867819E-2</v>
      </c>
      <c r="F4005" s="266">
        <f t="shared" si="192"/>
        <v>3998</v>
      </c>
      <c r="G4005" s="230">
        <f t="shared" ca="1" si="191"/>
        <v>-2.3338619442927283E-2</v>
      </c>
    </row>
    <row r="4006" spans="2:7" x14ac:dyDescent="0.25">
      <c r="B4006" s="348">
        <v>40119</v>
      </c>
      <c r="C4006" s="293">
        <v>21.94</v>
      </c>
      <c r="D4006" s="230">
        <f t="shared" si="190"/>
        <v>-1.746529332736213E-2</v>
      </c>
      <c r="E4006" s="293">
        <v>-2.79111916628908E-2</v>
      </c>
      <c r="F4006" s="266">
        <f t="shared" si="192"/>
        <v>3999</v>
      </c>
      <c r="G4006" s="230">
        <f t="shared" ca="1" si="191"/>
        <v>-2.0394839893226845E-2</v>
      </c>
    </row>
    <row r="4007" spans="2:7" x14ac:dyDescent="0.25">
      <c r="B4007" s="348">
        <v>40088</v>
      </c>
      <c r="C4007" s="293">
        <v>22.33</v>
      </c>
      <c r="D4007" s="230">
        <f t="shared" si="190"/>
        <v>-1.3416815742397503E-3</v>
      </c>
      <c r="E4007" s="293">
        <v>-2.7913468248429885E-2</v>
      </c>
      <c r="F4007" s="266">
        <f t="shared" si="192"/>
        <v>4000</v>
      </c>
      <c r="G4007" s="230">
        <f t="shared" ca="1" si="191"/>
        <v>-2.2014003889287988E-2</v>
      </c>
    </row>
    <row r="4008" spans="2:7" x14ac:dyDescent="0.25">
      <c r="B4008" s="348">
        <v>40058</v>
      </c>
      <c r="C4008" s="293">
        <v>22.36</v>
      </c>
      <c r="D4008" s="230">
        <f t="shared" si="190"/>
        <v>8.570139828597112E-3</v>
      </c>
      <c r="E4008" s="293">
        <v>-2.7946972411322157E-2</v>
      </c>
      <c r="F4008" s="266">
        <f t="shared" si="192"/>
        <v>4001</v>
      </c>
      <c r="G4008" s="230">
        <f t="shared" ca="1" si="191"/>
        <v>1.6730108473630247E-2</v>
      </c>
    </row>
    <row r="4009" spans="2:7" x14ac:dyDescent="0.25">
      <c r="B4009" s="348">
        <v>39966</v>
      </c>
      <c r="C4009" s="293">
        <v>22.17</v>
      </c>
      <c r="D4009" s="230">
        <f t="shared" si="190"/>
        <v>1.9779208831646855E-2</v>
      </c>
      <c r="E4009" s="293">
        <v>-2.8106202032773364E-2</v>
      </c>
      <c r="F4009" s="266">
        <f t="shared" si="192"/>
        <v>4002</v>
      </c>
      <c r="G4009" s="230">
        <f t="shared" ca="1" si="191"/>
        <v>-1.3381752000643057E-2</v>
      </c>
    </row>
    <row r="4010" spans="2:7" x14ac:dyDescent="0.25">
      <c r="B4010" s="348">
        <v>39935</v>
      </c>
      <c r="C4010" s="293">
        <v>21.74</v>
      </c>
      <c r="D4010" s="230">
        <f t="shared" si="190"/>
        <v>-1.8510158013544054E-2</v>
      </c>
      <c r="E4010" s="293">
        <v>-2.8110047846889974E-2</v>
      </c>
      <c r="F4010" s="266">
        <f t="shared" si="192"/>
        <v>4003</v>
      </c>
      <c r="G4010" s="230">
        <f t="shared" ca="1" si="191"/>
        <v>1.2668167688562252E-2</v>
      </c>
    </row>
    <row r="4011" spans="2:7" x14ac:dyDescent="0.25">
      <c r="B4011" s="348">
        <v>39905</v>
      </c>
      <c r="C4011" s="293">
        <v>22.15</v>
      </c>
      <c r="D4011" s="230">
        <f t="shared" si="190"/>
        <v>-2.7014858171995337E-3</v>
      </c>
      <c r="E4011" s="293">
        <v>-2.8202923473774733E-2</v>
      </c>
      <c r="F4011" s="266">
        <f t="shared" si="192"/>
        <v>4004</v>
      </c>
      <c r="G4011" s="230">
        <f t="shared" ca="1" si="191"/>
        <v>7.186684344796493E-3</v>
      </c>
    </row>
    <row r="4012" spans="2:7" x14ac:dyDescent="0.25">
      <c r="B4012" s="348">
        <v>39874</v>
      </c>
      <c r="C4012" s="293">
        <v>22.21</v>
      </c>
      <c r="D4012" s="230">
        <f t="shared" si="190"/>
        <v>2.1149425287356305E-2</v>
      </c>
      <c r="E4012" s="293">
        <v>-2.822693709692492E-2</v>
      </c>
      <c r="F4012" s="266">
        <f t="shared" si="192"/>
        <v>4005</v>
      </c>
      <c r="G4012" s="230">
        <f t="shared" ca="1" si="191"/>
        <v>9.8800754832272016E-3</v>
      </c>
    </row>
    <row r="4013" spans="2:7" x14ac:dyDescent="0.25">
      <c r="B4013" s="348">
        <v>39846</v>
      </c>
      <c r="C4013" s="293">
        <v>21.75</v>
      </c>
      <c r="D4013" s="230">
        <f t="shared" si="190"/>
        <v>-4.9803407601572758E-2</v>
      </c>
      <c r="E4013" s="293">
        <v>-2.8283227848101222E-2</v>
      </c>
      <c r="F4013" s="266">
        <f t="shared" si="192"/>
        <v>4006</v>
      </c>
      <c r="G4013" s="230">
        <f t="shared" ca="1" si="191"/>
        <v>-8.4049141757051148E-3</v>
      </c>
    </row>
    <row r="4014" spans="2:7" x14ac:dyDescent="0.25">
      <c r="B4014" s="348" t="s">
        <v>2983</v>
      </c>
      <c r="C4014" s="293">
        <v>22.89</v>
      </c>
      <c r="D4014" s="230">
        <f t="shared" si="190"/>
        <v>1.8691588785046731E-2</v>
      </c>
      <c r="E4014" s="293">
        <v>-2.8346121057118534E-2</v>
      </c>
      <c r="F4014" s="266">
        <f t="shared" si="192"/>
        <v>4007</v>
      </c>
      <c r="G4014" s="230">
        <f t="shared" ca="1" si="191"/>
        <v>2.0198889730245001E-2</v>
      </c>
    </row>
    <row r="4015" spans="2:7" x14ac:dyDescent="0.25">
      <c r="B4015" s="348" t="s">
        <v>2984</v>
      </c>
      <c r="C4015" s="293">
        <v>22.47</v>
      </c>
      <c r="D4015" s="230">
        <f t="shared" si="190"/>
        <v>-2.8954191875540269E-2</v>
      </c>
      <c r="E4015" s="293">
        <v>-2.8363047001620845E-2</v>
      </c>
      <c r="F4015" s="266">
        <f t="shared" si="192"/>
        <v>4008</v>
      </c>
      <c r="G4015" s="230">
        <f t="shared" ca="1" si="191"/>
        <v>8.560960749455615E-3</v>
      </c>
    </row>
    <row r="4016" spans="2:7" x14ac:dyDescent="0.25">
      <c r="B4016" s="348" t="s">
        <v>2985</v>
      </c>
      <c r="C4016" s="293">
        <v>23.14</v>
      </c>
      <c r="D4016" s="230">
        <f t="shared" si="190"/>
        <v>3.5346756152125236E-2</v>
      </c>
      <c r="E4016" s="293">
        <v>-2.8390271600264971E-2</v>
      </c>
      <c r="F4016" s="266">
        <f t="shared" si="192"/>
        <v>4009</v>
      </c>
      <c r="G4016" s="230">
        <f t="shared" ca="1" si="191"/>
        <v>2.3475172163350606E-2</v>
      </c>
    </row>
    <row r="4017" spans="2:7" x14ac:dyDescent="0.25">
      <c r="B4017" s="348" t="s">
        <v>2986</v>
      </c>
      <c r="C4017" s="293">
        <v>22.35</v>
      </c>
      <c r="D4017" s="230">
        <f t="shared" si="190"/>
        <v>5.8739933680720169E-2</v>
      </c>
      <c r="E4017" s="293">
        <v>-2.8476506881822572E-2</v>
      </c>
      <c r="F4017" s="266">
        <f t="shared" si="192"/>
        <v>4010</v>
      </c>
      <c r="G4017" s="230">
        <f t="shared" ca="1" si="191"/>
        <v>-2.7614286694218171E-2</v>
      </c>
    </row>
    <row r="4018" spans="2:7" x14ac:dyDescent="0.25">
      <c r="B4018" s="348" t="s">
        <v>2987</v>
      </c>
      <c r="C4018" s="293">
        <v>21.11</v>
      </c>
      <c r="D4018" s="230">
        <f t="shared" si="190"/>
        <v>-2.0417633410672931E-2</v>
      </c>
      <c r="E4018" s="293">
        <v>-2.8480133370380578E-2</v>
      </c>
      <c r="F4018" s="266">
        <f t="shared" si="192"/>
        <v>4011</v>
      </c>
      <c r="G4018" s="230">
        <f t="shared" ca="1" si="191"/>
        <v>1.9365998371206498E-2</v>
      </c>
    </row>
    <row r="4019" spans="2:7" x14ac:dyDescent="0.25">
      <c r="B4019" s="348" t="s">
        <v>2988</v>
      </c>
      <c r="C4019" s="293">
        <v>21.55</v>
      </c>
      <c r="D4019" s="230">
        <f t="shared" si="190"/>
        <v>-7.8268876611417015E-3</v>
      </c>
      <c r="E4019" s="293">
        <v>-2.8603765819528726E-2</v>
      </c>
      <c r="F4019" s="266">
        <f t="shared" si="192"/>
        <v>4012</v>
      </c>
      <c r="G4019" s="230">
        <f t="shared" ca="1" si="191"/>
        <v>-5.7026884158066322E-3</v>
      </c>
    </row>
    <row r="4020" spans="2:7" x14ac:dyDescent="0.25">
      <c r="B4020" s="348" t="s">
        <v>2989</v>
      </c>
      <c r="C4020" s="293">
        <v>21.72</v>
      </c>
      <c r="D4020" s="230">
        <f t="shared" si="190"/>
        <v>-3.7234042553191515E-2</v>
      </c>
      <c r="E4020" s="293">
        <v>-2.8610487257103689E-2</v>
      </c>
      <c r="F4020" s="266">
        <f t="shared" si="192"/>
        <v>4013</v>
      </c>
      <c r="G4020" s="230">
        <f t="shared" ca="1" si="191"/>
        <v>7.101239274074936E-3</v>
      </c>
    </row>
    <row r="4021" spans="2:7" x14ac:dyDescent="0.25">
      <c r="B4021" s="348" t="s">
        <v>2990</v>
      </c>
      <c r="C4021" s="293">
        <v>22.56</v>
      </c>
      <c r="D4021" s="230">
        <f t="shared" si="190"/>
        <v>-1.3986013986013957E-2</v>
      </c>
      <c r="E4021" s="293">
        <v>-2.8766996577559878E-2</v>
      </c>
      <c r="F4021" s="266">
        <f t="shared" si="192"/>
        <v>4014</v>
      </c>
      <c r="G4021" s="230">
        <f t="shared" ca="1" si="191"/>
        <v>-6.7264313929792739E-3</v>
      </c>
    </row>
    <row r="4022" spans="2:7" x14ac:dyDescent="0.25">
      <c r="B4022" s="348" t="s">
        <v>2991</v>
      </c>
      <c r="C4022" s="293">
        <v>22.88</v>
      </c>
      <c r="D4022" s="230">
        <f t="shared" si="190"/>
        <v>-2.8862478777589073E-2</v>
      </c>
      <c r="E4022" s="293">
        <v>-2.8781431334622853E-2</v>
      </c>
      <c r="F4022" s="266">
        <f t="shared" si="192"/>
        <v>4015</v>
      </c>
      <c r="G4022" s="230">
        <f t="shared" ca="1" si="191"/>
        <v>9.5565034323577408E-3</v>
      </c>
    </row>
    <row r="4023" spans="2:7" x14ac:dyDescent="0.25">
      <c r="B4023" s="348" t="s">
        <v>2992</v>
      </c>
      <c r="C4023" s="293">
        <v>23.56</v>
      </c>
      <c r="D4023" s="230">
        <f t="shared" si="190"/>
        <v>1.2897678417884695E-2</v>
      </c>
      <c r="E4023" s="293">
        <v>-2.8862478777589073E-2</v>
      </c>
      <c r="F4023" s="266">
        <f t="shared" si="192"/>
        <v>4016</v>
      </c>
      <c r="G4023" s="230">
        <f t="shared" ca="1" si="191"/>
        <v>8.5870507222916542E-3</v>
      </c>
    </row>
    <row r="4024" spans="2:7" x14ac:dyDescent="0.25">
      <c r="B4024" s="348" t="s">
        <v>2993</v>
      </c>
      <c r="C4024" s="293">
        <v>23.26</v>
      </c>
      <c r="D4024" s="230">
        <f t="shared" si="190"/>
        <v>-3.4854771784232352E-2</v>
      </c>
      <c r="E4024" s="293">
        <v>-2.8924655936552246E-2</v>
      </c>
      <c r="F4024" s="266">
        <f t="shared" si="192"/>
        <v>4017</v>
      </c>
      <c r="G4024" s="230">
        <f t="shared" ca="1" si="191"/>
        <v>-1.655007584344715E-2</v>
      </c>
    </row>
    <row r="4025" spans="2:7" x14ac:dyDescent="0.25">
      <c r="B4025" s="348" t="s">
        <v>2994</v>
      </c>
      <c r="C4025" s="293">
        <v>24.1</v>
      </c>
      <c r="D4025" s="230">
        <f t="shared" si="190"/>
        <v>1.4309764309764272E-2</v>
      </c>
      <c r="E4025" s="293">
        <v>-2.8946930627183454E-2</v>
      </c>
      <c r="F4025" s="266">
        <f t="shared" si="192"/>
        <v>4018</v>
      </c>
      <c r="G4025" s="230">
        <f t="shared" ca="1" si="191"/>
        <v>-1.2235533641073484E-2</v>
      </c>
    </row>
    <row r="4026" spans="2:7" x14ac:dyDescent="0.25">
      <c r="B4026" s="348" t="s">
        <v>2995</v>
      </c>
      <c r="C4026" s="293">
        <v>23.76</v>
      </c>
      <c r="D4026" s="230">
        <f t="shared" si="190"/>
        <v>5.6939501779359469E-2</v>
      </c>
      <c r="E4026" s="293">
        <v>-2.8954191875540269E-2</v>
      </c>
      <c r="F4026" s="266">
        <f t="shared" si="192"/>
        <v>4019</v>
      </c>
      <c r="G4026" s="230">
        <f t="shared" ca="1" si="191"/>
        <v>4.3947850332673741E-3</v>
      </c>
    </row>
    <row r="4027" spans="2:7" x14ac:dyDescent="0.25">
      <c r="B4027" s="348">
        <v>40148</v>
      </c>
      <c r="C4027" s="293">
        <v>22.48</v>
      </c>
      <c r="D4027" s="230">
        <f t="shared" si="190"/>
        <v>-9.3913744457879811E-2</v>
      </c>
      <c r="E4027" s="293">
        <v>-2.9107981220657275E-2</v>
      </c>
      <c r="F4027" s="266">
        <f t="shared" si="192"/>
        <v>4020</v>
      </c>
      <c r="G4027" s="230">
        <f t="shared" ca="1" si="191"/>
        <v>-4.2879888728223183E-4</v>
      </c>
    </row>
    <row r="4028" spans="2:7" x14ac:dyDescent="0.25">
      <c r="B4028" s="348">
        <v>40057</v>
      </c>
      <c r="C4028" s="293">
        <v>24.81</v>
      </c>
      <c r="D4028" s="230">
        <f t="shared" si="190"/>
        <v>2.563042579578334E-2</v>
      </c>
      <c r="E4028" s="293">
        <v>-2.9254277132035988E-2</v>
      </c>
      <c r="F4028" s="266">
        <f t="shared" si="192"/>
        <v>4021</v>
      </c>
      <c r="G4028" s="230">
        <f t="shared" ca="1" si="191"/>
        <v>-1.6732322740762785E-2</v>
      </c>
    </row>
    <row r="4029" spans="2:7" x14ac:dyDescent="0.25">
      <c r="B4029" s="348">
        <v>39995</v>
      </c>
      <c r="C4029" s="293">
        <v>24.19</v>
      </c>
      <c r="D4029" s="230">
        <f t="shared" si="190"/>
        <v>8.3368070029179453E-3</v>
      </c>
      <c r="E4029" s="293">
        <v>-2.9467783088367394E-2</v>
      </c>
      <c r="F4029" s="266">
        <f t="shared" si="192"/>
        <v>4022</v>
      </c>
      <c r="G4029" s="230">
        <f t="shared" ca="1" si="191"/>
        <v>4.6465950273098236E-3</v>
      </c>
    </row>
    <row r="4030" spans="2:7" x14ac:dyDescent="0.25">
      <c r="B4030" s="348">
        <v>39965</v>
      </c>
      <c r="C4030" s="293">
        <v>23.99</v>
      </c>
      <c r="D4030" s="230">
        <f t="shared" si="190"/>
        <v>-1.2757201646090621E-2</v>
      </c>
      <c r="E4030" s="293">
        <v>-2.9494382022471899E-2</v>
      </c>
      <c r="F4030" s="266">
        <f t="shared" si="192"/>
        <v>4023</v>
      </c>
      <c r="G4030" s="230">
        <f t="shared" ca="1" si="191"/>
        <v>1.3731298433991901E-2</v>
      </c>
    </row>
    <row r="4031" spans="2:7" x14ac:dyDescent="0.25">
      <c r="B4031" s="348">
        <v>39934</v>
      </c>
      <c r="C4031" s="293">
        <v>24.3</v>
      </c>
      <c r="D4031" s="230">
        <f t="shared" si="190"/>
        <v>8.7173100871731357E-3</v>
      </c>
      <c r="E4031" s="293">
        <v>-2.9627107100289374E-2</v>
      </c>
      <c r="F4031" s="266">
        <f t="shared" si="192"/>
        <v>4024</v>
      </c>
      <c r="G4031" s="230">
        <f t="shared" ca="1" si="191"/>
        <v>5.657346454572533E-3</v>
      </c>
    </row>
    <row r="4032" spans="2:7" x14ac:dyDescent="0.25">
      <c r="B4032" s="348">
        <v>39845</v>
      </c>
      <c r="C4032" s="293">
        <v>24.09</v>
      </c>
      <c r="D4032" s="230">
        <f t="shared" si="190"/>
        <v>-1.7937219730941756E-2</v>
      </c>
      <c r="E4032" s="293">
        <v>-2.9705644072373749E-2</v>
      </c>
      <c r="F4032" s="266">
        <f t="shared" si="192"/>
        <v>4025</v>
      </c>
      <c r="G4032" s="230">
        <f t="shared" ca="1" si="191"/>
        <v>1.9382727260613318E-2</v>
      </c>
    </row>
    <row r="4033" spans="2:7" x14ac:dyDescent="0.25">
      <c r="B4033" s="348">
        <v>39814</v>
      </c>
      <c r="C4033" s="293">
        <v>24.53</v>
      </c>
      <c r="D4033" s="230">
        <f t="shared" si="190"/>
        <v>6.3285652362375489E-2</v>
      </c>
      <c r="E4033" s="293">
        <v>-2.9722561360670197E-2</v>
      </c>
      <c r="F4033" s="266">
        <f t="shared" si="192"/>
        <v>4026</v>
      </c>
      <c r="G4033" s="230">
        <f t="shared" ca="1" si="191"/>
        <v>-2.8797821944242415E-2</v>
      </c>
    </row>
    <row r="4034" spans="2:7" x14ac:dyDescent="0.25">
      <c r="B4034" s="348" t="s">
        <v>2996</v>
      </c>
      <c r="C4034" s="293">
        <v>23.07</v>
      </c>
      <c r="D4034" s="230">
        <f t="shared" si="190"/>
        <v>-1.0720411663807883E-2</v>
      </c>
      <c r="E4034" s="293">
        <v>-2.9757391963608826E-2</v>
      </c>
      <c r="F4034" s="266">
        <f t="shared" si="192"/>
        <v>4027</v>
      </c>
      <c r="G4034" s="230">
        <f t="shared" ca="1" si="191"/>
        <v>-1.5170822112120603E-2</v>
      </c>
    </row>
    <row r="4035" spans="2:7" x14ac:dyDescent="0.25">
      <c r="B4035" s="348" t="s">
        <v>2997</v>
      </c>
      <c r="C4035" s="293">
        <v>23.32</v>
      </c>
      <c r="D4035" s="230">
        <f t="shared" si="190"/>
        <v>3.9679001337494357E-2</v>
      </c>
      <c r="E4035" s="293">
        <v>-2.979902979902993E-2</v>
      </c>
      <c r="F4035" s="266">
        <f t="shared" si="192"/>
        <v>4028</v>
      </c>
      <c r="G4035" s="230">
        <f t="shared" ca="1" si="191"/>
        <v>-1.8374243976516672E-2</v>
      </c>
    </row>
    <row r="4036" spans="2:7" x14ac:dyDescent="0.25">
      <c r="B4036" s="348" t="s">
        <v>2998</v>
      </c>
      <c r="C4036" s="293">
        <v>22.43</v>
      </c>
      <c r="D4036" s="230">
        <f t="shared" si="190"/>
        <v>8.9245872378396207E-4</v>
      </c>
      <c r="E4036" s="293">
        <v>-2.9802397149335969E-2</v>
      </c>
      <c r="F4036" s="266">
        <f t="shared" si="192"/>
        <v>4029</v>
      </c>
      <c r="G4036" s="230">
        <f t="shared" ca="1" si="191"/>
        <v>-3.1575287412483749E-2</v>
      </c>
    </row>
    <row r="4037" spans="2:7" x14ac:dyDescent="0.25">
      <c r="B4037" s="348" t="s">
        <v>2999</v>
      </c>
      <c r="C4037" s="293">
        <v>22.41</v>
      </c>
      <c r="D4037" s="230">
        <f t="shared" si="190"/>
        <v>-2.4804177545691863E-2</v>
      </c>
      <c r="E4037" s="293">
        <v>-2.9843420213026994E-2</v>
      </c>
      <c r="F4037" s="266">
        <f t="shared" si="192"/>
        <v>4030</v>
      </c>
      <c r="G4037" s="230">
        <f t="shared" ca="1" si="191"/>
        <v>2.5086446411496766E-2</v>
      </c>
    </row>
    <row r="4038" spans="2:7" x14ac:dyDescent="0.25">
      <c r="B4038" s="348" t="s">
        <v>3000</v>
      </c>
      <c r="C4038" s="293">
        <v>22.98</v>
      </c>
      <c r="D4038" s="230">
        <f t="shared" si="190"/>
        <v>-4.3297252289758448E-2</v>
      </c>
      <c r="E4038" s="293">
        <v>-3.0066640533124245E-2</v>
      </c>
      <c r="F4038" s="266">
        <f t="shared" si="192"/>
        <v>4031</v>
      </c>
      <c r="G4038" s="230">
        <f t="shared" ca="1" si="191"/>
        <v>-5.8563501272205542E-3</v>
      </c>
    </row>
    <row r="4039" spans="2:7" x14ac:dyDescent="0.25">
      <c r="B4039" s="348" t="s">
        <v>3001</v>
      </c>
      <c r="C4039" s="293">
        <v>24.02</v>
      </c>
      <c r="D4039" s="230">
        <f t="shared" si="190"/>
        <v>-1.5573770491803196E-2</v>
      </c>
      <c r="E4039" s="293">
        <v>-3.0072872831776731E-2</v>
      </c>
      <c r="F4039" s="266">
        <f t="shared" si="192"/>
        <v>4032</v>
      </c>
      <c r="G4039" s="230">
        <f t="shared" ca="1" si="191"/>
        <v>-2.918822080696714E-2</v>
      </c>
    </row>
    <row r="4040" spans="2:7" x14ac:dyDescent="0.25">
      <c r="B4040" s="348" t="s">
        <v>3002</v>
      </c>
      <c r="C4040" s="293">
        <v>24.4</v>
      </c>
      <c r="D4040" s="230">
        <f t="shared" si="190"/>
        <v>-8.9358245329002051E-3</v>
      </c>
      <c r="E4040" s="293">
        <v>-3.0107161081816547E-2</v>
      </c>
      <c r="F4040" s="266">
        <f t="shared" si="192"/>
        <v>4033</v>
      </c>
      <c r="G4040" s="230">
        <f t="shared" ca="1" si="191"/>
        <v>-5.1414469914805982E-3</v>
      </c>
    </row>
    <row r="4041" spans="2:7" x14ac:dyDescent="0.25">
      <c r="B4041" s="348" t="s">
        <v>3003</v>
      </c>
      <c r="C4041" s="293">
        <v>24.62</v>
      </c>
      <c r="D4041" s="230">
        <f t="shared" ref="D4041:D4104" si="193">C4041/C4042-1</f>
        <v>-3.6422501011735831E-3</v>
      </c>
      <c r="E4041" s="293">
        <v>-3.0170688211959007E-2</v>
      </c>
      <c r="F4041" s="266">
        <f t="shared" si="192"/>
        <v>4034</v>
      </c>
      <c r="G4041" s="230">
        <f t="shared" ref="G4041:G4104" ca="1" si="194">_xlfn.NORM.INV(RAND(),$M$10,$M$11)</f>
        <v>1.0139546130490543E-3</v>
      </c>
    </row>
    <row r="4042" spans="2:7" x14ac:dyDescent="0.25">
      <c r="B4042" s="348" t="s">
        <v>3004</v>
      </c>
      <c r="C4042" s="293">
        <v>24.71</v>
      </c>
      <c r="D4042" s="230">
        <f t="shared" si="193"/>
        <v>2.4885939444214022E-2</v>
      </c>
      <c r="E4042" s="293">
        <v>-3.0236179600311441E-2</v>
      </c>
      <c r="F4042" s="266">
        <f t="shared" ref="F4042:F4105" si="195">F4041+1</f>
        <v>4035</v>
      </c>
      <c r="G4042" s="230">
        <f t="shared" ca="1" si="194"/>
        <v>-1.0605614926512684E-2</v>
      </c>
    </row>
    <row r="4043" spans="2:7" x14ac:dyDescent="0.25">
      <c r="B4043" s="348" t="s">
        <v>3005</v>
      </c>
      <c r="C4043" s="293">
        <v>24.11</v>
      </c>
      <c r="D4043" s="230">
        <f t="shared" si="193"/>
        <v>1.8158783783783772E-2</v>
      </c>
      <c r="E4043" s="293">
        <v>-3.0327214684756632E-2</v>
      </c>
      <c r="F4043" s="266">
        <f t="shared" si="195"/>
        <v>4036</v>
      </c>
      <c r="G4043" s="230">
        <f t="shared" ca="1" si="194"/>
        <v>-4.9230252677617036E-3</v>
      </c>
    </row>
    <row r="4044" spans="2:7" x14ac:dyDescent="0.25">
      <c r="B4044" s="348" t="s">
        <v>3006</v>
      </c>
      <c r="C4044" s="293">
        <v>23.68</v>
      </c>
      <c r="D4044" s="230">
        <f t="shared" si="193"/>
        <v>2.3778642455685395E-2</v>
      </c>
      <c r="E4044" s="293">
        <v>-3.0360670129490175E-2</v>
      </c>
      <c r="F4044" s="266">
        <f t="shared" si="195"/>
        <v>4037</v>
      </c>
      <c r="G4044" s="230">
        <f t="shared" ca="1" si="194"/>
        <v>1.4441293403894353E-3</v>
      </c>
    </row>
    <row r="4045" spans="2:7" x14ac:dyDescent="0.25">
      <c r="B4045" s="348" t="s">
        <v>3007</v>
      </c>
      <c r="C4045" s="293">
        <v>23.13</v>
      </c>
      <c r="D4045" s="230">
        <f t="shared" si="193"/>
        <v>-1.6163334751169822E-2</v>
      </c>
      <c r="E4045" s="293">
        <v>-3.0553468569997522E-2</v>
      </c>
      <c r="F4045" s="266">
        <f t="shared" si="195"/>
        <v>4038</v>
      </c>
      <c r="G4045" s="230">
        <f t="shared" ca="1" si="194"/>
        <v>2.7801295602078231E-2</v>
      </c>
    </row>
    <row r="4046" spans="2:7" x14ac:dyDescent="0.25">
      <c r="B4046" s="348">
        <v>39794</v>
      </c>
      <c r="C4046" s="293">
        <v>23.51</v>
      </c>
      <c r="D4046" s="230">
        <f t="shared" si="193"/>
        <v>-4.7792628594572673E-2</v>
      </c>
      <c r="E4046" s="293">
        <v>-3.0555555555555558E-2</v>
      </c>
      <c r="F4046" s="266">
        <f t="shared" si="195"/>
        <v>4039</v>
      </c>
      <c r="G4046" s="230">
        <f t="shared" ca="1" si="194"/>
        <v>-1.5681284595372776E-2</v>
      </c>
    </row>
    <row r="4047" spans="2:7" x14ac:dyDescent="0.25">
      <c r="B4047" s="348">
        <v>39764</v>
      </c>
      <c r="C4047" s="293">
        <v>24.69</v>
      </c>
      <c r="D4047" s="230">
        <f t="shared" si="193"/>
        <v>-4.4134727061556189E-2</v>
      </c>
      <c r="E4047" s="293">
        <v>-3.0603718404010771E-2</v>
      </c>
      <c r="F4047" s="266">
        <f t="shared" si="195"/>
        <v>4040</v>
      </c>
      <c r="G4047" s="230">
        <f t="shared" ca="1" si="194"/>
        <v>-4.5847708850736638E-3</v>
      </c>
    </row>
    <row r="4048" spans="2:7" x14ac:dyDescent="0.25">
      <c r="B4048" s="348">
        <v>39733</v>
      </c>
      <c r="C4048" s="293">
        <v>25.83</v>
      </c>
      <c r="D4048" s="230">
        <f t="shared" si="193"/>
        <v>9.5884599066609955E-2</v>
      </c>
      <c r="E4048" s="293">
        <v>-3.0700976042591033E-2</v>
      </c>
      <c r="F4048" s="266">
        <f t="shared" si="195"/>
        <v>4041</v>
      </c>
      <c r="G4048" s="230">
        <f t="shared" ca="1" si="194"/>
        <v>-1.5761119008355598E-2</v>
      </c>
    </row>
    <row r="4049" spans="2:7" x14ac:dyDescent="0.25">
      <c r="B4049" s="348">
        <v>39672</v>
      </c>
      <c r="C4049" s="293">
        <v>23.57</v>
      </c>
      <c r="D4049" s="230">
        <f t="shared" si="193"/>
        <v>4.8954161103693883E-2</v>
      </c>
      <c r="E4049" s="293">
        <v>-3.077682685977623E-2</v>
      </c>
      <c r="F4049" s="266">
        <f t="shared" si="195"/>
        <v>4042</v>
      </c>
      <c r="G4049" s="230">
        <f t="shared" ca="1" si="194"/>
        <v>-1.8306887722638367E-3</v>
      </c>
    </row>
    <row r="4050" spans="2:7" x14ac:dyDescent="0.25">
      <c r="B4050" s="348">
        <v>39580</v>
      </c>
      <c r="C4050" s="293">
        <v>22.47</v>
      </c>
      <c r="D4050" s="230">
        <f t="shared" si="193"/>
        <v>-2.304347826086961E-2</v>
      </c>
      <c r="E4050" s="293">
        <v>-3.0832368725665638E-2</v>
      </c>
      <c r="F4050" s="266">
        <f t="shared" si="195"/>
        <v>4043</v>
      </c>
      <c r="G4050" s="230">
        <f t="shared" ca="1" si="194"/>
        <v>6.0886662141506169E-3</v>
      </c>
    </row>
    <row r="4051" spans="2:7" x14ac:dyDescent="0.25">
      <c r="B4051" s="348">
        <v>39550</v>
      </c>
      <c r="C4051" s="293">
        <v>23</v>
      </c>
      <c r="D4051" s="230">
        <f t="shared" si="193"/>
        <v>4.5454545454545414E-2</v>
      </c>
      <c r="E4051" s="293">
        <v>-3.0869523535615007E-2</v>
      </c>
      <c r="F4051" s="266">
        <f t="shared" si="195"/>
        <v>4044</v>
      </c>
      <c r="G4051" s="230">
        <f t="shared" ca="1" si="194"/>
        <v>-1.4475789235592675E-2</v>
      </c>
    </row>
    <row r="4052" spans="2:7" x14ac:dyDescent="0.25">
      <c r="B4052" s="348">
        <v>39519</v>
      </c>
      <c r="C4052" s="293">
        <v>22</v>
      </c>
      <c r="D4052" s="230">
        <f t="shared" si="193"/>
        <v>-4.513888888888884E-2</v>
      </c>
      <c r="E4052" s="293">
        <v>-3.0925605536332168E-2</v>
      </c>
      <c r="F4052" s="266">
        <f t="shared" si="195"/>
        <v>4045</v>
      </c>
      <c r="G4052" s="230">
        <f t="shared" ca="1" si="194"/>
        <v>-5.2133324615097204E-2</v>
      </c>
    </row>
    <row r="4053" spans="2:7" x14ac:dyDescent="0.25">
      <c r="B4053" s="348">
        <v>39490</v>
      </c>
      <c r="C4053" s="293">
        <v>23.04</v>
      </c>
      <c r="D4053" s="230">
        <f t="shared" si="193"/>
        <v>-2.5974025974027093E-3</v>
      </c>
      <c r="E4053" s="293">
        <v>-3.0983622258404342E-2</v>
      </c>
      <c r="F4053" s="266">
        <f t="shared" si="195"/>
        <v>4046</v>
      </c>
      <c r="G4053" s="230">
        <f t="shared" ca="1" si="194"/>
        <v>2.4917230178371505E-3</v>
      </c>
    </row>
    <row r="4054" spans="2:7" x14ac:dyDescent="0.25">
      <c r="B4054" s="348">
        <v>39459</v>
      </c>
      <c r="C4054" s="293">
        <v>23.1</v>
      </c>
      <c r="D4054" s="230">
        <f t="shared" si="193"/>
        <v>-3.7098791162984424E-2</v>
      </c>
      <c r="E4054" s="293">
        <v>-3.0988423864648285E-2</v>
      </c>
      <c r="F4054" s="266">
        <f t="shared" si="195"/>
        <v>4047</v>
      </c>
      <c r="G4054" s="230">
        <f t="shared" ca="1" si="194"/>
        <v>-3.0399023086385014E-2</v>
      </c>
    </row>
    <row r="4055" spans="2:7" x14ac:dyDescent="0.25">
      <c r="B4055" s="348" t="s">
        <v>3008</v>
      </c>
      <c r="C4055" s="293">
        <v>23.99</v>
      </c>
      <c r="D4055" s="230">
        <f t="shared" si="193"/>
        <v>7.5598488030239608E-3</v>
      </c>
      <c r="E4055" s="293">
        <v>-3.1037991858887337E-2</v>
      </c>
      <c r="F4055" s="266">
        <f t="shared" si="195"/>
        <v>4048</v>
      </c>
      <c r="G4055" s="230">
        <f t="shared" ca="1" si="194"/>
        <v>-3.0447584837573698E-2</v>
      </c>
    </row>
    <row r="4056" spans="2:7" x14ac:dyDescent="0.25">
      <c r="B4056" s="348" t="s">
        <v>3009</v>
      </c>
      <c r="C4056" s="293">
        <v>23.81</v>
      </c>
      <c r="D4056" s="230">
        <f t="shared" si="193"/>
        <v>5.3539823008849519E-2</v>
      </c>
      <c r="E4056" s="293">
        <v>-3.1150667514303843E-2</v>
      </c>
      <c r="F4056" s="266">
        <f t="shared" si="195"/>
        <v>4049</v>
      </c>
      <c r="G4056" s="230">
        <f t="shared" ca="1" si="194"/>
        <v>3.434635958396597E-3</v>
      </c>
    </row>
    <row r="4057" spans="2:7" x14ac:dyDescent="0.25">
      <c r="B4057" s="348" t="s">
        <v>3010</v>
      </c>
      <c r="C4057" s="293">
        <v>22.6</v>
      </c>
      <c r="D4057" s="230">
        <f t="shared" si="193"/>
        <v>-2.3758099352051754E-2</v>
      </c>
      <c r="E4057" s="293">
        <v>-3.1228899392302556E-2</v>
      </c>
      <c r="F4057" s="266">
        <f t="shared" si="195"/>
        <v>4050</v>
      </c>
      <c r="G4057" s="230">
        <f t="shared" ca="1" si="194"/>
        <v>2.4969195785020611E-2</v>
      </c>
    </row>
    <row r="4058" spans="2:7" x14ac:dyDescent="0.25">
      <c r="B4058" s="348" t="s">
        <v>3011</v>
      </c>
      <c r="C4058" s="293">
        <v>23.15</v>
      </c>
      <c r="D4058" s="230">
        <f t="shared" si="193"/>
        <v>1.9374724790840903E-2</v>
      </c>
      <c r="E4058" s="293">
        <v>-3.1289427201614983E-2</v>
      </c>
      <c r="F4058" s="266">
        <f t="shared" si="195"/>
        <v>4051</v>
      </c>
      <c r="G4058" s="230">
        <f t="shared" ca="1" si="194"/>
        <v>-2.7744033767698947E-2</v>
      </c>
    </row>
    <row r="4059" spans="2:7" x14ac:dyDescent="0.25">
      <c r="B4059" s="348" t="s">
        <v>3012</v>
      </c>
      <c r="C4059" s="293">
        <v>22.71</v>
      </c>
      <c r="D4059" s="230">
        <f t="shared" si="193"/>
        <v>5.0416281221091541E-2</v>
      </c>
      <c r="E4059" s="293">
        <v>-3.1420765027322273E-2</v>
      </c>
      <c r="F4059" s="266">
        <f t="shared" si="195"/>
        <v>4052</v>
      </c>
      <c r="G4059" s="230">
        <f t="shared" ca="1" si="194"/>
        <v>8.2739602359095318E-3</v>
      </c>
    </row>
    <row r="4060" spans="2:7" x14ac:dyDescent="0.25">
      <c r="B4060" s="348" t="s">
        <v>3013</v>
      </c>
      <c r="C4060" s="293">
        <v>21.62</v>
      </c>
      <c r="D4060" s="230">
        <f t="shared" si="193"/>
        <v>-1.7272727272727217E-2</v>
      </c>
      <c r="E4060" s="293">
        <v>-3.1485943775100389E-2</v>
      </c>
      <c r="F4060" s="266">
        <f t="shared" si="195"/>
        <v>4053</v>
      </c>
      <c r="G4060" s="230">
        <f t="shared" ca="1" si="194"/>
        <v>-2.152736552693347E-3</v>
      </c>
    </row>
    <row r="4061" spans="2:7" x14ac:dyDescent="0.25">
      <c r="B4061" s="348" t="s">
        <v>3014</v>
      </c>
      <c r="C4061" s="293">
        <v>22</v>
      </c>
      <c r="D4061" s="230">
        <f t="shared" si="193"/>
        <v>-3.2541776605101047E-2</v>
      </c>
      <c r="E4061" s="293">
        <v>-3.1490187299455297E-2</v>
      </c>
      <c r="F4061" s="266">
        <f t="shared" si="195"/>
        <v>4054</v>
      </c>
      <c r="G4061" s="230">
        <f t="shared" ca="1" si="194"/>
        <v>-1.753329893073642E-3</v>
      </c>
    </row>
    <row r="4062" spans="2:7" x14ac:dyDescent="0.25">
      <c r="B4062" s="348" t="s">
        <v>3015</v>
      </c>
      <c r="C4062" s="293">
        <v>22.74</v>
      </c>
      <c r="D4062" s="230">
        <f t="shared" si="193"/>
        <v>-8.7845968712394806E-2</v>
      </c>
      <c r="E4062" s="293">
        <v>-3.1550802139037493E-2</v>
      </c>
      <c r="F4062" s="266">
        <f t="shared" si="195"/>
        <v>4055</v>
      </c>
      <c r="G4062" s="230">
        <f t="shared" ca="1" si="194"/>
        <v>9.3711904811214445E-3</v>
      </c>
    </row>
    <row r="4063" spans="2:7" x14ac:dyDescent="0.25">
      <c r="B4063" s="348" t="s">
        <v>3016</v>
      </c>
      <c r="C4063" s="293">
        <v>24.93</v>
      </c>
      <c r="D4063" s="230">
        <f t="shared" si="193"/>
        <v>4.484492875104773E-2</v>
      </c>
      <c r="E4063" s="293">
        <v>-3.1576514100785991E-2</v>
      </c>
      <c r="F4063" s="266">
        <f t="shared" si="195"/>
        <v>4056</v>
      </c>
      <c r="G4063" s="230">
        <f t="shared" ca="1" si="194"/>
        <v>3.8323424797074401E-2</v>
      </c>
    </row>
    <row r="4064" spans="2:7" x14ac:dyDescent="0.25">
      <c r="B4064" s="348" t="s">
        <v>3017</v>
      </c>
      <c r="C4064" s="293">
        <v>23.86</v>
      </c>
      <c r="D4064" s="230">
        <f t="shared" si="193"/>
        <v>-2.5326797385620936E-2</v>
      </c>
      <c r="E4064" s="293">
        <v>-3.188199751199583E-2</v>
      </c>
      <c r="F4064" s="266">
        <f t="shared" si="195"/>
        <v>4057</v>
      </c>
      <c r="G4064" s="230">
        <f t="shared" ca="1" si="194"/>
        <v>-2.5178128436902682E-2</v>
      </c>
    </row>
    <row r="4065" spans="2:7" x14ac:dyDescent="0.25">
      <c r="B4065" s="348">
        <v>39793</v>
      </c>
      <c r="C4065" s="293">
        <v>24.48</v>
      </c>
      <c r="D4065" s="230">
        <f t="shared" si="193"/>
        <v>-3.2573289902279035E-3</v>
      </c>
      <c r="E4065" s="293">
        <v>-3.200702398531341E-2</v>
      </c>
      <c r="F4065" s="266">
        <f t="shared" si="195"/>
        <v>4058</v>
      </c>
      <c r="G4065" s="230">
        <f t="shared" ca="1" si="194"/>
        <v>-1.4061592790855925E-3</v>
      </c>
    </row>
    <row r="4066" spans="2:7" x14ac:dyDescent="0.25">
      <c r="B4066" s="348">
        <v>39763</v>
      </c>
      <c r="C4066" s="293">
        <v>24.56</v>
      </c>
      <c r="D4066" s="230">
        <f t="shared" si="193"/>
        <v>-7.7731881336838171E-2</v>
      </c>
      <c r="E4066" s="293">
        <v>-3.2136391068195436E-2</v>
      </c>
      <c r="F4066" s="266">
        <f t="shared" si="195"/>
        <v>4059</v>
      </c>
      <c r="G4066" s="230">
        <f t="shared" ca="1" si="194"/>
        <v>-4.6171529811488969E-2</v>
      </c>
    </row>
    <row r="4067" spans="2:7" x14ac:dyDescent="0.25">
      <c r="B4067" s="348">
        <v>39732</v>
      </c>
      <c r="C4067" s="293">
        <v>26.63</v>
      </c>
      <c r="D4067" s="230">
        <f t="shared" si="193"/>
        <v>3.6590112884390624E-2</v>
      </c>
      <c r="E4067" s="293">
        <v>-3.2195079619907085E-2</v>
      </c>
      <c r="F4067" s="266">
        <f t="shared" si="195"/>
        <v>4060</v>
      </c>
      <c r="G4067" s="230">
        <f t="shared" ca="1" si="194"/>
        <v>-6.7826945192974121E-3</v>
      </c>
    </row>
    <row r="4068" spans="2:7" x14ac:dyDescent="0.25">
      <c r="B4068" s="348">
        <v>39640</v>
      </c>
      <c r="C4068" s="293">
        <v>25.69</v>
      </c>
      <c r="D4068" s="230">
        <f t="shared" si="193"/>
        <v>2.677857713828935E-2</v>
      </c>
      <c r="E4068" s="293">
        <v>-3.2223720633117958E-2</v>
      </c>
      <c r="F4068" s="266">
        <f t="shared" si="195"/>
        <v>4061</v>
      </c>
      <c r="G4068" s="230">
        <f t="shared" ca="1" si="194"/>
        <v>1.5627766795030671E-2</v>
      </c>
    </row>
    <row r="4069" spans="2:7" x14ac:dyDescent="0.25">
      <c r="B4069" s="348">
        <v>39610</v>
      </c>
      <c r="C4069" s="293">
        <v>25.02</v>
      </c>
      <c r="D4069" s="230">
        <f t="shared" si="193"/>
        <v>-6.7809239940387456E-2</v>
      </c>
      <c r="E4069" s="293">
        <v>-3.22683097249572E-2</v>
      </c>
      <c r="F4069" s="266">
        <f t="shared" si="195"/>
        <v>4062</v>
      </c>
      <c r="G4069" s="230">
        <f t="shared" ca="1" si="194"/>
        <v>2.330651475143096E-2</v>
      </c>
    </row>
    <row r="4070" spans="2:7" x14ac:dyDescent="0.25">
      <c r="B4070" s="348">
        <v>39579</v>
      </c>
      <c r="C4070" s="293">
        <v>26.84</v>
      </c>
      <c r="D4070" s="230">
        <f t="shared" si="193"/>
        <v>3.2704886494805852E-2</v>
      </c>
      <c r="E4070" s="293">
        <v>-3.2278088144009898E-2</v>
      </c>
      <c r="F4070" s="266">
        <f t="shared" si="195"/>
        <v>4063</v>
      </c>
      <c r="G4070" s="230">
        <f t="shared" ca="1" si="194"/>
        <v>-1.8863721709124317E-3</v>
      </c>
    </row>
    <row r="4071" spans="2:7" x14ac:dyDescent="0.25">
      <c r="B4071" s="348">
        <v>39549</v>
      </c>
      <c r="C4071" s="293">
        <v>25.99</v>
      </c>
      <c r="D4071" s="230">
        <f t="shared" si="193"/>
        <v>-4.9378200438917386E-2</v>
      </c>
      <c r="E4071" s="293">
        <v>-3.23326747940057E-2</v>
      </c>
      <c r="F4071" s="266">
        <f t="shared" si="195"/>
        <v>4064</v>
      </c>
      <c r="G4071" s="230">
        <f t="shared" ca="1" si="194"/>
        <v>-2.1416268095988164E-2</v>
      </c>
    </row>
    <row r="4072" spans="2:7" x14ac:dyDescent="0.25">
      <c r="B4072" s="348">
        <v>39518</v>
      </c>
      <c r="C4072" s="293">
        <v>27.34</v>
      </c>
      <c r="D4072" s="230">
        <f t="shared" si="193"/>
        <v>1.4094955489614147E-2</v>
      </c>
      <c r="E4072" s="293">
        <v>-3.2374866879659181E-2</v>
      </c>
      <c r="F4072" s="266">
        <f t="shared" si="195"/>
        <v>4065</v>
      </c>
      <c r="G4072" s="230">
        <f t="shared" ca="1" si="194"/>
        <v>3.5034142813788823E-3</v>
      </c>
    </row>
    <row r="4073" spans="2:7" x14ac:dyDescent="0.25">
      <c r="B4073" s="348" t="s">
        <v>3018</v>
      </c>
      <c r="C4073" s="293">
        <v>26.96</v>
      </c>
      <c r="D4073" s="230">
        <f t="shared" si="193"/>
        <v>6.0999606454152033E-2</v>
      </c>
      <c r="E4073" s="293">
        <v>-3.2414910858995172E-2</v>
      </c>
      <c r="F4073" s="266">
        <f t="shared" si="195"/>
        <v>4066</v>
      </c>
      <c r="G4073" s="230">
        <f t="shared" ca="1" si="194"/>
        <v>2.3018616211124318E-2</v>
      </c>
    </row>
    <row r="4074" spans="2:7" x14ac:dyDescent="0.25">
      <c r="B4074" s="348" t="s">
        <v>3019</v>
      </c>
      <c r="C4074" s="293">
        <v>25.41</v>
      </c>
      <c r="D4074" s="230">
        <f t="shared" si="193"/>
        <v>7.5327972915784969E-2</v>
      </c>
      <c r="E4074" s="293">
        <v>-3.2541776605101047E-2</v>
      </c>
      <c r="F4074" s="266">
        <f t="shared" si="195"/>
        <v>4067</v>
      </c>
      <c r="G4074" s="230">
        <f t="shared" ca="1" si="194"/>
        <v>3.5053110029621879E-3</v>
      </c>
    </row>
    <row r="4075" spans="2:7" x14ac:dyDescent="0.25">
      <c r="B4075" s="348" t="s">
        <v>3020</v>
      </c>
      <c r="C4075" s="293">
        <v>23.63</v>
      </c>
      <c r="D4075" s="230">
        <f t="shared" si="193"/>
        <v>8.8438507600184124E-2</v>
      </c>
      <c r="E4075" s="293">
        <v>-3.2568766239584268E-2</v>
      </c>
      <c r="F4075" s="266">
        <f t="shared" si="195"/>
        <v>4068</v>
      </c>
      <c r="G4075" s="230">
        <f t="shared" ca="1" si="194"/>
        <v>-1.7805261368421068E-3</v>
      </c>
    </row>
    <row r="4076" spans="2:7" x14ac:dyDescent="0.25">
      <c r="B4076" s="348" t="s">
        <v>3021</v>
      </c>
      <c r="C4076" s="293">
        <v>21.71</v>
      </c>
      <c r="D4076" s="230">
        <f t="shared" si="193"/>
        <v>-6.5834767641996472E-2</v>
      </c>
      <c r="E4076" s="293">
        <v>-3.2695112198334653E-2</v>
      </c>
      <c r="F4076" s="266">
        <f t="shared" si="195"/>
        <v>4069</v>
      </c>
      <c r="G4076" s="230">
        <f t="shared" ca="1" si="194"/>
        <v>2.2569583756268816E-2</v>
      </c>
    </row>
    <row r="4077" spans="2:7" x14ac:dyDescent="0.25">
      <c r="B4077" s="348" t="s">
        <v>3022</v>
      </c>
      <c r="C4077" s="293">
        <v>23.24</v>
      </c>
      <c r="D4077" s="230">
        <f t="shared" si="193"/>
        <v>-0.13638052768487552</v>
      </c>
      <c r="E4077" s="293">
        <v>-3.2696897374701606E-2</v>
      </c>
      <c r="F4077" s="266">
        <f t="shared" si="195"/>
        <v>4070</v>
      </c>
      <c r="G4077" s="230">
        <f t="shared" ca="1" si="194"/>
        <v>-1.3608170438113481E-2</v>
      </c>
    </row>
    <row r="4078" spans="2:7" x14ac:dyDescent="0.25">
      <c r="B4078" s="348" t="s">
        <v>3023</v>
      </c>
      <c r="C4078" s="293">
        <v>26.91</v>
      </c>
      <c r="D4078" s="230">
        <f t="shared" si="193"/>
        <v>-2.5706010137581448E-2</v>
      </c>
      <c r="E4078" s="293">
        <v>-3.271692745376964E-2</v>
      </c>
      <c r="F4078" s="266">
        <f t="shared" si="195"/>
        <v>4071</v>
      </c>
      <c r="G4078" s="230">
        <f t="shared" ca="1" si="194"/>
        <v>1.5886466532995198E-2</v>
      </c>
    </row>
    <row r="4079" spans="2:7" x14ac:dyDescent="0.25">
      <c r="B4079" s="348" t="s">
        <v>3024</v>
      </c>
      <c r="C4079" s="293">
        <v>27.62</v>
      </c>
      <c r="D4079" s="230">
        <f t="shared" si="193"/>
        <v>-5.8943781942078388E-2</v>
      </c>
      <c r="E4079" s="293">
        <v>-3.2786885245901565E-2</v>
      </c>
      <c r="F4079" s="266">
        <f t="shared" si="195"/>
        <v>4072</v>
      </c>
      <c r="G4079" s="230">
        <f t="shared" ca="1" si="194"/>
        <v>1.4280709652730511E-2</v>
      </c>
    </row>
    <row r="4080" spans="2:7" x14ac:dyDescent="0.25">
      <c r="B4080" s="348" t="s">
        <v>3025</v>
      </c>
      <c r="C4080" s="293">
        <v>29.35</v>
      </c>
      <c r="D4080" s="230">
        <f t="shared" si="193"/>
        <v>5.3103695730175815E-2</v>
      </c>
      <c r="E4080" s="293">
        <v>-3.2939946220495897E-2</v>
      </c>
      <c r="F4080" s="266">
        <f t="shared" si="195"/>
        <v>4073</v>
      </c>
      <c r="G4080" s="230">
        <f t="shared" ca="1" si="194"/>
        <v>4.5581213463262993E-3</v>
      </c>
    </row>
    <row r="4081" spans="2:7" x14ac:dyDescent="0.25">
      <c r="B4081" s="348" t="s">
        <v>3026</v>
      </c>
      <c r="C4081" s="293">
        <v>27.87</v>
      </c>
      <c r="D4081" s="230">
        <f t="shared" si="193"/>
        <v>9.4658287509819417E-2</v>
      </c>
      <c r="E4081" s="293">
        <v>-3.2975460122699474E-2</v>
      </c>
      <c r="F4081" s="266">
        <f t="shared" si="195"/>
        <v>4074</v>
      </c>
      <c r="G4081" s="230">
        <f t="shared" ca="1" si="194"/>
        <v>-2.912868025227297E-2</v>
      </c>
    </row>
    <row r="4082" spans="2:7" x14ac:dyDescent="0.25">
      <c r="B4082" s="348" t="s">
        <v>3027</v>
      </c>
      <c r="C4082" s="293">
        <v>25.46</v>
      </c>
      <c r="D4082" s="230">
        <f t="shared" si="193"/>
        <v>-7.5526506899055823E-2</v>
      </c>
      <c r="E4082" s="293">
        <v>-3.301026772862492E-2</v>
      </c>
      <c r="F4082" s="266">
        <f t="shared" si="195"/>
        <v>4075</v>
      </c>
      <c r="G4082" s="230">
        <f t="shared" ca="1" si="194"/>
        <v>-1.7015419378368382E-2</v>
      </c>
    </row>
    <row r="4083" spans="2:7" x14ac:dyDescent="0.25">
      <c r="B4083" s="348" t="s">
        <v>3028</v>
      </c>
      <c r="C4083" s="293">
        <v>27.54</v>
      </c>
      <c r="D4083" s="230">
        <f t="shared" si="193"/>
        <v>6.9469835466178242E-3</v>
      </c>
      <c r="E4083" s="293">
        <v>-3.3031631986563448E-2</v>
      </c>
      <c r="F4083" s="266">
        <f t="shared" si="195"/>
        <v>4076</v>
      </c>
      <c r="G4083" s="230">
        <f t="shared" ca="1" si="194"/>
        <v>1.7109656161099378E-2</v>
      </c>
    </row>
    <row r="4084" spans="2:7" x14ac:dyDescent="0.25">
      <c r="B4084" s="348" t="s">
        <v>3029</v>
      </c>
      <c r="C4084" s="293">
        <v>27.35</v>
      </c>
      <c r="D4084" s="230">
        <f t="shared" si="193"/>
        <v>-5.1664355062413292E-2</v>
      </c>
      <c r="E4084" s="293">
        <v>-3.3123312331233112E-2</v>
      </c>
      <c r="F4084" s="266">
        <f t="shared" si="195"/>
        <v>4077</v>
      </c>
      <c r="G4084" s="230">
        <f t="shared" ca="1" si="194"/>
        <v>-6.9295985058303424E-3</v>
      </c>
    </row>
    <row r="4085" spans="2:7" x14ac:dyDescent="0.25">
      <c r="B4085" s="348" t="s">
        <v>3030</v>
      </c>
      <c r="C4085" s="293">
        <v>28.84</v>
      </c>
      <c r="D4085" s="230">
        <f t="shared" si="193"/>
        <v>2.633451957295363E-2</v>
      </c>
      <c r="E4085" s="293">
        <v>-3.3348154735437952E-2</v>
      </c>
      <c r="F4085" s="266">
        <f t="shared" si="195"/>
        <v>4078</v>
      </c>
      <c r="G4085" s="230">
        <f t="shared" ca="1" si="194"/>
        <v>3.7202541571527858E-2</v>
      </c>
    </row>
    <row r="4086" spans="2:7" x14ac:dyDescent="0.25">
      <c r="B4086" s="348" t="s">
        <v>3031</v>
      </c>
      <c r="C4086" s="293">
        <v>28.1</v>
      </c>
      <c r="D4086" s="230">
        <f t="shared" si="193"/>
        <v>7.9938508839354494E-2</v>
      </c>
      <c r="E4086" s="293">
        <v>-3.3375889111800117E-2</v>
      </c>
      <c r="F4086" s="266">
        <f t="shared" si="195"/>
        <v>4079</v>
      </c>
      <c r="G4086" s="230">
        <f t="shared" ca="1" si="194"/>
        <v>4.755575861158043E-3</v>
      </c>
    </row>
    <row r="4087" spans="2:7" x14ac:dyDescent="0.25">
      <c r="B4087" s="348">
        <v>39731</v>
      </c>
      <c r="C4087" s="293">
        <v>26.02</v>
      </c>
      <c r="D4087" s="230">
        <f t="shared" si="193"/>
        <v>-6.9051878354203899E-2</v>
      </c>
      <c r="E4087" s="293">
        <v>-3.3407243163340761E-2</v>
      </c>
      <c r="F4087" s="266">
        <f t="shared" si="195"/>
        <v>4080</v>
      </c>
      <c r="G4087" s="230">
        <f t="shared" ca="1" si="194"/>
        <v>2.5733062326898405E-2</v>
      </c>
    </row>
    <row r="4088" spans="2:7" x14ac:dyDescent="0.25">
      <c r="B4088" s="348">
        <v>39670</v>
      </c>
      <c r="C4088" s="293">
        <v>27.95</v>
      </c>
      <c r="D4088" s="230">
        <f t="shared" si="193"/>
        <v>-8.3005249343832022E-2</v>
      </c>
      <c r="E4088" s="293">
        <v>-3.3448027526606361E-2</v>
      </c>
      <c r="F4088" s="266">
        <f t="shared" si="195"/>
        <v>4081</v>
      </c>
      <c r="G4088" s="230">
        <f t="shared" ca="1" si="194"/>
        <v>1.6635538568203469E-2</v>
      </c>
    </row>
    <row r="4089" spans="2:7" x14ac:dyDescent="0.25">
      <c r="B4089" s="348">
        <v>39639</v>
      </c>
      <c r="C4089" s="293">
        <v>30.48</v>
      </c>
      <c r="D4089" s="230">
        <f t="shared" si="193"/>
        <v>-3.1150667514303843E-2</v>
      </c>
      <c r="E4089" s="293">
        <v>-3.3914543015903353E-2</v>
      </c>
      <c r="F4089" s="266">
        <f t="shared" si="195"/>
        <v>4082</v>
      </c>
      <c r="G4089" s="230">
        <f t="shared" ca="1" si="194"/>
        <v>-1.5707929322673476E-3</v>
      </c>
    </row>
    <row r="4090" spans="2:7" x14ac:dyDescent="0.25">
      <c r="B4090" s="348">
        <v>39609</v>
      </c>
      <c r="C4090" s="293">
        <v>31.46</v>
      </c>
      <c r="D4090" s="230">
        <f t="shared" si="193"/>
        <v>-6.8679692125518055E-2</v>
      </c>
      <c r="E4090" s="293">
        <v>-3.4120734908136607E-2</v>
      </c>
      <c r="F4090" s="266">
        <f t="shared" si="195"/>
        <v>4083</v>
      </c>
      <c r="G4090" s="230">
        <f t="shared" ca="1" si="194"/>
        <v>-9.0937994162555158E-3</v>
      </c>
    </row>
    <row r="4091" spans="2:7" x14ac:dyDescent="0.25">
      <c r="B4091" s="348">
        <v>39517</v>
      </c>
      <c r="C4091" s="293">
        <v>33.78</v>
      </c>
      <c r="D4091" s="230">
        <f t="shared" si="193"/>
        <v>-2.1436848203939762E-2</v>
      </c>
      <c r="E4091" s="293">
        <v>-3.4133906878559772E-2</v>
      </c>
      <c r="F4091" s="266">
        <f t="shared" si="195"/>
        <v>4084</v>
      </c>
      <c r="G4091" s="230">
        <f t="shared" ca="1" si="194"/>
        <v>-6.7253311209131365E-3</v>
      </c>
    </row>
    <row r="4092" spans="2:7" x14ac:dyDescent="0.25">
      <c r="B4092" s="348">
        <v>39457</v>
      </c>
      <c r="C4092" s="293">
        <v>34.520000000000003</v>
      </c>
      <c r="D4092" s="230">
        <f t="shared" si="193"/>
        <v>2.7380952380952506E-2</v>
      </c>
      <c r="E4092" s="293">
        <v>-3.4136871056463347E-2</v>
      </c>
      <c r="F4092" s="266">
        <f t="shared" si="195"/>
        <v>4085</v>
      </c>
      <c r="G4092" s="230">
        <f t="shared" ca="1" si="194"/>
        <v>1.3933510071957098E-2</v>
      </c>
    </row>
    <row r="4093" spans="2:7" x14ac:dyDescent="0.25">
      <c r="B4093" s="348" t="s">
        <v>3032</v>
      </c>
      <c r="C4093" s="293">
        <v>33.6</v>
      </c>
      <c r="D4093" s="230">
        <f t="shared" si="193"/>
        <v>-9.4339622641509413E-3</v>
      </c>
      <c r="E4093" s="293">
        <v>-3.4188622136616886E-2</v>
      </c>
      <c r="F4093" s="266">
        <f t="shared" si="195"/>
        <v>4086</v>
      </c>
      <c r="G4093" s="230">
        <f t="shared" ca="1" si="194"/>
        <v>9.5893456897769153E-3</v>
      </c>
    </row>
    <row r="4094" spans="2:7" x14ac:dyDescent="0.25">
      <c r="B4094" s="348" t="s">
        <v>3033</v>
      </c>
      <c r="C4094" s="293">
        <v>33.92</v>
      </c>
      <c r="D4094" s="230">
        <f t="shared" si="193"/>
        <v>-3.2324419629737866E-3</v>
      </c>
      <c r="E4094" s="293">
        <v>-3.4379222338988269E-2</v>
      </c>
      <c r="F4094" s="266">
        <f t="shared" si="195"/>
        <v>4087</v>
      </c>
      <c r="G4094" s="230">
        <f t="shared" ca="1" si="194"/>
        <v>1.2244125965787798E-2</v>
      </c>
    </row>
    <row r="4095" spans="2:7" x14ac:dyDescent="0.25">
      <c r="B4095" s="348" t="s">
        <v>3034</v>
      </c>
      <c r="C4095" s="293">
        <v>34.03</v>
      </c>
      <c r="D4095" s="230">
        <f t="shared" si="193"/>
        <v>-2.240735420856077E-2</v>
      </c>
      <c r="E4095" s="293">
        <v>-3.4423407917383742E-2</v>
      </c>
      <c r="F4095" s="266">
        <f t="shared" si="195"/>
        <v>4088</v>
      </c>
      <c r="G4095" s="230">
        <f t="shared" ca="1" si="194"/>
        <v>5.4749533126491291E-3</v>
      </c>
    </row>
    <row r="4096" spans="2:7" x14ac:dyDescent="0.25">
      <c r="B4096" s="348" t="s">
        <v>3035</v>
      </c>
      <c r="C4096" s="293">
        <v>34.81</v>
      </c>
      <c r="D4096" s="230">
        <f t="shared" si="193"/>
        <v>-4.9426542872747059E-2</v>
      </c>
      <c r="E4096" s="293">
        <v>-3.4597749062109218E-2</v>
      </c>
      <c r="F4096" s="266">
        <f t="shared" si="195"/>
        <v>4089</v>
      </c>
      <c r="G4096" s="230">
        <f t="shared" ca="1" si="194"/>
        <v>-2.021749938851678E-3</v>
      </c>
    </row>
    <row r="4097" spans="2:7" x14ac:dyDescent="0.25">
      <c r="B4097" s="348" t="s">
        <v>3036</v>
      </c>
      <c r="C4097" s="293">
        <v>36.619999999999997</v>
      </c>
      <c r="D4097" s="230">
        <f t="shared" si="193"/>
        <v>-4.8336798336798381E-2</v>
      </c>
      <c r="E4097" s="293">
        <v>-3.4649177082044291E-2</v>
      </c>
      <c r="F4097" s="266">
        <f t="shared" si="195"/>
        <v>4090</v>
      </c>
      <c r="G4097" s="230">
        <f t="shared" ca="1" si="194"/>
        <v>-1.9204931663541015E-2</v>
      </c>
    </row>
    <row r="4098" spans="2:7" x14ac:dyDescent="0.25">
      <c r="B4098" s="348" t="s">
        <v>3037</v>
      </c>
      <c r="C4098" s="293">
        <v>38.479999999999997</v>
      </c>
      <c r="D4098" s="230">
        <f t="shared" si="193"/>
        <v>-6.1463414634146396E-2</v>
      </c>
      <c r="E4098" s="293">
        <v>-3.4689953533087681E-2</v>
      </c>
      <c r="F4098" s="266">
        <f t="shared" si="195"/>
        <v>4091</v>
      </c>
      <c r="G4098" s="230">
        <f t="shared" ca="1" si="194"/>
        <v>-2.1624601726580352E-3</v>
      </c>
    </row>
    <row r="4099" spans="2:7" x14ac:dyDescent="0.25">
      <c r="B4099" s="348" t="s">
        <v>3038</v>
      </c>
      <c r="C4099" s="293">
        <v>41</v>
      </c>
      <c r="D4099" s="230">
        <f t="shared" si="193"/>
        <v>-5.3372149442018069E-3</v>
      </c>
      <c r="E4099" s="293">
        <v>-3.4697106690777635E-2</v>
      </c>
      <c r="F4099" s="266">
        <f t="shared" si="195"/>
        <v>4092</v>
      </c>
      <c r="G4099" s="230">
        <f t="shared" ca="1" si="194"/>
        <v>-8.3055700526907033E-4</v>
      </c>
    </row>
    <row r="4100" spans="2:7" x14ac:dyDescent="0.25">
      <c r="B4100" s="348" t="s">
        <v>3039</v>
      </c>
      <c r="C4100" s="293">
        <v>41.22</v>
      </c>
      <c r="D4100" s="230">
        <f t="shared" si="193"/>
        <v>4.9389002036659857E-2</v>
      </c>
      <c r="E4100" s="293">
        <v>-3.4774187868650386E-2</v>
      </c>
      <c r="F4100" s="266">
        <f t="shared" si="195"/>
        <v>4093</v>
      </c>
      <c r="G4100" s="230">
        <f t="shared" ca="1" si="194"/>
        <v>2.6880152950561585E-2</v>
      </c>
    </row>
    <row r="4101" spans="2:7" x14ac:dyDescent="0.25">
      <c r="B4101" s="348" t="s">
        <v>3040</v>
      </c>
      <c r="C4101" s="293">
        <v>39.28</v>
      </c>
      <c r="D4101" s="230">
        <f t="shared" si="193"/>
        <v>-6.3243106501391644E-3</v>
      </c>
      <c r="E4101" s="293">
        <v>-3.479439674649798E-2</v>
      </c>
      <c r="F4101" s="266">
        <f t="shared" si="195"/>
        <v>4094</v>
      </c>
      <c r="G4101" s="230">
        <f t="shared" ca="1" si="194"/>
        <v>-2.1757472736969326E-2</v>
      </c>
    </row>
    <row r="4102" spans="2:7" x14ac:dyDescent="0.25">
      <c r="B4102" s="348" t="s">
        <v>3041</v>
      </c>
      <c r="C4102" s="293">
        <v>39.53</v>
      </c>
      <c r="D4102" s="230">
        <f t="shared" si="193"/>
        <v>2.1183156807026648E-2</v>
      </c>
      <c r="E4102" s="293">
        <v>-3.4823820317329446E-2</v>
      </c>
      <c r="F4102" s="266">
        <f t="shared" si="195"/>
        <v>4095</v>
      </c>
      <c r="G4102" s="230">
        <f t="shared" ca="1" si="194"/>
        <v>1.4765969719210341E-2</v>
      </c>
    </row>
    <row r="4103" spans="2:7" x14ac:dyDescent="0.25">
      <c r="B4103" s="348" t="s">
        <v>3042</v>
      </c>
      <c r="C4103" s="293">
        <v>38.71</v>
      </c>
      <c r="D4103" s="230">
        <f t="shared" si="193"/>
        <v>-3.0553468569997522E-2</v>
      </c>
      <c r="E4103" s="293">
        <v>-3.4836702954898824E-2</v>
      </c>
      <c r="F4103" s="266">
        <f t="shared" si="195"/>
        <v>4096</v>
      </c>
      <c r="G4103" s="230">
        <f t="shared" ca="1" si="194"/>
        <v>-3.5230486625296049E-2</v>
      </c>
    </row>
    <row r="4104" spans="2:7" x14ac:dyDescent="0.25">
      <c r="B4104" s="348" t="s">
        <v>3043</v>
      </c>
      <c r="C4104" s="293">
        <v>39.93</v>
      </c>
      <c r="D4104" s="230">
        <f t="shared" si="193"/>
        <v>-3.7599421547360845E-2</v>
      </c>
      <c r="E4104" s="293">
        <v>-3.4854771784232352E-2</v>
      </c>
      <c r="F4104" s="266">
        <f t="shared" si="195"/>
        <v>4097</v>
      </c>
      <c r="G4104" s="230">
        <f t="shared" ca="1" si="194"/>
        <v>9.3120404214735494E-3</v>
      </c>
    </row>
    <row r="4105" spans="2:7" x14ac:dyDescent="0.25">
      <c r="B4105" s="348">
        <v>39791</v>
      </c>
      <c r="C4105" s="293">
        <v>41.49</v>
      </c>
      <c r="D4105" s="230">
        <f t="shared" ref="D4105:D4168" si="196">C4105/C4106-1</f>
        <v>-1.6591609386110373E-2</v>
      </c>
      <c r="E4105" s="293">
        <v>-3.4974441754102803E-2</v>
      </c>
      <c r="F4105" s="266">
        <f t="shared" si="195"/>
        <v>4098</v>
      </c>
      <c r="G4105" s="230">
        <f t="shared" ref="G4105:G4168" ca="1" si="197">_xlfn.NORM.INV(RAND(),$M$10,$M$11)</f>
        <v>-6.4311632582472289E-4</v>
      </c>
    </row>
    <row r="4106" spans="2:7" x14ac:dyDescent="0.25">
      <c r="B4106" s="348">
        <v>39761</v>
      </c>
      <c r="C4106" s="293">
        <v>42.19</v>
      </c>
      <c r="D4106" s="230">
        <f t="shared" si="196"/>
        <v>-1.1943793911007194E-2</v>
      </c>
      <c r="E4106" s="293">
        <v>-3.5193958607915077E-2</v>
      </c>
      <c r="F4106" s="266">
        <f t="shared" ref="F4106:F4169" si="198">F4105+1</f>
        <v>4099</v>
      </c>
      <c r="G4106" s="230">
        <f t="shared" ca="1" si="197"/>
        <v>1.7461622650416654E-2</v>
      </c>
    </row>
    <row r="4107" spans="2:7" x14ac:dyDescent="0.25">
      <c r="B4107" s="348">
        <v>39730</v>
      </c>
      <c r="C4107" s="293">
        <v>42.7</v>
      </c>
      <c r="D4107" s="230">
        <f t="shared" si="196"/>
        <v>-7.6690680920288301E-3</v>
      </c>
      <c r="E4107" s="293">
        <v>-3.5731076633756409E-2</v>
      </c>
      <c r="F4107" s="266">
        <f t="shared" si="198"/>
        <v>4100</v>
      </c>
      <c r="G4107" s="230">
        <f t="shared" ca="1" si="197"/>
        <v>-1.8435876124114181E-2</v>
      </c>
    </row>
    <row r="4108" spans="2:7" x14ac:dyDescent="0.25">
      <c r="B4108" s="348">
        <v>39700</v>
      </c>
      <c r="C4108" s="293">
        <v>43.03</v>
      </c>
      <c r="D4108" s="230">
        <f t="shared" si="196"/>
        <v>3.4981343283582156E-3</v>
      </c>
      <c r="E4108" s="293">
        <v>-3.5771065182829909E-2</v>
      </c>
      <c r="F4108" s="266">
        <f t="shared" si="198"/>
        <v>4101</v>
      </c>
      <c r="G4108" s="230">
        <f t="shared" ca="1" si="197"/>
        <v>1.0023245646809543E-2</v>
      </c>
    </row>
    <row r="4109" spans="2:7" x14ac:dyDescent="0.25">
      <c r="B4109" s="348">
        <v>39669</v>
      </c>
      <c r="C4109" s="293">
        <v>42.88</v>
      </c>
      <c r="D4109" s="230">
        <f t="shared" si="196"/>
        <v>2.0952380952381056E-2</v>
      </c>
      <c r="E4109" s="293">
        <v>-3.6554004408523078E-2</v>
      </c>
      <c r="F4109" s="266">
        <f t="shared" si="198"/>
        <v>4102</v>
      </c>
      <c r="G4109" s="230">
        <f t="shared" ca="1" si="197"/>
        <v>-1.0328895139849689E-2</v>
      </c>
    </row>
    <row r="4110" spans="2:7" x14ac:dyDescent="0.25">
      <c r="B4110" s="348">
        <v>39577</v>
      </c>
      <c r="C4110" s="293">
        <v>42</v>
      </c>
      <c r="D4110" s="230">
        <f t="shared" si="196"/>
        <v>-5.2132701421801042E-2</v>
      </c>
      <c r="E4110" s="293">
        <v>-3.6603965429588103E-2</v>
      </c>
      <c r="F4110" s="266">
        <f t="shared" si="198"/>
        <v>4103</v>
      </c>
      <c r="G4110" s="230">
        <f t="shared" ca="1" si="197"/>
        <v>7.8180512459440007E-3</v>
      </c>
    </row>
    <row r="4111" spans="2:7" x14ac:dyDescent="0.25">
      <c r="B4111" s="348">
        <v>39547</v>
      </c>
      <c r="C4111" s="293">
        <v>44.31</v>
      </c>
      <c r="D4111" s="230">
        <f t="shared" si="196"/>
        <v>-6.0565275908478489E-3</v>
      </c>
      <c r="E4111" s="293">
        <v>-3.6711891460494916E-2</v>
      </c>
      <c r="F4111" s="266">
        <f t="shared" si="198"/>
        <v>4104</v>
      </c>
      <c r="G4111" s="230">
        <f t="shared" ca="1" si="197"/>
        <v>-1.0089040247469526E-2</v>
      </c>
    </row>
    <row r="4112" spans="2:7" x14ac:dyDescent="0.25">
      <c r="B4112" s="348">
        <v>39487</v>
      </c>
      <c r="C4112" s="293">
        <v>44.58</v>
      </c>
      <c r="D4112" s="230">
        <f t="shared" si="196"/>
        <v>3.8918666977394656E-2</v>
      </c>
      <c r="E4112" s="293">
        <v>-3.6838340486409216E-2</v>
      </c>
      <c r="F4112" s="266">
        <f t="shared" si="198"/>
        <v>4105</v>
      </c>
      <c r="G4112" s="230">
        <f t="shared" ca="1" si="197"/>
        <v>4.8828863305197647E-3</v>
      </c>
    </row>
    <row r="4113" spans="2:7" x14ac:dyDescent="0.25">
      <c r="B4113" s="348">
        <v>39456</v>
      </c>
      <c r="C4113" s="293">
        <v>42.91</v>
      </c>
      <c r="D4113" s="230">
        <f t="shared" si="196"/>
        <v>3.742690058479381E-3</v>
      </c>
      <c r="E4113" s="293">
        <v>-3.6885914803329589E-2</v>
      </c>
      <c r="F4113" s="266">
        <f t="shared" si="198"/>
        <v>4106</v>
      </c>
      <c r="G4113" s="230">
        <f t="shared" ca="1" si="197"/>
        <v>-3.8313741587230167E-3</v>
      </c>
    </row>
    <row r="4114" spans="2:7" x14ac:dyDescent="0.25">
      <c r="B4114" s="348" t="s">
        <v>3044</v>
      </c>
      <c r="C4114" s="293">
        <v>42.75</v>
      </c>
      <c r="D4114" s="230">
        <f t="shared" si="196"/>
        <v>4.4211040547142311E-2</v>
      </c>
      <c r="E4114" s="293">
        <v>-3.7049399198931909E-2</v>
      </c>
      <c r="F4114" s="266">
        <f t="shared" si="198"/>
        <v>4107</v>
      </c>
      <c r="G4114" s="230">
        <f t="shared" ca="1" si="197"/>
        <v>-1.6474196016989434E-2</v>
      </c>
    </row>
    <row r="4115" spans="2:7" x14ac:dyDescent="0.25">
      <c r="B4115" s="348" t="s">
        <v>3045</v>
      </c>
      <c r="C4115" s="293">
        <v>40.94</v>
      </c>
      <c r="D4115" s="230">
        <f t="shared" si="196"/>
        <v>-2.8476506881822572E-2</v>
      </c>
      <c r="E4115" s="293">
        <v>-3.7098791162984424E-2</v>
      </c>
      <c r="F4115" s="266">
        <f t="shared" si="198"/>
        <v>4108</v>
      </c>
      <c r="G4115" s="230">
        <f t="shared" ca="1" si="197"/>
        <v>-2.6514754672609187E-3</v>
      </c>
    </row>
    <row r="4116" spans="2:7" x14ac:dyDescent="0.25">
      <c r="B4116" s="348" t="s">
        <v>3046</v>
      </c>
      <c r="C4116" s="293">
        <v>42.14</v>
      </c>
      <c r="D4116" s="230">
        <f t="shared" si="196"/>
        <v>-7.068803016022529E-3</v>
      </c>
      <c r="E4116" s="293">
        <v>-3.7197530390765787E-2</v>
      </c>
      <c r="F4116" s="266">
        <f t="shared" si="198"/>
        <v>4109</v>
      </c>
      <c r="G4116" s="230">
        <f t="shared" ca="1" si="197"/>
        <v>5.8332701673881318E-3</v>
      </c>
    </row>
    <row r="4117" spans="2:7" x14ac:dyDescent="0.25">
      <c r="B4117" s="348" t="s">
        <v>3047</v>
      </c>
      <c r="C4117" s="293">
        <v>42.44</v>
      </c>
      <c r="D4117" s="230">
        <f t="shared" si="196"/>
        <v>2.2157996146435321E-2</v>
      </c>
      <c r="E4117" s="293">
        <v>-3.7234042553191515E-2</v>
      </c>
      <c r="F4117" s="266">
        <f t="shared" si="198"/>
        <v>4110</v>
      </c>
      <c r="G4117" s="230">
        <f t="shared" ca="1" si="197"/>
        <v>7.5020467019541791E-4</v>
      </c>
    </row>
    <row r="4118" spans="2:7" x14ac:dyDescent="0.25">
      <c r="B4118" s="348" t="s">
        <v>3048</v>
      </c>
      <c r="C4118" s="293">
        <v>41.52</v>
      </c>
      <c r="D4118" s="230">
        <f t="shared" si="196"/>
        <v>2.8985507246377384E-3</v>
      </c>
      <c r="E4118" s="293">
        <v>-3.7380550871275897E-2</v>
      </c>
      <c r="F4118" s="266">
        <f t="shared" si="198"/>
        <v>4111</v>
      </c>
      <c r="G4118" s="230">
        <f t="shared" ca="1" si="197"/>
        <v>1.0135295623114358E-2</v>
      </c>
    </row>
    <row r="4119" spans="2:7" x14ac:dyDescent="0.25">
      <c r="B4119" s="348" t="s">
        <v>3049</v>
      </c>
      <c r="C4119" s="293">
        <v>41.4</v>
      </c>
      <c r="D4119" s="230">
        <f t="shared" si="196"/>
        <v>-5.5248618784531356E-3</v>
      </c>
      <c r="E4119" s="293">
        <v>-3.7574877473225632E-2</v>
      </c>
      <c r="F4119" s="266">
        <f t="shared" si="198"/>
        <v>4112</v>
      </c>
      <c r="G4119" s="230">
        <f t="shared" ca="1" si="197"/>
        <v>3.0448336034841858E-2</v>
      </c>
    </row>
    <row r="4120" spans="2:7" x14ac:dyDescent="0.25">
      <c r="B4120" s="348" t="s">
        <v>3050</v>
      </c>
      <c r="C4120" s="293">
        <v>41.63</v>
      </c>
      <c r="D4120" s="230">
        <f t="shared" si="196"/>
        <v>-2.8924655936552246E-2</v>
      </c>
      <c r="E4120" s="293">
        <v>-3.7599421547360845E-2</v>
      </c>
      <c r="F4120" s="266">
        <f t="shared" si="198"/>
        <v>4113</v>
      </c>
      <c r="G4120" s="230">
        <f t="shared" ca="1" si="197"/>
        <v>-1.9508192940209071E-2</v>
      </c>
    </row>
    <row r="4121" spans="2:7" x14ac:dyDescent="0.25">
      <c r="B4121" s="348" t="s">
        <v>3051</v>
      </c>
      <c r="C4121" s="293">
        <v>42.87</v>
      </c>
      <c r="D4121" s="230">
        <f t="shared" si="196"/>
        <v>2.8070175438594802E-3</v>
      </c>
      <c r="E4121" s="293">
        <v>-3.7845178813943003E-2</v>
      </c>
      <c r="F4121" s="266">
        <f t="shared" si="198"/>
        <v>4114</v>
      </c>
      <c r="G4121" s="230">
        <f t="shared" ca="1" si="197"/>
        <v>1.8631266232840324E-2</v>
      </c>
    </row>
    <row r="4122" spans="2:7" x14ac:dyDescent="0.25">
      <c r="B4122" s="348" t="s">
        <v>3052</v>
      </c>
      <c r="C4122" s="293">
        <v>42.75</v>
      </c>
      <c r="D4122" s="230">
        <f t="shared" si="196"/>
        <v>9.3654881760718567E-4</v>
      </c>
      <c r="E4122" s="293">
        <v>-3.7849203965154676E-2</v>
      </c>
      <c r="F4122" s="266">
        <f t="shared" si="198"/>
        <v>4115</v>
      </c>
      <c r="G4122" s="230">
        <f t="shared" ca="1" si="197"/>
        <v>-1.0689288096014347E-2</v>
      </c>
    </row>
    <row r="4123" spans="2:7" x14ac:dyDescent="0.25">
      <c r="B4123" s="348" t="s">
        <v>3053</v>
      </c>
      <c r="C4123" s="293">
        <v>42.71</v>
      </c>
      <c r="D4123" s="230">
        <f t="shared" si="196"/>
        <v>6.1248527679622633E-3</v>
      </c>
      <c r="E4123" s="293">
        <v>-3.7956888472352457E-2</v>
      </c>
      <c r="F4123" s="266">
        <f t="shared" si="198"/>
        <v>4116</v>
      </c>
      <c r="G4123" s="230">
        <f t="shared" ca="1" si="197"/>
        <v>-2.093095791542432E-2</v>
      </c>
    </row>
    <row r="4124" spans="2:7" x14ac:dyDescent="0.25">
      <c r="B4124" s="348" t="s">
        <v>3054</v>
      </c>
      <c r="C4124" s="293">
        <v>42.45</v>
      </c>
      <c r="D4124" s="230">
        <f t="shared" si="196"/>
        <v>-7.481879822305415E-3</v>
      </c>
      <c r="E4124" s="293">
        <v>-3.812913065582102E-2</v>
      </c>
      <c r="F4124" s="266">
        <f t="shared" si="198"/>
        <v>4117</v>
      </c>
      <c r="G4124" s="230">
        <f t="shared" ca="1" si="197"/>
        <v>-1.5810546914740584E-2</v>
      </c>
    </row>
    <row r="4125" spans="2:7" x14ac:dyDescent="0.25">
      <c r="B4125" s="348" t="s">
        <v>3055</v>
      </c>
      <c r="C4125" s="293">
        <v>42.77</v>
      </c>
      <c r="D4125" s="230">
        <f t="shared" si="196"/>
        <v>-1.6339869281045694E-3</v>
      </c>
      <c r="E4125" s="293">
        <v>-3.8880248833592534E-2</v>
      </c>
      <c r="F4125" s="266">
        <f t="shared" si="198"/>
        <v>4118</v>
      </c>
      <c r="G4125" s="230">
        <f t="shared" ca="1" si="197"/>
        <v>-8.3343482969307787E-3</v>
      </c>
    </row>
    <row r="4126" spans="2:7" x14ac:dyDescent="0.25">
      <c r="B4126" s="348">
        <v>39790</v>
      </c>
      <c r="C4126" s="293">
        <v>42.84</v>
      </c>
      <c r="D4126" s="230">
        <f t="shared" si="196"/>
        <v>-2.1247429746401592E-2</v>
      </c>
      <c r="E4126" s="293">
        <v>-3.8923766816143512E-2</v>
      </c>
      <c r="F4126" s="266">
        <f t="shared" si="198"/>
        <v>4119</v>
      </c>
      <c r="G4126" s="230">
        <f t="shared" ca="1" si="197"/>
        <v>3.0709844177592815E-2</v>
      </c>
    </row>
    <row r="4127" spans="2:7" x14ac:dyDescent="0.25">
      <c r="B4127" s="348">
        <v>39760</v>
      </c>
      <c r="C4127" s="293">
        <v>43.77</v>
      </c>
      <c r="D4127" s="230">
        <f t="shared" si="196"/>
        <v>1.1555350127108843E-2</v>
      </c>
      <c r="E4127" s="293">
        <v>-3.9029381669346663E-2</v>
      </c>
      <c r="F4127" s="266">
        <f t="shared" si="198"/>
        <v>4120</v>
      </c>
      <c r="G4127" s="230">
        <f t="shared" ca="1" si="197"/>
        <v>-1.2177106776019124E-2</v>
      </c>
    </row>
    <row r="4128" spans="2:7" x14ac:dyDescent="0.25">
      <c r="B4128" s="348">
        <v>39668</v>
      </c>
      <c r="C4128" s="293">
        <v>43.27</v>
      </c>
      <c r="D4128" s="230">
        <f t="shared" si="196"/>
        <v>-2.6546681664791905E-2</v>
      </c>
      <c r="E4128" s="293">
        <v>-3.9116719242902165E-2</v>
      </c>
      <c r="F4128" s="266">
        <f t="shared" si="198"/>
        <v>4121</v>
      </c>
      <c r="G4128" s="230">
        <f t="shared" ca="1" si="197"/>
        <v>-1.3411627817990926E-3</v>
      </c>
    </row>
    <row r="4129" spans="2:7" x14ac:dyDescent="0.25">
      <c r="B4129" s="348">
        <v>39637</v>
      </c>
      <c r="C4129" s="293">
        <v>44.45</v>
      </c>
      <c r="D4129" s="230">
        <f t="shared" si="196"/>
        <v>-7.812499999999889E-3</v>
      </c>
      <c r="E4129" s="293">
        <v>-4.0025587133327378E-2</v>
      </c>
      <c r="F4129" s="266">
        <f t="shared" si="198"/>
        <v>4122</v>
      </c>
      <c r="G4129" s="230">
        <f t="shared" ca="1" si="197"/>
        <v>-1.5765442235467372E-2</v>
      </c>
    </row>
    <row r="4130" spans="2:7" x14ac:dyDescent="0.25">
      <c r="B4130" s="348">
        <v>39607</v>
      </c>
      <c r="C4130" s="293">
        <v>44.8</v>
      </c>
      <c r="D4130" s="230">
        <f t="shared" si="196"/>
        <v>1.2429378531073398E-2</v>
      </c>
      <c r="E4130" s="293">
        <v>-4.0214042484190138E-2</v>
      </c>
      <c r="F4130" s="266">
        <f t="shared" si="198"/>
        <v>4123</v>
      </c>
      <c r="G4130" s="230">
        <f t="shared" ca="1" si="197"/>
        <v>1.4287377643878305E-2</v>
      </c>
    </row>
    <row r="4131" spans="2:7" x14ac:dyDescent="0.25">
      <c r="B4131" s="348">
        <v>39576</v>
      </c>
      <c r="C4131" s="293">
        <v>44.25</v>
      </c>
      <c r="D4131" s="230">
        <f t="shared" si="196"/>
        <v>3.7514654161781902E-2</v>
      </c>
      <c r="E4131" s="293">
        <v>-4.0355264292489368E-2</v>
      </c>
      <c r="F4131" s="266">
        <f t="shared" si="198"/>
        <v>4124</v>
      </c>
      <c r="G4131" s="230">
        <f t="shared" ca="1" si="197"/>
        <v>5.3377388712740051E-3</v>
      </c>
    </row>
    <row r="4132" spans="2:7" x14ac:dyDescent="0.25">
      <c r="B4132" s="348">
        <v>39546</v>
      </c>
      <c r="C4132" s="293">
        <v>42.65</v>
      </c>
      <c r="D4132" s="230">
        <f t="shared" si="196"/>
        <v>-5.5957099557006895E-3</v>
      </c>
      <c r="E4132" s="293">
        <v>-4.0400667779632804E-2</v>
      </c>
      <c r="F4132" s="266">
        <f t="shared" si="198"/>
        <v>4125</v>
      </c>
      <c r="G4132" s="230">
        <f t="shared" ca="1" si="197"/>
        <v>-8.4972716702907958E-3</v>
      </c>
    </row>
    <row r="4133" spans="2:7" x14ac:dyDescent="0.25">
      <c r="B4133" s="348">
        <v>39455</v>
      </c>
      <c r="C4133" s="293">
        <v>42.89</v>
      </c>
      <c r="D4133" s="230">
        <f t="shared" si="196"/>
        <v>4.4314584855125405E-2</v>
      </c>
      <c r="E4133" s="293">
        <v>-4.0445353328788958E-2</v>
      </c>
      <c r="F4133" s="266">
        <f t="shared" si="198"/>
        <v>4126</v>
      </c>
      <c r="G4133" s="230">
        <f t="shared" ca="1" si="197"/>
        <v>-2.2880514190816499E-2</v>
      </c>
    </row>
    <row r="4134" spans="2:7" x14ac:dyDescent="0.25">
      <c r="B4134" s="348" t="s">
        <v>3056</v>
      </c>
      <c r="C4134" s="293">
        <v>41.07</v>
      </c>
      <c r="D4134" s="230">
        <f t="shared" si="196"/>
        <v>-1.6993776926759185E-2</v>
      </c>
      <c r="E4134" s="293">
        <v>-4.0492540847738678E-2</v>
      </c>
      <c r="F4134" s="266">
        <f t="shared" si="198"/>
        <v>4127</v>
      </c>
      <c r="G4134" s="230">
        <f t="shared" ca="1" si="197"/>
        <v>-9.3590628491067099E-3</v>
      </c>
    </row>
    <row r="4135" spans="2:7" x14ac:dyDescent="0.25">
      <c r="B4135" s="348" t="s">
        <v>3057</v>
      </c>
      <c r="C4135" s="293">
        <v>41.78</v>
      </c>
      <c r="D4135" s="230">
        <f t="shared" si="196"/>
        <v>4.9485054006531026E-2</v>
      </c>
      <c r="E4135" s="293">
        <v>-4.0561224489796044E-2</v>
      </c>
      <c r="F4135" s="266">
        <f t="shared" si="198"/>
        <v>4128</v>
      </c>
      <c r="G4135" s="230">
        <f t="shared" ca="1" si="197"/>
        <v>-7.6384630282347993E-4</v>
      </c>
    </row>
    <row r="4136" spans="2:7" x14ac:dyDescent="0.25">
      <c r="B4136" s="348" t="s">
        <v>3058</v>
      </c>
      <c r="C4136" s="293">
        <v>39.81</v>
      </c>
      <c r="D4136" s="230">
        <f t="shared" si="196"/>
        <v>-1.2648809523809423E-2</v>
      </c>
      <c r="E4136" s="293">
        <v>-4.0718364644541927E-2</v>
      </c>
      <c r="F4136" s="266">
        <f t="shared" si="198"/>
        <v>4129</v>
      </c>
      <c r="G4136" s="230">
        <f t="shared" ca="1" si="197"/>
        <v>-7.0617082156125685E-3</v>
      </c>
    </row>
    <row r="4137" spans="2:7" x14ac:dyDescent="0.25">
      <c r="B4137" s="348" t="s">
        <v>3059</v>
      </c>
      <c r="C4137" s="293">
        <v>40.32</v>
      </c>
      <c r="D4137" s="230">
        <f t="shared" si="196"/>
        <v>1.2416190712689623E-3</v>
      </c>
      <c r="E4137" s="293">
        <v>-4.0884229717411125E-2</v>
      </c>
      <c r="F4137" s="266">
        <f t="shared" si="198"/>
        <v>4130</v>
      </c>
      <c r="G4137" s="230">
        <f t="shared" ca="1" si="197"/>
        <v>-4.2377579305075554E-2</v>
      </c>
    </row>
    <row r="4138" spans="2:7" x14ac:dyDescent="0.25">
      <c r="B4138" s="348" t="s">
        <v>3060</v>
      </c>
      <c r="C4138" s="293">
        <v>40.270000000000003</v>
      </c>
      <c r="D4138" s="230">
        <f t="shared" si="196"/>
        <v>-9.9230960059537576E-4</v>
      </c>
      <c r="E4138" s="293">
        <v>-4.09733404902487E-2</v>
      </c>
      <c r="F4138" s="266">
        <f t="shared" si="198"/>
        <v>4131</v>
      </c>
      <c r="G4138" s="230">
        <f t="shared" ca="1" si="197"/>
        <v>-2.4069938945419284E-3</v>
      </c>
    </row>
    <row r="4139" spans="2:7" x14ac:dyDescent="0.25">
      <c r="B4139" s="348" t="s">
        <v>3061</v>
      </c>
      <c r="C4139" s="293">
        <v>40.31</v>
      </c>
      <c r="D4139" s="230">
        <f t="shared" si="196"/>
        <v>-2.4801587301581662E-4</v>
      </c>
      <c r="E4139" s="293">
        <v>-4.1049340763898323E-2</v>
      </c>
      <c r="F4139" s="266">
        <f t="shared" si="198"/>
        <v>4132</v>
      </c>
      <c r="G4139" s="230">
        <f t="shared" ca="1" si="197"/>
        <v>-8.9737317685207735E-3</v>
      </c>
    </row>
    <row r="4140" spans="2:7" x14ac:dyDescent="0.25">
      <c r="B4140" s="348" t="s">
        <v>3062</v>
      </c>
      <c r="C4140" s="293">
        <v>40.32</v>
      </c>
      <c r="D4140" s="230">
        <f t="shared" si="196"/>
        <v>3.3051498847040728E-2</v>
      </c>
      <c r="E4140" s="293">
        <v>-4.1366143402630562E-2</v>
      </c>
      <c r="F4140" s="266">
        <f t="shared" si="198"/>
        <v>4133</v>
      </c>
      <c r="G4140" s="230">
        <f t="shared" ca="1" si="197"/>
        <v>9.0586894316717192E-3</v>
      </c>
    </row>
    <row r="4141" spans="2:7" x14ac:dyDescent="0.25">
      <c r="B4141" s="348" t="s">
        <v>3063</v>
      </c>
      <c r="C4141" s="293">
        <v>39.03</v>
      </c>
      <c r="D4141" s="230">
        <f t="shared" si="196"/>
        <v>5.8297180043383801E-2</v>
      </c>
      <c r="E4141" s="293">
        <v>-4.1368122211707492E-2</v>
      </c>
      <c r="F4141" s="266">
        <f t="shared" si="198"/>
        <v>4134</v>
      </c>
      <c r="G4141" s="230">
        <f t="shared" ca="1" si="197"/>
        <v>5.2221465644376039E-3</v>
      </c>
    </row>
    <row r="4142" spans="2:7" x14ac:dyDescent="0.25">
      <c r="B4142" s="348" t="s">
        <v>3064</v>
      </c>
      <c r="C4142" s="293">
        <v>36.880000000000003</v>
      </c>
      <c r="D4142" s="230">
        <f t="shared" si="196"/>
        <v>1.8503175918254566E-2</v>
      </c>
      <c r="E4142" s="293">
        <v>-4.1508591832180364E-2</v>
      </c>
      <c r="F4142" s="266">
        <f t="shared" si="198"/>
        <v>4135</v>
      </c>
      <c r="G4142" s="230">
        <f t="shared" ca="1" si="197"/>
        <v>-6.5712982564500241E-3</v>
      </c>
    </row>
    <row r="4143" spans="2:7" x14ac:dyDescent="0.25">
      <c r="B4143" s="348" t="s">
        <v>3065</v>
      </c>
      <c r="C4143" s="293">
        <v>36.21</v>
      </c>
      <c r="D4143" s="230">
        <f t="shared" si="196"/>
        <v>-3.6711891460494916E-2</v>
      </c>
      <c r="E4143" s="293">
        <v>-4.1920510588917881E-2</v>
      </c>
      <c r="F4143" s="266">
        <f t="shared" si="198"/>
        <v>4136</v>
      </c>
      <c r="G4143" s="230">
        <f t="shared" ca="1" si="197"/>
        <v>-1.7303828064353662E-2</v>
      </c>
    </row>
    <row r="4144" spans="2:7" x14ac:dyDescent="0.25">
      <c r="B4144" s="348" t="s">
        <v>3066</v>
      </c>
      <c r="C4144" s="293">
        <v>37.590000000000003</v>
      </c>
      <c r="D4144" s="230">
        <f t="shared" si="196"/>
        <v>2.6768642447418944E-2</v>
      </c>
      <c r="E4144" s="293">
        <v>-4.2087238644556435E-2</v>
      </c>
      <c r="F4144" s="266">
        <f t="shared" si="198"/>
        <v>4137</v>
      </c>
      <c r="G4144" s="230">
        <f t="shared" ca="1" si="197"/>
        <v>2.9700032954176836E-2</v>
      </c>
    </row>
    <row r="4145" spans="2:7" x14ac:dyDescent="0.25">
      <c r="B4145" s="348" t="s">
        <v>3067</v>
      </c>
      <c r="C4145" s="293">
        <v>36.61</v>
      </c>
      <c r="D4145" s="230">
        <f t="shared" si="196"/>
        <v>-2.086119283230814E-2</v>
      </c>
      <c r="E4145" s="293">
        <v>-4.2274360600295879E-2</v>
      </c>
      <c r="F4145" s="266">
        <f t="shared" si="198"/>
        <v>4138</v>
      </c>
      <c r="G4145" s="230">
        <f t="shared" ca="1" si="197"/>
        <v>-8.7767751149962821E-3</v>
      </c>
    </row>
    <row r="4146" spans="2:7" x14ac:dyDescent="0.25">
      <c r="B4146" s="348" t="s">
        <v>3068</v>
      </c>
      <c r="C4146" s="293">
        <v>37.39</v>
      </c>
      <c r="D4146" s="230">
        <f t="shared" si="196"/>
        <v>-6.1731493099121737E-2</v>
      </c>
      <c r="E4146" s="293">
        <v>-4.3297252289758448E-2</v>
      </c>
      <c r="F4146" s="266">
        <f t="shared" si="198"/>
        <v>4139</v>
      </c>
      <c r="G4146" s="230">
        <f t="shared" ca="1" si="197"/>
        <v>-1.676810645112695E-3</v>
      </c>
    </row>
    <row r="4147" spans="2:7" x14ac:dyDescent="0.25">
      <c r="B4147" s="348" t="s">
        <v>3069</v>
      </c>
      <c r="C4147" s="293">
        <v>39.85</v>
      </c>
      <c r="D4147" s="230">
        <f t="shared" si="196"/>
        <v>-2.2085889570552131E-2</v>
      </c>
      <c r="E4147" s="293">
        <v>-4.3509789702683155E-2</v>
      </c>
      <c r="F4147" s="266">
        <f t="shared" si="198"/>
        <v>4140</v>
      </c>
      <c r="G4147" s="230">
        <f t="shared" ca="1" si="197"/>
        <v>2.4968186501793256E-2</v>
      </c>
    </row>
    <row r="4148" spans="2:7" x14ac:dyDescent="0.25">
      <c r="B4148" s="348">
        <v>39759</v>
      </c>
      <c r="C4148" s="293">
        <v>40.75</v>
      </c>
      <c r="D4148" s="230">
        <f t="shared" si="196"/>
        <v>-4.4548651817115981E-2</v>
      </c>
      <c r="E4148" s="293">
        <v>-4.3864399436802759E-2</v>
      </c>
      <c r="F4148" s="266">
        <f t="shared" si="198"/>
        <v>4141</v>
      </c>
      <c r="G4148" s="230">
        <f t="shared" ca="1" si="197"/>
        <v>2.7710477555635527E-3</v>
      </c>
    </row>
    <row r="4149" spans="2:7" x14ac:dyDescent="0.25">
      <c r="B4149" s="348">
        <v>39728</v>
      </c>
      <c r="C4149" s="293">
        <v>42.65</v>
      </c>
      <c r="D4149" s="230">
        <f t="shared" si="196"/>
        <v>-6.9848661233994358E-3</v>
      </c>
      <c r="E4149" s="293">
        <v>-4.3868739205526808E-2</v>
      </c>
      <c r="F4149" s="266">
        <f t="shared" si="198"/>
        <v>4142</v>
      </c>
      <c r="G4149" s="230">
        <f t="shared" ca="1" si="197"/>
        <v>4.0872252183183952E-2</v>
      </c>
    </row>
    <row r="4150" spans="2:7" x14ac:dyDescent="0.25">
      <c r="B4150" s="348">
        <v>39698</v>
      </c>
      <c r="C4150" s="293">
        <v>42.95</v>
      </c>
      <c r="D4150" s="230">
        <f t="shared" si="196"/>
        <v>3.2451923076923128E-2</v>
      </c>
      <c r="E4150" s="293">
        <v>-4.4134727061556189E-2</v>
      </c>
      <c r="F4150" s="266">
        <f t="shared" si="198"/>
        <v>4143</v>
      </c>
      <c r="G4150" s="230">
        <f t="shared" ca="1" si="197"/>
        <v>-1.6280898294747145E-2</v>
      </c>
    </row>
    <row r="4151" spans="2:7" x14ac:dyDescent="0.25">
      <c r="B4151" s="348">
        <v>39667</v>
      </c>
      <c r="C4151" s="293">
        <v>41.6</v>
      </c>
      <c r="D4151" s="230">
        <f t="shared" si="196"/>
        <v>-4.9794426678848813E-2</v>
      </c>
      <c r="E4151" s="293">
        <v>-4.4207808970635587E-2</v>
      </c>
      <c r="F4151" s="266">
        <f t="shared" si="198"/>
        <v>4144</v>
      </c>
      <c r="G4151" s="230">
        <f t="shared" ca="1" si="197"/>
        <v>5.8210470327504094E-3</v>
      </c>
    </row>
    <row r="4152" spans="2:7" x14ac:dyDescent="0.25">
      <c r="B4152" s="348">
        <v>39636</v>
      </c>
      <c r="C4152" s="293">
        <v>43.78</v>
      </c>
      <c r="D4152" s="230">
        <f t="shared" si="196"/>
        <v>3.5477767265846838E-2</v>
      </c>
      <c r="E4152" s="293">
        <v>-4.4350984515388991E-2</v>
      </c>
      <c r="F4152" s="266">
        <f t="shared" si="198"/>
        <v>4145</v>
      </c>
      <c r="G4152" s="230">
        <f t="shared" ca="1" si="197"/>
        <v>-1.6126098897708448E-2</v>
      </c>
    </row>
    <row r="4153" spans="2:7" x14ac:dyDescent="0.25">
      <c r="B4153" s="348">
        <v>39545</v>
      </c>
      <c r="C4153" s="293">
        <v>42.28</v>
      </c>
      <c r="D4153" s="230">
        <f t="shared" si="196"/>
        <v>-6.11189468735307E-3</v>
      </c>
      <c r="E4153" s="293">
        <v>-4.4548651817115981E-2</v>
      </c>
      <c r="F4153" s="266">
        <f t="shared" si="198"/>
        <v>4146</v>
      </c>
      <c r="G4153" s="230">
        <f t="shared" ca="1" si="197"/>
        <v>2.5485712165221157E-2</v>
      </c>
    </row>
    <row r="4154" spans="2:7" x14ac:dyDescent="0.25">
      <c r="B4154" s="348">
        <v>39514</v>
      </c>
      <c r="C4154" s="293">
        <v>42.54</v>
      </c>
      <c r="D4154" s="230">
        <f t="shared" si="196"/>
        <v>-1.8005540166205036E-2</v>
      </c>
      <c r="E4154" s="293">
        <v>-4.4721666470519006E-2</v>
      </c>
      <c r="F4154" s="266">
        <f t="shared" si="198"/>
        <v>4147</v>
      </c>
      <c r="G4154" s="230">
        <f t="shared" ca="1" si="197"/>
        <v>2.3728348417613532E-3</v>
      </c>
    </row>
    <row r="4155" spans="2:7" x14ac:dyDescent="0.25">
      <c r="B4155" s="348">
        <v>39485</v>
      </c>
      <c r="C4155" s="293">
        <v>43.32</v>
      </c>
      <c r="D4155" s="230">
        <f t="shared" si="196"/>
        <v>5.6585365853658587E-2</v>
      </c>
      <c r="E4155" s="293">
        <v>-4.4748520710059192E-2</v>
      </c>
      <c r="F4155" s="266">
        <f t="shared" si="198"/>
        <v>4148</v>
      </c>
      <c r="G4155" s="230">
        <f t="shared" ca="1" si="197"/>
        <v>-1.0923370566070628E-2</v>
      </c>
    </row>
    <row r="4156" spans="2:7" x14ac:dyDescent="0.25">
      <c r="B4156" s="348">
        <v>39454</v>
      </c>
      <c r="C4156" s="293">
        <v>41</v>
      </c>
      <c r="D4156" s="230">
        <f t="shared" si="196"/>
        <v>-5.7471264367816133E-2</v>
      </c>
      <c r="E4156" s="293">
        <v>-4.5058742225293602E-2</v>
      </c>
      <c r="F4156" s="266">
        <f t="shared" si="198"/>
        <v>4149</v>
      </c>
      <c r="G4156" s="230">
        <f t="shared" ca="1" si="197"/>
        <v>-1.9766824140396559E-3</v>
      </c>
    </row>
    <row r="4157" spans="2:7" x14ac:dyDescent="0.25">
      <c r="B4157" s="348" t="s">
        <v>3070</v>
      </c>
      <c r="C4157" s="293">
        <v>43.5</v>
      </c>
      <c r="D4157" s="230">
        <f t="shared" si="196"/>
        <v>-1.6066100527886151E-3</v>
      </c>
      <c r="E4157" s="293">
        <v>-4.511947127605509E-2</v>
      </c>
      <c r="F4157" s="266">
        <f t="shared" si="198"/>
        <v>4150</v>
      </c>
      <c r="G4157" s="230">
        <f t="shared" ca="1" si="197"/>
        <v>-2.3279512185666561E-3</v>
      </c>
    </row>
    <row r="4158" spans="2:7" x14ac:dyDescent="0.25">
      <c r="B4158" s="348" t="s">
        <v>3071</v>
      </c>
      <c r="C4158" s="293">
        <v>43.57</v>
      </c>
      <c r="D4158" s="230">
        <f t="shared" si="196"/>
        <v>-8.6965632858340247E-2</v>
      </c>
      <c r="E4158" s="293">
        <v>-4.513888888888884E-2</v>
      </c>
      <c r="F4158" s="266">
        <f t="shared" si="198"/>
        <v>4151</v>
      </c>
      <c r="G4158" s="230">
        <f t="shared" ca="1" si="197"/>
        <v>2.8113025811350185E-3</v>
      </c>
    </row>
    <row r="4159" spans="2:7" x14ac:dyDescent="0.25">
      <c r="B4159" s="348" t="s">
        <v>3072</v>
      </c>
      <c r="C4159" s="293">
        <v>47.72</v>
      </c>
      <c r="D4159" s="230">
        <f t="shared" si="196"/>
        <v>6.3279857397504413E-2</v>
      </c>
      <c r="E4159" s="293">
        <v>-4.5178778882147941E-2</v>
      </c>
      <c r="F4159" s="266">
        <f t="shared" si="198"/>
        <v>4152</v>
      </c>
      <c r="G4159" s="230">
        <f t="shared" ca="1" si="197"/>
        <v>2.2651262725435342E-2</v>
      </c>
    </row>
    <row r="4160" spans="2:7" x14ac:dyDescent="0.25">
      <c r="B4160" s="348" t="s">
        <v>3073</v>
      </c>
      <c r="C4160" s="293">
        <v>44.88</v>
      </c>
      <c r="D4160" s="230">
        <f t="shared" si="196"/>
        <v>-3.4423407917383742E-2</v>
      </c>
      <c r="E4160" s="293">
        <v>-4.5554243293403074E-2</v>
      </c>
      <c r="F4160" s="266">
        <f t="shared" si="198"/>
        <v>4153</v>
      </c>
      <c r="G4160" s="230">
        <f t="shared" ca="1" si="197"/>
        <v>1.5920318193324203E-2</v>
      </c>
    </row>
    <row r="4161" spans="2:7" x14ac:dyDescent="0.25">
      <c r="B4161" s="348" t="s">
        <v>3074</v>
      </c>
      <c r="C4161" s="293">
        <v>46.48</v>
      </c>
      <c r="D4161" s="230">
        <f t="shared" si="196"/>
        <v>-1.7751479289940919E-2</v>
      </c>
      <c r="E4161" s="293">
        <v>-4.577165220350532E-2</v>
      </c>
      <c r="F4161" s="266">
        <f t="shared" si="198"/>
        <v>4154</v>
      </c>
      <c r="G4161" s="230">
        <f t="shared" ca="1" si="197"/>
        <v>9.3516301142540521E-3</v>
      </c>
    </row>
    <row r="4162" spans="2:7" x14ac:dyDescent="0.25">
      <c r="B4162" s="348" t="s">
        <v>3075</v>
      </c>
      <c r="C4162" s="293">
        <v>47.32</v>
      </c>
      <c r="D4162" s="230">
        <f t="shared" si="196"/>
        <v>1.0247651579846195E-2</v>
      </c>
      <c r="E4162" s="293">
        <v>-4.6888771373171156E-2</v>
      </c>
      <c r="F4162" s="266">
        <f t="shared" si="198"/>
        <v>4155</v>
      </c>
      <c r="G4162" s="230">
        <f t="shared" ca="1" si="197"/>
        <v>3.0258629621237577E-3</v>
      </c>
    </row>
    <row r="4163" spans="2:7" x14ac:dyDescent="0.25">
      <c r="B4163" s="348" t="s">
        <v>3076</v>
      </c>
      <c r="C4163" s="293">
        <v>46.84</v>
      </c>
      <c r="D4163" s="230">
        <f t="shared" si="196"/>
        <v>-3.4823820317329446E-2</v>
      </c>
      <c r="E4163" s="293">
        <v>-4.751819986763739E-2</v>
      </c>
      <c r="F4163" s="266">
        <f t="shared" si="198"/>
        <v>4156</v>
      </c>
      <c r="G4163" s="230">
        <f t="shared" ca="1" si="197"/>
        <v>2.1310301924168676E-2</v>
      </c>
    </row>
    <row r="4164" spans="2:7" x14ac:dyDescent="0.25">
      <c r="B4164" s="348" t="s">
        <v>3077</v>
      </c>
      <c r="C4164" s="293">
        <v>48.53</v>
      </c>
      <c r="D4164" s="230">
        <f t="shared" si="196"/>
        <v>9.9895941727368154E-3</v>
      </c>
      <c r="E4164" s="293">
        <v>-4.7561950439648282E-2</v>
      </c>
      <c r="F4164" s="266">
        <f t="shared" si="198"/>
        <v>4157</v>
      </c>
      <c r="G4164" s="230">
        <f t="shared" ca="1" si="197"/>
        <v>-2.3066233445862658E-2</v>
      </c>
    </row>
    <row r="4165" spans="2:7" x14ac:dyDescent="0.25">
      <c r="B4165" s="348" t="s">
        <v>3078</v>
      </c>
      <c r="C4165" s="293">
        <v>48.05</v>
      </c>
      <c r="D4165" s="230">
        <f t="shared" si="196"/>
        <v>-1.6779210149375889E-2</v>
      </c>
      <c r="E4165" s="293">
        <v>-4.7707703048638472E-2</v>
      </c>
      <c r="F4165" s="266">
        <f t="shared" si="198"/>
        <v>4158</v>
      </c>
      <c r="G4165" s="230">
        <f t="shared" ca="1" si="197"/>
        <v>8.4430859393834468E-4</v>
      </c>
    </row>
    <row r="4166" spans="2:7" x14ac:dyDescent="0.25">
      <c r="B4166" s="348" t="s">
        <v>3079</v>
      </c>
      <c r="C4166" s="293">
        <v>48.87</v>
      </c>
      <c r="D4166" s="230">
        <f t="shared" si="196"/>
        <v>1.3900414937759287E-2</v>
      </c>
      <c r="E4166" s="293">
        <v>-4.7792628594572673E-2</v>
      </c>
      <c r="F4166" s="266">
        <f t="shared" si="198"/>
        <v>4159</v>
      </c>
      <c r="G4166" s="230">
        <f t="shared" ca="1" si="197"/>
        <v>-8.5217122866988182E-3</v>
      </c>
    </row>
    <row r="4167" spans="2:7" x14ac:dyDescent="0.25">
      <c r="B4167" s="348" t="s">
        <v>3080</v>
      </c>
      <c r="C4167" s="293">
        <v>48.2</v>
      </c>
      <c r="D4167" s="230">
        <f t="shared" si="196"/>
        <v>1.9889970376639976E-2</v>
      </c>
      <c r="E4167" s="293">
        <v>-4.7918807810894193E-2</v>
      </c>
      <c r="F4167" s="266">
        <f t="shared" si="198"/>
        <v>4160</v>
      </c>
      <c r="G4167" s="230">
        <f t="shared" ca="1" si="197"/>
        <v>2.8300474463145785E-2</v>
      </c>
    </row>
    <row r="4168" spans="2:7" x14ac:dyDescent="0.25">
      <c r="B4168" s="348" t="s">
        <v>3081</v>
      </c>
      <c r="C4168" s="293">
        <v>47.26</v>
      </c>
      <c r="D4168" s="230">
        <f t="shared" si="196"/>
        <v>-9.0165653176766947E-3</v>
      </c>
      <c r="E4168" s="293">
        <v>-4.8336798336798381E-2</v>
      </c>
      <c r="F4168" s="266">
        <f t="shared" si="198"/>
        <v>4161</v>
      </c>
      <c r="G4168" s="230">
        <f t="shared" ca="1" si="197"/>
        <v>-1.5641285748226659E-2</v>
      </c>
    </row>
    <row r="4169" spans="2:7" x14ac:dyDescent="0.25">
      <c r="B4169" s="348">
        <v>39788</v>
      </c>
      <c r="C4169" s="293">
        <v>47.69</v>
      </c>
      <c r="D4169" s="230">
        <f t="shared" ref="D4169:D4217" si="199">C4169/C4170-1</f>
        <v>1.274155871734961E-2</v>
      </c>
      <c r="E4169" s="293">
        <v>-4.9083238682459895E-2</v>
      </c>
      <c r="F4169" s="266">
        <f t="shared" si="198"/>
        <v>4162</v>
      </c>
      <c r="G4169" s="230">
        <f t="shared" ref="G4169:G4217" ca="1" si="200">_xlfn.NORM.INV(RAND(),$M$10,$M$11)</f>
        <v>-2.527955679893553E-2</v>
      </c>
    </row>
    <row r="4170" spans="2:7" x14ac:dyDescent="0.25">
      <c r="B4170" s="348">
        <v>39758</v>
      </c>
      <c r="C4170" s="293">
        <v>47.09</v>
      </c>
      <c r="D4170" s="230">
        <f t="shared" si="199"/>
        <v>0</v>
      </c>
      <c r="E4170" s="293">
        <v>-4.9142327306444078E-2</v>
      </c>
      <c r="F4170" s="266">
        <f t="shared" ref="F4170:F4218" si="201">F4169+1</f>
        <v>4163</v>
      </c>
      <c r="G4170" s="230">
        <f t="shared" ca="1" si="200"/>
        <v>-4.2491441823748763E-3</v>
      </c>
    </row>
    <row r="4171" spans="2:7" x14ac:dyDescent="0.25">
      <c r="B4171" s="348">
        <v>39727</v>
      </c>
      <c r="C4171" s="293">
        <v>47.09</v>
      </c>
      <c r="D4171" s="230">
        <f t="shared" si="199"/>
        <v>-8.2139848357201117E-3</v>
      </c>
      <c r="E4171" s="293">
        <v>-4.9378200438917386E-2</v>
      </c>
      <c r="F4171" s="266">
        <f t="shared" si="201"/>
        <v>4164</v>
      </c>
      <c r="G4171" s="230">
        <f t="shared" ca="1" si="200"/>
        <v>-2.8361703523479595E-2</v>
      </c>
    </row>
    <row r="4172" spans="2:7" x14ac:dyDescent="0.25">
      <c r="B4172" s="348">
        <v>39697</v>
      </c>
      <c r="C4172" s="293">
        <v>47.48</v>
      </c>
      <c r="D4172" s="230">
        <f t="shared" si="199"/>
        <v>-5.0210042008401734E-2</v>
      </c>
      <c r="E4172" s="293">
        <v>-4.9426542872747059E-2</v>
      </c>
      <c r="F4172" s="266">
        <f t="shared" si="201"/>
        <v>4165</v>
      </c>
      <c r="G4172" s="230">
        <f t="shared" ca="1" si="200"/>
        <v>-1.243897712051031E-2</v>
      </c>
    </row>
    <row r="4173" spans="2:7" x14ac:dyDescent="0.25">
      <c r="B4173" s="348">
        <v>39605</v>
      </c>
      <c r="C4173" s="293">
        <v>49.99</v>
      </c>
      <c r="D4173" s="230">
        <f t="shared" si="199"/>
        <v>-4.4350984515388991E-2</v>
      </c>
      <c r="E4173" s="293">
        <v>-4.9794426678848813E-2</v>
      </c>
      <c r="F4173" s="266">
        <f t="shared" si="201"/>
        <v>4166</v>
      </c>
      <c r="G4173" s="230">
        <f t="shared" ca="1" si="200"/>
        <v>5.7222115906033532E-3</v>
      </c>
    </row>
    <row r="4174" spans="2:7" x14ac:dyDescent="0.25">
      <c r="B4174" s="348">
        <v>39574</v>
      </c>
      <c r="C4174" s="293">
        <v>52.31</v>
      </c>
      <c r="D4174" s="230">
        <f t="shared" si="199"/>
        <v>6.4292980671414091E-2</v>
      </c>
      <c r="E4174" s="293">
        <v>-4.9803407601572758E-2</v>
      </c>
      <c r="F4174" s="266">
        <f t="shared" si="201"/>
        <v>4167</v>
      </c>
      <c r="G4174" s="230">
        <f t="shared" ca="1" si="200"/>
        <v>1.8292898940366349E-2</v>
      </c>
    </row>
    <row r="4175" spans="2:7" x14ac:dyDescent="0.25">
      <c r="B4175" s="348">
        <v>39544</v>
      </c>
      <c r="C4175" s="293">
        <v>49.15</v>
      </c>
      <c r="D4175" s="230">
        <f t="shared" si="199"/>
        <v>-1.6016016016016099E-2</v>
      </c>
      <c r="E4175" s="293">
        <v>-5.0131926121372072E-2</v>
      </c>
      <c r="F4175" s="266">
        <f t="shared" si="201"/>
        <v>4168</v>
      </c>
      <c r="G4175" s="230">
        <f t="shared" ca="1" si="200"/>
        <v>-1.6705791015454052E-2</v>
      </c>
    </row>
    <row r="4176" spans="2:7" x14ac:dyDescent="0.25">
      <c r="B4176" s="348">
        <v>39513</v>
      </c>
      <c r="C4176" s="293">
        <v>49.95</v>
      </c>
      <c r="D4176" s="230">
        <f t="shared" si="199"/>
        <v>1.2363194162950952E-2</v>
      </c>
      <c r="E4176" s="293">
        <v>-5.0210042008401734E-2</v>
      </c>
      <c r="F4176" s="266">
        <f t="shared" si="201"/>
        <v>4169</v>
      </c>
      <c r="G4176" s="230">
        <f t="shared" ca="1" si="200"/>
        <v>-5.5880865319131012E-3</v>
      </c>
    </row>
    <row r="4177" spans="2:7" x14ac:dyDescent="0.25">
      <c r="B4177" s="348">
        <v>39484</v>
      </c>
      <c r="C4177" s="293">
        <v>49.34</v>
      </c>
      <c r="D4177" s="230">
        <f t="shared" si="199"/>
        <v>-2.0059582919563002E-2</v>
      </c>
      <c r="E4177" s="293">
        <v>-5.0446428571428559E-2</v>
      </c>
      <c r="F4177" s="266">
        <f t="shared" si="201"/>
        <v>4170</v>
      </c>
      <c r="G4177" s="230">
        <f t="shared" ca="1" si="200"/>
        <v>-2.0313558757421891E-2</v>
      </c>
    </row>
    <row r="4178" spans="2:7" x14ac:dyDescent="0.25">
      <c r="B4178" s="348" t="s">
        <v>3082</v>
      </c>
      <c r="C4178" s="293">
        <v>50.35</v>
      </c>
      <c r="D4178" s="230">
        <f t="shared" si="199"/>
        <v>-4.5472518782126992E-3</v>
      </c>
      <c r="E4178" s="293">
        <v>-5.1314781720704694E-2</v>
      </c>
      <c r="F4178" s="266">
        <f t="shared" si="201"/>
        <v>4171</v>
      </c>
      <c r="G4178" s="230">
        <f t="shared" ca="1" si="200"/>
        <v>-2.479480809500592E-3</v>
      </c>
    </row>
    <row r="4179" spans="2:7" x14ac:dyDescent="0.25">
      <c r="B4179" s="348" t="s">
        <v>3083</v>
      </c>
      <c r="C4179" s="293">
        <v>50.58</v>
      </c>
      <c r="D4179" s="230">
        <f t="shared" si="199"/>
        <v>7.9713033080908158E-3</v>
      </c>
      <c r="E4179" s="293">
        <v>-5.1664355062413292E-2</v>
      </c>
      <c r="F4179" s="266">
        <f t="shared" si="201"/>
        <v>4172</v>
      </c>
      <c r="G4179" s="230">
        <f t="shared" ca="1" si="200"/>
        <v>6.8808188893139475E-3</v>
      </c>
    </row>
    <row r="4180" spans="2:7" x14ac:dyDescent="0.25">
      <c r="B4180" s="348" t="s">
        <v>3084</v>
      </c>
      <c r="C4180" s="293">
        <v>50.18</v>
      </c>
      <c r="D4180" s="230">
        <f t="shared" si="199"/>
        <v>3.39995878837831E-2</v>
      </c>
      <c r="E4180" s="293">
        <v>-5.182384341637003E-2</v>
      </c>
      <c r="F4180" s="266">
        <f t="shared" si="201"/>
        <v>4173</v>
      </c>
      <c r="G4180" s="230">
        <f t="shared" ca="1" si="200"/>
        <v>1.3527345233031058E-2</v>
      </c>
    </row>
    <row r="4181" spans="2:7" x14ac:dyDescent="0.25">
      <c r="B4181" s="348" t="s">
        <v>3085</v>
      </c>
      <c r="C4181" s="293">
        <v>48.53</v>
      </c>
      <c r="D4181" s="230">
        <f t="shared" si="199"/>
        <v>2.51373046049852E-2</v>
      </c>
      <c r="E4181" s="293">
        <v>-5.2132701421801042E-2</v>
      </c>
      <c r="F4181" s="266">
        <f t="shared" si="201"/>
        <v>4174</v>
      </c>
      <c r="G4181" s="230">
        <f t="shared" ca="1" si="200"/>
        <v>9.5352960128418304E-3</v>
      </c>
    </row>
    <row r="4182" spans="2:7" x14ac:dyDescent="0.25">
      <c r="B4182" s="348" t="s">
        <v>3086</v>
      </c>
      <c r="C4182" s="293">
        <v>47.34</v>
      </c>
      <c r="D4182" s="230">
        <f t="shared" si="199"/>
        <v>-4.62573591253157E-3</v>
      </c>
      <c r="E4182" s="293">
        <v>-5.26685393258427E-2</v>
      </c>
      <c r="F4182" s="266">
        <f t="shared" si="201"/>
        <v>4175</v>
      </c>
      <c r="G4182" s="230">
        <f t="shared" ca="1" si="200"/>
        <v>-7.838715987694693E-3</v>
      </c>
    </row>
    <row r="4183" spans="2:7" x14ac:dyDescent="0.25">
      <c r="B4183" s="348" t="s">
        <v>3087</v>
      </c>
      <c r="C4183" s="293">
        <v>47.56</v>
      </c>
      <c r="D4183" s="230">
        <f t="shared" si="199"/>
        <v>-1.5932133250568969E-2</v>
      </c>
      <c r="E4183" s="293">
        <v>-5.2830188679245382E-2</v>
      </c>
      <c r="F4183" s="266">
        <f t="shared" si="201"/>
        <v>4176</v>
      </c>
      <c r="G4183" s="230">
        <f t="shared" ca="1" si="200"/>
        <v>4.6935350037317445E-3</v>
      </c>
    </row>
    <row r="4184" spans="2:7" x14ac:dyDescent="0.25">
      <c r="B4184" s="348" t="s">
        <v>3088</v>
      </c>
      <c r="C4184" s="293">
        <v>48.33</v>
      </c>
      <c r="D4184" s="230">
        <f t="shared" si="199"/>
        <v>-1.3472137170851273E-2</v>
      </c>
      <c r="E4184" s="293">
        <v>-5.3351844506148272E-2</v>
      </c>
      <c r="F4184" s="266">
        <f t="shared" si="201"/>
        <v>4177</v>
      </c>
      <c r="G4184" s="230">
        <f t="shared" ca="1" si="200"/>
        <v>-7.0903778555808216E-4</v>
      </c>
    </row>
    <row r="4185" spans="2:7" x14ac:dyDescent="0.25">
      <c r="B4185" s="348" t="s">
        <v>3089</v>
      </c>
      <c r="C4185" s="293">
        <v>48.99</v>
      </c>
      <c r="D4185" s="230">
        <f t="shared" si="199"/>
        <v>-2.8495827396702866E-3</v>
      </c>
      <c r="E4185" s="293">
        <v>-5.4907407407407516E-2</v>
      </c>
      <c r="F4185" s="266">
        <f t="shared" si="201"/>
        <v>4178</v>
      </c>
      <c r="G4185" s="230">
        <f t="shared" ca="1" si="200"/>
        <v>1.0061762041099782E-3</v>
      </c>
    </row>
    <row r="4186" spans="2:7" x14ac:dyDescent="0.25">
      <c r="B4186" s="348" t="s">
        <v>3090</v>
      </c>
      <c r="C4186" s="293">
        <v>49.13</v>
      </c>
      <c r="D4186" s="230">
        <f t="shared" si="199"/>
        <v>-1.7399999999999971E-2</v>
      </c>
      <c r="E4186" s="293">
        <v>-5.7043073341094375E-2</v>
      </c>
      <c r="F4186" s="266">
        <f t="shared" si="201"/>
        <v>4179</v>
      </c>
      <c r="G4186" s="230">
        <f t="shared" ca="1" si="200"/>
        <v>1.6922879493478149E-2</v>
      </c>
    </row>
    <row r="4187" spans="2:7" x14ac:dyDescent="0.25">
      <c r="B4187" s="348" t="s">
        <v>3091</v>
      </c>
      <c r="C4187" s="293">
        <v>50</v>
      </c>
      <c r="D4187" s="230">
        <f t="shared" si="199"/>
        <v>-9.3124628492173844E-3</v>
      </c>
      <c r="E4187" s="293">
        <v>-5.7215619694397368E-2</v>
      </c>
      <c r="F4187" s="266">
        <f t="shared" si="201"/>
        <v>4180</v>
      </c>
      <c r="G4187" s="230">
        <f t="shared" ca="1" si="200"/>
        <v>2.2544136831680675E-2</v>
      </c>
    </row>
    <row r="4188" spans="2:7" x14ac:dyDescent="0.25">
      <c r="B4188" s="348" t="s">
        <v>3092</v>
      </c>
      <c r="C4188" s="293">
        <v>50.47</v>
      </c>
      <c r="D4188" s="230">
        <f t="shared" si="199"/>
        <v>1.4880353911120192E-2</v>
      </c>
      <c r="E4188" s="293">
        <v>-5.7471264367816133E-2</v>
      </c>
      <c r="F4188" s="266">
        <f t="shared" si="201"/>
        <v>4181</v>
      </c>
      <c r="G4188" s="230">
        <f t="shared" ca="1" si="200"/>
        <v>1.4143458333629056E-2</v>
      </c>
    </row>
    <row r="4189" spans="2:7" x14ac:dyDescent="0.25">
      <c r="B4189" s="348" t="s">
        <v>3093</v>
      </c>
      <c r="C4189" s="293">
        <v>49.73</v>
      </c>
      <c r="D4189" s="230">
        <f t="shared" si="199"/>
        <v>2.0730706075533512E-2</v>
      </c>
      <c r="E4189" s="293">
        <v>-5.8118081180811965E-2</v>
      </c>
      <c r="F4189" s="266">
        <f t="shared" si="201"/>
        <v>4182</v>
      </c>
      <c r="G4189" s="230">
        <f t="shared" ca="1" si="200"/>
        <v>-1.1066806566539213E-2</v>
      </c>
    </row>
    <row r="4190" spans="2:7" x14ac:dyDescent="0.25">
      <c r="B4190" s="348" t="s">
        <v>3094</v>
      </c>
      <c r="C4190" s="293">
        <v>48.72</v>
      </c>
      <c r="D4190" s="230">
        <f t="shared" si="199"/>
        <v>-2.4429315178213784E-2</v>
      </c>
      <c r="E4190" s="293">
        <v>-5.8943781942078388E-2</v>
      </c>
      <c r="F4190" s="266">
        <f t="shared" si="201"/>
        <v>4183</v>
      </c>
      <c r="G4190" s="230">
        <f t="shared" ca="1" si="200"/>
        <v>-7.0324006634901069E-3</v>
      </c>
    </row>
    <row r="4191" spans="2:7" x14ac:dyDescent="0.25">
      <c r="B4191" s="348">
        <v>39787</v>
      </c>
      <c r="C4191" s="293">
        <v>49.94</v>
      </c>
      <c r="D4191" s="230">
        <f t="shared" si="199"/>
        <v>8.2778114274175696E-3</v>
      </c>
      <c r="E4191" s="293">
        <v>-6.0171256653552496E-2</v>
      </c>
      <c r="F4191" s="266">
        <f t="shared" si="201"/>
        <v>4184</v>
      </c>
      <c r="G4191" s="230">
        <f t="shared" ca="1" si="200"/>
        <v>-2.8731517522789775E-2</v>
      </c>
    </row>
    <row r="4192" spans="2:7" x14ac:dyDescent="0.25">
      <c r="B4192" s="348">
        <v>39696</v>
      </c>
      <c r="C4192" s="293">
        <v>49.53</v>
      </c>
      <c r="D4192" s="230">
        <f t="shared" si="199"/>
        <v>8.5522296884545934E-3</v>
      </c>
      <c r="E4192" s="293">
        <v>-6.1463414634146396E-2</v>
      </c>
      <c r="F4192" s="266">
        <f t="shared" si="201"/>
        <v>4185</v>
      </c>
      <c r="G4192" s="230">
        <f t="shared" ca="1" si="200"/>
        <v>1.1998653687566634E-2</v>
      </c>
    </row>
    <row r="4193" spans="2:7" x14ac:dyDescent="0.25">
      <c r="B4193" s="348">
        <v>39665</v>
      </c>
      <c r="C4193" s="293">
        <v>49.11</v>
      </c>
      <c r="D4193" s="230">
        <f t="shared" si="199"/>
        <v>-3.0450669914737771E-3</v>
      </c>
      <c r="E4193" s="293">
        <v>-6.1731493099121737E-2</v>
      </c>
      <c r="F4193" s="266">
        <f t="shared" si="201"/>
        <v>4186</v>
      </c>
      <c r="G4193" s="230">
        <f t="shared" ca="1" si="200"/>
        <v>-1.4795254251287148E-2</v>
      </c>
    </row>
    <row r="4194" spans="2:7" x14ac:dyDescent="0.25">
      <c r="B4194" s="348">
        <v>39634</v>
      </c>
      <c r="C4194" s="293">
        <v>49.26</v>
      </c>
      <c r="D4194" s="230">
        <f t="shared" si="199"/>
        <v>1.8303843807199183E-3</v>
      </c>
      <c r="E4194" s="293">
        <v>-6.2546754218269496E-2</v>
      </c>
      <c r="F4194" s="266">
        <f t="shared" si="201"/>
        <v>4187</v>
      </c>
      <c r="G4194" s="230">
        <f t="shared" ca="1" si="200"/>
        <v>1.2365695373419141E-2</v>
      </c>
    </row>
    <row r="4195" spans="2:7" x14ac:dyDescent="0.25">
      <c r="B4195" s="348">
        <v>39604</v>
      </c>
      <c r="C4195" s="293">
        <v>49.17</v>
      </c>
      <c r="D4195" s="230">
        <f t="shared" si="199"/>
        <v>1.444192283886947E-2</v>
      </c>
      <c r="E4195" s="293">
        <v>-6.5696855936180243E-2</v>
      </c>
      <c r="F4195" s="266">
        <f t="shared" si="201"/>
        <v>4188</v>
      </c>
      <c r="G4195" s="230">
        <f t="shared" ca="1" si="200"/>
        <v>-4.0388151216499196E-3</v>
      </c>
    </row>
    <row r="4196" spans="2:7" x14ac:dyDescent="0.25">
      <c r="B4196" s="348">
        <v>39573</v>
      </c>
      <c r="C4196" s="293">
        <v>48.47</v>
      </c>
      <c r="D4196" s="230">
        <f t="shared" si="199"/>
        <v>-2.3766364551862984E-2</v>
      </c>
      <c r="E4196" s="293">
        <v>-6.5834767641996472E-2</v>
      </c>
      <c r="F4196" s="266">
        <f t="shared" si="201"/>
        <v>4189</v>
      </c>
      <c r="G4196" s="230">
        <f t="shared" ca="1" si="200"/>
        <v>2.8649806776545675E-2</v>
      </c>
    </row>
    <row r="4197" spans="2:7" x14ac:dyDescent="0.25">
      <c r="B4197" s="348">
        <v>39483</v>
      </c>
      <c r="C4197" s="293">
        <v>49.65</v>
      </c>
      <c r="D4197" s="230">
        <f t="shared" si="199"/>
        <v>2.7524834437085977E-2</v>
      </c>
      <c r="E4197" s="293">
        <v>-6.7728720983158852E-2</v>
      </c>
      <c r="F4197" s="266">
        <f t="shared" si="201"/>
        <v>4190</v>
      </c>
      <c r="G4197" s="230">
        <f t="shared" ca="1" si="200"/>
        <v>-2.4455137153463868E-2</v>
      </c>
    </row>
    <row r="4198" spans="2:7" x14ac:dyDescent="0.25">
      <c r="B4198" s="348" t="s">
        <v>3095</v>
      </c>
      <c r="C4198" s="293">
        <v>48.32</v>
      </c>
      <c r="D4198" s="230">
        <f t="shared" si="199"/>
        <v>2.0485744456177457E-2</v>
      </c>
      <c r="E4198" s="293">
        <v>-6.7809239940387456E-2</v>
      </c>
      <c r="F4198" s="266">
        <f t="shared" si="201"/>
        <v>4191</v>
      </c>
      <c r="G4198" s="230">
        <f t="shared" ca="1" si="200"/>
        <v>-8.6413126430170458E-3</v>
      </c>
    </row>
    <row r="4199" spans="2:7" x14ac:dyDescent="0.25">
      <c r="B4199" s="348" t="s">
        <v>3096</v>
      </c>
      <c r="C4199" s="293">
        <v>47.35</v>
      </c>
      <c r="D4199" s="230">
        <f t="shared" si="199"/>
        <v>4.5484654449105877E-2</v>
      </c>
      <c r="E4199" s="293">
        <v>-6.7829972868010846E-2</v>
      </c>
      <c r="F4199" s="266">
        <f t="shared" si="201"/>
        <v>4192</v>
      </c>
      <c r="G4199" s="230">
        <f t="shared" ca="1" si="200"/>
        <v>1.8118238605095605E-3</v>
      </c>
    </row>
    <row r="4200" spans="2:7" x14ac:dyDescent="0.25">
      <c r="B4200" s="348" t="s">
        <v>3097</v>
      </c>
      <c r="C4200" s="293">
        <v>45.29</v>
      </c>
      <c r="D4200" s="230">
        <f t="shared" si="199"/>
        <v>-1.7783561049663832E-2</v>
      </c>
      <c r="E4200" s="293">
        <v>-6.8205944798301443E-2</v>
      </c>
      <c r="F4200" s="266">
        <f t="shared" si="201"/>
        <v>4193</v>
      </c>
      <c r="G4200" s="230">
        <f t="shared" ca="1" si="200"/>
        <v>-1.0762288538294609E-2</v>
      </c>
    </row>
    <row r="4201" spans="2:7" x14ac:dyDescent="0.25">
      <c r="B4201" s="348" t="s">
        <v>3098</v>
      </c>
      <c r="C4201" s="293">
        <v>46.11</v>
      </c>
      <c r="D4201" s="230">
        <f t="shared" si="199"/>
        <v>3.7112010796221284E-2</v>
      </c>
      <c r="E4201" s="293">
        <v>-6.8679692125518055E-2</v>
      </c>
      <c r="F4201" s="266">
        <f t="shared" si="201"/>
        <v>4194</v>
      </c>
      <c r="G4201" s="230">
        <f t="shared" ca="1" si="200"/>
        <v>2.2054569858370274E-2</v>
      </c>
    </row>
    <row r="4202" spans="2:7" x14ac:dyDescent="0.25">
      <c r="B4202" s="348" t="s">
        <v>3099</v>
      </c>
      <c r="C4202" s="293">
        <v>44.46</v>
      </c>
      <c r="D4202" s="230">
        <f t="shared" si="199"/>
        <v>1.4836795252225476E-2</v>
      </c>
      <c r="E4202" s="293">
        <v>-6.9051878354203899E-2</v>
      </c>
      <c r="F4202" s="266">
        <f t="shared" si="201"/>
        <v>4195</v>
      </c>
      <c r="G4202" s="230">
        <f t="shared" ca="1" si="200"/>
        <v>-1.2956226474993808E-2</v>
      </c>
    </row>
    <row r="4203" spans="2:7" x14ac:dyDescent="0.25">
      <c r="B4203" s="348" t="s">
        <v>3100</v>
      </c>
      <c r="C4203" s="293">
        <v>43.81</v>
      </c>
      <c r="D4203" s="230">
        <f t="shared" si="199"/>
        <v>2.7680037532254342E-2</v>
      </c>
      <c r="E4203" s="293">
        <v>-7.0522487359176766E-2</v>
      </c>
      <c r="F4203" s="266">
        <f t="shared" si="201"/>
        <v>4196</v>
      </c>
      <c r="G4203" s="230">
        <f t="shared" ca="1" si="200"/>
        <v>8.4809230530937703E-3</v>
      </c>
    </row>
    <row r="4204" spans="2:7" x14ac:dyDescent="0.25">
      <c r="B4204" s="348" t="s">
        <v>3101</v>
      </c>
      <c r="C4204" s="293">
        <v>42.63</v>
      </c>
      <c r="D4204" s="230">
        <f t="shared" si="199"/>
        <v>-5.182384341637003E-2</v>
      </c>
      <c r="E4204" s="293">
        <v>-7.0696671079080176E-2</v>
      </c>
      <c r="F4204" s="266">
        <f t="shared" si="201"/>
        <v>4197</v>
      </c>
      <c r="G4204" s="230">
        <f t="shared" ca="1" si="200"/>
        <v>4.769336076540248E-3</v>
      </c>
    </row>
    <row r="4205" spans="2:7" x14ac:dyDescent="0.25">
      <c r="B4205" s="348" t="s">
        <v>3102</v>
      </c>
      <c r="C4205" s="293">
        <v>44.96</v>
      </c>
      <c r="D4205" s="230">
        <f t="shared" si="199"/>
        <v>-9.6916299559470787E-3</v>
      </c>
      <c r="E4205" s="293">
        <v>-7.1536454757654688E-2</v>
      </c>
      <c r="F4205" s="266">
        <f t="shared" si="201"/>
        <v>4198</v>
      </c>
      <c r="G4205" s="230">
        <f t="shared" ca="1" si="200"/>
        <v>-1.2637671003002603E-2</v>
      </c>
    </row>
    <row r="4206" spans="2:7" x14ac:dyDescent="0.25">
      <c r="B4206" s="348" t="s">
        <v>3103</v>
      </c>
      <c r="C4206" s="293">
        <v>45.4</v>
      </c>
      <c r="D4206" s="230">
        <f t="shared" si="199"/>
        <v>2.66847580280416E-2</v>
      </c>
      <c r="E4206" s="293">
        <v>-7.5526506899055823E-2</v>
      </c>
      <c r="F4206" s="266">
        <f t="shared" si="201"/>
        <v>4199</v>
      </c>
      <c r="G4206" s="230">
        <f t="shared" ca="1" si="200"/>
        <v>-5.3209281761125108E-3</v>
      </c>
    </row>
    <row r="4207" spans="2:7" x14ac:dyDescent="0.25">
      <c r="B4207" s="348" t="s">
        <v>3104</v>
      </c>
      <c r="C4207" s="293">
        <v>44.22</v>
      </c>
      <c r="D4207" s="230">
        <f t="shared" si="199"/>
        <v>5.5118110236220597E-2</v>
      </c>
      <c r="E4207" s="293">
        <v>-7.5691411935953412E-2</v>
      </c>
      <c r="F4207" s="266">
        <f t="shared" si="201"/>
        <v>4200</v>
      </c>
      <c r="G4207" s="230">
        <f t="shared" ca="1" si="200"/>
        <v>-1.4913874720726864E-2</v>
      </c>
    </row>
    <row r="4208" spans="2:7" x14ac:dyDescent="0.25">
      <c r="B4208" s="348" t="s">
        <v>3105</v>
      </c>
      <c r="C4208" s="293">
        <v>41.91</v>
      </c>
      <c r="D4208" s="230">
        <f t="shared" si="199"/>
        <v>4.5397854826639827E-2</v>
      </c>
      <c r="E4208" s="293">
        <v>-7.7497534169367333E-2</v>
      </c>
      <c r="F4208" s="266">
        <f t="shared" si="201"/>
        <v>4201</v>
      </c>
      <c r="G4208" s="230">
        <f t="shared" ca="1" si="200"/>
        <v>-3.1458667424397505E-3</v>
      </c>
    </row>
    <row r="4209" spans="2:7" x14ac:dyDescent="0.25">
      <c r="B4209" s="348">
        <v>39756</v>
      </c>
      <c r="C4209" s="293">
        <v>40.090000000000003</v>
      </c>
      <c r="D4209" s="230">
        <f t="shared" si="199"/>
        <v>-4.2225534028811351E-3</v>
      </c>
      <c r="E4209" s="293">
        <v>-7.7731881336838171E-2</v>
      </c>
      <c r="F4209" s="266">
        <f t="shared" si="201"/>
        <v>4202</v>
      </c>
      <c r="G4209" s="230">
        <f t="shared" ca="1" si="200"/>
        <v>-1.8801670549042235E-2</v>
      </c>
    </row>
    <row r="4210" spans="2:7" x14ac:dyDescent="0.25">
      <c r="B4210" s="348">
        <v>39725</v>
      </c>
      <c r="C4210" s="293">
        <v>40.26</v>
      </c>
      <c r="D4210" s="230">
        <f t="shared" si="199"/>
        <v>-9.1065714988926016E-3</v>
      </c>
      <c r="E4210" s="293">
        <v>-8.0346820809248598E-2</v>
      </c>
      <c r="F4210" s="266">
        <f t="shared" si="201"/>
        <v>4203</v>
      </c>
      <c r="G4210" s="230">
        <f t="shared" ca="1" si="200"/>
        <v>3.7129011410367814E-3</v>
      </c>
    </row>
    <row r="4211" spans="2:7" x14ac:dyDescent="0.25">
      <c r="B4211" s="348">
        <v>39695</v>
      </c>
      <c r="C4211" s="293">
        <v>40.630000000000003</v>
      </c>
      <c r="D4211" s="230">
        <f t="shared" si="199"/>
        <v>-7.0869990224828872E-3</v>
      </c>
      <c r="E4211" s="293">
        <v>-8.3005249343832022E-2</v>
      </c>
      <c r="F4211" s="266">
        <f t="shared" si="201"/>
        <v>4204</v>
      </c>
      <c r="G4211" s="230">
        <f t="shared" ca="1" si="200"/>
        <v>6.2846145399100975E-3</v>
      </c>
    </row>
    <row r="4212" spans="2:7" x14ac:dyDescent="0.25">
      <c r="B4212" s="348">
        <v>39664</v>
      </c>
      <c r="C4212" s="293">
        <v>40.92</v>
      </c>
      <c r="D4212" s="230">
        <f t="shared" si="199"/>
        <v>-4.7707703048638472E-2</v>
      </c>
      <c r="E4212" s="293">
        <v>-8.6965632858340247E-2</v>
      </c>
      <c r="F4212" s="266">
        <f t="shared" si="201"/>
        <v>4205</v>
      </c>
      <c r="G4212" s="230">
        <f t="shared" ca="1" si="200"/>
        <v>1.1591376085201778E-2</v>
      </c>
    </row>
    <row r="4213" spans="2:7" x14ac:dyDescent="0.25">
      <c r="B4213" s="348">
        <v>39633</v>
      </c>
      <c r="C4213" s="293">
        <v>42.97</v>
      </c>
      <c r="D4213" s="230">
        <f t="shared" si="199"/>
        <v>4.753778644563611E-2</v>
      </c>
      <c r="E4213" s="293">
        <v>-8.7845968712394806E-2</v>
      </c>
      <c r="F4213" s="266">
        <f t="shared" si="201"/>
        <v>4206</v>
      </c>
      <c r="G4213" s="230">
        <f t="shared" ca="1" si="200"/>
        <v>1.4702504796684505E-2</v>
      </c>
    </row>
    <row r="4214" spans="2:7" x14ac:dyDescent="0.25">
      <c r="B4214" s="348">
        <v>39542</v>
      </c>
      <c r="C4214" s="293">
        <v>41.02</v>
      </c>
      <c r="D4214" s="230">
        <f t="shared" si="199"/>
        <v>-4.9142327306444078E-2</v>
      </c>
      <c r="E4214" s="293">
        <v>-8.9361702127659592E-2</v>
      </c>
      <c r="F4214" s="266">
        <f t="shared" si="201"/>
        <v>4207</v>
      </c>
      <c r="G4214" s="230">
        <f t="shared" ca="1" si="200"/>
        <v>6.8243397074639412E-3</v>
      </c>
    </row>
    <row r="4215" spans="2:7" x14ac:dyDescent="0.25">
      <c r="B4215" s="348">
        <v>39511</v>
      </c>
      <c r="C4215" s="293">
        <v>43.14</v>
      </c>
      <c r="D4215" s="230">
        <f t="shared" si="199"/>
        <v>5.0913520097442211E-2</v>
      </c>
      <c r="E4215" s="293">
        <v>-9.2246949030868719E-2</v>
      </c>
      <c r="F4215" s="266">
        <f t="shared" si="201"/>
        <v>4208</v>
      </c>
      <c r="G4215" s="230">
        <f t="shared" ca="1" si="200"/>
        <v>2.9043939040024297E-3</v>
      </c>
    </row>
    <row r="4216" spans="2:7" x14ac:dyDescent="0.25">
      <c r="B4216" s="348">
        <v>39482</v>
      </c>
      <c r="C4216" s="293">
        <v>41.05</v>
      </c>
      <c r="D4216" s="230">
        <f t="shared" si="199"/>
        <v>1.433160365702979E-2</v>
      </c>
      <c r="E4216" s="293">
        <v>-9.3913744457879811E-2</v>
      </c>
      <c r="F4216" s="266">
        <f t="shared" si="201"/>
        <v>4209</v>
      </c>
      <c r="G4216" s="230">
        <f t="shared" ca="1" si="200"/>
        <v>2.9938987544067999E-2</v>
      </c>
    </row>
    <row r="4217" spans="2:7" x14ac:dyDescent="0.25">
      <c r="B4217" s="348">
        <v>39451</v>
      </c>
      <c r="C4217" s="293">
        <v>40.47</v>
      </c>
      <c r="D4217" s="230">
        <f t="shared" si="199"/>
        <v>-5.26685393258427E-2</v>
      </c>
      <c r="E4217" s="293">
        <v>-0.13638052768487552</v>
      </c>
      <c r="F4217" s="266">
        <f t="shared" si="201"/>
        <v>4210</v>
      </c>
      <c r="G4217" s="230">
        <f t="shared" ca="1" si="200"/>
        <v>2.0375674398203342E-2</v>
      </c>
    </row>
    <row r="4218" spans="2:7" x14ac:dyDescent="0.25">
      <c r="B4218" s="349" t="s">
        <v>3106</v>
      </c>
      <c r="C4218" s="228">
        <v>42.72</v>
      </c>
      <c r="D4218" s="265"/>
      <c r="E4218" s="228"/>
      <c r="F4218" s="265">
        <f t="shared" si="201"/>
        <v>4211</v>
      </c>
      <c r="G4218" s="231"/>
    </row>
    <row r="4219" spans="2:7" x14ac:dyDescent="0.25">
      <c r="F4219" s="1" t="s">
        <v>3107</v>
      </c>
      <c r="G4219" s="1" t="s">
        <v>3107</v>
      </c>
    </row>
  </sheetData>
  <sortState xmlns:xlrd2="http://schemas.microsoft.com/office/spreadsheetml/2017/richdata2" ref="E8:E4217">
    <sortCondition descending="1" ref="E8:E4217"/>
  </sortState>
  <mergeCells count="6">
    <mergeCell ref="B1:B3"/>
    <mergeCell ref="I6:M6"/>
    <mergeCell ref="I8:J8"/>
    <mergeCell ref="I16:J16"/>
    <mergeCell ref="I30:M31"/>
    <mergeCell ref="C1:M3"/>
  </mergeCells>
  <printOptions horizontalCentered="1"/>
  <pageMargins left="0" right="0" top="0" bottom="0" header="0" footer="0"/>
  <pageSetup paperSize="9" scale="10" orientation="landscape" horizontalDpi="1200" verticalDpi="1200" r:id="rId1"/>
  <rowBreaks count="1" manualBreakCount="1">
    <brk id="57" min="1" max="12" man="1"/>
  </rowBreaks>
  <ignoredErrors>
    <ignoredError sqref="M29" formulaRange="1"/>
  </ignoredError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3A440-B809-4E14-960D-3DD8E12EBAD9}">
  <dimension ref="B1:H1306"/>
  <sheetViews>
    <sheetView zoomScale="70" zoomScaleNormal="70" workbookViewId="0"/>
  </sheetViews>
  <sheetFormatPr defaultColWidth="15.77734375" defaultRowHeight="15" x14ac:dyDescent="0.25"/>
  <cols>
    <col min="1" max="1" width="2" style="1" customWidth="1"/>
    <col min="2" max="2" width="44.77734375" style="1" customWidth="1"/>
    <col min="3" max="3" width="8.77734375" style="1" customWidth="1"/>
    <col min="4" max="4" width="15.77734375" style="1" customWidth="1"/>
    <col min="5" max="16384" width="15.77734375" style="1"/>
  </cols>
  <sheetData>
    <row r="1" spans="2:8" x14ac:dyDescent="0.25">
      <c r="B1" s="974" t="s">
        <v>3336</v>
      </c>
      <c r="C1" s="153"/>
      <c r="D1" s="975" t="s">
        <v>3125</v>
      </c>
      <c r="E1" s="975"/>
      <c r="F1" s="975"/>
      <c r="G1" s="975"/>
      <c r="H1" s="975"/>
    </row>
    <row r="2" spans="2:8" x14ac:dyDescent="0.25">
      <c r="B2" s="974"/>
      <c r="C2" s="153"/>
      <c r="D2" s="975"/>
      <c r="E2" s="975"/>
      <c r="F2" s="975"/>
      <c r="G2" s="975"/>
      <c r="H2" s="975"/>
    </row>
    <row r="3" spans="2:8" ht="24.6" x14ac:dyDescent="0.4">
      <c r="B3" s="974"/>
      <c r="C3" s="153"/>
      <c r="D3" s="35" t="s">
        <v>83</v>
      </c>
      <c r="E3" s="35" t="s">
        <v>84</v>
      </c>
      <c r="F3" s="35" t="s">
        <v>85</v>
      </c>
      <c r="G3" s="35" t="s">
        <v>86</v>
      </c>
      <c r="H3" s="35" t="s">
        <v>87</v>
      </c>
    </row>
    <row r="4" spans="2:8" ht="28.2" x14ac:dyDescent="0.5">
      <c r="B4" s="38" t="s">
        <v>121</v>
      </c>
      <c r="C4" s="38"/>
      <c r="D4" s="36">
        <v>44276</v>
      </c>
      <c r="E4" s="36">
        <f>EDATE(D4,12)</f>
        <v>44641</v>
      </c>
      <c r="F4" s="36">
        <f t="shared" ref="F4:H4" si="0">EDATE(E4,12)</f>
        <v>45006</v>
      </c>
      <c r="G4" s="36">
        <f t="shared" si="0"/>
        <v>45372</v>
      </c>
      <c r="H4" s="36">
        <f t="shared" si="0"/>
        <v>45737</v>
      </c>
    </row>
    <row r="5" spans="2:8" ht="15.6" x14ac:dyDescent="0.3">
      <c r="D5" s="240"/>
    </row>
    <row r="6" spans="2:8" x14ac:dyDescent="0.25">
      <c r="B6" s="365" t="s">
        <v>3126</v>
      </c>
      <c r="C6" s="587" t="s">
        <v>112</v>
      </c>
      <c r="D6" s="46">
        <f>'INTRINSIC GROWTH'!D37</f>
        <v>29463</v>
      </c>
      <c r="E6" s="46">
        <f>'INTRINSIC GROWTH'!E37</f>
        <v>31315</v>
      </c>
      <c r="F6" s="46">
        <f>'INTRINSIC GROWTH'!F37</f>
        <v>39397</v>
      </c>
      <c r="G6" s="46">
        <f>'INTRINSIC GROWTH'!G37</f>
        <v>39926</v>
      </c>
      <c r="H6" s="46">
        <f>'INTRINSIC GROWTH'!H37</f>
        <v>49284</v>
      </c>
    </row>
    <row r="7" spans="2:8" x14ac:dyDescent="0.25">
      <c r="B7" s="366" t="s">
        <v>52</v>
      </c>
      <c r="C7" s="589" t="s">
        <v>112</v>
      </c>
      <c r="D7" s="105">
        <f>'BALANCE SHEET'!D39</f>
        <v>82733</v>
      </c>
      <c r="E7" s="105">
        <f>'BALANCE SHEET'!E39</f>
        <v>107046</v>
      </c>
      <c r="F7" s="105">
        <f>'BALANCE SHEET'!F39</f>
        <v>117113</v>
      </c>
      <c r="G7" s="105">
        <f>'BALANCE SHEET'!G39</f>
        <v>114792</v>
      </c>
      <c r="H7" s="105">
        <f>'BALANCE SHEET'!H39</f>
        <v>128184</v>
      </c>
    </row>
    <row r="8" spans="2:8" x14ac:dyDescent="0.25">
      <c r="B8" s="364"/>
      <c r="C8" s="315"/>
      <c r="D8" s="364"/>
      <c r="E8" s="364"/>
      <c r="F8" s="364"/>
      <c r="G8" s="364"/>
      <c r="H8" s="364"/>
    </row>
    <row r="9" spans="2:8" ht="15.6" x14ac:dyDescent="0.3">
      <c r="B9" s="623" t="s">
        <v>3127</v>
      </c>
      <c r="C9" s="591" t="s">
        <v>113</v>
      </c>
      <c r="D9" s="572">
        <f>D6/D7</f>
        <v>0.35612149928081904</v>
      </c>
      <c r="E9" s="572">
        <f t="shared" ref="E9:H9" si="1">E6/E7</f>
        <v>0.29253778749322723</v>
      </c>
      <c r="F9" s="572">
        <f t="shared" si="1"/>
        <v>0.33640159504068717</v>
      </c>
      <c r="G9" s="572">
        <f t="shared" si="1"/>
        <v>0.34781169419471741</v>
      </c>
      <c r="H9" s="572">
        <f t="shared" si="1"/>
        <v>0.38447856206702863</v>
      </c>
    </row>
    <row r="10" spans="2:8" x14ac:dyDescent="0.25">
      <c r="B10" s="364"/>
      <c r="C10" s="315"/>
      <c r="D10" s="364"/>
      <c r="E10" s="364"/>
      <c r="F10" s="364"/>
      <c r="G10" s="364"/>
      <c r="H10" s="364"/>
    </row>
    <row r="11" spans="2:8" x14ac:dyDescent="0.25">
      <c r="B11" s="365" t="s">
        <v>110</v>
      </c>
      <c r="C11" s="587" t="s">
        <v>112</v>
      </c>
      <c r="D11" s="46">
        <f>'PROFIT &amp; LOSS'!D47</f>
        <v>10609</v>
      </c>
      <c r="E11" s="46">
        <f>'PROFIT &amp; LOSS'!E47</f>
        <v>10537</v>
      </c>
      <c r="F11" s="46">
        <f>'PROFIT &amp; LOSS'!F47</f>
        <v>8523</v>
      </c>
      <c r="G11" s="46">
        <f>'PROFIT &amp; LOSS'!G47</f>
        <v>10646</v>
      </c>
      <c r="H11" s="46">
        <f>'PROFIT &amp; LOSS'!H47</f>
        <v>6916</v>
      </c>
    </row>
    <row r="12" spans="2:8" x14ac:dyDescent="0.25">
      <c r="B12" s="366" t="s">
        <v>52</v>
      </c>
      <c r="C12" s="589" t="s">
        <v>112</v>
      </c>
      <c r="D12" s="105">
        <f>D7</f>
        <v>82733</v>
      </c>
      <c r="E12" s="105">
        <f t="shared" ref="E12:H12" si="2">E7</f>
        <v>107046</v>
      </c>
      <c r="F12" s="105">
        <f t="shared" si="2"/>
        <v>117113</v>
      </c>
      <c r="G12" s="105">
        <f t="shared" si="2"/>
        <v>114792</v>
      </c>
      <c r="H12" s="105">
        <f t="shared" si="2"/>
        <v>128184</v>
      </c>
    </row>
    <row r="13" spans="2:8" x14ac:dyDescent="0.25">
      <c r="B13" s="364"/>
      <c r="C13" s="315"/>
      <c r="D13" s="364"/>
      <c r="E13" s="364"/>
      <c r="F13" s="364"/>
      <c r="G13" s="364"/>
      <c r="H13" s="364"/>
    </row>
    <row r="14" spans="2:8" ht="15.6" x14ac:dyDescent="0.3">
      <c r="B14" s="623" t="s">
        <v>3128</v>
      </c>
      <c r="C14" s="591" t="s">
        <v>113</v>
      </c>
      <c r="D14" s="572">
        <f>D11/D12</f>
        <v>0.12823178175576855</v>
      </c>
      <c r="E14" s="572">
        <f t="shared" ref="E14:H14" si="3">E11/E12</f>
        <v>9.8434317956766257E-2</v>
      </c>
      <c r="F14" s="572">
        <f t="shared" si="3"/>
        <v>7.2775866043906318E-2</v>
      </c>
      <c r="G14" s="572">
        <f t="shared" si="3"/>
        <v>9.2741654470694823E-2</v>
      </c>
      <c r="H14" s="572">
        <f t="shared" si="3"/>
        <v>5.3953691568370467E-2</v>
      </c>
    </row>
    <row r="15" spans="2:8" x14ac:dyDescent="0.25">
      <c r="B15" s="364"/>
      <c r="C15" s="315"/>
      <c r="D15" s="364"/>
      <c r="E15" s="364"/>
      <c r="F15" s="364"/>
      <c r="G15" s="364"/>
      <c r="H15" s="364"/>
    </row>
    <row r="16" spans="2:8" x14ac:dyDescent="0.25">
      <c r="B16" s="365" t="s">
        <v>102</v>
      </c>
      <c r="C16" s="587" t="s">
        <v>112</v>
      </c>
      <c r="D16" s="46">
        <f>'PROFIT &amp; LOSS'!D27</f>
        <v>14699</v>
      </c>
      <c r="E16" s="46">
        <f>'PROFIT &amp; LOSS'!E27</f>
        <v>14516</v>
      </c>
      <c r="F16" s="46">
        <f>'PROFIT &amp; LOSS'!F27</f>
        <v>16280</v>
      </c>
      <c r="G16" s="46">
        <f>'PROFIT &amp; LOSS'!G27</f>
        <v>16032</v>
      </c>
      <c r="H16" s="46">
        <f>'PROFIT &amp; LOSS'!H27</f>
        <v>18946</v>
      </c>
    </row>
    <row r="17" spans="2:8" x14ac:dyDescent="0.25">
      <c r="B17" s="366" t="s">
        <v>52</v>
      </c>
      <c r="C17" s="589" t="s">
        <v>112</v>
      </c>
      <c r="D17" s="105">
        <f>D12</f>
        <v>82733</v>
      </c>
      <c r="E17" s="105">
        <f t="shared" ref="E17:H17" si="4">E12</f>
        <v>107046</v>
      </c>
      <c r="F17" s="105">
        <f t="shared" si="4"/>
        <v>117113</v>
      </c>
      <c r="G17" s="105">
        <f t="shared" si="4"/>
        <v>114792</v>
      </c>
      <c r="H17" s="105">
        <f t="shared" si="4"/>
        <v>128184</v>
      </c>
    </row>
    <row r="18" spans="2:8" x14ac:dyDescent="0.25">
      <c r="B18" s="364"/>
      <c r="C18" s="315"/>
      <c r="D18" s="364"/>
      <c r="E18" s="364"/>
      <c r="F18" s="364"/>
      <c r="G18" s="364"/>
      <c r="H18" s="364"/>
    </row>
    <row r="19" spans="2:8" ht="15.6" x14ac:dyDescent="0.3">
      <c r="B19" s="623" t="s">
        <v>3129</v>
      </c>
      <c r="C19" s="591" t="s">
        <v>113</v>
      </c>
      <c r="D19" s="572">
        <f>D16/D17</f>
        <v>0.17766791969347176</v>
      </c>
      <c r="E19" s="572">
        <f t="shared" ref="E19:H19" si="5">E16/E17</f>
        <v>0.13560525381611643</v>
      </c>
      <c r="F19" s="572">
        <f t="shared" si="5"/>
        <v>0.13901104061888944</v>
      </c>
      <c r="G19" s="572">
        <f t="shared" si="5"/>
        <v>0.13966130043905498</v>
      </c>
      <c r="H19" s="572">
        <f t="shared" si="5"/>
        <v>0.14780315796043189</v>
      </c>
    </row>
    <row r="20" spans="2:8" x14ac:dyDescent="0.25">
      <c r="B20" s="364"/>
      <c r="C20" s="315"/>
      <c r="D20" s="364"/>
      <c r="E20" s="364"/>
      <c r="F20" s="364"/>
      <c r="G20" s="364"/>
      <c r="H20" s="364"/>
    </row>
    <row r="21" spans="2:8" x14ac:dyDescent="0.25">
      <c r="B21" s="365" t="s">
        <v>3130</v>
      </c>
      <c r="C21" s="587" t="s">
        <v>112</v>
      </c>
      <c r="D21" s="46">
        <f>'DATA SHEET'!$G$236</f>
        <v>200337.99000000002</v>
      </c>
      <c r="E21" s="46">
        <f>'DATA SHEET'!$G$237</f>
        <v>314044.38300000003</v>
      </c>
      <c r="F21" s="46">
        <f>'DATA SHEET'!$G$238</f>
        <v>100624.348</v>
      </c>
      <c r="G21" s="46">
        <f>'DATA SHEET'!$G$239</f>
        <v>132951.88920000001</v>
      </c>
      <c r="H21" s="46">
        <f>'DATA SHEET'!$G$240</f>
        <v>139447.671</v>
      </c>
    </row>
    <row r="22" spans="2:8" x14ac:dyDescent="0.25">
      <c r="B22" s="366" t="s">
        <v>3131</v>
      </c>
      <c r="C22" s="589" t="s">
        <v>112</v>
      </c>
      <c r="D22" s="105">
        <f>'BALANCE SHEET'!D67</f>
        <v>4678</v>
      </c>
      <c r="E22" s="105">
        <f>'BALANCE SHEET'!E67</f>
        <v>11213</v>
      </c>
      <c r="F22" s="105">
        <f>'BALANCE SHEET'!F67</f>
        <v>12614</v>
      </c>
      <c r="G22" s="105">
        <f>'BALANCE SHEET'!G67</f>
        <v>14878</v>
      </c>
      <c r="H22" s="105">
        <f>'BALANCE SHEET'!H67</f>
        <v>16981</v>
      </c>
    </row>
    <row r="23" spans="2:8" x14ac:dyDescent="0.25">
      <c r="B23" s="364"/>
      <c r="C23" s="315"/>
      <c r="D23" s="364"/>
      <c r="E23" s="364"/>
      <c r="F23" s="364"/>
      <c r="G23" s="364"/>
      <c r="H23" s="364"/>
    </row>
    <row r="24" spans="2:8" ht="15.6" x14ac:dyDescent="0.3">
      <c r="B24" s="624" t="s">
        <v>3132</v>
      </c>
      <c r="C24" s="642" t="s">
        <v>113</v>
      </c>
      <c r="D24" s="626">
        <f>D21/D22</f>
        <v>42.825564343736644</v>
      </c>
      <c r="E24" s="626">
        <f t="shared" ref="E24:H24" si="6">E21/E22</f>
        <v>28.007168732720952</v>
      </c>
      <c r="F24" s="626">
        <f t="shared" si="6"/>
        <v>7.9771958141747268</v>
      </c>
      <c r="G24" s="626">
        <f t="shared" si="6"/>
        <v>8.9361398843930644</v>
      </c>
      <c r="H24" s="627">
        <f t="shared" si="6"/>
        <v>8.2119822743065782</v>
      </c>
    </row>
    <row r="25" spans="2:8" ht="15.6" x14ac:dyDescent="0.3">
      <c r="B25" s="625" t="s">
        <v>3133</v>
      </c>
      <c r="C25" s="634" t="s">
        <v>3107</v>
      </c>
      <c r="D25" s="632">
        <f>D24</f>
        <v>42.825564343736644</v>
      </c>
      <c r="E25" s="632">
        <f t="shared" ref="E25:H25" si="7">E24</f>
        <v>28.007168732720952</v>
      </c>
      <c r="F25" s="632">
        <f t="shared" si="7"/>
        <v>7.9771958141747268</v>
      </c>
      <c r="G25" s="632">
        <f t="shared" si="7"/>
        <v>8.9361398843930644</v>
      </c>
      <c r="H25" s="633">
        <f t="shared" si="7"/>
        <v>8.2119822743065782</v>
      </c>
    </row>
    <row r="26" spans="2:8" x14ac:dyDescent="0.25">
      <c r="B26" s="364"/>
      <c r="C26" s="315"/>
      <c r="D26" s="364"/>
      <c r="E26" s="364"/>
      <c r="F26" s="364"/>
      <c r="G26" s="364"/>
      <c r="H26" s="364"/>
    </row>
    <row r="27" spans="2:8" x14ac:dyDescent="0.25">
      <c r="B27" s="365" t="s">
        <v>3344</v>
      </c>
      <c r="C27" s="587" t="s">
        <v>112</v>
      </c>
      <c r="D27" s="229">
        <f>'PROFIT &amp; LOSS'!D10</f>
        <v>64625</v>
      </c>
      <c r="E27" s="229">
        <f>'PROFIT &amp; LOSS'!E10</f>
        <v>81590</v>
      </c>
      <c r="F27" s="229">
        <f>'PROFIT &amp; LOSS'!F10</f>
        <v>93201</v>
      </c>
      <c r="G27" s="229">
        <f>'PROFIT &amp; LOSS'!G10</f>
        <v>92425</v>
      </c>
      <c r="H27" s="229">
        <f>'PROFIT &amp; LOSS'!H10</f>
        <v>92972</v>
      </c>
    </row>
    <row r="28" spans="2:8" x14ac:dyDescent="0.25">
      <c r="B28" s="366" t="s">
        <v>52</v>
      </c>
      <c r="C28" s="589" t="s">
        <v>112</v>
      </c>
      <c r="D28" s="105">
        <f>D17</f>
        <v>82733</v>
      </c>
      <c r="E28" s="105">
        <f t="shared" ref="E28:H28" si="8">E17</f>
        <v>107046</v>
      </c>
      <c r="F28" s="105">
        <f t="shared" si="8"/>
        <v>117113</v>
      </c>
      <c r="G28" s="105">
        <f t="shared" si="8"/>
        <v>114792</v>
      </c>
      <c r="H28" s="105">
        <f t="shared" si="8"/>
        <v>128184</v>
      </c>
    </row>
    <row r="29" spans="2:8" x14ac:dyDescent="0.25">
      <c r="B29" s="364"/>
      <c r="C29" s="315"/>
      <c r="D29" s="364"/>
      <c r="E29" s="364"/>
      <c r="F29" s="364"/>
      <c r="G29" s="364"/>
      <c r="H29" s="364"/>
    </row>
    <row r="30" spans="2:8" ht="15.6" x14ac:dyDescent="0.3">
      <c r="B30" s="623" t="s">
        <v>3460</v>
      </c>
      <c r="C30" s="591" t="s">
        <v>113</v>
      </c>
      <c r="D30" s="572">
        <f>D27/D28</f>
        <v>0.78112724064158201</v>
      </c>
      <c r="E30" s="572">
        <f t="shared" ref="E30:H30" si="9">E27/E28</f>
        <v>0.76219569157184763</v>
      </c>
      <c r="F30" s="572">
        <f t="shared" si="9"/>
        <v>0.79582113001972454</v>
      </c>
      <c r="G30" s="572">
        <f t="shared" si="9"/>
        <v>0.80515192696355142</v>
      </c>
      <c r="H30" s="572">
        <f t="shared" si="9"/>
        <v>0.72530112962616244</v>
      </c>
    </row>
    <row r="31" spans="2:8" x14ac:dyDescent="0.25">
      <c r="B31" s="364"/>
      <c r="C31" s="315"/>
      <c r="D31" s="364"/>
      <c r="E31" s="364"/>
      <c r="F31" s="364"/>
      <c r="G31" s="364"/>
      <c r="H31" s="364"/>
    </row>
    <row r="32" spans="2:8" ht="15.6" x14ac:dyDescent="0.3">
      <c r="B32" s="367" t="s">
        <v>3134</v>
      </c>
      <c r="C32" s="635"/>
      <c r="D32" s="368"/>
      <c r="E32" s="368"/>
      <c r="F32" s="368"/>
      <c r="G32" s="368"/>
      <c r="H32" s="368"/>
    </row>
    <row r="33" spans="2:8" x14ac:dyDescent="0.25">
      <c r="B33" s="364"/>
      <c r="C33" s="315"/>
      <c r="D33" s="364"/>
      <c r="E33" s="364"/>
      <c r="F33" s="364"/>
      <c r="G33" s="364"/>
      <c r="H33" s="364"/>
    </row>
    <row r="34" spans="2:8" ht="15.6" x14ac:dyDescent="0.3">
      <c r="B34" s="628" t="s">
        <v>3135</v>
      </c>
      <c r="C34" s="636" t="s">
        <v>3339</v>
      </c>
      <c r="D34" s="630">
        <f>(D9*1.2)+(D14*1.4)+(D19*3.3)+(D24*0.6)*(D30*1)</f>
        <v>21.264503371428432</v>
      </c>
      <c r="E34" s="630">
        <f t="shared" ref="E34:H34" si="10">(E9*1.2)+(E14*1.4)+(E19*3.3)+(E24*0.6)*(E30*1)</f>
        <v>13.744516732447936</v>
      </c>
      <c r="F34" s="630">
        <f t="shared" si="10"/>
        <v>4.7733571528877174</v>
      </c>
      <c r="G34" s="630">
        <f t="shared" si="10"/>
        <v>5.325064789262469</v>
      </c>
      <c r="H34" s="631">
        <f t="shared" si="10"/>
        <v>4.598355875960328</v>
      </c>
    </row>
    <row r="35" spans="2:8" ht="15.6" x14ac:dyDescent="0.3">
      <c r="B35" s="629" t="s">
        <v>3136</v>
      </c>
      <c r="C35" s="643" t="s">
        <v>122</v>
      </c>
      <c r="D35" s="679" t="str">
        <f>IF(D34&lt;1.81,"DISTRESSED",IF(D34&gt;3,"STRONG","GREY ZONE"))</f>
        <v>STRONG</v>
      </c>
      <c r="E35" s="679" t="str">
        <f t="shared" ref="E35:H35" si="11">IF(E34&lt;1.81,"DISTRESSED",IF(E34&gt;3,"STRONG","GREY ZONE"))</f>
        <v>STRONG</v>
      </c>
      <c r="F35" s="679" t="str">
        <f t="shared" si="11"/>
        <v>STRONG</v>
      </c>
      <c r="G35" s="679" t="str">
        <f t="shared" si="11"/>
        <v>STRONG</v>
      </c>
      <c r="H35" s="679" t="str">
        <f t="shared" si="11"/>
        <v>STRONG</v>
      </c>
    </row>
    <row r="37" spans="2:8" x14ac:dyDescent="0.25">
      <c r="B37" s="236"/>
      <c r="C37" s="236"/>
      <c r="D37" s="236"/>
      <c r="E37" s="236"/>
      <c r="F37" s="236"/>
      <c r="G37" s="236"/>
      <c r="H37" s="236"/>
    </row>
    <row r="40" spans="2:8" x14ac:dyDescent="0.25">
      <c r="D40" s="241"/>
    </row>
    <row r="41" spans="2:8" ht="15.6" x14ac:dyDescent="0.3">
      <c r="D41" s="240"/>
    </row>
    <row r="42" spans="2:8" ht="15.6" x14ac:dyDescent="0.3">
      <c r="D42" s="240"/>
    </row>
    <row r="43" spans="2:8" ht="15.6" x14ac:dyDescent="0.3">
      <c r="D43" s="240"/>
    </row>
    <row r="44" spans="2:8" ht="15.6" x14ac:dyDescent="0.3">
      <c r="D44" s="240"/>
    </row>
    <row r="45" spans="2:8" ht="15.6" x14ac:dyDescent="0.3">
      <c r="D45" s="240"/>
    </row>
    <row r="46" spans="2:8" ht="15.6" x14ac:dyDescent="0.3">
      <c r="D46" s="240"/>
    </row>
    <row r="47" spans="2:8" ht="15.6" x14ac:dyDescent="0.3">
      <c r="D47" s="240"/>
    </row>
    <row r="48" spans="2:8" ht="15.6" x14ac:dyDescent="0.3">
      <c r="D48" s="240"/>
    </row>
    <row r="49" spans="4:4" ht="15.6" x14ac:dyDescent="0.3">
      <c r="D49" s="240"/>
    </row>
    <row r="50" spans="4:4" ht="15.6" x14ac:dyDescent="0.3">
      <c r="D50" s="240"/>
    </row>
    <row r="51" spans="4:4" ht="15.6" x14ac:dyDescent="0.3">
      <c r="D51" s="240"/>
    </row>
    <row r="52" spans="4:4" ht="15.6" x14ac:dyDescent="0.3">
      <c r="D52" s="240"/>
    </row>
    <row r="53" spans="4:4" ht="15.6" x14ac:dyDescent="0.3">
      <c r="D53" s="240"/>
    </row>
    <row r="54" spans="4:4" ht="15.6" x14ac:dyDescent="0.3">
      <c r="D54" s="240"/>
    </row>
    <row r="55" spans="4:4" ht="15.6" x14ac:dyDescent="0.3">
      <c r="D55" s="240"/>
    </row>
    <row r="56" spans="4:4" ht="15.6" x14ac:dyDescent="0.3">
      <c r="D56" s="240"/>
    </row>
    <row r="57" spans="4:4" ht="15.6" x14ac:dyDescent="0.3">
      <c r="D57" s="240"/>
    </row>
    <row r="58" spans="4:4" ht="15.6" x14ac:dyDescent="0.3">
      <c r="D58" s="240"/>
    </row>
    <row r="59" spans="4:4" ht="15.6" x14ac:dyDescent="0.3">
      <c r="D59" s="240"/>
    </row>
    <row r="60" spans="4:4" ht="15.6" x14ac:dyDescent="0.3">
      <c r="D60" s="240"/>
    </row>
    <row r="61" spans="4:4" ht="15.6" x14ac:dyDescent="0.3">
      <c r="D61" s="240"/>
    </row>
    <row r="62" spans="4:4" ht="15.6" x14ac:dyDescent="0.3">
      <c r="D62" s="240"/>
    </row>
    <row r="63" spans="4:4" ht="15.6" x14ac:dyDescent="0.3">
      <c r="D63" s="240"/>
    </row>
    <row r="64" spans="4:4" ht="15.6" x14ac:dyDescent="0.3">
      <c r="D64" s="240"/>
    </row>
    <row r="65" spans="4:4" ht="15.6" x14ac:dyDescent="0.3">
      <c r="D65" s="240"/>
    </row>
    <row r="66" spans="4:4" ht="15.6" x14ac:dyDescent="0.3">
      <c r="D66" s="240"/>
    </row>
    <row r="67" spans="4:4" ht="15.6" x14ac:dyDescent="0.3">
      <c r="D67" s="240"/>
    </row>
    <row r="68" spans="4:4" ht="15.6" x14ac:dyDescent="0.3">
      <c r="D68" s="240"/>
    </row>
    <row r="69" spans="4:4" ht="15.6" x14ac:dyDescent="0.3">
      <c r="D69" s="240"/>
    </row>
    <row r="70" spans="4:4" ht="15.6" x14ac:dyDescent="0.3">
      <c r="D70" s="240"/>
    </row>
    <row r="71" spans="4:4" ht="15.6" x14ac:dyDescent="0.3">
      <c r="D71" s="240"/>
    </row>
    <row r="72" spans="4:4" ht="15.6" x14ac:dyDescent="0.3">
      <c r="D72" s="240"/>
    </row>
    <row r="73" spans="4:4" ht="15.6" x14ac:dyDescent="0.3">
      <c r="D73" s="240"/>
    </row>
    <row r="74" spans="4:4" ht="15.6" x14ac:dyDescent="0.3">
      <c r="D74" s="240"/>
    </row>
    <row r="75" spans="4:4" ht="15.6" x14ac:dyDescent="0.3">
      <c r="D75" s="240"/>
    </row>
    <row r="76" spans="4:4" ht="15.6" x14ac:dyDescent="0.3">
      <c r="D76" s="240"/>
    </row>
    <row r="77" spans="4:4" ht="15.6" x14ac:dyDescent="0.3">
      <c r="D77" s="240"/>
    </row>
    <row r="78" spans="4:4" ht="15.6" x14ac:dyDescent="0.3">
      <c r="D78" s="240"/>
    </row>
    <row r="79" spans="4:4" ht="15.6" x14ac:dyDescent="0.3">
      <c r="D79" s="240"/>
    </row>
    <row r="80" spans="4:4" ht="15.6" x14ac:dyDescent="0.3">
      <c r="D80" s="240"/>
    </row>
    <row r="81" spans="4:4" ht="15.6" x14ac:dyDescent="0.3">
      <c r="D81" s="240"/>
    </row>
    <row r="82" spans="4:4" ht="15.6" x14ac:dyDescent="0.3">
      <c r="D82" s="240"/>
    </row>
    <row r="83" spans="4:4" ht="15.6" x14ac:dyDescent="0.3">
      <c r="D83" s="240"/>
    </row>
    <row r="84" spans="4:4" ht="15.6" x14ac:dyDescent="0.3">
      <c r="D84" s="240"/>
    </row>
    <row r="85" spans="4:4" ht="15.6" x14ac:dyDescent="0.3">
      <c r="D85" s="240"/>
    </row>
    <row r="86" spans="4:4" ht="15.6" x14ac:dyDescent="0.3">
      <c r="D86" s="240"/>
    </row>
    <row r="87" spans="4:4" ht="15.6" x14ac:dyDescent="0.3">
      <c r="D87" s="240"/>
    </row>
    <row r="88" spans="4:4" ht="15.6" x14ac:dyDescent="0.3">
      <c r="D88" s="240"/>
    </row>
    <row r="89" spans="4:4" ht="15.6" x14ac:dyDescent="0.3">
      <c r="D89" s="240"/>
    </row>
    <row r="90" spans="4:4" ht="15.6" x14ac:dyDescent="0.3">
      <c r="D90" s="240"/>
    </row>
    <row r="91" spans="4:4" ht="15.6" x14ac:dyDescent="0.3">
      <c r="D91" s="240"/>
    </row>
    <row r="92" spans="4:4" ht="15.6" x14ac:dyDescent="0.3">
      <c r="D92" s="240"/>
    </row>
    <row r="93" spans="4:4" ht="15.6" x14ac:dyDescent="0.3">
      <c r="D93" s="240"/>
    </row>
    <row r="94" spans="4:4" ht="15.6" x14ac:dyDescent="0.3">
      <c r="D94" s="240"/>
    </row>
    <row r="95" spans="4:4" ht="15.6" x14ac:dyDescent="0.3">
      <c r="D95" s="240"/>
    </row>
    <row r="96" spans="4:4" ht="15.6" x14ac:dyDescent="0.3">
      <c r="D96" s="240"/>
    </row>
    <row r="97" spans="4:4" ht="15.6" x14ac:dyDescent="0.3">
      <c r="D97" s="240"/>
    </row>
    <row r="98" spans="4:4" ht="15.6" x14ac:dyDescent="0.3">
      <c r="D98" s="240"/>
    </row>
    <row r="99" spans="4:4" ht="15.6" x14ac:dyDescent="0.3">
      <c r="D99" s="240"/>
    </row>
    <row r="100" spans="4:4" ht="15.6" x14ac:dyDescent="0.3">
      <c r="D100" s="240"/>
    </row>
    <row r="101" spans="4:4" ht="15.6" x14ac:dyDescent="0.3">
      <c r="D101" s="240"/>
    </row>
    <row r="102" spans="4:4" ht="15.6" x14ac:dyDescent="0.3">
      <c r="D102" s="240"/>
    </row>
    <row r="103" spans="4:4" ht="15.6" x14ac:dyDescent="0.3">
      <c r="D103" s="240"/>
    </row>
    <row r="104" spans="4:4" ht="15.6" x14ac:dyDescent="0.3">
      <c r="D104" s="240"/>
    </row>
    <row r="105" spans="4:4" ht="15.6" x14ac:dyDescent="0.3">
      <c r="D105" s="240"/>
    </row>
    <row r="106" spans="4:4" ht="15.6" x14ac:dyDescent="0.3">
      <c r="D106" s="240"/>
    </row>
    <row r="107" spans="4:4" ht="15.6" x14ac:dyDescent="0.3">
      <c r="D107" s="240"/>
    </row>
    <row r="108" spans="4:4" ht="15.6" x14ac:dyDescent="0.3">
      <c r="D108" s="240"/>
    </row>
    <row r="109" spans="4:4" ht="15.6" x14ac:dyDescent="0.3">
      <c r="D109" s="240"/>
    </row>
    <row r="110" spans="4:4" ht="15.6" x14ac:dyDescent="0.3">
      <c r="D110" s="240"/>
    </row>
    <row r="111" spans="4:4" ht="15.6" x14ac:dyDescent="0.3">
      <c r="D111" s="240"/>
    </row>
    <row r="112" spans="4:4" ht="15.6" x14ac:dyDescent="0.3">
      <c r="D112" s="240"/>
    </row>
    <row r="113" spans="4:4" ht="15.6" x14ac:dyDescent="0.3">
      <c r="D113" s="240"/>
    </row>
    <row r="114" spans="4:4" ht="15.6" x14ac:dyDescent="0.3">
      <c r="D114" s="240"/>
    </row>
    <row r="115" spans="4:4" ht="15.6" x14ac:dyDescent="0.3">
      <c r="D115" s="240"/>
    </row>
    <row r="116" spans="4:4" ht="15.6" x14ac:dyDescent="0.3">
      <c r="D116" s="240"/>
    </row>
    <row r="117" spans="4:4" ht="15.6" x14ac:dyDescent="0.3">
      <c r="D117" s="240"/>
    </row>
    <row r="118" spans="4:4" ht="15.6" x14ac:dyDescent="0.3">
      <c r="D118" s="240"/>
    </row>
    <row r="119" spans="4:4" ht="15.6" x14ac:dyDescent="0.3">
      <c r="D119" s="240"/>
    </row>
    <row r="120" spans="4:4" ht="15.6" x14ac:dyDescent="0.3">
      <c r="D120" s="240"/>
    </row>
    <row r="121" spans="4:4" ht="15.6" x14ac:dyDescent="0.3">
      <c r="D121" s="240"/>
    </row>
    <row r="122" spans="4:4" ht="15.6" x14ac:dyDescent="0.3">
      <c r="D122" s="240"/>
    </row>
    <row r="123" spans="4:4" ht="15.6" x14ac:dyDescent="0.3">
      <c r="D123" s="240"/>
    </row>
    <row r="124" spans="4:4" ht="15.6" x14ac:dyDescent="0.3">
      <c r="D124" s="240"/>
    </row>
    <row r="125" spans="4:4" ht="15.6" x14ac:dyDescent="0.3">
      <c r="D125" s="240"/>
    </row>
    <row r="126" spans="4:4" ht="15.6" x14ac:dyDescent="0.3">
      <c r="D126" s="240"/>
    </row>
    <row r="127" spans="4:4" ht="15.6" x14ac:dyDescent="0.3">
      <c r="D127" s="240"/>
    </row>
    <row r="128" spans="4:4" ht="15.6" x14ac:dyDescent="0.3">
      <c r="D128" s="240"/>
    </row>
    <row r="129" spans="4:4" ht="15.6" x14ac:dyDescent="0.3">
      <c r="D129" s="240"/>
    </row>
    <row r="130" spans="4:4" ht="15.6" x14ac:dyDescent="0.3">
      <c r="D130" s="240"/>
    </row>
    <row r="131" spans="4:4" ht="15.6" x14ac:dyDescent="0.3">
      <c r="D131" s="240"/>
    </row>
    <row r="132" spans="4:4" ht="15.6" x14ac:dyDescent="0.3">
      <c r="D132" s="240"/>
    </row>
    <row r="133" spans="4:4" ht="15.6" x14ac:dyDescent="0.3">
      <c r="D133" s="240"/>
    </row>
    <row r="134" spans="4:4" ht="15.6" x14ac:dyDescent="0.3">
      <c r="D134" s="240"/>
    </row>
    <row r="135" spans="4:4" ht="15.6" x14ac:dyDescent="0.3">
      <c r="D135" s="240"/>
    </row>
    <row r="136" spans="4:4" ht="15.6" x14ac:dyDescent="0.3">
      <c r="D136" s="240"/>
    </row>
    <row r="137" spans="4:4" ht="15.6" x14ac:dyDescent="0.3">
      <c r="D137" s="240"/>
    </row>
    <row r="138" spans="4:4" ht="15.6" x14ac:dyDescent="0.3">
      <c r="D138" s="240"/>
    </row>
    <row r="139" spans="4:4" ht="15.6" x14ac:dyDescent="0.3">
      <c r="D139" s="240"/>
    </row>
    <row r="140" spans="4:4" ht="15.6" x14ac:dyDescent="0.3">
      <c r="D140" s="240"/>
    </row>
    <row r="141" spans="4:4" ht="15.6" x14ac:dyDescent="0.3">
      <c r="D141" s="240"/>
    </row>
    <row r="142" spans="4:4" ht="15.6" x14ac:dyDescent="0.3">
      <c r="D142" s="240"/>
    </row>
    <row r="143" spans="4:4" ht="15.6" x14ac:dyDescent="0.3">
      <c r="D143" s="240"/>
    </row>
    <row r="144" spans="4:4" ht="15.6" x14ac:dyDescent="0.3">
      <c r="D144" s="240"/>
    </row>
    <row r="145" spans="4:4" ht="15.6" x14ac:dyDescent="0.3">
      <c r="D145" s="240"/>
    </row>
    <row r="146" spans="4:4" ht="15.6" x14ac:dyDescent="0.3">
      <c r="D146" s="240"/>
    </row>
    <row r="147" spans="4:4" ht="15.6" x14ac:dyDescent="0.3">
      <c r="D147" s="240"/>
    </row>
    <row r="148" spans="4:4" ht="15.6" x14ac:dyDescent="0.3">
      <c r="D148" s="240"/>
    </row>
    <row r="149" spans="4:4" ht="15.6" x14ac:dyDescent="0.3">
      <c r="D149" s="240"/>
    </row>
    <row r="150" spans="4:4" ht="15.6" x14ac:dyDescent="0.3">
      <c r="D150" s="240"/>
    </row>
    <row r="151" spans="4:4" ht="15.6" x14ac:dyDescent="0.3">
      <c r="D151" s="240"/>
    </row>
    <row r="152" spans="4:4" ht="15.6" x14ac:dyDescent="0.3">
      <c r="D152" s="240"/>
    </row>
    <row r="153" spans="4:4" ht="15.6" x14ac:dyDescent="0.3">
      <c r="D153" s="240"/>
    </row>
    <row r="154" spans="4:4" ht="15.6" x14ac:dyDescent="0.3">
      <c r="D154" s="240"/>
    </row>
    <row r="155" spans="4:4" ht="15.6" x14ac:dyDescent="0.3">
      <c r="D155" s="240"/>
    </row>
    <row r="156" spans="4:4" ht="15.6" x14ac:dyDescent="0.3">
      <c r="D156" s="240"/>
    </row>
    <row r="157" spans="4:4" ht="15.6" x14ac:dyDescent="0.3">
      <c r="D157" s="240"/>
    </row>
    <row r="158" spans="4:4" ht="15.6" x14ac:dyDescent="0.3">
      <c r="D158" s="240"/>
    </row>
    <row r="159" spans="4:4" ht="15.6" x14ac:dyDescent="0.3">
      <c r="D159" s="240"/>
    </row>
    <row r="160" spans="4:4" ht="15.6" x14ac:dyDescent="0.3">
      <c r="D160" s="240"/>
    </row>
    <row r="161" spans="4:4" ht="15.6" x14ac:dyDescent="0.3">
      <c r="D161" s="240"/>
    </row>
    <row r="162" spans="4:4" ht="15.6" x14ac:dyDescent="0.3">
      <c r="D162" s="240"/>
    </row>
    <row r="163" spans="4:4" ht="15.6" x14ac:dyDescent="0.3">
      <c r="D163" s="240"/>
    </row>
    <row r="164" spans="4:4" ht="15.6" x14ac:dyDescent="0.3">
      <c r="D164" s="240"/>
    </row>
    <row r="165" spans="4:4" ht="15.6" x14ac:dyDescent="0.3">
      <c r="D165" s="240"/>
    </row>
    <row r="166" spans="4:4" ht="15.6" x14ac:dyDescent="0.3">
      <c r="D166" s="240"/>
    </row>
    <row r="167" spans="4:4" ht="15.6" x14ac:dyDescent="0.3">
      <c r="D167" s="240"/>
    </row>
    <row r="168" spans="4:4" ht="15.6" x14ac:dyDescent="0.3">
      <c r="D168" s="240"/>
    </row>
    <row r="169" spans="4:4" ht="15.6" x14ac:dyDescent="0.3">
      <c r="D169" s="240"/>
    </row>
    <row r="170" spans="4:4" ht="15.6" x14ac:dyDescent="0.3">
      <c r="D170" s="240"/>
    </row>
    <row r="171" spans="4:4" ht="15.6" x14ac:dyDescent="0.3">
      <c r="D171" s="240"/>
    </row>
    <row r="172" spans="4:4" ht="15.6" x14ac:dyDescent="0.3">
      <c r="D172" s="240"/>
    </row>
    <row r="173" spans="4:4" ht="15.6" x14ac:dyDescent="0.3">
      <c r="D173" s="240"/>
    </row>
    <row r="174" spans="4:4" ht="15.6" x14ac:dyDescent="0.3">
      <c r="D174" s="240"/>
    </row>
    <row r="175" spans="4:4" ht="15.6" x14ac:dyDescent="0.3">
      <c r="D175" s="240"/>
    </row>
    <row r="176" spans="4:4" ht="15.6" x14ac:dyDescent="0.3">
      <c r="D176" s="240"/>
    </row>
    <row r="177" spans="4:4" ht="15.6" x14ac:dyDescent="0.3">
      <c r="D177" s="240"/>
    </row>
    <row r="178" spans="4:4" ht="15.6" x14ac:dyDescent="0.3">
      <c r="D178" s="240"/>
    </row>
    <row r="179" spans="4:4" ht="15.6" x14ac:dyDescent="0.3">
      <c r="D179" s="240"/>
    </row>
    <row r="180" spans="4:4" ht="15.6" x14ac:dyDescent="0.3">
      <c r="D180" s="240"/>
    </row>
    <row r="181" spans="4:4" ht="15.6" x14ac:dyDescent="0.3">
      <c r="D181" s="240"/>
    </row>
    <row r="182" spans="4:4" ht="15.6" x14ac:dyDescent="0.3">
      <c r="D182" s="240"/>
    </row>
    <row r="183" spans="4:4" ht="15.6" x14ac:dyDescent="0.3">
      <c r="D183" s="240"/>
    </row>
    <row r="184" spans="4:4" ht="15.6" x14ac:dyDescent="0.3">
      <c r="D184" s="240"/>
    </row>
    <row r="185" spans="4:4" ht="15.6" x14ac:dyDescent="0.3">
      <c r="D185" s="240"/>
    </row>
    <row r="186" spans="4:4" ht="15.6" x14ac:dyDescent="0.3">
      <c r="D186" s="240"/>
    </row>
    <row r="187" spans="4:4" ht="15.6" x14ac:dyDescent="0.3">
      <c r="D187" s="240"/>
    </row>
    <row r="188" spans="4:4" ht="15.6" x14ac:dyDescent="0.3">
      <c r="D188" s="240"/>
    </row>
    <row r="189" spans="4:4" ht="15.6" x14ac:dyDescent="0.3">
      <c r="D189" s="240"/>
    </row>
    <row r="190" spans="4:4" ht="15.6" x14ac:dyDescent="0.3">
      <c r="D190" s="240"/>
    </row>
    <row r="191" spans="4:4" ht="15.6" x14ac:dyDescent="0.3">
      <c r="D191" s="240"/>
    </row>
    <row r="192" spans="4:4" ht="15.6" x14ac:dyDescent="0.3">
      <c r="D192" s="240"/>
    </row>
    <row r="193" spans="4:4" ht="15.6" x14ac:dyDescent="0.3">
      <c r="D193" s="240"/>
    </row>
    <row r="194" spans="4:4" ht="15.6" x14ac:dyDescent="0.3">
      <c r="D194" s="240"/>
    </row>
    <row r="195" spans="4:4" ht="15.6" x14ac:dyDescent="0.3">
      <c r="D195" s="240"/>
    </row>
    <row r="196" spans="4:4" ht="15.6" x14ac:dyDescent="0.3">
      <c r="D196" s="240"/>
    </row>
    <row r="197" spans="4:4" ht="15.6" x14ac:dyDescent="0.3">
      <c r="D197" s="240"/>
    </row>
    <row r="198" spans="4:4" ht="15.6" x14ac:dyDescent="0.3">
      <c r="D198" s="240"/>
    </row>
    <row r="199" spans="4:4" ht="15.6" x14ac:dyDescent="0.3">
      <c r="D199" s="240"/>
    </row>
    <row r="200" spans="4:4" ht="15.6" x14ac:dyDescent="0.3">
      <c r="D200" s="240"/>
    </row>
    <row r="201" spans="4:4" ht="15.6" x14ac:dyDescent="0.3">
      <c r="D201" s="240"/>
    </row>
    <row r="202" spans="4:4" ht="15.6" x14ac:dyDescent="0.3">
      <c r="D202" s="240"/>
    </row>
    <row r="203" spans="4:4" ht="15.6" x14ac:dyDescent="0.3">
      <c r="D203" s="240"/>
    </row>
    <row r="204" spans="4:4" ht="15.6" x14ac:dyDescent="0.3">
      <c r="D204" s="240"/>
    </row>
    <row r="205" spans="4:4" ht="15.6" x14ac:dyDescent="0.3">
      <c r="D205" s="240"/>
    </row>
    <row r="206" spans="4:4" ht="15.6" x14ac:dyDescent="0.3">
      <c r="D206" s="240"/>
    </row>
    <row r="207" spans="4:4" ht="15.6" x14ac:dyDescent="0.3">
      <c r="D207" s="240"/>
    </row>
    <row r="208" spans="4:4" ht="15.6" x14ac:dyDescent="0.3">
      <c r="D208" s="240"/>
    </row>
    <row r="209" spans="4:4" ht="15.6" x14ac:dyDescent="0.3">
      <c r="D209" s="240"/>
    </row>
    <row r="210" spans="4:4" ht="15.6" x14ac:dyDescent="0.3">
      <c r="D210" s="240"/>
    </row>
    <row r="211" spans="4:4" ht="15.6" x14ac:dyDescent="0.3">
      <c r="D211" s="240"/>
    </row>
    <row r="212" spans="4:4" ht="15.6" x14ac:dyDescent="0.3">
      <c r="D212" s="240"/>
    </row>
    <row r="213" spans="4:4" ht="15.6" x14ac:dyDescent="0.3">
      <c r="D213" s="240"/>
    </row>
    <row r="214" spans="4:4" ht="15.6" x14ac:dyDescent="0.3">
      <c r="D214" s="240"/>
    </row>
    <row r="215" spans="4:4" ht="15.6" x14ac:dyDescent="0.3">
      <c r="D215" s="240"/>
    </row>
    <row r="216" spans="4:4" ht="15.6" x14ac:dyDescent="0.3">
      <c r="D216" s="240"/>
    </row>
    <row r="217" spans="4:4" ht="15.6" x14ac:dyDescent="0.3">
      <c r="D217" s="240"/>
    </row>
    <row r="218" spans="4:4" ht="15.6" x14ac:dyDescent="0.3">
      <c r="D218" s="240"/>
    </row>
    <row r="219" spans="4:4" ht="15.6" x14ac:dyDescent="0.3">
      <c r="D219" s="240"/>
    </row>
    <row r="220" spans="4:4" ht="15.6" x14ac:dyDescent="0.3">
      <c r="D220" s="240"/>
    </row>
    <row r="221" spans="4:4" ht="15.6" x14ac:dyDescent="0.3">
      <c r="D221" s="240"/>
    </row>
    <row r="222" spans="4:4" ht="15.6" x14ac:dyDescent="0.3">
      <c r="D222" s="240"/>
    </row>
    <row r="223" spans="4:4" ht="15.6" x14ac:dyDescent="0.3">
      <c r="D223" s="240"/>
    </row>
    <row r="224" spans="4:4" ht="15.6" x14ac:dyDescent="0.3">
      <c r="D224" s="240"/>
    </row>
    <row r="225" spans="4:4" ht="15.6" x14ac:dyDescent="0.3">
      <c r="D225" s="240"/>
    </row>
    <row r="226" spans="4:4" ht="15.6" x14ac:dyDescent="0.3">
      <c r="D226" s="240"/>
    </row>
    <row r="227" spans="4:4" ht="15.6" x14ac:dyDescent="0.3">
      <c r="D227" s="240"/>
    </row>
    <row r="228" spans="4:4" ht="15.6" x14ac:dyDescent="0.3">
      <c r="D228" s="240"/>
    </row>
    <row r="229" spans="4:4" ht="15.6" x14ac:dyDescent="0.3">
      <c r="D229" s="240"/>
    </row>
    <row r="230" spans="4:4" ht="15.6" x14ac:dyDescent="0.3">
      <c r="D230" s="240"/>
    </row>
    <row r="231" spans="4:4" ht="15.6" x14ac:dyDescent="0.3">
      <c r="D231" s="240"/>
    </row>
    <row r="232" spans="4:4" ht="15.6" x14ac:dyDescent="0.3">
      <c r="D232" s="240"/>
    </row>
    <row r="233" spans="4:4" ht="15.6" x14ac:dyDescent="0.3">
      <c r="D233" s="240"/>
    </row>
    <row r="234" spans="4:4" ht="15.6" x14ac:dyDescent="0.3">
      <c r="D234" s="240"/>
    </row>
    <row r="235" spans="4:4" ht="15.6" x14ac:dyDescent="0.3">
      <c r="D235" s="240"/>
    </row>
    <row r="236" spans="4:4" ht="15.6" x14ac:dyDescent="0.3">
      <c r="D236" s="240"/>
    </row>
    <row r="237" spans="4:4" ht="15.6" x14ac:dyDescent="0.3">
      <c r="D237" s="240"/>
    </row>
    <row r="238" spans="4:4" ht="15.6" x14ac:dyDescent="0.3">
      <c r="D238" s="240"/>
    </row>
    <row r="239" spans="4:4" ht="15.6" x14ac:dyDescent="0.3">
      <c r="D239" s="240"/>
    </row>
    <row r="240" spans="4:4" ht="15.6" x14ac:dyDescent="0.3">
      <c r="D240" s="240"/>
    </row>
    <row r="241" spans="4:4" ht="15.6" x14ac:dyDescent="0.3">
      <c r="D241" s="240"/>
    </row>
    <row r="242" spans="4:4" ht="15.6" x14ac:dyDescent="0.3">
      <c r="D242" s="240"/>
    </row>
    <row r="243" spans="4:4" ht="15.6" x14ac:dyDescent="0.3">
      <c r="D243" s="240"/>
    </row>
    <row r="244" spans="4:4" ht="15.6" x14ac:dyDescent="0.3">
      <c r="D244" s="240"/>
    </row>
    <row r="245" spans="4:4" ht="15.6" x14ac:dyDescent="0.3">
      <c r="D245" s="240"/>
    </row>
    <row r="246" spans="4:4" ht="15.6" x14ac:dyDescent="0.3">
      <c r="D246" s="240"/>
    </row>
    <row r="247" spans="4:4" ht="15.6" x14ac:dyDescent="0.3">
      <c r="D247" s="240"/>
    </row>
    <row r="248" spans="4:4" ht="15.6" x14ac:dyDescent="0.3">
      <c r="D248" s="240"/>
    </row>
    <row r="249" spans="4:4" ht="15.6" x14ac:dyDescent="0.3">
      <c r="D249" s="240"/>
    </row>
    <row r="250" spans="4:4" ht="15.6" x14ac:dyDescent="0.3">
      <c r="D250" s="240"/>
    </row>
    <row r="251" spans="4:4" ht="15.6" x14ac:dyDescent="0.3">
      <c r="D251" s="240"/>
    </row>
    <row r="252" spans="4:4" ht="15.6" x14ac:dyDescent="0.3">
      <c r="D252" s="240"/>
    </row>
    <row r="253" spans="4:4" ht="15.6" x14ac:dyDescent="0.3">
      <c r="D253" s="240"/>
    </row>
    <row r="254" spans="4:4" ht="15.6" x14ac:dyDescent="0.3">
      <c r="D254" s="240"/>
    </row>
    <row r="255" spans="4:4" ht="15.6" x14ac:dyDescent="0.3">
      <c r="D255" s="240"/>
    </row>
    <row r="256" spans="4:4" ht="15.6" x14ac:dyDescent="0.3">
      <c r="D256" s="240"/>
    </row>
    <row r="257" spans="4:4" ht="15.6" x14ac:dyDescent="0.3">
      <c r="D257" s="240"/>
    </row>
    <row r="258" spans="4:4" ht="15.6" x14ac:dyDescent="0.3">
      <c r="D258" s="240"/>
    </row>
    <row r="259" spans="4:4" ht="15.6" x14ac:dyDescent="0.3">
      <c r="D259" s="240"/>
    </row>
    <row r="260" spans="4:4" ht="15.6" x14ac:dyDescent="0.3">
      <c r="D260" s="240"/>
    </row>
    <row r="261" spans="4:4" ht="15.6" x14ac:dyDescent="0.3">
      <c r="D261" s="240"/>
    </row>
    <row r="262" spans="4:4" ht="15.6" x14ac:dyDescent="0.3">
      <c r="D262" s="240"/>
    </row>
    <row r="263" spans="4:4" ht="15.6" x14ac:dyDescent="0.3">
      <c r="D263" s="240"/>
    </row>
    <row r="264" spans="4:4" ht="15.6" x14ac:dyDescent="0.3">
      <c r="D264" s="240"/>
    </row>
    <row r="265" spans="4:4" ht="15.6" x14ac:dyDescent="0.3">
      <c r="D265" s="240"/>
    </row>
    <row r="266" spans="4:4" ht="15.6" x14ac:dyDescent="0.3">
      <c r="D266" s="240"/>
    </row>
    <row r="267" spans="4:4" ht="15.6" x14ac:dyDescent="0.3">
      <c r="D267" s="240"/>
    </row>
    <row r="268" spans="4:4" ht="15.6" x14ac:dyDescent="0.3">
      <c r="D268" s="240"/>
    </row>
    <row r="269" spans="4:4" ht="15.6" x14ac:dyDescent="0.3">
      <c r="D269" s="240"/>
    </row>
    <row r="270" spans="4:4" ht="15.6" x14ac:dyDescent="0.3">
      <c r="D270" s="240"/>
    </row>
    <row r="271" spans="4:4" ht="15.6" x14ac:dyDescent="0.3">
      <c r="D271" s="240"/>
    </row>
    <row r="272" spans="4:4" ht="15.6" x14ac:dyDescent="0.3">
      <c r="D272" s="240"/>
    </row>
    <row r="273" spans="4:4" ht="15.6" x14ac:dyDescent="0.3">
      <c r="D273" s="240"/>
    </row>
    <row r="274" spans="4:4" ht="15.6" x14ac:dyDescent="0.3">
      <c r="D274" s="240"/>
    </row>
    <row r="275" spans="4:4" ht="15.6" x14ac:dyDescent="0.3">
      <c r="D275" s="240"/>
    </row>
    <row r="276" spans="4:4" ht="15.6" x14ac:dyDescent="0.3">
      <c r="D276" s="240"/>
    </row>
    <row r="277" spans="4:4" ht="15.6" x14ac:dyDescent="0.3">
      <c r="D277" s="240"/>
    </row>
    <row r="278" spans="4:4" ht="15.6" x14ac:dyDescent="0.3">
      <c r="D278" s="240"/>
    </row>
    <row r="279" spans="4:4" ht="15.6" x14ac:dyDescent="0.3">
      <c r="D279" s="240"/>
    </row>
    <row r="280" spans="4:4" ht="15.6" x14ac:dyDescent="0.3">
      <c r="D280" s="240"/>
    </row>
    <row r="281" spans="4:4" ht="15.6" x14ac:dyDescent="0.3">
      <c r="D281" s="240"/>
    </row>
    <row r="282" spans="4:4" ht="15.6" x14ac:dyDescent="0.3">
      <c r="D282" s="240"/>
    </row>
    <row r="283" spans="4:4" ht="15.6" x14ac:dyDescent="0.3">
      <c r="D283" s="240"/>
    </row>
    <row r="284" spans="4:4" ht="15.6" x14ac:dyDescent="0.3">
      <c r="D284" s="240"/>
    </row>
    <row r="285" spans="4:4" ht="15.6" x14ac:dyDescent="0.3">
      <c r="D285" s="240"/>
    </row>
    <row r="286" spans="4:4" ht="15.6" x14ac:dyDescent="0.3">
      <c r="D286" s="240"/>
    </row>
    <row r="287" spans="4:4" ht="15.6" x14ac:dyDescent="0.3">
      <c r="D287" s="240"/>
    </row>
    <row r="288" spans="4:4" ht="15.6" x14ac:dyDescent="0.3">
      <c r="D288" s="240"/>
    </row>
    <row r="289" spans="4:4" ht="15.6" x14ac:dyDescent="0.3">
      <c r="D289" s="240"/>
    </row>
    <row r="290" spans="4:4" ht="15.6" x14ac:dyDescent="0.3">
      <c r="D290" s="240"/>
    </row>
    <row r="291" spans="4:4" ht="15.6" x14ac:dyDescent="0.3">
      <c r="D291" s="240"/>
    </row>
    <row r="292" spans="4:4" ht="15.6" x14ac:dyDescent="0.3">
      <c r="D292" s="240"/>
    </row>
    <row r="293" spans="4:4" ht="15.6" x14ac:dyDescent="0.3">
      <c r="D293" s="240"/>
    </row>
    <row r="294" spans="4:4" ht="15.6" x14ac:dyDescent="0.3">
      <c r="D294" s="240"/>
    </row>
    <row r="295" spans="4:4" ht="15.6" x14ac:dyDescent="0.3">
      <c r="D295" s="240"/>
    </row>
    <row r="296" spans="4:4" ht="15.6" x14ac:dyDescent="0.3">
      <c r="D296" s="240"/>
    </row>
    <row r="297" spans="4:4" ht="15.6" x14ac:dyDescent="0.3">
      <c r="D297" s="240"/>
    </row>
    <row r="298" spans="4:4" ht="15.6" x14ac:dyDescent="0.3">
      <c r="D298" s="240"/>
    </row>
    <row r="299" spans="4:4" ht="15.6" x14ac:dyDescent="0.3">
      <c r="D299" s="240"/>
    </row>
    <row r="300" spans="4:4" ht="15.6" x14ac:dyDescent="0.3">
      <c r="D300" s="240"/>
    </row>
    <row r="301" spans="4:4" ht="15.6" x14ac:dyDescent="0.3">
      <c r="D301" s="240"/>
    </row>
    <row r="302" spans="4:4" ht="15.6" x14ac:dyDescent="0.3">
      <c r="D302" s="240"/>
    </row>
    <row r="303" spans="4:4" ht="15.6" x14ac:dyDescent="0.3">
      <c r="D303" s="240"/>
    </row>
    <row r="304" spans="4:4" ht="15.6" x14ac:dyDescent="0.3">
      <c r="D304" s="240"/>
    </row>
    <row r="305" spans="4:4" ht="15.6" x14ac:dyDescent="0.3">
      <c r="D305" s="240"/>
    </row>
    <row r="306" spans="4:4" ht="15.6" x14ac:dyDescent="0.3">
      <c r="D306" s="240"/>
    </row>
    <row r="307" spans="4:4" ht="15.6" x14ac:dyDescent="0.3">
      <c r="D307" s="240"/>
    </row>
    <row r="308" spans="4:4" ht="15.6" x14ac:dyDescent="0.3">
      <c r="D308" s="240"/>
    </row>
    <row r="309" spans="4:4" ht="15.6" x14ac:dyDescent="0.3">
      <c r="D309" s="240"/>
    </row>
    <row r="310" spans="4:4" ht="15.6" x14ac:dyDescent="0.3">
      <c r="D310" s="240"/>
    </row>
    <row r="311" spans="4:4" ht="15.6" x14ac:dyDescent="0.3">
      <c r="D311" s="240"/>
    </row>
    <row r="312" spans="4:4" ht="15.6" x14ac:dyDescent="0.3">
      <c r="D312" s="240"/>
    </row>
    <row r="313" spans="4:4" ht="15.6" x14ac:dyDescent="0.3">
      <c r="D313" s="240"/>
    </row>
    <row r="314" spans="4:4" ht="15.6" x14ac:dyDescent="0.3">
      <c r="D314" s="240"/>
    </row>
    <row r="315" spans="4:4" ht="15.6" x14ac:dyDescent="0.3">
      <c r="D315" s="240"/>
    </row>
    <row r="316" spans="4:4" ht="15.6" x14ac:dyDescent="0.3">
      <c r="D316" s="240"/>
    </row>
    <row r="317" spans="4:4" ht="15.6" x14ac:dyDescent="0.3">
      <c r="D317" s="240"/>
    </row>
    <row r="318" spans="4:4" ht="15.6" x14ac:dyDescent="0.3">
      <c r="D318" s="240"/>
    </row>
    <row r="319" spans="4:4" ht="15.6" x14ac:dyDescent="0.3">
      <c r="D319" s="240"/>
    </row>
    <row r="320" spans="4:4" ht="15.6" x14ac:dyDescent="0.3">
      <c r="D320" s="240"/>
    </row>
    <row r="321" spans="4:4" ht="15.6" x14ac:dyDescent="0.3">
      <c r="D321" s="240"/>
    </row>
    <row r="322" spans="4:4" ht="15.6" x14ac:dyDescent="0.3">
      <c r="D322" s="240"/>
    </row>
    <row r="323" spans="4:4" ht="15.6" x14ac:dyDescent="0.3">
      <c r="D323" s="240"/>
    </row>
    <row r="324" spans="4:4" ht="15.6" x14ac:dyDescent="0.3">
      <c r="D324" s="240"/>
    </row>
    <row r="325" spans="4:4" ht="15.6" x14ac:dyDescent="0.3">
      <c r="D325" s="240"/>
    </row>
    <row r="326" spans="4:4" ht="15.6" x14ac:dyDescent="0.3">
      <c r="D326" s="240"/>
    </row>
    <row r="327" spans="4:4" ht="15.6" x14ac:dyDescent="0.3">
      <c r="D327" s="240"/>
    </row>
    <row r="328" spans="4:4" ht="15.6" x14ac:dyDescent="0.3">
      <c r="D328" s="240"/>
    </row>
    <row r="329" spans="4:4" ht="15.6" x14ac:dyDescent="0.3">
      <c r="D329" s="240"/>
    </row>
    <row r="330" spans="4:4" ht="15.6" x14ac:dyDescent="0.3">
      <c r="D330" s="240"/>
    </row>
    <row r="331" spans="4:4" ht="15.6" x14ac:dyDescent="0.3">
      <c r="D331" s="240"/>
    </row>
    <row r="332" spans="4:4" ht="15.6" x14ac:dyDescent="0.3">
      <c r="D332" s="240"/>
    </row>
    <row r="333" spans="4:4" ht="15.6" x14ac:dyDescent="0.3">
      <c r="D333" s="240"/>
    </row>
    <row r="334" spans="4:4" ht="15.6" x14ac:dyDescent="0.3">
      <c r="D334" s="240"/>
    </row>
    <row r="335" spans="4:4" ht="15.6" x14ac:dyDescent="0.3">
      <c r="D335" s="240"/>
    </row>
    <row r="336" spans="4:4" ht="15.6" x14ac:dyDescent="0.3">
      <c r="D336" s="240"/>
    </row>
    <row r="337" spans="4:4" ht="15.6" x14ac:dyDescent="0.3">
      <c r="D337" s="240"/>
    </row>
    <row r="338" spans="4:4" ht="15.6" x14ac:dyDescent="0.3">
      <c r="D338" s="240"/>
    </row>
    <row r="339" spans="4:4" ht="15.6" x14ac:dyDescent="0.3">
      <c r="D339" s="240"/>
    </row>
    <row r="340" spans="4:4" ht="15.6" x14ac:dyDescent="0.3">
      <c r="D340" s="240"/>
    </row>
    <row r="341" spans="4:4" ht="15.6" x14ac:dyDescent="0.3">
      <c r="D341" s="240"/>
    </row>
    <row r="342" spans="4:4" ht="15.6" x14ac:dyDescent="0.3">
      <c r="D342" s="240"/>
    </row>
    <row r="343" spans="4:4" ht="15.6" x14ac:dyDescent="0.3">
      <c r="D343" s="240"/>
    </row>
    <row r="344" spans="4:4" ht="15.6" x14ac:dyDescent="0.3">
      <c r="D344" s="240"/>
    </row>
    <row r="345" spans="4:4" ht="15.6" x14ac:dyDescent="0.3">
      <c r="D345" s="240"/>
    </row>
    <row r="346" spans="4:4" ht="15.6" x14ac:dyDescent="0.3">
      <c r="D346" s="240"/>
    </row>
    <row r="347" spans="4:4" ht="15.6" x14ac:dyDescent="0.3">
      <c r="D347" s="240"/>
    </row>
    <row r="348" spans="4:4" ht="15.6" x14ac:dyDescent="0.3">
      <c r="D348" s="240"/>
    </row>
    <row r="349" spans="4:4" ht="15.6" x14ac:dyDescent="0.3">
      <c r="D349" s="240"/>
    </row>
    <row r="350" spans="4:4" ht="15.6" x14ac:dyDescent="0.3">
      <c r="D350" s="240"/>
    </row>
    <row r="351" spans="4:4" ht="15.6" x14ac:dyDescent="0.3">
      <c r="D351" s="240"/>
    </row>
    <row r="352" spans="4:4" ht="15.6" x14ac:dyDescent="0.3">
      <c r="D352" s="240"/>
    </row>
    <row r="353" spans="4:4" ht="15.6" x14ac:dyDescent="0.3">
      <c r="D353" s="240"/>
    </row>
    <row r="354" spans="4:4" ht="15.6" x14ac:dyDescent="0.3">
      <c r="D354" s="240"/>
    </row>
    <row r="355" spans="4:4" ht="15.6" x14ac:dyDescent="0.3">
      <c r="D355" s="240"/>
    </row>
    <row r="356" spans="4:4" ht="15.6" x14ac:dyDescent="0.3">
      <c r="D356" s="240"/>
    </row>
    <row r="357" spans="4:4" ht="15.6" x14ac:dyDescent="0.3">
      <c r="D357" s="240"/>
    </row>
    <row r="358" spans="4:4" ht="15.6" x14ac:dyDescent="0.3">
      <c r="D358" s="240"/>
    </row>
    <row r="359" spans="4:4" ht="15.6" x14ac:dyDescent="0.3">
      <c r="D359" s="240"/>
    </row>
    <row r="360" spans="4:4" ht="15.6" x14ac:dyDescent="0.3">
      <c r="D360" s="240"/>
    </row>
    <row r="361" spans="4:4" ht="15.6" x14ac:dyDescent="0.3">
      <c r="D361" s="240"/>
    </row>
    <row r="362" spans="4:4" ht="15.6" x14ac:dyDescent="0.3">
      <c r="D362" s="240"/>
    </row>
    <row r="363" spans="4:4" ht="15.6" x14ac:dyDescent="0.3">
      <c r="D363" s="240"/>
    </row>
    <row r="364" spans="4:4" ht="15.6" x14ac:dyDescent="0.3">
      <c r="D364" s="240"/>
    </row>
    <row r="365" spans="4:4" ht="15.6" x14ac:dyDescent="0.3">
      <c r="D365" s="240"/>
    </row>
    <row r="366" spans="4:4" ht="15.6" x14ac:dyDescent="0.3">
      <c r="D366" s="240"/>
    </row>
    <row r="367" spans="4:4" ht="15.6" x14ac:dyDescent="0.3">
      <c r="D367" s="240"/>
    </row>
    <row r="368" spans="4:4" ht="15.6" x14ac:dyDescent="0.3">
      <c r="D368" s="240"/>
    </row>
    <row r="369" spans="4:4" ht="15.6" x14ac:dyDescent="0.3">
      <c r="D369" s="240"/>
    </row>
    <row r="370" spans="4:4" ht="15.6" x14ac:dyDescent="0.3">
      <c r="D370" s="240"/>
    </row>
    <row r="371" spans="4:4" ht="15.6" x14ac:dyDescent="0.3">
      <c r="D371" s="240"/>
    </row>
    <row r="372" spans="4:4" ht="15.6" x14ac:dyDescent="0.3">
      <c r="D372" s="240"/>
    </row>
    <row r="373" spans="4:4" ht="15.6" x14ac:dyDescent="0.3">
      <c r="D373" s="240"/>
    </row>
    <row r="374" spans="4:4" ht="15.6" x14ac:dyDescent="0.3">
      <c r="D374" s="240"/>
    </row>
    <row r="375" spans="4:4" ht="15.6" x14ac:dyDescent="0.3">
      <c r="D375" s="240"/>
    </row>
    <row r="376" spans="4:4" ht="15.6" x14ac:dyDescent="0.3">
      <c r="D376" s="240"/>
    </row>
    <row r="377" spans="4:4" ht="15.6" x14ac:dyDescent="0.3">
      <c r="D377" s="240"/>
    </row>
    <row r="378" spans="4:4" ht="15.6" x14ac:dyDescent="0.3">
      <c r="D378" s="240"/>
    </row>
    <row r="379" spans="4:4" ht="15.6" x14ac:dyDescent="0.3">
      <c r="D379" s="240"/>
    </row>
    <row r="380" spans="4:4" ht="15.6" x14ac:dyDescent="0.3">
      <c r="D380" s="240"/>
    </row>
    <row r="381" spans="4:4" ht="15.6" x14ac:dyDescent="0.3">
      <c r="D381" s="240"/>
    </row>
    <row r="382" spans="4:4" ht="15.6" x14ac:dyDescent="0.3">
      <c r="D382" s="240"/>
    </row>
    <row r="383" spans="4:4" ht="15.6" x14ac:dyDescent="0.3">
      <c r="D383" s="240"/>
    </row>
    <row r="384" spans="4:4" ht="15.6" x14ac:dyDescent="0.3">
      <c r="D384" s="240"/>
    </row>
    <row r="385" spans="4:4" ht="15.6" x14ac:dyDescent="0.3">
      <c r="D385" s="240"/>
    </row>
    <row r="386" spans="4:4" ht="15.6" x14ac:dyDescent="0.3">
      <c r="D386" s="240"/>
    </row>
    <row r="387" spans="4:4" ht="15.6" x14ac:dyDescent="0.3">
      <c r="D387" s="240"/>
    </row>
    <row r="388" spans="4:4" ht="15.6" x14ac:dyDescent="0.3">
      <c r="D388" s="240"/>
    </row>
    <row r="389" spans="4:4" ht="15.6" x14ac:dyDescent="0.3">
      <c r="D389" s="240"/>
    </row>
    <row r="390" spans="4:4" ht="15.6" x14ac:dyDescent="0.3">
      <c r="D390" s="240"/>
    </row>
    <row r="391" spans="4:4" ht="15.6" x14ac:dyDescent="0.3">
      <c r="D391" s="240"/>
    </row>
    <row r="392" spans="4:4" ht="15.6" x14ac:dyDescent="0.3">
      <c r="D392" s="240"/>
    </row>
    <row r="393" spans="4:4" ht="15.6" x14ac:dyDescent="0.3">
      <c r="D393" s="240"/>
    </row>
    <row r="394" spans="4:4" ht="15.6" x14ac:dyDescent="0.3">
      <c r="D394" s="240"/>
    </row>
    <row r="395" spans="4:4" ht="15.6" x14ac:dyDescent="0.3">
      <c r="D395" s="240"/>
    </row>
    <row r="396" spans="4:4" ht="15.6" x14ac:dyDescent="0.3">
      <c r="D396" s="240"/>
    </row>
    <row r="397" spans="4:4" ht="15.6" x14ac:dyDescent="0.3">
      <c r="D397" s="240"/>
    </row>
    <row r="398" spans="4:4" ht="15.6" x14ac:dyDescent="0.3">
      <c r="D398" s="240"/>
    </row>
    <row r="399" spans="4:4" ht="15.6" x14ac:dyDescent="0.3">
      <c r="D399" s="240"/>
    </row>
    <row r="400" spans="4:4" ht="15.6" x14ac:dyDescent="0.3">
      <c r="D400" s="240"/>
    </row>
    <row r="401" spans="4:4" ht="15.6" x14ac:dyDescent="0.3">
      <c r="D401" s="240"/>
    </row>
    <row r="402" spans="4:4" ht="15.6" x14ac:dyDescent="0.3">
      <c r="D402" s="240"/>
    </row>
    <row r="403" spans="4:4" ht="15.6" x14ac:dyDescent="0.3">
      <c r="D403" s="240"/>
    </row>
    <row r="404" spans="4:4" ht="15.6" x14ac:dyDescent="0.3">
      <c r="D404" s="240"/>
    </row>
    <row r="405" spans="4:4" ht="15.6" x14ac:dyDescent="0.3">
      <c r="D405" s="240"/>
    </row>
    <row r="406" spans="4:4" ht="15.6" x14ac:dyDescent="0.3">
      <c r="D406" s="240"/>
    </row>
    <row r="407" spans="4:4" ht="15.6" x14ac:dyDescent="0.3">
      <c r="D407" s="240"/>
    </row>
    <row r="408" spans="4:4" ht="15.6" x14ac:dyDescent="0.3">
      <c r="D408" s="240"/>
    </row>
    <row r="409" spans="4:4" ht="15.6" x14ac:dyDescent="0.3">
      <c r="D409" s="240"/>
    </row>
    <row r="410" spans="4:4" ht="15.6" x14ac:dyDescent="0.3">
      <c r="D410" s="240"/>
    </row>
    <row r="411" spans="4:4" ht="15.6" x14ac:dyDescent="0.3">
      <c r="D411" s="240"/>
    </row>
    <row r="412" spans="4:4" ht="15.6" x14ac:dyDescent="0.3">
      <c r="D412" s="240"/>
    </row>
    <row r="413" spans="4:4" ht="15.6" x14ac:dyDescent="0.3">
      <c r="D413" s="240"/>
    </row>
    <row r="414" spans="4:4" ht="15.6" x14ac:dyDescent="0.3">
      <c r="D414" s="240"/>
    </row>
    <row r="415" spans="4:4" ht="15.6" x14ac:dyDescent="0.3">
      <c r="D415" s="240"/>
    </row>
    <row r="416" spans="4:4" ht="15.6" x14ac:dyDescent="0.3">
      <c r="D416" s="240"/>
    </row>
    <row r="417" spans="4:4" ht="15.6" x14ac:dyDescent="0.3">
      <c r="D417" s="240"/>
    </row>
    <row r="418" spans="4:4" ht="15.6" x14ac:dyDescent="0.3">
      <c r="D418" s="240"/>
    </row>
    <row r="419" spans="4:4" ht="15.6" x14ac:dyDescent="0.3">
      <c r="D419" s="240"/>
    </row>
    <row r="420" spans="4:4" ht="15.6" x14ac:dyDescent="0.3">
      <c r="D420" s="240"/>
    </row>
    <row r="421" spans="4:4" ht="15.6" x14ac:dyDescent="0.3">
      <c r="D421" s="240"/>
    </row>
    <row r="422" spans="4:4" ht="15.6" x14ac:dyDescent="0.3">
      <c r="D422" s="240"/>
    </row>
    <row r="423" spans="4:4" ht="15.6" x14ac:dyDescent="0.3">
      <c r="D423" s="240"/>
    </row>
    <row r="424" spans="4:4" ht="15.6" x14ac:dyDescent="0.3">
      <c r="D424" s="240"/>
    </row>
    <row r="425" spans="4:4" ht="15.6" x14ac:dyDescent="0.3">
      <c r="D425" s="240"/>
    </row>
    <row r="426" spans="4:4" ht="15.6" x14ac:dyDescent="0.3">
      <c r="D426" s="240"/>
    </row>
    <row r="427" spans="4:4" ht="15.6" x14ac:dyDescent="0.3">
      <c r="D427" s="240"/>
    </row>
    <row r="428" spans="4:4" ht="15.6" x14ac:dyDescent="0.3">
      <c r="D428" s="240"/>
    </row>
    <row r="429" spans="4:4" ht="15.6" x14ac:dyDescent="0.3">
      <c r="D429" s="240"/>
    </row>
    <row r="430" spans="4:4" ht="15.6" x14ac:dyDescent="0.3">
      <c r="D430" s="240"/>
    </row>
    <row r="431" spans="4:4" ht="15.6" x14ac:dyDescent="0.3">
      <c r="D431" s="240"/>
    </row>
    <row r="432" spans="4:4" ht="15.6" x14ac:dyDescent="0.3">
      <c r="D432" s="240"/>
    </row>
    <row r="433" spans="4:4" ht="15.6" x14ac:dyDescent="0.3">
      <c r="D433" s="240"/>
    </row>
    <row r="434" spans="4:4" ht="15.6" x14ac:dyDescent="0.3">
      <c r="D434" s="240"/>
    </row>
    <row r="435" spans="4:4" ht="15.6" x14ac:dyDescent="0.3">
      <c r="D435" s="240"/>
    </row>
    <row r="436" spans="4:4" ht="15.6" x14ac:dyDescent="0.3">
      <c r="D436" s="240"/>
    </row>
    <row r="437" spans="4:4" ht="15.6" x14ac:dyDescent="0.3">
      <c r="D437" s="240"/>
    </row>
    <row r="438" spans="4:4" ht="15.6" x14ac:dyDescent="0.3">
      <c r="D438" s="240"/>
    </row>
    <row r="439" spans="4:4" ht="15.6" x14ac:dyDescent="0.3">
      <c r="D439" s="240"/>
    </row>
    <row r="440" spans="4:4" ht="15.6" x14ac:dyDescent="0.3">
      <c r="D440" s="240"/>
    </row>
    <row r="441" spans="4:4" ht="15.6" x14ac:dyDescent="0.3">
      <c r="D441" s="240"/>
    </row>
    <row r="442" spans="4:4" ht="15.6" x14ac:dyDescent="0.3">
      <c r="D442" s="240"/>
    </row>
    <row r="443" spans="4:4" ht="15.6" x14ac:dyDescent="0.3">
      <c r="D443" s="240"/>
    </row>
    <row r="444" spans="4:4" ht="15.6" x14ac:dyDescent="0.3">
      <c r="D444" s="240"/>
    </row>
    <row r="445" spans="4:4" ht="15.6" x14ac:dyDescent="0.3">
      <c r="D445" s="240"/>
    </row>
    <row r="446" spans="4:4" ht="15.6" x14ac:dyDescent="0.3">
      <c r="D446" s="240"/>
    </row>
    <row r="447" spans="4:4" ht="15.6" x14ac:dyDescent="0.3">
      <c r="D447" s="240"/>
    </row>
    <row r="448" spans="4:4" ht="15.6" x14ac:dyDescent="0.3">
      <c r="D448" s="240"/>
    </row>
    <row r="449" spans="4:4" ht="15.6" x14ac:dyDescent="0.3">
      <c r="D449" s="240"/>
    </row>
    <row r="450" spans="4:4" ht="15.6" x14ac:dyDescent="0.3">
      <c r="D450" s="240"/>
    </row>
    <row r="451" spans="4:4" ht="15.6" x14ac:dyDescent="0.3">
      <c r="D451" s="240"/>
    </row>
    <row r="452" spans="4:4" ht="15.6" x14ac:dyDescent="0.3">
      <c r="D452" s="240"/>
    </row>
    <row r="453" spans="4:4" ht="15.6" x14ac:dyDescent="0.3">
      <c r="D453" s="240"/>
    </row>
    <row r="454" spans="4:4" ht="15.6" x14ac:dyDescent="0.3">
      <c r="D454" s="240"/>
    </row>
    <row r="455" spans="4:4" ht="15.6" x14ac:dyDescent="0.3">
      <c r="D455" s="240"/>
    </row>
    <row r="456" spans="4:4" ht="15.6" x14ac:dyDescent="0.3">
      <c r="D456" s="240"/>
    </row>
    <row r="457" spans="4:4" ht="15.6" x14ac:dyDescent="0.3">
      <c r="D457" s="240"/>
    </row>
    <row r="458" spans="4:4" ht="15.6" x14ac:dyDescent="0.3">
      <c r="D458" s="240"/>
    </row>
    <row r="459" spans="4:4" ht="15.6" x14ac:dyDescent="0.3">
      <c r="D459" s="240"/>
    </row>
    <row r="460" spans="4:4" ht="15.6" x14ac:dyDescent="0.3">
      <c r="D460" s="240"/>
    </row>
    <row r="461" spans="4:4" ht="15.6" x14ac:dyDescent="0.3">
      <c r="D461" s="240"/>
    </row>
    <row r="462" spans="4:4" ht="15.6" x14ac:dyDescent="0.3">
      <c r="D462" s="240"/>
    </row>
    <row r="463" spans="4:4" ht="15.6" x14ac:dyDescent="0.3">
      <c r="D463" s="240"/>
    </row>
    <row r="464" spans="4:4" ht="15.6" x14ac:dyDescent="0.3">
      <c r="D464" s="240"/>
    </row>
    <row r="465" spans="4:4" ht="15.6" x14ac:dyDescent="0.3">
      <c r="D465" s="240"/>
    </row>
    <row r="466" spans="4:4" ht="15.6" x14ac:dyDescent="0.3">
      <c r="D466" s="240"/>
    </row>
    <row r="467" spans="4:4" ht="15.6" x14ac:dyDescent="0.3">
      <c r="D467" s="240"/>
    </row>
    <row r="468" spans="4:4" ht="15.6" x14ac:dyDescent="0.3">
      <c r="D468" s="240"/>
    </row>
    <row r="469" spans="4:4" ht="15.6" x14ac:dyDescent="0.3">
      <c r="D469" s="240"/>
    </row>
    <row r="470" spans="4:4" ht="15.6" x14ac:dyDescent="0.3">
      <c r="D470" s="240"/>
    </row>
    <row r="471" spans="4:4" ht="15.6" x14ac:dyDescent="0.3">
      <c r="D471" s="240"/>
    </row>
    <row r="472" spans="4:4" ht="15.6" x14ac:dyDescent="0.3">
      <c r="D472" s="240"/>
    </row>
    <row r="473" spans="4:4" ht="15.6" x14ac:dyDescent="0.3">
      <c r="D473" s="240"/>
    </row>
    <row r="474" spans="4:4" ht="15.6" x14ac:dyDescent="0.3">
      <c r="D474" s="240"/>
    </row>
    <row r="475" spans="4:4" ht="15.6" x14ac:dyDescent="0.3">
      <c r="D475" s="240"/>
    </row>
    <row r="476" spans="4:4" ht="15.6" x14ac:dyDescent="0.3">
      <c r="D476" s="240"/>
    </row>
    <row r="477" spans="4:4" ht="15.6" x14ac:dyDescent="0.3">
      <c r="D477" s="240"/>
    </row>
    <row r="478" spans="4:4" ht="15.6" x14ac:dyDescent="0.3">
      <c r="D478" s="240"/>
    </row>
    <row r="479" spans="4:4" ht="15.6" x14ac:dyDescent="0.3">
      <c r="D479" s="240"/>
    </row>
    <row r="480" spans="4:4" ht="15.6" x14ac:dyDescent="0.3">
      <c r="D480" s="240"/>
    </row>
    <row r="481" spans="4:4" ht="15.6" x14ac:dyDescent="0.3">
      <c r="D481" s="240"/>
    </row>
    <row r="482" spans="4:4" ht="15.6" x14ac:dyDescent="0.3">
      <c r="D482" s="240"/>
    </row>
    <row r="483" spans="4:4" ht="15.6" x14ac:dyDescent="0.3">
      <c r="D483" s="240"/>
    </row>
    <row r="484" spans="4:4" ht="15.6" x14ac:dyDescent="0.3">
      <c r="D484" s="240"/>
    </row>
    <row r="485" spans="4:4" ht="15.6" x14ac:dyDescent="0.3">
      <c r="D485" s="240"/>
    </row>
    <row r="486" spans="4:4" ht="15.6" x14ac:dyDescent="0.3">
      <c r="D486" s="240"/>
    </row>
    <row r="487" spans="4:4" ht="15.6" x14ac:dyDescent="0.3">
      <c r="D487" s="240"/>
    </row>
    <row r="488" spans="4:4" ht="15.6" x14ac:dyDescent="0.3">
      <c r="D488" s="240"/>
    </row>
    <row r="489" spans="4:4" ht="15.6" x14ac:dyDescent="0.3">
      <c r="D489" s="240"/>
    </row>
    <row r="490" spans="4:4" ht="15.6" x14ac:dyDescent="0.3">
      <c r="D490" s="240"/>
    </row>
    <row r="491" spans="4:4" ht="15.6" x14ac:dyDescent="0.3">
      <c r="D491" s="240"/>
    </row>
    <row r="492" spans="4:4" ht="15.6" x14ac:dyDescent="0.3">
      <c r="D492" s="240"/>
    </row>
    <row r="493" spans="4:4" ht="15.6" x14ac:dyDescent="0.3">
      <c r="D493" s="240"/>
    </row>
    <row r="494" spans="4:4" ht="15.6" x14ac:dyDescent="0.3">
      <c r="D494" s="240"/>
    </row>
    <row r="495" spans="4:4" ht="15.6" x14ac:dyDescent="0.3">
      <c r="D495" s="240"/>
    </row>
    <row r="496" spans="4:4" ht="15.6" x14ac:dyDescent="0.3">
      <c r="D496" s="240"/>
    </row>
    <row r="497" spans="4:4" ht="15.6" x14ac:dyDescent="0.3">
      <c r="D497" s="240"/>
    </row>
    <row r="498" spans="4:4" ht="15.6" x14ac:dyDescent="0.3">
      <c r="D498" s="240"/>
    </row>
    <row r="499" spans="4:4" ht="15.6" x14ac:dyDescent="0.3">
      <c r="D499" s="240"/>
    </row>
    <row r="500" spans="4:4" ht="15.6" x14ac:dyDescent="0.3">
      <c r="D500" s="240"/>
    </row>
    <row r="501" spans="4:4" ht="15.6" x14ac:dyDescent="0.3">
      <c r="D501" s="240"/>
    </row>
    <row r="502" spans="4:4" ht="15.6" x14ac:dyDescent="0.3">
      <c r="D502" s="240"/>
    </row>
    <row r="503" spans="4:4" ht="15.6" x14ac:dyDescent="0.3">
      <c r="D503" s="240"/>
    </row>
    <row r="504" spans="4:4" ht="15.6" x14ac:dyDescent="0.3">
      <c r="D504" s="240"/>
    </row>
    <row r="505" spans="4:4" ht="15.6" x14ac:dyDescent="0.3">
      <c r="D505" s="240"/>
    </row>
    <row r="506" spans="4:4" ht="15.6" x14ac:dyDescent="0.3">
      <c r="D506" s="240"/>
    </row>
    <row r="507" spans="4:4" ht="15.6" x14ac:dyDescent="0.3">
      <c r="D507" s="240"/>
    </row>
    <row r="508" spans="4:4" ht="15.6" x14ac:dyDescent="0.3">
      <c r="D508" s="240"/>
    </row>
    <row r="509" spans="4:4" ht="15.6" x14ac:dyDescent="0.3">
      <c r="D509" s="240"/>
    </row>
    <row r="510" spans="4:4" ht="15.6" x14ac:dyDescent="0.3">
      <c r="D510" s="240"/>
    </row>
    <row r="511" spans="4:4" ht="15.6" x14ac:dyDescent="0.3">
      <c r="D511" s="240"/>
    </row>
    <row r="512" spans="4:4" ht="15.6" x14ac:dyDescent="0.3">
      <c r="D512" s="240"/>
    </row>
    <row r="513" spans="4:4" ht="15.6" x14ac:dyDescent="0.3">
      <c r="D513" s="240"/>
    </row>
    <row r="514" spans="4:4" ht="15.6" x14ac:dyDescent="0.3">
      <c r="D514" s="240"/>
    </row>
    <row r="515" spans="4:4" ht="15.6" x14ac:dyDescent="0.3">
      <c r="D515" s="240"/>
    </row>
    <row r="516" spans="4:4" ht="15.6" x14ac:dyDescent="0.3">
      <c r="D516" s="240"/>
    </row>
    <row r="517" spans="4:4" ht="15.6" x14ac:dyDescent="0.3">
      <c r="D517" s="240"/>
    </row>
    <row r="518" spans="4:4" ht="15.6" x14ac:dyDescent="0.3">
      <c r="D518" s="240"/>
    </row>
    <row r="519" spans="4:4" ht="15.6" x14ac:dyDescent="0.3">
      <c r="D519" s="240"/>
    </row>
    <row r="520" spans="4:4" ht="15.6" x14ac:dyDescent="0.3">
      <c r="D520" s="240"/>
    </row>
    <row r="521" spans="4:4" ht="15.6" x14ac:dyDescent="0.3">
      <c r="D521" s="240"/>
    </row>
    <row r="522" spans="4:4" ht="15.6" x14ac:dyDescent="0.3">
      <c r="D522" s="240"/>
    </row>
    <row r="523" spans="4:4" ht="15.6" x14ac:dyDescent="0.3">
      <c r="D523" s="240"/>
    </row>
    <row r="524" spans="4:4" ht="15.6" x14ac:dyDescent="0.3">
      <c r="D524" s="240"/>
    </row>
    <row r="525" spans="4:4" ht="15.6" x14ac:dyDescent="0.3">
      <c r="D525" s="240"/>
    </row>
    <row r="526" spans="4:4" ht="15.6" x14ac:dyDescent="0.3">
      <c r="D526" s="240"/>
    </row>
    <row r="527" spans="4:4" ht="15.6" x14ac:dyDescent="0.3">
      <c r="D527" s="240"/>
    </row>
    <row r="528" spans="4:4" ht="15.6" x14ac:dyDescent="0.3">
      <c r="D528" s="240"/>
    </row>
    <row r="529" spans="4:4" ht="15.6" x14ac:dyDescent="0.3">
      <c r="D529" s="240"/>
    </row>
    <row r="530" spans="4:4" ht="15.6" x14ac:dyDescent="0.3">
      <c r="D530" s="240"/>
    </row>
    <row r="531" spans="4:4" ht="15.6" x14ac:dyDescent="0.3">
      <c r="D531" s="240"/>
    </row>
    <row r="532" spans="4:4" ht="15.6" x14ac:dyDescent="0.3">
      <c r="D532" s="240"/>
    </row>
    <row r="533" spans="4:4" ht="15.6" x14ac:dyDescent="0.3">
      <c r="D533" s="240"/>
    </row>
    <row r="534" spans="4:4" ht="15.6" x14ac:dyDescent="0.3">
      <c r="D534" s="240"/>
    </row>
    <row r="535" spans="4:4" ht="15.6" x14ac:dyDescent="0.3">
      <c r="D535" s="240"/>
    </row>
    <row r="536" spans="4:4" ht="15.6" x14ac:dyDescent="0.3">
      <c r="D536" s="240"/>
    </row>
    <row r="537" spans="4:4" ht="15.6" x14ac:dyDescent="0.3">
      <c r="D537" s="240"/>
    </row>
    <row r="538" spans="4:4" ht="15.6" x14ac:dyDescent="0.3">
      <c r="D538" s="240"/>
    </row>
    <row r="539" spans="4:4" ht="15.6" x14ac:dyDescent="0.3">
      <c r="D539" s="240"/>
    </row>
    <row r="540" spans="4:4" ht="15.6" x14ac:dyDescent="0.3">
      <c r="D540" s="240"/>
    </row>
    <row r="541" spans="4:4" ht="15.6" x14ac:dyDescent="0.3">
      <c r="D541" s="240"/>
    </row>
    <row r="542" spans="4:4" ht="15.6" x14ac:dyDescent="0.3">
      <c r="D542" s="240"/>
    </row>
    <row r="543" spans="4:4" ht="15.6" x14ac:dyDescent="0.3">
      <c r="D543" s="240"/>
    </row>
    <row r="544" spans="4:4" ht="15.6" x14ac:dyDescent="0.3">
      <c r="D544" s="240"/>
    </row>
    <row r="545" spans="4:4" ht="15.6" x14ac:dyDescent="0.3">
      <c r="D545" s="240"/>
    </row>
    <row r="546" spans="4:4" ht="15.6" x14ac:dyDescent="0.3">
      <c r="D546" s="240"/>
    </row>
    <row r="547" spans="4:4" ht="15.6" x14ac:dyDescent="0.3">
      <c r="D547" s="240"/>
    </row>
    <row r="548" spans="4:4" ht="15.6" x14ac:dyDescent="0.3">
      <c r="D548" s="240"/>
    </row>
    <row r="549" spans="4:4" ht="15.6" x14ac:dyDescent="0.3">
      <c r="D549" s="240"/>
    </row>
    <row r="550" spans="4:4" ht="15.6" x14ac:dyDescent="0.3">
      <c r="D550" s="240"/>
    </row>
    <row r="551" spans="4:4" ht="15.6" x14ac:dyDescent="0.3">
      <c r="D551" s="240"/>
    </row>
    <row r="552" spans="4:4" ht="15.6" x14ac:dyDescent="0.3">
      <c r="D552" s="240"/>
    </row>
    <row r="553" spans="4:4" ht="15.6" x14ac:dyDescent="0.3">
      <c r="D553" s="240"/>
    </row>
    <row r="554" spans="4:4" ht="15.6" x14ac:dyDescent="0.3">
      <c r="D554" s="240"/>
    </row>
    <row r="555" spans="4:4" ht="15.6" x14ac:dyDescent="0.3">
      <c r="D555" s="240"/>
    </row>
    <row r="556" spans="4:4" ht="15.6" x14ac:dyDescent="0.3">
      <c r="D556" s="240"/>
    </row>
    <row r="557" spans="4:4" ht="15.6" x14ac:dyDescent="0.3">
      <c r="D557" s="240"/>
    </row>
    <row r="558" spans="4:4" ht="15.6" x14ac:dyDescent="0.3">
      <c r="D558" s="240"/>
    </row>
    <row r="559" spans="4:4" ht="15.6" x14ac:dyDescent="0.3">
      <c r="D559" s="240"/>
    </row>
    <row r="560" spans="4:4" ht="15.6" x14ac:dyDescent="0.3">
      <c r="D560" s="240"/>
    </row>
    <row r="561" spans="4:4" ht="15.6" x14ac:dyDescent="0.3">
      <c r="D561" s="240"/>
    </row>
    <row r="562" spans="4:4" ht="15.6" x14ac:dyDescent="0.3">
      <c r="D562" s="240"/>
    </row>
    <row r="563" spans="4:4" ht="15.6" x14ac:dyDescent="0.3">
      <c r="D563" s="240"/>
    </row>
    <row r="564" spans="4:4" ht="15.6" x14ac:dyDescent="0.3">
      <c r="D564" s="240"/>
    </row>
    <row r="565" spans="4:4" ht="15.6" x14ac:dyDescent="0.3">
      <c r="D565" s="240"/>
    </row>
    <row r="566" spans="4:4" ht="15.6" x14ac:dyDescent="0.3">
      <c r="D566" s="240"/>
    </row>
    <row r="567" spans="4:4" ht="15.6" x14ac:dyDescent="0.3">
      <c r="D567" s="240"/>
    </row>
    <row r="568" spans="4:4" ht="15.6" x14ac:dyDescent="0.3">
      <c r="D568" s="240"/>
    </row>
    <row r="569" spans="4:4" ht="15.6" x14ac:dyDescent="0.3">
      <c r="D569" s="240"/>
    </row>
    <row r="570" spans="4:4" ht="15.6" x14ac:dyDescent="0.3">
      <c r="D570" s="240"/>
    </row>
    <row r="571" spans="4:4" ht="15.6" x14ac:dyDescent="0.3">
      <c r="D571" s="240"/>
    </row>
    <row r="572" spans="4:4" ht="15.6" x14ac:dyDescent="0.3">
      <c r="D572" s="240"/>
    </row>
    <row r="573" spans="4:4" ht="15.6" x14ac:dyDescent="0.3">
      <c r="D573" s="240"/>
    </row>
    <row r="574" spans="4:4" ht="15.6" x14ac:dyDescent="0.3">
      <c r="D574" s="240"/>
    </row>
    <row r="575" spans="4:4" ht="15.6" x14ac:dyDescent="0.3">
      <c r="D575" s="240"/>
    </row>
    <row r="576" spans="4:4" ht="15.6" x14ac:dyDescent="0.3">
      <c r="D576" s="240"/>
    </row>
    <row r="577" spans="4:4" ht="15.6" x14ac:dyDescent="0.3">
      <c r="D577" s="240"/>
    </row>
    <row r="578" spans="4:4" ht="15.6" x14ac:dyDescent="0.3">
      <c r="D578" s="240"/>
    </row>
    <row r="579" spans="4:4" ht="15.6" x14ac:dyDescent="0.3">
      <c r="D579" s="240"/>
    </row>
    <row r="580" spans="4:4" ht="15.6" x14ac:dyDescent="0.3">
      <c r="D580" s="240"/>
    </row>
    <row r="581" spans="4:4" ht="15.6" x14ac:dyDescent="0.3">
      <c r="D581" s="240"/>
    </row>
    <row r="582" spans="4:4" ht="15.6" x14ac:dyDescent="0.3">
      <c r="D582" s="240"/>
    </row>
    <row r="583" spans="4:4" ht="15.6" x14ac:dyDescent="0.3">
      <c r="D583" s="240"/>
    </row>
    <row r="584" spans="4:4" ht="15.6" x14ac:dyDescent="0.3">
      <c r="D584" s="240"/>
    </row>
    <row r="585" spans="4:4" ht="15.6" x14ac:dyDescent="0.3">
      <c r="D585" s="240"/>
    </row>
    <row r="586" spans="4:4" ht="15.6" x14ac:dyDescent="0.3">
      <c r="D586" s="240"/>
    </row>
    <row r="587" spans="4:4" ht="15.6" x14ac:dyDescent="0.3">
      <c r="D587" s="240"/>
    </row>
    <row r="588" spans="4:4" ht="15.6" x14ac:dyDescent="0.3">
      <c r="D588" s="240"/>
    </row>
    <row r="589" spans="4:4" ht="15.6" x14ac:dyDescent="0.3">
      <c r="D589" s="240"/>
    </row>
    <row r="590" spans="4:4" ht="15.6" x14ac:dyDescent="0.3">
      <c r="D590" s="240"/>
    </row>
    <row r="591" spans="4:4" ht="15.6" x14ac:dyDescent="0.3">
      <c r="D591" s="240"/>
    </row>
    <row r="592" spans="4:4" ht="15.6" x14ac:dyDescent="0.3">
      <c r="D592" s="240"/>
    </row>
    <row r="593" spans="4:4" ht="15.6" x14ac:dyDescent="0.3">
      <c r="D593" s="240"/>
    </row>
    <row r="594" spans="4:4" ht="15.6" x14ac:dyDescent="0.3">
      <c r="D594" s="240"/>
    </row>
    <row r="595" spans="4:4" ht="15.6" x14ac:dyDescent="0.3">
      <c r="D595" s="240"/>
    </row>
    <row r="596" spans="4:4" ht="15.6" x14ac:dyDescent="0.3">
      <c r="D596" s="240"/>
    </row>
    <row r="597" spans="4:4" ht="15.6" x14ac:dyDescent="0.3">
      <c r="D597" s="240"/>
    </row>
    <row r="598" spans="4:4" ht="15.6" x14ac:dyDescent="0.3">
      <c r="D598" s="240"/>
    </row>
    <row r="599" spans="4:4" ht="15.6" x14ac:dyDescent="0.3">
      <c r="D599" s="240"/>
    </row>
    <row r="600" spans="4:4" ht="15.6" x14ac:dyDescent="0.3">
      <c r="D600" s="240"/>
    </row>
    <row r="601" spans="4:4" ht="15.6" x14ac:dyDescent="0.3">
      <c r="D601" s="240"/>
    </row>
    <row r="602" spans="4:4" ht="15.6" x14ac:dyDescent="0.3">
      <c r="D602" s="240"/>
    </row>
    <row r="603" spans="4:4" ht="15.6" x14ac:dyDescent="0.3">
      <c r="D603" s="240"/>
    </row>
    <row r="604" spans="4:4" ht="15.6" x14ac:dyDescent="0.3">
      <c r="D604" s="240"/>
    </row>
    <row r="605" spans="4:4" ht="15.6" x14ac:dyDescent="0.3">
      <c r="D605" s="240"/>
    </row>
    <row r="606" spans="4:4" ht="15.6" x14ac:dyDescent="0.3">
      <c r="D606" s="240"/>
    </row>
    <row r="607" spans="4:4" ht="15.6" x14ac:dyDescent="0.3">
      <c r="D607" s="240"/>
    </row>
    <row r="608" spans="4:4" ht="15.6" x14ac:dyDescent="0.3">
      <c r="D608" s="240"/>
    </row>
    <row r="609" spans="4:4" ht="15.6" x14ac:dyDescent="0.3">
      <c r="D609" s="240"/>
    </row>
    <row r="610" spans="4:4" ht="15.6" x14ac:dyDescent="0.3">
      <c r="D610" s="240"/>
    </row>
    <row r="611" spans="4:4" ht="15.6" x14ac:dyDescent="0.3">
      <c r="D611" s="240"/>
    </row>
    <row r="612" spans="4:4" ht="15.6" x14ac:dyDescent="0.3">
      <c r="D612" s="240"/>
    </row>
    <row r="613" spans="4:4" ht="15.6" x14ac:dyDescent="0.3">
      <c r="D613" s="240"/>
    </row>
    <row r="614" spans="4:4" ht="15.6" x14ac:dyDescent="0.3">
      <c r="D614" s="240"/>
    </row>
    <row r="615" spans="4:4" ht="15.6" x14ac:dyDescent="0.3">
      <c r="D615" s="240"/>
    </row>
    <row r="616" spans="4:4" ht="15.6" x14ac:dyDescent="0.3">
      <c r="D616" s="240"/>
    </row>
    <row r="617" spans="4:4" ht="15.6" x14ac:dyDescent="0.3">
      <c r="D617" s="240"/>
    </row>
    <row r="618" spans="4:4" ht="15.6" x14ac:dyDescent="0.3">
      <c r="D618" s="240"/>
    </row>
    <row r="619" spans="4:4" ht="15.6" x14ac:dyDescent="0.3">
      <c r="D619" s="240"/>
    </row>
    <row r="620" spans="4:4" ht="15.6" x14ac:dyDescent="0.3">
      <c r="D620" s="240"/>
    </row>
    <row r="621" spans="4:4" ht="15.6" x14ac:dyDescent="0.3">
      <c r="D621" s="240"/>
    </row>
    <row r="622" spans="4:4" ht="15.6" x14ac:dyDescent="0.3">
      <c r="D622" s="240"/>
    </row>
    <row r="623" spans="4:4" ht="15.6" x14ac:dyDescent="0.3">
      <c r="D623" s="240"/>
    </row>
    <row r="624" spans="4:4" ht="15.6" x14ac:dyDescent="0.3">
      <c r="D624" s="240"/>
    </row>
    <row r="625" spans="4:4" ht="15.6" x14ac:dyDescent="0.3">
      <c r="D625" s="240"/>
    </row>
    <row r="626" spans="4:4" ht="15.6" x14ac:dyDescent="0.3">
      <c r="D626" s="240"/>
    </row>
    <row r="627" spans="4:4" ht="15.6" x14ac:dyDescent="0.3">
      <c r="D627" s="240"/>
    </row>
    <row r="628" spans="4:4" ht="15.6" x14ac:dyDescent="0.3">
      <c r="D628" s="240"/>
    </row>
    <row r="629" spans="4:4" ht="15.6" x14ac:dyDescent="0.3">
      <c r="D629" s="240"/>
    </row>
    <row r="630" spans="4:4" ht="15.6" x14ac:dyDescent="0.3">
      <c r="D630" s="240"/>
    </row>
    <row r="631" spans="4:4" ht="15.6" x14ac:dyDescent="0.3">
      <c r="D631" s="240"/>
    </row>
    <row r="632" spans="4:4" ht="15.6" x14ac:dyDescent="0.3">
      <c r="D632" s="240"/>
    </row>
    <row r="633" spans="4:4" ht="15.6" x14ac:dyDescent="0.3">
      <c r="D633" s="240"/>
    </row>
    <row r="634" spans="4:4" ht="15.6" x14ac:dyDescent="0.3">
      <c r="D634" s="240"/>
    </row>
    <row r="635" spans="4:4" ht="15.6" x14ac:dyDescent="0.3">
      <c r="D635" s="240"/>
    </row>
    <row r="636" spans="4:4" ht="15.6" x14ac:dyDescent="0.3">
      <c r="D636" s="240"/>
    </row>
    <row r="637" spans="4:4" ht="15.6" x14ac:dyDescent="0.3">
      <c r="D637" s="240"/>
    </row>
    <row r="638" spans="4:4" ht="15.6" x14ac:dyDescent="0.3">
      <c r="D638" s="240"/>
    </row>
    <row r="639" spans="4:4" ht="15.6" x14ac:dyDescent="0.3">
      <c r="D639" s="240"/>
    </row>
    <row r="640" spans="4:4" ht="15.6" x14ac:dyDescent="0.3">
      <c r="D640" s="240"/>
    </row>
    <row r="641" spans="4:4" ht="15.6" x14ac:dyDescent="0.3">
      <c r="D641" s="240"/>
    </row>
    <row r="642" spans="4:4" ht="15.6" x14ac:dyDescent="0.3">
      <c r="D642" s="240"/>
    </row>
    <row r="643" spans="4:4" ht="15.6" x14ac:dyDescent="0.3">
      <c r="D643" s="240"/>
    </row>
    <row r="644" spans="4:4" ht="15.6" x14ac:dyDescent="0.3">
      <c r="D644" s="240"/>
    </row>
    <row r="645" spans="4:4" ht="15.6" x14ac:dyDescent="0.3">
      <c r="D645" s="240"/>
    </row>
    <row r="646" spans="4:4" ht="15.6" x14ac:dyDescent="0.3">
      <c r="D646" s="240"/>
    </row>
    <row r="647" spans="4:4" ht="15.6" x14ac:dyDescent="0.3">
      <c r="D647" s="240"/>
    </row>
    <row r="648" spans="4:4" ht="15.6" x14ac:dyDescent="0.3">
      <c r="D648" s="240"/>
    </row>
    <row r="649" spans="4:4" ht="15.6" x14ac:dyDescent="0.3">
      <c r="D649" s="240"/>
    </row>
    <row r="650" spans="4:4" ht="15.6" x14ac:dyDescent="0.3">
      <c r="D650" s="240"/>
    </row>
    <row r="651" spans="4:4" ht="15.6" x14ac:dyDescent="0.3">
      <c r="D651" s="240"/>
    </row>
    <row r="652" spans="4:4" ht="15.6" x14ac:dyDescent="0.3">
      <c r="D652" s="240"/>
    </row>
    <row r="653" spans="4:4" ht="15.6" x14ac:dyDescent="0.3">
      <c r="D653" s="240"/>
    </row>
    <row r="654" spans="4:4" ht="15.6" x14ac:dyDescent="0.3">
      <c r="D654" s="240"/>
    </row>
    <row r="655" spans="4:4" ht="15.6" x14ac:dyDescent="0.3">
      <c r="D655" s="240"/>
    </row>
    <row r="656" spans="4:4" ht="15.6" x14ac:dyDescent="0.3">
      <c r="D656" s="240"/>
    </row>
    <row r="657" spans="4:4" ht="15.6" x14ac:dyDescent="0.3">
      <c r="D657" s="240"/>
    </row>
    <row r="658" spans="4:4" ht="15.6" x14ac:dyDescent="0.3">
      <c r="D658" s="240"/>
    </row>
    <row r="659" spans="4:4" ht="15.6" x14ac:dyDescent="0.3">
      <c r="D659" s="240"/>
    </row>
    <row r="660" spans="4:4" ht="15.6" x14ac:dyDescent="0.3">
      <c r="D660" s="240"/>
    </row>
    <row r="661" spans="4:4" ht="15.6" x14ac:dyDescent="0.3">
      <c r="D661" s="240"/>
    </row>
    <row r="662" spans="4:4" ht="15.6" x14ac:dyDescent="0.3">
      <c r="D662" s="240"/>
    </row>
    <row r="663" spans="4:4" ht="15.6" x14ac:dyDescent="0.3">
      <c r="D663" s="240"/>
    </row>
    <row r="664" spans="4:4" ht="15.6" x14ac:dyDescent="0.3">
      <c r="D664" s="240"/>
    </row>
    <row r="665" spans="4:4" ht="15.6" x14ac:dyDescent="0.3">
      <c r="D665" s="240"/>
    </row>
    <row r="666" spans="4:4" ht="15.6" x14ac:dyDescent="0.3">
      <c r="D666" s="240"/>
    </row>
    <row r="667" spans="4:4" ht="15.6" x14ac:dyDescent="0.3">
      <c r="D667" s="240"/>
    </row>
    <row r="668" spans="4:4" ht="15.6" x14ac:dyDescent="0.3">
      <c r="D668" s="240"/>
    </row>
    <row r="669" spans="4:4" ht="15.6" x14ac:dyDescent="0.3">
      <c r="D669" s="240"/>
    </row>
    <row r="670" spans="4:4" ht="15.6" x14ac:dyDescent="0.3">
      <c r="D670" s="240"/>
    </row>
    <row r="671" spans="4:4" ht="15.6" x14ac:dyDescent="0.3">
      <c r="D671" s="240"/>
    </row>
    <row r="672" spans="4:4" ht="15.6" x14ac:dyDescent="0.3">
      <c r="D672" s="240"/>
    </row>
    <row r="673" spans="4:4" ht="15.6" x14ac:dyDescent="0.3">
      <c r="D673" s="240"/>
    </row>
    <row r="674" spans="4:4" ht="15.6" x14ac:dyDescent="0.3">
      <c r="D674" s="240"/>
    </row>
    <row r="675" spans="4:4" ht="15.6" x14ac:dyDescent="0.3">
      <c r="D675" s="240"/>
    </row>
    <row r="676" spans="4:4" ht="15.6" x14ac:dyDescent="0.3">
      <c r="D676" s="240"/>
    </row>
    <row r="677" spans="4:4" ht="15.6" x14ac:dyDescent="0.3">
      <c r="D677" s="240"/>
    </row>
    <row r="678" spans="4:4" ht="15.6" x14ac:dyDescent="0.3">
      <c r="D678" s="240"/>
    </row>
    <row r="679" spans="4:4" ht="15.6" x14ac:dyDescent="0.3">
      <c r="D679" s="240"/>
    </row>
    <row r="680" spans="4:4" ht="15.6" x14ac:dyDescent="0.3">
      <c r="D680" s="240"/>
    </row>
    <row r="681" spans="4:4" ht="15.6" x14ac:dyDescent="0.3">
      <c r="D681" s="240"/>
    </row>
    <row r="682" spans="4:4" ht="15.6" x14ac:dyDescent="0.3">
      <c r="D682" s="240"/>
    </row>
    <row r="683" spans="4:4" ht="15.6" x14ac:dyDescent="0.3">
      <c r="D683" s="240"/>
    </row>
    <row r="684" spans="4:4" ht="15.6" x14ac:dyDescent="0.3">
      <c r="D684" s="240"/>
    </row>
    <row r="685" spans="4:4" ht="15.6" x14ac:dyDescent="0.3">
      <c r="D685" s="240"/>
    </row>
    <row r="686" spans="4:4" ht="15.6" x14ac:dyDescent="0.3">
      <c r="D686" s="240"/>
    </row>
    <row r="687" spans="4:4" ht="15.6" x14ac:dyDescent="0.3">
      <c r="D687" s="240"/>
    </row>
    <row r="688" spans="4:4" ht="15.6" x14ac:dyDescent="0.3">
      <c r="D688" s="240"/>
    </row>
    <row r="689" spans="4:4" ht="15.6" x14ac:dyDescent="0.3">
      <c r="D689" s="240"/>
    </row>
    <row r="690" spans="4:4" ht="15.6" x14ac:dyDescent="0.3">
      <c r="D690" s="240"/>
    </row>
    <row r="691" spans="4:4" ht="15.6" x14ac:dyDescent="0.3">
      <c r="D691" s="240"/>
    </row>
    <row r="692" spans="4:4" ht="15.6" x14ac:dyDescent="0.3">
      <c r="D692" s="240"/>
    </row>
    <row r="693" spans="4:4" ht="15.6" x14ac:dyDescent="0.3">
      <c r="D693" s="240"/>
    </row>
    <row r="694" spans="4:4" ht="15.6" x14ac:dyDescent="0.3">
      <c r="D694" s="240"/>
    </row>
    <row r="695" spans="4:4" ht="15.6" x14ac:dyDescent="0.3">
      <c r="D695" s="240"/>
    </row>
    <row r="696" spans="4:4" ht="15.6" x14ac:dyDescent="0.3">
      <c r="D696" s="240"/>
    </row>
    <row r="697" spans="4:4" ht="15.6" x14ac:dyDescent="0.3">
      <c r="D697" s="240"/>
    </row>
    <row r="698" spans="4:4" ht="15.6" x14ac:dyDescent="0.3">
      <c r="D698" s="240"/>
    </row>
    <row r="699" spans="4:4" ht="15.6" x14ac:dyDescent="0.3">
      <c r="D699" s="240"/>
    </row>
    <row r="700" spans="4:4" ht="15.6" x14ac:dyDescent="0.3">
      <c r="D700" s="240"/>
    </row>
    <row r="701" spans="4:4" ht="15.6" x14ac:dyDescent="0.3">
      <c r="D701" s="240"/>
    </row>
    <row r="702" spans="4:4" ht="15.6" x14ac:dyDescent="0.3">
      <c r="D702" s="240"/>
    </row>
    <row r="703" spans="4:4" ht="15.6" x14ac:dyDescent="0.3">
      <c r="D703" s="240"/>
    </row>
    <row r="704" spans="4:4" ht="15.6" x14ac:dyDescent="0.3">
      <c r="D704" s="240"/>
    </row>
    <row r="705" spans="4:4" ht="15.6" x14ac:dyDescent="0.3">
      <c r="D705" s="240"/>
    </row>
    <row r="706" spans="4:4" ht="15.6" x14ac:dyDescent="0.3">
      <c r="D706" s="240"/>
    </row>
    <row r="707" spans="4:4" ht="15.6" x14ac:dyDescent="0.3">
      <c r="D707" s="240"/>
    </row>
    <row r="708" spans="4:4" ht="15.6" x14ac:dyDescent="0.3">
      <c r="D708" s="240"/>
    </row>
    <row r="709" spans="4:4" ht="15.6" x14ac:dyDescent="0.3">
      <c r="D709" s="240"/>
    </row>
    <row r="710" spans="4:4" ht="15.6" x14ac:dyDescent="0.3">
      <c r="D710" s="240"/>
    </row>
    <row r="711" spans="4:4" ht="15.6" x14ac:dyDescent="0.3">
      <c r="D711" s="240"/>
    </row>
    <row r="712" spans="4:4" ht="15.6" x14ac:dyDescent="0.3">
      <c r="D712" s="240"/>
    </row>
    <row r="713" spans="4:4" ht="15.6" x14ac:dyDescent="0.3">
      <c r="D713" s="240"/>
    </row>
    <row r="714" spans="4:4" ht="15.6" x14ac:dyDescent="0.3">
      <c r="D714" s="240"/>
    </row>
    <row r="715" spans="4:4" ht="15.6" x14ac:dyDescent="0.3">
      <c r="D715" s="240"/>
    </row>
    <row r="716" spans="4:4" ht="15.6" x14ac:dyDescent="0.3">
      <c r="D716" s="240"/>
    </row>
    <row r="717" spans="4:4" ht="15.6" x14ac:dyDescent="0.3">
      <c r="D717" s="240"/>
    </row>
    <row r="718" spans="4:4" ht="15.6" x14ac:dyDescent="0.3">
      <c r="D718" s="240"/>
    </row>
    <row r="719" spans="4:4" ht="15.6" x14ac:dyDescent="0.3">
      <c r="D719" s="240"/>
    </row>
    <row r="720" spans="4:4" ht="15.6" x14ac:dyDescent="0.3">
      <c r="D720" s="240"/>
    </row>
    <row r="721" spans="4:4" ht="15.6" x14ac:dyDescent="0.3">
      <c r="D721" s="240"/>
    </row>
    <row r="722" spans="4:4" ht="15.6" x14ac:dyDescent="0.3">
      <c r="D722" s="240"/>
    </row>
    <row r="723" spans="4:4" ht="15.6" x14ac:dyDescent="0.3">
      <c r="D723" s="240"/>
    </row>
    <row r="724" spans="4:4" ht="15.6" x14ac:dyDescent="0.3">
      <c r="D724" s="240"/>
    </row>
    <row r="725" spans="4:4" ht="15.6" x14ac:dyDescent="0.3">
      <c r="D725" s="240"/>
    </row>
    <row r="726" spans="4:4" ht="15.6" x14ac:dyDescent="0.3">
      <c r="D726" s="240"/>
    </row>
    <row r="727" spans="4:4" ht="15.6" x14ac:dyDescent="0.3">
      <c r="D727" s="240"/>
    </row>
    <row r="728" spans="4:4" ht="15.6" x14ac:dyDescent="0.3">
      <c r="D728" s="240"/>
    </row>
    <row r="729" spans="4:4" ht="15.6" x14ac:dyDescent="0.3">
      <c r="D729" s="240"/>
    </row>
    <row r="730" spans="4:4" ht="15.6" x14ac:dyDescent="0.3">
      <c r="D730" s="240"/>
    </row>
    <row r="731" spans="4:4" ht="15.6" x14ac:dyDescent="0.3">
      <c r="D731" s="240"/>
    </row>
    <row r="732" spans="4:4" ht="15.6" x14ac:dyDescent="0.3">
      <c r="D732" s="240"/>
    </row>
    <row r="733" spans="4:4" ht="15.6" x14ac:dyDescent="0.3">
      <c r="D733" s="240"/>
    </row>
    <row r="734" spans="4:4" ht="15.6" x14ac:dyDescent="0.3">
      <c r="D734" s="240"/>
    </row>
    <row r="735" spans="4:4" ht="15.6" x14ac:dyDescent="0.3">
      <c r="D735" s="240"/>
    </row>
    <row r="736" spans="4:4" ht="15.6" x14ac:dyDescent="0.3">
      <c r="D736" s="240"/>
    </row>
    <row r="737" spans="4:4" ht="15.6" x14ac:dyDescent="0.3">
      <c r="D737" s="240"/>
    </row>
    <row r="738" spans="4:4" ht="15.6" x14ac:dyDescent="0.3">
      <c r="D738" s="240"/>
    </row>
    <row r="739" spans="4:4" ht="15.6" x14ac:dyDescent="0.3">
      <c r="D739" s="240"/>
    </row>
    <row r="740" spans="4:4" ht="15.6" x14ac:dyDescent="0.3">
      <c r="D740" s="240"/>
    </row>
    <row r="741" spans="4:4" ht="15.6" x14ac:dyDescent="0.3">
      <c r="D741" s="240"/>
    </row>
    <row r="742" spans="4:4" ht="15.6" x14ac:dyDescent="0.3">
      <c r="D742" s="240"/>
    </row>
    <row r="743" spans="4:4" ht="15.6" x14ac:dyDescent="0.3">
      <c r="D743" s="240"/>
    </row>
    <row r="744" spans="4:4" ht="15.6" x14ac:dyDescent="0.3">
      <c r="D744" s="240"/>
    </row>
    <row r="745" spans="4:4" ht="15.6" x14ac:dyDescent="0.3">
      <c r="D745" s="240"/>
    </row>
    <row r="746" spans="4:4" ht="15.6" x14ac:dyDescent="0.3">
      <c r="D746" s="240"/>
    </row>
    <row r="747" spans="4:4" ht="15.6" x14ac:dyDescent="0.3">
      <c r="D747" s="240"/>
    </row>
    <row r="748" spans="4:4" ht="15.6" x14ac:dyDescent="0.3">
      <c r="D748" s="240"/>
    </row>
    <row r="749" spans="4:4" ht="15.6" x14ac:dyDescent="0.3">
      <c r="D749" s="240"/>
    </row>
    <row r="750" spans="4:4" ht="15.6" x14ac:dyDescent="0.3">
      <c r="D750" s="240"/>
    </row>
    <row r="751" spans="4:4" ht="15.6" x14ac:dyDescent="0.3">
      <c r="D751" s="240"/>
    </row>
    <row r="752" spans="4:4" ht="15.6" x14ac:dyDescent="0.3">
      <c r="D752" s="240"/>
    </row>
    <row r="753" spans="4:4" ht="15.6" x14ac:dyDescent="0.3">
      <c r="D753" s="240"/>
    </row>
    <row r="754" spans="4:4" ht="15.6" x14ac:dyDescent="0.3">
      <c r="D754" s="240"/>
    </row>
    <row r="755" spans="4:4" ht="15.6" x14ac:dyDescent="0.3">
      <c r="D755" s="240"/>
    </row>
    <row r="756" spans="4:4" ht="15.6" x14ac:dyDescent="0.3">
      <c r="D756" s="240"/>
    </row>
    <row r="757" spans="4:4" ht="15.6" x14ac:dyDescent="0.3">
      <c r="D757" s="240"/>
    </row>
    <row r="758" spans="4:4" ht="15.6" x14ac:dyDescent="0.3">
      <c r="D758" s="240"/>
    </row>
    <row r="759" spans="4:4" ht="15.6" x14ac:dyDescent="0.3">
      <c r="D759" s="240"/>
    </row>
    <row r="760" spans="4:4" ht="15.6" x14ac:dyDescent="0.3">
      <c r="D760" s="240"/>
    </row>
    <row r="761" spans="4:4" ht="15.6" x14ac:dyDescent="0.3">
      <c r="D761" s="240"/>
    </row>
    <row r="762" spans="4:4" ht="15.6" x14ac:dyDescent="0.3">
      <c r="D762" s="240"/>
    </row>
    <row r="763" spans="4:4" ht="15.6" x14ac:dyDescent="0.3">
      <c r="D763" s="240"/>
    </row>
    <row r="764" spans="4:4" ht="15.6" x14ac:dyDescent="0.3">
      <c r="D764" s="240"/>
    </row>
    <row r="765" spans="4:4" ht="15.6" x14ac:dyDescent="0.3">
      <c r="D765" s="240"/>
    </row>
    <row r="766" spans="4:4" ht="15.6" x14ac:dyDescent="0.3">
      <c r="D766" s="240"/>
    </row>
    <row r="767" spans="4:4" ht="15.6" x14ac:dyDescent="0.3">
      <c r="D767" s="240"/>
    </row>
    <row r="768" spans="4:4" ht="15.6" x14ac:dyDescent="0.3">
      <c r="D768" s="240"/>
    </row>
    <row r="769" spans="4:4" ht="15.6" x14ac:dyDescent="0.3">
      <c r="D769" s="240"/>
    </row>
    <row r="770" spans="4:4" ht="15.6" x14ac:dyDescent="0.3">
      <c r="D770" s="240"/>
    </row>
    <row r="771" spans="4:4" ht="15.6" x14ac:dyDescent="0.3">
      <c r="D771" s="240"/>
    </row>
    <row r="772" spans="4:4" ht="15.6" x14ac:dyDescent="0.3">
      <c r="D772" s="240"/>
    </row>
    <row r="773" spans="4:4" ht="15.6" x14ac:dyDescent="0.3">
      <c r="D773" s="240"/>
    </row>
    <row r="774" spans="4:4" ht="15.6" x14ac:dyDescent="0.3">
      <c r="D774" s="240"/>
    </row>
    <row r="775" spans="4:4" ht="15.6" x14ac:dyDescent="0.3">
      <c r="D775" s="240"/>
    </row>
    <row r="776" spans="4:4" ht="15.6" x14ac:dyDescent="0.3">
      <c r="D776" s="240"/>
    </row>
    <row r="777" spans="4:4" ht="15.6" x14ac:dyDescent="0.3">
      <c r="D777" s="240"/>
    </row>
    <row r="778" spans="4:4" ht="15.6" x14ac:dyDescent="0.3">
      <c r="D778" s="240"/>
    </row>
    <row r="779" spans="4:4" ht="15.6" x14ac:dyDescent="0.3">
      <c r="D779" s="240"/>
    </row>
    <row r="780" spans="4:4" ht="15.6" x14ac:dyDescent="0.3">
      <c r="D780" s="240"/>
    </row>
    <row r="781" spans="4:4" ht="15.6" x14ac:dyDescent="0.3">
      <c r="D781" s="240"/>
    </row>
    <row r="782" spans="4:4" ht="15.6" x14ac:dyDescent="0.3">
      <c r="D782" s="240"/>
    </row>
    <row r="783" spans="4:4" ht="15.6" x14ac:dyDescent="0.3">
      <c r="D783" s="240"/>
    </row>
    <row r="784" spans="4:4" ht="15.6" x14ac:dyDescent="0.3">
      <c r="D784" s="240"/>
    </row>
    <row r="785" spans="4:4" ht="15.6" x14ac:dyDescent="0.3">
      <c r="D785" s="240"/>
    </row>
    <row r="786" spans="4:4" ht="15.6" x14ac:dyDescent="0.3">
      <c r="D786" s="240"/>
    </row>
    <row r="787" spans="4:4" ht="15.6" x14ac:dyDescent="0.3">
      <c r="D787" s="240"/>
    </row>
    <row r="788" spans="4:4" ht="15.6" x14ac:dyDescent="0.3">
      <c r="D788" s="240"/>
    </row>
    <row r="789" spans="4:4" ht="15.6" x14ac:dyDescent="0.3">
      <c r="D789" s="240"/>
    </row>
    <row r="790" spans="4:4" ht="15.6" x14ac:dyDescent="0.3">
      <c r="D790" s="240"/>
    </row>
    <row r="791" spans="4:4" ht="15.6" x14ac:dyDescent="0.3">
      <c r="D791" s="240"/>
    </row>
    <row r="792" spans="4:4" ht="15.6" x14ac:dyDescent="0.3">
      <c r="D792" s="240"/>
    </row>
    <row r="793" spans="4:4" ht="15.6" x14ac:dyDescent="0.3">
      <c r="D793" s="240"/>
    </row>
    <row r="794" spans="4:4" ht="15.6" x14ac:dyDescent="0.3">
      <c r="D794" s="240"/>
    </row>
    <row r="795" spans="4:4" ht="15.6" x14ac:dyDescent="0.3">
      <c r="D795" s="240"/>
    </row>
    <row r="796" spans="4:4" ht="15.6" x14ac:dyDescent="0.3">
      <c r="D796" s="240"/>
    </row>
    <row r="797" spans="4:4" ht="15.6" x14ac:dyDescent="0.3">
      <c r="D797" s="240"/>
    </row>
    <row r="798" spans="4:4" ht="15.6" x14ac:dyDescent="0.3">
      <c r="D798" s="240"/>
    </row>
    <row r="799" spans="4:4" ht="15.6" x14ac:dyDescent="0.3">
      <c r="D799" s="240"/>
    </row>
    <row r="800" spans="4:4" ht="15.6" x14ac:dyDescent="0.3">
      <c r="D800" s="240"/>
    </row>
    <row r="801" spans="4:4" ht="15.6" x14ac:dyDescent="0.3">
      <c r="D801" s="240"/>
    </row>
    <row r="802" spans="4:4" ht="15.6" x14ac:dyDescent="0.3">
      <c r="D802" s="240"/>
    </row>
    <row r="803" spans="4:4" ht="15.6" x14ac:dyDescent="0.3">
      <c r="D803" s="240"/>
    </row>
    <row r="804" spans="4:4" ht="15.6" x14ac:dyDescent="0.3">
      <c r="D804" s="240"/>
    </row>
    <row r="805" spans="4:4" ht="15.6" x14ac:dyDescent="0.3">
      <c r="D805" s="240"/>
    </row>
    <row r="806" spans="4:4" ht="15.6" x14ac:dyDescent="0.3">
      <c r="D806" s="240"/>
    </row>
    <row r="807" spans="4:4" ht="15.6" x14ac:dyDescent="0.3">
      <c r="D807" s="240"/>
    </row>
    <row r="808" spans="4:4" ht="15.6" x14ac:dyDescent="0.3">
      <c r="D808" s="240"/>
    </row>
    <row r="809" spans="4:4" ht="15.6" x14ac:dyDescent="0.3">
      <c r="D809" s="240"/>
    </row>
    <row r="810" spans="4:4" ht="15.6" x14ac:dyDescent="0.3">
      <c r="D810" s="240"/>
    </row>
    <row r="811" spans="4:4" ht="15.6" x14ac:dyDescent="0.3">
      <c r="D811" s="240"/>
    </row>
    <row r="812" spans="4:4" ht="15.6" x14ac:dyDescent="0.3">
      <c r="D812" s="240"/>
    </row>
    <row r="813" spans="4:4" ht="15.6" x14ac:dyDescent="0.3">
      <c r="D813" s="240"/>
    </row>
    <row r="814" spans="4:4" ht="15.6" x14ac:dyDescent="0.3">
      <c r="D814" s="240"/>
    </row>
    <row r="815" spans="4:4" ht="15.6" x14ac:dyDescent="0.3">
      <c r="D815" s="240"/>
    </row>
    <row r="816" spans="4:4" ht="15.6" x14ac:dyDescent="0.3">
      <c r="D816" s="240"/>
    </row>
    <row r="817" spans="4:4" ht="15.6" x14ac:dyDescent="0.3">
      <c r="D817" s="240"/>
    </row>
    <row r="818" spans="4:4" ht="15.6" x14ac:dyDescent="0.3">
      <c r="D818" s="240"/>
    </row>
    <row r="819" spans="4:4" ht="15.6" x14ac:dyDescent="0.3">
      <c r="D819" s="240"/>
    </row>
    <row r="820" spans="4:4" ht="15.6" x14ac:dyDescent="0.3">
      <c r="D820" s="240"/>
    </row>
    <row r="821" spans="4:4" ht="15.6" x14ac:dyDescent="0.3">
      <c r="D821" s="240"/>
    </row>
    <row r="822" spans="4:4" ht="15.6" x14ac:dyDescent="0.3">
      <c r="D822" s="240"/>
    </row>
    <row r="823" spans="4:4" ht="15.6" x14ac:dyDescent="0.3">
      <c r="D823" s="240"/>
    </row>
    <row r="824" spans="4:4" ht="15.6" x14ac:dyDescent="0.3">
      <c r="D824" s="240"/>
    </row>
    <row r="825" spans="4:4" ht="15.6" x14ac:dyDescent="0.3">
      <c r="D825" s="240"/>
    </row>
    <row r="826" spans="4:4" ht="15.6" x14ac:dyDescent="0.3">
      <c r="D826" s="240"/>
    </row>
    <row r="827" spans="4:4" ht="15.6" x14ac:dyDescent="0.3">
      <c r="D827" s="240"/>
    </row>
    <row r="828" spans="4:4" ht="15.6" x14ac:dyDescent="0.3">
      <c r="D828" s="240"/>
    </row>
    <row r="829" spans="4:4" ht="15.6" x14ac:dyDescent="0.3">
      <c r="D829" s="240"/>
    </row>
    <row r="830" spans="4:4" ht="15.6" x14ac:dyDescent="0.3">
      <c r="D830" s="240"/>
    </row>
    <row r="831" spans="4:4" ht="15.6" x14ac:dyDescent="0.3">
      <c r="D831" s="240"/>
    </row>
    <row r="832" spans="4:4" ht="15.6" x14ac:dyDescent="0.3">
      <c r="D832" s="240"/>
    </row>
    <row r="833" spans="4:4" ht="15.6" x14ac:dyDescent="0.3">
      <c r="D833" s="240"/>
    </row>
    <row r="834" spans="4:4" ht="15.6" x14ac:dyDescent="0.3">
      <c r="D834" s="240"/>
    </row>
    <row r="835" spans="4:4" ht="15.6" x14ac:dyDescent="0.3">
      <c r="D835" s="240"/>
    </row>
    <row r="836" spans="4:4" ht="15.6" x14ac:dyDescent="0.3">
      <c r="D836" s="240"/>
    </row>
    <row r="837" spans="4:4" ht="15.6" x14ac:dyDescent="0.3">
      <c r="D837" s="240"/>
    </row>
    <row r="838" spans="4:4" ht="15.6" x14ac:dyDescent="0.3">
      <c r="D838" s="240"/>
    </row>
    <row r="839" spans="4:4" ht="15.6" x14ac:dyDescent="0.3">
      <c r="D839" s="240"/>
    </row>
    <row r="840" spans="4:4" ht="15.6" x14ac:dyDescent="0.3">
      <c r="D840" s="240"/>
    </row>
    <row r="841" spans="4:4" ht="15.6" x14ac:dyDescent="0.3">
      <c r="D841" s="240"/>
    </row>
    <row r="842" spans="4:4" ht="15.6" x14ac:dyDescent="0.3">
      <c r="D842" s="240"/>
    </row>
    <row r="843" spans="4:4" ht="15.6" x14ac:dyDescent="0.3">
      <c r="D843" s="240"/>
    </row>
    <row r="844" spans="4:4" ht="15.6" x14ac:dyDescent="0.3">
      <c r="D844" s="240"/>
    </row>
    <row r="845" spans="4:4" ht="15.6" x14ac:dyDescent="0.3">
      <c r="D845" s="240"/>
    </row>
    <row r="846" spans="4:4" ht="15.6" x14ac:dyDescent="0.3">
      <c r="D846" s="240"/>
    </row>
    <row r="847" spans="4:4" ht="15.6" x14ac:dyDescent="0.3">
      <c r="D847" s="240"/>
    </row>
    <row r="848" spans="4:4" ht="15.6" x14ac:dyDescent="0.3">
      <c r="D848" s="240"/>
    </row>
    <row r="849" spans="4:4" ht="15.6" x14ac:dyDescent="0.3">
      <c r="D849" s="240"/>
    </row>
    <row r="850" spans="4:4" ht="15.6" x14ac:dyDescent="0.3">
      <c r="D850" s="240"/>
    </row>
    <row r="851" spans="4:4" ht="15.6" x14ac:dyDescent="0.3">
      <c r="D851" s="240"/>
    </row>
    <row r="852" spans="4:4" ht="15.6" x14ac:dyDescent="0.3">
      <c r="D852" s="240"/>
    </row>
    <row r="853" spans="4:4" ht="15.6" x14ac:dyDescent="0.3">
      <c r="D853" s="240"/>
    </row>
    <row r="854" spans="4:4" ht="15.6" x14ac:dyDescent="0.3">
      <c r="D854" s="240"/>
    </row>
    <row r="855" spans="4:4" ht="15.6" x14ac:dyDescent="0.3">
      <c r="D855" s="240"/>
    </row>
    <row r="856" spans="4:4" ht="15.6" x14ac:dyDescent="0.3">
      <c r="D856" s="240"/>
    </row>
    <row r="857" spans="4:4" ht="15.6" x14ac:dyDescent="0.3">
      <c r="D857" s="240"/>
    </row>
    <row r="858" spans="4:4" ht="15.6" x14ac:dyDescent="0.3">
      <c r="D858" s="240"/>
    </row>
    <row r="859" spans="4:4" ht="15.6" x14ac:dyDescent="0.3">
      <c r="D859" s="240"/>
    </row>
    <row r="860" spans="4:4" ht="15.6" x14ac:dyDescent="0.3">
      <c r="D860" s="240"/>
    </row>
    <row r="861" spans="4:4" ht="15.6" x14ac:dyDescent="0.3">
      <c r="D861" s="240"/>
    </row>
    <row r="862" spans="4:4" ht="15.6" x14ac:dyDescent="0.3">
      <c r="D862" s="240"/>
    </row>
    <row r="863" spans="4:4" ht="15.6" x14ac:dyDescent="0.3">
      <c r="D863" s="240"/>
    </row>
    <row r="864" spans="4:4" ht="15.6" x14ac:dyDescent="0.3">
      <c r="D864" s="240"/>
    </row>
    <row r="865" spans="4:4" ht="15.6" x14ac:dyDescent="0.3">
      <c r="D865" s="240"/>
    </row>
    <row r="866" spans="4:4" ht="15.6" x14ac:dyDescent="0.3">
      <c r="D866" s="240"/>
    </row>
    <row r="867" spans="4:4" ht="15.6" x14ac:dyDescent="0.3">
      <c r="D867" s="240"/>
    </row>
    <row r="868" spans="4:4" ht="15.6" x14ac:dyDescent="0.3">
      <c r="D868" s="240"/>
    </row>
    <row r="869" spans="4:4" ht="15.6" x14ac:dyDescent="0.3">
      <c r="D869" s="240"/>
    </row>
    <row r="870" spans="4:4" ht="15.6" x14ac:dyDescent="0.3">
      <c r="D870" s="240"/>
    </row>
    <row r="871" spans="4:4" ht="15.6" x14ac:dyDescent="0.3">
      <c r="D871" s="240"/>
    </row>
    <row r="872" spans="4:4" ht="15.6" x14ac:dyDescent="0.3">
      <c r="D872" s="240"/>
    </row>
    <row r="873" spans="4:4" ht="15.6" x14ac:dyDescent="0.3">
      <c r="D873" s="240"/>
    </row>
    <row r="874" spans="4:4" ht="15.6" x14ac:dyDescent="0.3">
      <c r="D874" s="240"/>
    </row>
    <row r="875" spans="4:4" ht="15.6" x14ac:dyDescent="0.3">
      <c r="D875" s="240"/>
    </row>
    <row r="876" spans="4:4" ht="15.6" x14ac:dyDescent="0.3">
      <c r="D876" s="240"/>
    </row>
    <row r="877" spans="4:4" ht="15.6" x14ac:dyDescent="0.3">
      <c r="D877" s="240"/>
    </row>
    <row r="878" spans="4:4" ht="15.6" x14ac:dyDescent="0.3">
      <c r="D878" s="240"/>
    </row>
    <row r="879" spans="4:4" ht="15.6" x14ac:dyDescent="0.3">
      <c r="D879" s="240"/>
    </row>
    <row r="880" spans="4:4" ht="15.6" x14ac:dyDescent="0.3">
      <c r="D880" s="240"/>
    </row>
    <row r="881" spans="4:4" ht="15.6" x14ac:dyDescent="0.3">
      <c r="D881" s="240"/>
    </row>
    <row r="882" spans="4:4" ht="15.6" x14ac:dyDescent="0.3">
      <c r="D882" s="240"/>
    </row>
    <row r="883" spans="4:4" ht="15.6" x14ac:dyDescent="0.3">
      <c r="D883" s="240"/>
    </row>
    <row r="884" spans="4:4" ht="15.6" x14ac:dyDescent="0.3">
      <c r="D884" s="240"/>
    </row>
    <row r="885" spans="4:4" ht="15.6" x14ac:dyDescent="0.3">
      <c r="D885" s="240"/>
    </row>
    <row r="886" spans="4:4" ht="15.6" x14ac:dyDescent="0.3">
      <c r="D886" s="240"/>
    </row>
    <row r="887" spans="4:4" ht="15.6" x14ac:dyDescent="0.3">
      <c r="D887" s="240"/>
    </row>
    <row r="888" spans="4:4" ht="15.6" x14ac:dyDescent="0.3">
      <c r="D888" s="240"/>
    </row>
    <row r="889" spans="4:4" ht="15.6" x14ac:dyDescent="0.3">
      <c r="D889" s="240"/>
    </row>
    <row r="890" spans="4:4" ht="15.6" x14ac:dyDescent="0.3">
      <c r="D890" s="240"/>
    </row>
    <row r="891" spans="4:4" ht="15.6" x14ac:dyDescent="0.3">
      <c r="D891" s="240"/>
    </row>
    <row r="892" spans="4:4" ht="15.6" x14ac:dyDescent="0.3">
      <c r="D892" s="240"/>
    </row>
    <row r="893" spans="4:4" ht="15.6" x14ac:dyDescent="0.3">
      <c r="D893" s="240"/>
    </row>
    <row r="894" spans="4:4" ht="15.6" x14ac:dyDescent="0.3">
      <c r="D894" s="240"/>
    </row>
    <row r="895" spans="4:4" ht="15.6" x14ac:dyDescent="0.3">
      <c r="D895" s="240"/>
    </row>
    <row r="896" spans="4:4" ht="15.6" x14ac:dyDescent="0.3">
      <c r="D896" s="240"/>
    </row>
    <row r="897" spans="4:4" ht="15.6" x14ac:dyDescent="0.3">
      <c r="D897" s="240"/>
    </row>
    <row r="898" spans="4:4" ht="15.6" x14ac:dyDescent="0.3">
      <c r="D898" s="240"/>
    </row>
    <row r="899" spans="4:4" ht="15.6" x14ac:dyDescent="0.3">
      <c r="D899" s="240"/>
    </row>
    <row r="900" spans="4:4" ht="15.6" x14ac:dyDescent="0.3">
      <c r="D900" s="240"/>
    </row>
    <row r="901" spans="4:4" ht="15.6" x14ac:dyDescent="0.3">
      <c r="D901" s="240"/>
    </row>
    <row r="902" spans="4:4" ht="15.6" x14ac:dyDescent="0.3">
      <c r="D902" s="240"/>
    </row>
    <row r="903" spans="4:4" ht="15.6" x14ac:dyDescent="0.3">
      <c r="D903" s="240"/>
    </row>
    <row r="904" spans="4:4" ht="15.6" x14ac:dyDescent="0.3">
      <c r="D904" s="240"/>
    </row>
    <row r="905" spans="4:4" ht="15.6" x14ac:dyDescent="0.3">
      <c r="D905" s="240"/>
    </row>
    <row r="906" spans="4:4" ht="15.6" x14ac:dyDescent="0.3">
      <c r="D906" s="240"/>
    </row>
    <row r="907" spans="4:4" ht="15.6" x14ac:dyDescent="0.3">
      <c r="D907" s="240"/>
    </row>
    <row r="908" spans="4:4" ht="15.6" x14ac:dyDescent="0.3">
      <c r="D908" s="240"/>
    </row>
    <row r="909" spans="4:4" ht="15.6" x14ac:dyDescent="0.3">
      <c r="D909" s="240"/>
    </row>
    <row r="910" spans="4:4" ht="15.6" x14ac:dyDescent="0.3">
      <c r="D910" s="240"/>
    </row>
    <row r="911" spans="4:4" ht="15.6" x14ac:dyDescent="0.3">
      <c r="D911" s="240"/>
    </row>
    <row r="912" spans="4:4" ht="15.6" x14ac:dyDescent="0.3">
      <c r="D912" s="240"/>
    </row>
    <row r="913" spans="4:4" ht="15.6" x14ac:dyDescent="0.3">
      <c r="D913" s="240"/>
    </row>
    <row r="914" spans="4:4" ht="15.6" x14ac:dyDescent="0.3">
      <c r="D914" s="240"/>
    </row>
    <row r="915" spans="4:4" ht="15.6" x14ac:dyDescent="0.3">
      <c r="D915" s="240"/>
    </row>
    <row r="916" spans="4:4" ht="15.6" x14ac:dyDescent="0.3">
      <c r="D916" s="240"/>
    </row>
    <row r="917" spans="4:4" ht="15.6" x14ac:dyDescent="0.3">
      <c r="D917" s="240"/>
    </row>
    <row r="918" spans="4:4" ht="15.6" x14ac:dyDescent="0.3">
      <c r="D918" s="240"/>
    </row>
    <row r="919" spans="4:4" ht="15.6" x14ac:dyDescent="0.3">
      <c r="D919" s="240"/>
    </row>
    <row r="920" spans="4:4" ht="15.6" x14ac:dyDescent="0.3">
      <c r="D920" s="240"/>
    </row>
    <row r="921" spans="4:4" ht="15.6" x14ac:dyDescent="0.3">
      <c r="D921" s="240"/>
    </row>
    <row r="922" spans="4:4" ht="15.6" x14ac:dyDescent="0.3">
      <c r="D922" s="240"/>
    </row>
    <row r="923" spans="4:4" ht="15.6" x14ac:dyDescent="0.3">
      <c r="D923" s="240"/>
    </row>
    <row r="924" spans="4:4" ht="15.6" x14ac:dyDescent="0.3">
      <c r="D924" s="240"/>
    </row>
    <row r="925" spans="4:4" ht="15.6" x14ac:dyDescent="0.3">
      <c r="D925" s="240"/>
    </row>
    <row r="926" spans="4:4" ht="15.6" x14ac:dyDescent="0.3">
      <c r="D926" s="240"/>
    </row>
    <row r="927" spans="4:4" ht="15.6" x14ac:dyDescent="0.3">
      <c r="D927" s="240"/>
    </row>
    <row r="928" spans="4:4" ht="15.6" x14ac:dyDescent="0.3">
      <c r="D928" s="240"/>
    </row>
    <row r="929" spans="4:4" ht="15.6" x14ac:dyDescent="0.3">
      <c r="D929" s="240"/>
    </row>
    <row r="930" spans="4:4" ht="15.6" x14ac:dyDescent="0.3">
      <c r="D930" s="240"/>
    </row>
    <row r="931" spans="4:4" ht="15.6" x14ac:dyDescent="0.3">
      <c r="D931" s="240"/>
    </row>
    <row r="932" spans="4:4" ht="15.6" x14ac:dyDescent="0.3">
      <c r="D932" s="240"/>
    </row>
    <row r="933" spans="4:4" ht="15.6" x14ac:dyDescent="0.3">
      <c r="D933" s="240"/>
    </row>
    <row r="934" spans="4:4" ht="15.6" x14ac:dyDescent="0.3">
      <c r="D934" s="240"/>
    </row>
    <row r="935" spans="4:4" ht="15.6" x14ac:dyDescent="0.3">
      <c r="D935" s="240"/>
    </row>
    <row r="936" spans="4:4" ht="15.6" x14ac:dyDescent="0.3">
      <c r="D936" s="240"/>
    </row>
    <row r="937" spans="4:4" ht="15.6" x14ac:dyDescent="0.3">
      <c r="D937" s="240"/>
    </row>
    <row r="938" spans="4:4" ht="15.6" x14ac:dyDescent="0.3">
      <c r="D938" s="240"/>
    </row>
    <row r="939" spans="4:4" ht="15.6" x14ac:dyDescent="0.3">
      <c r="D939" s="240"/>
    </row>
    <row r="940" spans="4:4" ht="15.6" x14ac:dyDescent="0.3">
      <c r="D940" s="240"/>
    </row>
    <row r="941" spans="4:4" ht="15.6" x14ac:dyDescent="0.3">
      <c r="D941" s="240"/>
    </row>
    <row r="942" spans="4:4" ht="15.6" x14ac:dyDescent="0.3">
      <c r="D942" s="240"/>
    </row>
    <row r="943" spans="4:4" ht="15.6" x14ac:dyDescent="0.3">
      <c r="D943" s="240"/>
    </row>
    <row r="944" spans="4:4" ht="15.6" x14ac:dyDescent="0.3">
      <c r="D944" s="240"/>
    </row>
    <row r="945" spans="4:4" ht="15.6" x14ac:dyDescent="0.3">
      <c r="D945" s="240"/>
    </row>
    <row r="946" spans="4:4" ht="15.6" x14ac:dyDescent="0.3">
      <c r="D946" s="240"/>
    </row>
    <row r="947" spans="4:4" ht="15.6" x14ac:dyDescent="0.3">
      <c r="D947" s="240"/>
    </row>
    <row r="948" spans="4:4" ht="15.6" x14ac:dyDescent="0.3">
      <c r="D948" s="240"/>
    </row>
    <row r="949" spans="4:4" ht="15.6" x14ac:dyDescent="0.3">
      <c r="D949" s="240"/>
    </row>
    <row r="950" spans="4:4" ht="15.6" x14ac:dyDescent="0.3">
      <c r="D950" s="240"/>
    </row>
    <row r="951" spans="4:4" ht="15.6" x14ac:dyDescent="0.3">
      <c r="D951" s="240"/>
    </row>
    <row r="952" spans="4:4" ht="15.6" x14ac:dyDescent="0.3">
      <c r="D952" s="240"/>
    </row>
    <row r="953" spans="4:4" ht="15.6" x14ac:dyDescent="0.3">
      <c r="D953" s="240"/>
    </row>
    <row r="954" spans="4:4" ht="15.6" x14ac:dyDescent="0.3">
      <c r="D954" s="240"/>
    </row>
    <row r="955" spans="4:4" ht="15.6" x14ac:dyDescent="0.3">
      <c r="D955" s="240"/>
    </row>
    <row r="956" spans="4:4" ht="15.6" x14ac:dyDescent="0.3">
      <c r="D956" s="240"/>
    </row>
    <row r="957" spans="4:4" ht="15.6" x14ac:dyDescent="0.3">
      <c r="D957" s="240"/>
    </row>
    <row r="958" spans="4:4" ht="15.6" x14ac:dyDescent="0.3">
      <c r="D958" s="240"/>
    </row>
    <row r="959" spans="4:4" ht="15.6" x14ac:dyDescent="0.3">
      <c r="D959" s="240"/>
    </row>
    <row r="960" spans="4:4" ht="15.6" x14ac:dyDescent="0.3">
      <c r="D960" s="240"/>
    </row>
    <row r="961" spans="4:4" ht="15.6" x14ac:dyDescent="0.3">
      <c r="D961" s="240"/>
    </row>
    <row r="962" spans="4:4" ht="15.6" x14ac:dyDescent="0.3">
      <c r="D962" s="240"/>
    </row>
    <row r="963" spans="4:4" ht="15.6" x14ac:dyDescent="0.3">
      <c r="D963" s="240"/>
    </row>
    <row r="964" spans="4:4" ht="15.6" x14ac:dyDescent="0.3">
      <c r="D964" s="240"/>
    </row>
    <row r="965" spans="4:4" ht="15.6" x14ac:dyDescent="0.3">
      <c r="D965" s="240"/>
    </row>
    <row r="966" spans="4:4" ht="15.6" x14ac:dyDescent="0.3">
      <c r="D966" s="240"/>
    </row>
    <row r="967" spans="4:4" ht="15.6" x14ac:dyDescent="0.3">
      <c r="D967" s="240"/>
    </row>
    <row r="968" spans="4:4" ht="15.6" x14ac:dyDescent="0.3">
      <c r="D968" s="240"/>
    </row>
    <row r="969" spans="4:4" ht="15.6" x14ac:dyDescent="0.3">
      <c r="D969" s="240"/>
    </row>
    <row r="970" spans="4:4" ht="15.6" x14ac:dyDescent="0.3">
      <c r="D970" s="240"/>
    </row>
    <row r="971" spans="4:4" ht="15.6" x14ac:dyDescent="0.3">
      <c r="D971" s="240"/>
    </row>
    <row r="972" spans="4:4" ht="15.6" x14ac:dyDescent="0.3">
      <c r="D972" s="240"/>
    </row>
    <row r="973" spans="4:4" ht="15.6" x14ac:dyDescent="0.3">
      <c r="D973" s="240"/>
    </row>
    <row r="974" spans="4:4" ht="15.6" x14ac:dyDescent="0.3">
      <c r="D974" s="240"/>
    </row>
    <row r="975" spans="4:4" ht="15.6" x14ac:dyDescent="0.3">
      <c r="D975" s="240"/>
    </row>
    <row r="976" spans="4:4" ht="15.6" x14ac:dyDescent="0.3">
      <c r="D976" s="240"/>
    </row>
    <row r="977" spans="4:4" ht="15.6" x14ac:dyDescent="0.3">
      <c r="D977" s="240"/>
    </row>
    <row r="978" spans="4:4" ht="15.6" x14ac:dyDescent="0.3">
      <c r="D978" s="240"/>
    </row>
    <row r="979" spans="4:4" ht="15.6" x14ac:dyDescent="0.3">
      <c r="D979" s="240"/>
    </row>
    <row r="980" spans="4:4" ht="15.6" x14ac:dyDescent="0.3">
      <c r="D980" s="240"/>
    </row>
    <row r="981" spans="4:4" ht="15.6" x14ac:dyDescent="0.3">
      <c r="D981" s="240"/>
    </row>
    <row r="982" spans="4:4" ht="15.6" x14ac:dyDescent="0.3">
      <c r="D982" s="240"/>
    </row>
    <row r="983" spans="4:4" ht="15.6" x14ac:dyDescent="0.3">
      <c r="D983" s="240"/>
    </row>
    <row r="984" spans="4:4" ht="15.6" x14ac:dyDescent="0.3">
      <c r="D984" s="240"/>
    </row>
    <row r="985" spans="4:4" ht="15.6" x14ac:dyDescent="0.3">
      <c r="D985" s="240"/>
    </row>
    <row r="986" spans="4:4" ht="15.6" x14ac:dyDescent="0.3">
      <c r="D986" s="240"/>
    </row>
    <row r="987" spans="4:4" ht="15.6" x14ac:dyDescent="0.3">
      <c r="D987" s="240"/>
    </row>
    <row r="988" spans="4:4" ht="15.6" x14ac:dyDescent="0.3">
      <c r="D988" s="240"/>
    </row>
    <row r="989" spans="4:4" ht="15.6" x14ac:dyDescent="0.3">
      <c r="D989" s="240"/>
    </row>
    <row r="990" spans="4:4" ht="15.6" x14ac:dyDescent="0.3">
      <c r="D990" s="240"/>
    </row>
    <row r="991" spans="4:4" ht="15.6" x14ac:dyDescent="0.3">
      <c r="D991" s="240"/>
    </row>
    <row r="992" spans="4:4" ht="15.6" x14ac:dyDescent="0.3">
      <c r="D992" s="240"/>
    </row>
    <row r="993" spans="4:4" ht="15.6" x14ac:dyDescent="0.3">
      <c r="D993" s="240"/>
    </row>
    <row r="994" spans="4:4" ht="15.6" x14ac:dyDescent="0.3">
      <c r="D994" s="240"/>
    </row>
    <row r="995" spans="4:4" ht="15.6" x14ac:dyDescent="0.3">
      <c r="D995" s="240"/>
    </row>
    <row r="996" spans="4:4" ht="15.6" x14ac:dyDescent="0.3">
      <c r="D996" s="240"/>
    </row>
    <row r="997" spans="4:4" ht="15.6" x14ac:dyDescent="0.3">
      <c r="D997" s="240"/>
    </row>
    <row r="998" spans="4:4" ht="15.6" x14ac:dyDescent="0.3">
      <c r="D998" s="240"/>
    </row>
    <row r="999" spans="4:4" ht="15.6" x14ac:dyDescent="0.3">
      <c r="D999" s="240"/>
    </row>
    <row r="1000" spans="4:4" ht="15.6" x14ac:dyDescent="0.3">
      <c r="D1000" s="240"/>
    </row>
    <row r="1001" spans="4:4" ht="15.6" x14ac:dyDescent="0.3">
      <c r="D1001" s="240"/>
    </row>
    <row r="1002" spans="4:4" ht="15.6" x14ac:dyDescent="0.3">
      <c r="D1002" s="240"/>
    </row>
    <row r="1003" spans="4:4" ht="15.6" x14ac:dyDescent="0.3">
      <c r="D1003" s="240"/>
    </row>
    <row r="1004" spans="4:4" ht="15.6" x14ac:dyDescent="0.3">
      <c r="D1004" s="240"/>
    </row>
    <row r="1005" spans="4:4" ht="15.6" x14ac:dyDescent="0.3">
      <c r="D1005" s="240"/>
    </row>
    <row r="1006" spans="4:4" ht="15.6" x14ac:dyDescent="0.3">
      <c r="D1006" s="240"/>
    </row>
    <row r="1007" spans="4:4" ht="15.6" x14ac:dyDescent="0.3">
      <c r="D1007" s="240"/>
    </row>
    <row r="1008" spans="4:4" ht="15.6" x14ac:dyDescent="0.3">
      <c r="D1008" s="240"/>
    </row>
    <row r="1009" spans="4:4" ht="15.6" x14ac:dyDescent="0.3">
      <c r="D1009" s="240"/>
    </row>
    <row r="1010" spans="4:4" ht="15.6" x14ac:dyDescent="0.3">
      <c r="D1010" s="240"/>
    </row>
    <row r="1011" spans="4:4" ht="15.6" x14ac:dyDescent="0.3">
      <c r="D1011" s="240"/>
    </row>
    <row r="1012" spans="4:4" ht="15.6" x14ac:dyDescent="0.3">
      <c r="D1012" s="240"/>
    </row>
    <row r="1013" spans="4:4" ht="15.6" x14ac:dyDescent="0.3">
      <c r="D1013" s="240"/>
    </row>
    <row r="1014" spans="4:4" ht="15.6" x14ac:dyDescent="0.3">
      <c r="D1014" s="240"/>
    </row>
    <row r="1015" spans="4:4" ht="15.6" x14ac:dyDescent="0.3">
      <c r="D1015" s="240"/>
    </row>
    <row r="1016" spans="4:4" ht="15.6" x14ac:dyDescent="0.3">
      <c r="D1016" s="240"/>
    </row>
    <row r="1017" spans="4:4" ht="15.6" x14ac:dyDescent="0.3">
      <c r="D1017" s="240"/>
    </row>
    <row r="1018" spans="4:4" ht="15.6" x14ac:dyDescent="0.3">
      <c r="D1018" s="240"/>
    </row>
    <row r="1019" spans="4:4" ht="15.6" x14ac:dyDescent="0.3">
      <c r="D1019" s="240"/>
    </row>
    <row r="1020" spans="4:4" ht="15.6" x14ac:dyDescent="0.3">
      <c r="D1020" s="240"/>
    </row>
    <row r="1021" spans="4:4" ht="15.6" x14ac:dyDescent="0.3">
      <c r="D1021" s="240"/>
    </row>
    <row r="1022" spans="4:4" ht="15.6" x14ac:dyDescent="0.3">
      <c r="D1022" s="240"/>
    </row>
    <row r="1023" spans="4:4" ht="15.6" x14ac:dyDescent="0.3">
      <c r="D1023" s="240"/>
    </row>
    <row r="1024" spans="4:4" ht="15.6" x14ac:dyDescent="0.3">
      <c r="D1024" s="240"/>
    </row>
    <row r="1025" spans="4:4" ht="15.6" x14ac:dyDescent="0.3">
      <c r="D1025" s="240"/>
    </row>
    <row r="1026" spans="4:4" ht="15.6" x14ac:dyDescent="0.3">
      <c r="D1026" s="240"/>
    </row>
    <row r="1027" spans="4:4" ht="15.6" x14ac:dyDescent="0.3">
      <c r="D1027" s="240"/>
    </row>
    <row r="1028" spans="4:4" ht="15.6" x14ac:dyDescent="0.3">
      <c r="D1028" s="240"/>
    </row>
    <row r="1029" spans="4:4" ht="15.6" x14ac:dyDescent="0.3">
      <c r="D1029" s="240"/>
    </row>
    <row r="1030" spans="4:4" ht="15.6" x14ac:dyDescent="0.3">
      <c r="D1030" s="240"/>
    </row>
    <row r="1031" spans="4:4" ht="15.6" x14ac:dyDescent="0.3">
      <c r="D1031" s="240"/>
    </row>
    <row r="1032" spans="4:4" ht="15.6" x14ac:dyDescent="0.3">
      <c r="D1032" s="240"/>
    </row>
    <row r="1033" spans="4:4" ht="15.6" x14ac:dyDescent="0.3">
      <c r="D1033" s="240"/>
    </row>
    <row r="1034" spans="4:4" ht="15.6" x14ac:dyDescent="0.3">
      <c r="D1034" s="240"/>
    </row>
    <row r="1035" spans="4:4" ht="15.6" x14ac:dyDescent="0.3">
      <c r="D1035" s="240"/>
    </row>
    <row r="1036" spans="4:4" ht="15.6" x14ac:dyDescent="0.3">
      <c r="D1036" s="240"/>
    </row>
    <row r="1037" spans="4:4" ht="15.6" x14ac:dyDescent="0.3">
      <c r="D1037" s="240"/>
    </row>
    <row r="1038" spans="4:4" ht="15.6" x14ac:dyDescent="0.3">
      <c r="D1038" s="240"/>
    </row>
    <row r="1039" spans="4:4" ht="15.6" x14ac:dyDescent="0.3">
      <c r="D1039" s="240"/>
    </row>
    <row r="1040" spans="4:4" ht="15.6" x14ac:dyDescent="0.3">
      <c r="D1040" s="240"/>
    </row>
    <row r="1041" spans="4:4" ht="15.6" x14ac:dyDescent="0.3">
      <c r="D1041" s="240"/>
    </row>
    <row r="1042" spans="4:4" ht="15.6" x14ac:dyDescent="0.3">
      <c r="D1042" s="240"/>
    </row>
    <row r="1043" spans="4:4" ht="15.6" x14ac:dyDescent="0.3">
      <c r="D1043" s="240"/>
    </row>
    <row r="1044" spans="4:4" ht="15.6" x14ac:dyDescent="0.3">
      <c r="D1044" s="240"/>
    </row>
    <row r="1045" spans="4:4" ht="15.6" x14ac:dyDescent="0.3">
      <c r="D1045" s="240"/>
    </row>
    <row r="1046" spans="4:4" ht="15.6" x14ac:dyDescent="0.3">
      <c r="D1046" s="240"/>
    </row>
    <row r="1047" spans="4:4" ht="15.6" x14ac:dyDescent="0.3">
      <c r="D1047" s="240"/>
    </row>
    <row r="1048" spans="4:4" ht="15.6" x14ac:dyDescent="0.3">
      <c r="D1048" s="240"/>
    </row>
    <row r="1049" spans="4:4" ht="15.6" x14ac:dyDescent="0.3">
      <c r="D1049" s="240"/>
    </row>
    <row r="1050" spans="4:4" ht="15.6" x14ac:dyDescent="0.3">
      <c r="D1050" s="240"/>
    </row>
    <row r="1051" spans="4:4" ht="15.6" x14ac:dyDescent="0.3">
      <c r="D1051" s="240"/>
    </row>
    <row r="1052" spans="4:4" ht="15.6" x14ac:dyDescent="0.3">
      <c r="D1052" s="240"/>
    </row>
    <row r="1053" spans="4:4" ht="15.6" x14ac:dyDescent="0.3">
      <c r="D1053" s="240"/>
    </row>
    <row r="1054" spans="4:4" ht="15.6" x14ac:dyDescent="0.3">
      <c r="D1054" s="240"/>
    </row>
    <row r="1055" spans="4:4" ht="15.6" x14ac:dyDescent="0.3">
      <c r="D1055" s="240"/>
    </row>
    <row r="1056" spans="4:4" ht="15.6" x14ac:dyDescent="0.3">
      <c r="D1056" s="240"/>
    </row>
    <row r="1057" spans="4:4" ht="15.6" x14ac:dyDescent="0.3">
      <c r="D1057" s="240"/>
    </row>
    <row r="1058" spans="4:4" ht="15.6" x14ac:dyDescent="0.3">
      <c r="D1058" s="240"/>
    </row>
    <row r="1059" spans="4:4" ht="15.6" x14ac:dyDescent="0.3">
      <c r="D1059" s="240"/>
    </row>
    <row r="1060" spans="4:4" ht="15.6" x14ac:dyDescent="0.3">
      <c r="D1060" s="240"/>
    </row>
    <row r="1061" spans="4:4" ht="15.6" x14ac:dyDescent="0.3">
      <c r="D1061" s="240"/>
    </row>
    <row r="1062" spans="4:4" ht="15.6" x14ac:dyDescent="0.3">
      <c r="D1062" s="240"/>
    </row>
    <row r="1063" spans="4:4" ht="15.6" x14ac:dyDescent="0.3">
      <c r="D1063" s="240"/>
    </row>
    <row r="1064" spans="4:4" ht="15.6" x14ac:dyDescent="0.3">
      <c r="D1064" s="240"/>
    </row>
    <row r="1065" spans="4:4" ht="15.6" x14ac:dyDescent="0.3">
      <c r="D1065" s="240"/>
    </row>
    <row r="1066" spans="4:4" ht="15.6" x14ac:dyDescent="0.3">
      <c r="D1066" s="240"/>
    </row>
    <row r="1067" spans="4:4" ht="15.6" x14ac:dyDescent="0.3">
      <c r="D1067" s="240"/>
    </row>
    <row r="1068" spans="4:4" ht="15.6" x14ac:dyDescent="0.3">
      <c r="D1068" s="240"/>
    </row>
    <row r="1069" spans="4:4" ht="15.6" x14ac:dyDescent="0.3">
      <c r="D1069" s="240"/>
    </row>
    <row r="1070" spans="4:4" ht="15.6" x14ac:dyDescent="0.3">
      <c r="D1070" s="240"/>
    </row>
    <row r="1071" spans="4:4" ht="15.6" x14ac:dyDescent="0.3">
      <c r="D1071" s="240"/>
    </row>
    <row r="1072" spans="4:4" ht="15.6" x14ac:dyDescent="0.3">
      <c r="D1072" s="240"/>
    </row>
    <row r="1073" spans="4:4" ht="15.6" x14ac:dyDescent="0.3">
      <c r="D1073" s="240"/>
    </row>
    <row r="1074" spans="4:4" ht="15.6" x14ac:dyDescent="0.3">
      <c r="D1074" s="240"/>
    </row>
    <row r="1075" spans="4:4" ht="15.6" x14ac:dyDescent="0.3">
      <c r="D1075" s="240"/>
    </row>
    <row r="1076" spans="4:4" ht="15.6" x14ac:dyDescent="0.3">
      <c r="D1076" s="240"/>
    </row>
    <row r="1077" spans="4:4" ht="15.6" x14ac:dyDescent="0.3">
      <c r="D1077" s="240"/>
    </row>
    <row r="1078" spans="4:4" ht="15.6" x14ac:dyDescent="0.3">
      <c r="D1078" s="240"/>
    </row>
    <row r="1079" spans="4:4" ht="15.6" x14ac:dyDescent="0.3">
      <c r="D1079" s="240"/>
    </row>
    <row r="1080" spans="4:4" ht="15.6" x14ac:dyDescent="0.3">
      <c r="D1080" s="240"/>
    </row>
    <row r="1081" spans="4:4" ht="15.6" x14ac:dyDescent="0.3">
      <c r="D1081" s="240"/>
    </row>
    <row r="1082" spans="4:4" ht="15.6" x14ac:dyDescent="0.3">
      <c r="D1082" s="240"/>
    </row>
    <row r="1083" spans="4:4" ht="15.6" x14ac:dyDescent="0.3">
      <c r="D1083" s="240"/>
    </row>
    <row r="1084" spans="4:4" ht="15.6" x14ac:dyDescent="0.3">
      <c r="D1084" s="240"/>
    </row>
    <row r="1085" spans="4:4" ht="15.6" x14ac:dyDescent="0.3">
      <c r="D1085" s="240"/>
    </row>
    <row r="1086" spans="4:4" ht="15.6" x14ac:dyDescent="0.3">
      <c r="D1086" s="240"/>
    </row>
    <row r="1087" spans="4:4" ht="15.6" x14ac:dyDescent="0.3">
      <c r="D1087" s="240"/>
    </row>
    <row r="1088" spans="4:4" ht="15.6" x14ac:dyDescent="0.3">
      <c r="D1088" s="240"/>
    </row>
    <row r="1089" spans="4:4" ht="15.6" x14ac:dyDescent="0.3">
      <c r="D1089" s="240"/>
    </row>
    <row r="1090" spans="4:4" ht="15.6" x14ac:dyDescent="0.3">
      <c r="D1090" s="240"/>
    </row>
    <row r="1091" spans="4:4" ht="15.6" x14ac:dyDescent="0.3">
      <c r="D1091" s="240"/>
    </row>
    <row r="1092" spans="4:4" ht="15.6" x14ac:dyDescent="0.3">
      <c r="D1092" s="240"/>
    </row>
    <row r="1093" spans="4:4" ht="15.6" x14ac:dyDescent="0.3">
      <c r="D1093" s="240"/>
    </row>
    <row r="1094" spans="4:4" ht="15.6" x14ac:dyDescent="0.3">
      <c r="D1094" s="240"/>
    </row>
    <row r="1095" spans="4:4" ht="15.6" x14ac:dyDescent="0.3">
      <c r="D1095" s="240"/>
    </row>
    <row r="1096" spans="4:4" ht="15.6" x14ac:dyDescent="0.3">
      <c r="D1096" s="240"/>
    </row>
    <row r="1097" spans="4:4" ht="15.6" x14ac:dyDescent="0.3">
      <c r="D1097" s="240"/>
    </row>
    <row r="1098" spans="4:4" ht="15.6" x14ac:dyDescent="0.3">
      <c r="D1098" s="240"/>
    </row>
    <row r="1099" spans="4:4" ht="15.6" x14ac:dyDescent="0.3">
      <c r="D1099" s="240"/>
    </row>
    <row r="1100" spans="4:4" ht="15.6" x14ac:dyDescent="0.3">
      <c r="D1100" s="240"/>
    </row>
    <row r="1101" spans="4:4" ht="15.6" x14ac:dyDescent="0.3">
      <c r="D1101" s="240"/>
    </row>
    <row r="1102" spans="4:4" ht="15.6" x14ac:dyDescent="0.3">
      <c r="D1102" s="240"/>
    </row>
    <row r="1103" spans="4:4" ht="15.6" x14ac:dyDescent="0.3">
      <c r="D1103" s="240"/>
    </row>
    <row r="1104" spans="4:4" ht="15.6" x14ac:dyDescent="0.3">
      <c r="D1104" s="240"/>
    </row>
    <row r="1105" spans="4:4" ht="15.6" x14ac:dyDescent="0.3">
      <c r="D1105" s="240"/>
    </row>
    <row r="1106" spans="4:4" ht="15.6" x14ac:dyDescent="0.3">
      <c r="D1106" s="240"/>
    </row>
    <row r="1107" spans="4:4" ht="15.6" x14ac:dyDescent="0.3">
      <c r="D1107" s="240"/>
    </row>
    <row r="1108" spans="4:4" ht="15.6" x14ac:dyDescent="0.3">
      <c r="D1108" s="240"/>
    </row>
    <row r="1109" spans="4:4" ht="15.6" x14ac:dyDescent="0.3">
      <c r="D1109" s="240"/>
    </row>
    <row r="1110" spans="4:4" ht="15.6" x14ac:dyDescent="0.3">
      <c r="D1110" s="240"/>
    </row>
    <row r="1111" spans="4:4" ht="15.6" x14ac:dyDescent="0.3">
      <c r="D1111" s="240"/>
    </row>
    <row r="1112" spans="4:4" ht="15.6" x14ac:dyDescent="0.3">
      <c r="D1112" s="240"/>
    </row>
    <row r="1113" spans="4:4" ht="15.6" x14ac:dyDescent="0.3">
      <c r="D1113" s="240"/>
    </row>
    <row r="1114" spans="4:4" ht="15.6" x14ac:dyDescent="0.3">
      <c r="D1114" s="240"/>
    </row>
    <row r="1115" spans="4:4" ht="15.6" x14ac:dyDescent="0.3">
      <c r="D1115" s="240"/>
    </row>
    <row r="1116" spans="4:4" ht="15.6" x14ac:dyDescent="0.3">
      <c r="D1116" s="240"/>
    </row>
    <row r="1117" spans="4:4" ht="15.6" x14ac:dyDescent="0.3">
      <c r="D1117" s="240"/>
    </row>
    <row r="1118" spans="4:4" ht="15.6" x14ac:dyDescent="0.3">
      <c r="D1118" s="240"/>
    </row>
    <row r="1119" spans="4:4" ht="15.6" x14ac:dyDescent="0.3">
      <c r="D1119" s="240"/>
    </row>
    <row r="1120" spans="4:4" ht="15.6" x14ac:dyDescent="0.3">
      <c r="D1120" s="240"/>
    </row>
    <row r="1121" spans="4:4" ht="15.6" x14ac:dyDescent="0.3">
      <c r="D1121" s="240"/>
    </row>
    <row r="1122" spans="4:4" ht="15.6" x14ac:dyDescent="0.3">
      <c r="D1122" s="240"/>
    </row>
    <row r="1123" spans="4:4" ht="15.6" x14ac:dyDescent="0.3">
      <c r="D1123" s="240"/>
    </row>
    <row r="1124" spans="4:4" ht="15.6" x14ac:dyDescent="0.3">
      <c r="D1124" s="240"/>
    </row>
    <row r="1125" spans="4:4" ht="15.6" x14ac:dyDescent="0.3">
      <c r="D1125" s="240"/>
    </row>
    <row r="1126" spans="4:4" ht="15.6" x14ac:dyDescent="0.3">
      <c r="D1126" s="240"/>
    </row>
    <row r="1127" spans="4:4" ht="15.6" x14ac:dyDescent="0.3">
      <c r="D1127" s="240"/>
    </row>
    <row r="1128" spans="4:4" ht="15.6" x14ac:dyDescent="0.3">
      <c r="D1128" s="240"/>
    </row>
    <row r="1129" spans="4:4" ht="15.6" x14ac:dyDescent="0.3">
      <c r="D1129" s="240"/>
    </row>
    <row r="1130" spans="4:4" ht="15.6" x14ac:dyDescent="0.3">
      <c r="D1130" s="240"/>
    </row>
    <row r="1131" spans="4:4" ht="15.6" x14ac:dyDescent="0.3">
      <c r="D1131" s="240"/>
    </row>
    <row r="1132" spans="4:4" ht="15.6" x14ac:dyDescent="0.3">
      <c r="D1132" s="240"/>
    </row>
    <row r="1133" spans="4:4" ht="15.6" x14ac:dyDescent="0.3">
      <c r="D1133" s="240"/>
    </row>
    <row r="1134" spans="4:4" ht="15.6" x14ac:dyDescent="0.3">
      <c r="D1134" s="240"/>
    </row>
    <row r="1135" spans="4:4" ht="15.6" x14ac:dyDescent="0.3">
      <c r="D1135" s="240"/>
    </row>
    <row r="1136" spans="4:4" ht="15.6" x14ac:dyDescent="0.3">
      <c r="D1136" s="240"/>
    </row>
    <row r="1137" spans="4:4" ht="15.6" x14ac:dyDescent="0.3">
      <c r="D1137" s="240"/>
    </row>
    <row r="1138" spans="4:4" ht="15.6" x14ac:dyDescent="0.3">
      <c r="D1138" s="240"/>
    </row>
    <row r="1139" spans="4:4" ht="15.6" x14ac:dyDescent="0.3">
      <c r="D1139" s="240"/>
    </row>
    <row r="1140" spans="4:4" ht="15.6" x14ac:dyDescent="0.3">
      <c r="D1140" s="240"/>
    </row>
    <row r="1141" spans="4:4" ht="15.6" x14ac:dyDescent="0.3">
      <c r="D1141" s="240"/>
    </row>
    <row r="1142" spans="4:4" ht="15.6" x14ac:dyDescent="0.3">
      <c r="D1142" s="240"/>
    </row>
    <row r="1143" spans="4:4" ht="15.6" x14ac:dyDescent="0.3">
      <c r="D1143" s="240"/>
    </row>
    <row r="1144" spans="4:4" ht="15.6" x14ac:dyDescent="0.3">
      <c r="D1144" s="240"/>
    </row>
    <row r="1145" spans="4:4" ht="15.6" x14ac:dyDescent="0.3">
      <c r="D1145" s="240"/>
    </row>
    <row r="1146" spans="4:4" ht="15.6" x14ac:dyDescent="0.3">
      <c r="D1146" s="240"/>
    </row>
    <row r="1147" spans="4:4" ht="15.6" x14ac:dyDescent="0.3">
      <c r="D1147" s="240"/>
    </row>
    <row r="1148" spans="4:4" ht="15.6" x14ac:dyDescent="0.3">
      <c r="D1148" s="240"/>
    </row>
    <row r="1149" spans="4:4" ht="15.6" x14ac:dyDescent="0.3">
      <c r="D1149" s="240"/>
    </row>
    <row r="1150" spans="4:4" ht="15.6" x14ac:dyDescent="0.3">
      <c r="D1150" s="240"/>
    </row>
    <row r="1151" spans="4:4" ht="15.6" x14ac:dyDescent="0.3">
      <c r="D1151" s="240"/>
    </row>
    <row r="1152" spans="4:4" ht="15.6" x14ac:dyDescent="0.3">
      <c r="D1152" s="240"/>
    </row>
    <row r="1153" spans="4:4" ht="15.6" x14ac:dyDescent="0.3">
      <c r="D1153" s="240"/>
    </row>
    <row r="1154" spans="4:4" ht="15.6" x14ac:dyDescent="0.3">
      <c r="D1154" s="240"/>
    </row>
    <row r="1155" spans="4:4" ht="15.6" x14ac:dyDescent="0.3">
      <c r="D1155" s="240"/>
    </row>
    <row r="1156" spans="4:4" ht="15.6" x14ac:dyDescent="0.3">
      <c r="D1156" s="240"/>
    </row>
    <row r="1157" spans="4:4" ht="15.6" x14ac:dyDescent="0.3">
      <c r="D1157" s="240"/>
    </row>
    <row r="1158" spans="4:4" ht="15.6" x14ac:dyDescent="0.3">
      <c r="D1158" s="240"/>
    </row>
    <row r="1159" spans="4:4" ht="15.6" x14ac:dyDescent="0.3">
      <c r="D1159" s="240"/>
    </row>
    <row r="1160" spans="4:4" ht="15.6" x14ac:dyDescent="0.3">
      <c r="D1160" s="240"/>
    </row>
    <row r="1161" spans="4:4" ht="15.6" x14ac:dyDescent="0.3">
      <c r="D1161" s="240"/>
    </row>
    <row r="1162" spans="4:4" ht="15.6" x14ac:dyDescent="0.3">
      <c r="D1162" s="240"/>
    </row>
    <row r="1163" spans="4:4" ht="15.6" x14ac:dyDescent="0.3">
      <c r="D1163" s="240"/>
    </row>
    <row r="1164" spans="4:4" ht="15.6" x14ac:dyDescent="0.3">
      <c r="D1164" s="240"/>
    </row>
    <row r="1165" spans="4:4" ht="15.6" x14ac:dyDescent="0.3">
      <c r="D1165" s="240"/>
    </row>
    <row r="1166" spans="4:4" ht="15.6" x14ac:dyDescent="0.3">
      <c r="D1166" s="240"/>
    </row>
    <row r="1167" spans="4:4" ht="15.6" x14ac:dyDescent="0.3">
      <c r="D1167" s="240"/>
    </row>
    <row r="1168" spans="4:4" ht="15.6" x14ac:dyDescent="0.3">
      <c r="D1168" s="240"/>
    </row>
    <row r="1169" spans="4:4" ht="15.6" x14ac:dyDescent="0.3">
      <c r="D1169" s="240"/>
    </row>
    <row r="1170" spans="4:4" ht="15.6" x14ac:dyDescent="0.3">
      <c r="D1170" s="240"/>
    </row>
    <row r="1171" spans="4:4" ht="15.6" x14ac:dyDescent="0.3">
      <c r="D1171" s="240"/>
    </row>
    <row r="1172" spans="4:4" ht="15.6" x14ac:dyDescent="0.3">
      <c r="D1172" s="240"/>
    </row>
    <row r="1173" spans="4:4" ht="15.6" x14ac:dyDescent="0.3">
      <c r="D1173" s="240"/>
    </row>
    <row r="1174" spans="4:4" ht="15.6" x14ac:dyDescent="0.3">
      <c r="D1174" s="240"/>
    </row>
    <row r="1175" spans="4:4" ht="15.6" x14ac:dyDescent="0.3">
      <c r="D1175" s="240"/>
    </row>
    <row r="1176" spans="4:4" ht="15.6" x14ac:dyDescent="0.3">
      <c r="D1176" s="240"/>
    </row>
    <row r="1177" spans="4:4" ht="15.6" x14ac:dyDescent="0.3">
      <c r="D1177" s="240"/>
    </row>
    <row r="1178" spans="4:4" ht="15.6" x14ac:dyDescent="0.3">
      <c r="D1178" s="240"/>
    </row>
    <row r="1179" spans="4:4" ht="15.6" x14ac:dyDescent="0.3">
      <c r="D1179" s="240"/>
    </row>
    <row r="1180" spans="4:4" ht="15.6" x14ac:dyDescent="0.3">
      <c r="D1180" s="240"/>
    </row>
    <row r="1181" spans="4:4" ht="15.6" x14ac:dyDescent="0.3">
      <c r="D1181" s="240"/>
    </row>
    <row r="1182" spans="4:4" ht="15.6" x14ac:dyDescent="0.3">
      <c r="D1182" s="240"/>
    </row>
    <row r="1183" spans="4:4" ht="15.6" x14ac:dyDescent="0.3">
      <c r="D1183" s="240"/>
    </row>
    <row r="1184" spans="4:4" ht="15.6" x14ac:dyDescent="0.3">
      <c r="D1184" s="240"/>
    </row>
    <row r="1185" spans="4:4" ht="15.6" x14ac:dyDescent="0.3">
      <c r="D1185" s="240"/>
    </row>
    <row r="1186" spans="4:4" ht="15.6" x14ac:dyDescent="0.3">
      <c r="D1186" s="240"/>
    </row>
    <row r="1187" spans="4:4" ht="15.6" x14ac:dyDescent="0.3">
      <c r="D1187" s="240"/>
    </row>
    <row r="1188" spans="4:4" ht="15.6" x14ac:dyDescent="0.3">
      <c r="D1188" s="240"/>
    </row>
    <row r="1189" spans="4:4" ht="15.6" x14ac:dyDescent="0.3">
      <c r="D1189" s="240"/>
    </row>
    <row r="1190" spans="4:4" ht="15.6" x14ac:dyDescent="0.3">
      <c r="D1190" s="240"/>
    </row>
    <row r="1191" spans="4:4" ht="15.6" x14ac:dyDescent="0.3">
      <c r="D1191" s="240"/>
    </row>
    <row r="1192" spans="4:4" ht="15.6" x14ac:dyDescent="0.3">
      <c r="D1192" s="240"/>
    </row>
    <row r="1193" spans="4:4" ht="15.6" x14ac:dyDescent="0.3">
      <c r="D1193" s="240"/>
    </row>
    <row r="1194" spans="4:4" ht="15.6" x14ac:dyDescent="0.3">
      <c r="D1194" s="240"/>
    </row>
    <row r="1195" spans="4:4" ht="15.6" x14ac:dyDescent="0.3">
      <c r="D1195" s="240"/>
    </row>
    <row r="1196" spans="4:4" ht="15.6" x14ac:dyDescent="0.3">
      <c r="D1196" s="240"/>
    </row>
    <row r="1197" spans="4:4" ht="15.6" x14ac:dyDescent="0.3">
      <c r="D1197" s="240"/>
    </row>
    <row r="1198" spans="4:4" ht="15.6" x14ac:dyDescent="0.3">
      <c r="D1198" s="240"/>
    </row>
    <row r="1199" spans="4:4" ht="15.6" x14ac:dyDescent="0.3">
      <c r="D1199" s="240"/>
    </row>
    <row r="1200" spans="4:4" ht="15.6" x14ac:dyDescent="0.3">
      <c r="D1200" s="240"/>
    </row>
    <row r="1201" spans="4:4" ht="15.6" x14ac:dyDescent="0.3">
      <c r="D1201" s="240"/>
    </row>
    <row r="1202" spans="4:4" ht="15.6" x14ac:dyDescent="0.3">
      <c r="D1202" s="240"/>
    </row>
    <row r="1203" spans="4:4" ht="15.6" x14ac:dyDescent="0.3">
      <c r="D1203" s="240"/>
    </row>
    <row r="1204" spans="4:4" ht="15.6" x14ac:dyDescent="0.3">
      <c r="D1204" s="240"/>
    </row>
    <row r="1205" spans="4:4" ht="15.6" x14ac:dyDescent="0.3">
      <c r="D1205" s="240"/>
    </row>
    <row r="1206" spans="4:4" ht="15.6" x14ac:dyDescent="0.3">
      <c r="D1206" s="240"/>
    </row>
    <row r="1207" spans="4:4" ht="15.6" x14ac:dyDescent="0.3">
      <c r="D1207" s="240"/>
    </row>
    <row r="1208" spans="4:4" ht="15.6" x14ac:dyDescent="0.3">
      <c r="D1208" s="240"/>
    </row>
    <row r="1209" spans="4:4" ht="15.6" x14ac:dyDescent="0.3">
      <c r="D1209" s="240"/>
    </row>
    <row r="1210" spans="4:4" ht="15.6" x14ac:dyDescent="0.3">
      <c r="D1210" s="240"/>
    </row>
    <row r="1211" spans="4:4" ht="15.6" x14ac:dyDescent="0.3">
      <c r="D1211" s="240"/>
    </row>
    <row r="1212" spans="4:4" ht="15.6" x14ac:dyDescent="0.3">
      <c r="D1212" s="240"/>
    </row>
    <row r="1213" spans="4:4" ht="15.6" x14ac:dyDescent="0.3">
      <c r="D1213" s="240"/>
    </row>
    <row r="1214" spans="4:4" ht="15.6" x14ac:dyDescent="0.3">
      <c r="D1214" s="240"/>
    </row>
    <row r="1215" spans="4:4" ht="15.6" x14ac:dyDescent="0.3">
      <c r="D1215" s="240"/>
    </row>
    <row r="1216" spans="4:4" ht="15.6" x14ac:dyDescent="0.3">
      <c r="D1216" s="240"/>
    </row>
    <row r="1217" spans="4:4" ht="15.6" x14ac:dyDescent="0.3">
      <c r="D1217" s="240"/>
    </row>
    <row r="1218" spans="4:4" ht="15.6" x14ac:dyDescent="0.3">
      <c r="D1218" s="240"/>
    </row>
    <row r="1219" spans="4:4" ht="15.6" x14ac:dyDescent="0.3">
      <c r="D1219" s="240"/>
    </row>
    <row r="1220" spans="4:4" ht="15.6" x14ac:dyDescent="0.3">
      <c r="D1220" s="240"/>
    </row>
    <row r="1221" spans="4:4" ht="15.6" x14ac:dyDescent="0.3">
      <c r="D1221" s="240"/>
    </row>
    <row r="1222" spans="4:4" ht="15.6" x14ac:dyDescent="0.3">
      <c r="D1222" s="240"/>
    </row>
    <row r="1223" spans="4:4" ht="15.6" x14ac:dyDescent="0.3">
      <c r="D1223" s="240"/>
    </row>
    <row r="1224" spans="4:4" ht="15.6" x14ac:dyDescent="0.3">
      <c r="D1224" s="240"/>
    </row>
    <row r="1225" spans="4:4" ht="15.6" x14ac:dyDescent="0.3">
      <c r="D1225" s="240"/>
    </row>
    <row r="1226" spans="4:4" ht="15.6" x14ac:dyDescent="0.3">
      <c r="D1226" s="240"/>
    </row>
    <row r="1227" spans="4:4" ht="15.6" x14ac:dyDescent="0.3">
      <c r="D1227" s="240"/>
    </row>
    <row r="1228" spans="4:4" ht="15.6" x14ac:dyDescent="0.3">
      <c r="D1228" s="240"/>
    </row>
    <row r="1229" spans="4:4" ht="15.6" x14ac:dyDescent="0.3">
      <c r="D1229" s="240"/>
    </row>
    <row r="1230" spans="4:4" ht="15.6" x14ac:dyDescent="0.3">
      <c r="D1230" s="240"/>
    </row>
    <row r="1231" spans="4:4" ht="15.6" x14ac:dyDescent="0.3">
      <c r="D1231" s="240"/>
    </row>
    <row r="1232" spans="4:4" ht="15.6" x14ac:dyDescent="0.3">
      <c r="D1232" s="240"/>
    </row>
    <row r="1233" spans="4:4" ht="15.6" x14ac:dyDescent="0.3">
      <c r="D1233" s="240"/>
    </row>
    <row r="1234" spans="4:4" ht="15.6" x14ac:dyDescent="0.3">
      <c r="D1234" s="240"/>
    </row>
    <row r="1235" spans="4:4" ht="15.6" x14ac:dyDescent="0.3">
      <c r="D1235" s="240"/>
    </row>
    <row r="1236" spans="4:4" ht="15.6" x14ac:dyDescent="0.3">
      <c r="D1236" s="240"/>
    </row>
    <row r="1237" spans="4:4" ht="15.6" x14ac:dyDescent="0.3">
      <c r="D1237" s="240"/>
    </row>
    <row r="1238" spans="4:4" ht="15.6" x14ac:dyDescent="0.3">
      <c r="D1238" s="240"/>
    </row>
    <row r="1239" spans="4:4" ht="15.6" x14ac:dyDescent="0.3">
      <c r="D1239" s="240"/>
    </row>
    <row r="1240" spans="4:4" ht="15.6" x14ac:dyDescent="0.3">
      <c r="D1240" s="240"/>
    </row>
    <row r="1241" spans="4:4" ht="15.6" x14ac:dyDescent="0.3">
      <c r="D1241" s="240"/>
    </row>
    <row r="1242" spans="4:4" ht="15.6" x14ac:dyDescent="0.3">
      <c r="D1242" s="240"/>
    </row>
    <row r="1243" spans="4:4" ht="15.6" x14ac:dyDescent="0.3">
      <c r="D1243" s="240"/>
    </row>
    <row r="1244" spans="4:4" ht="15.6" x14ac:dyDescent="0.3">
      <c r="D1244" s="240"/>
    </row>
    <row r="1245" spans="4:4" ht="15.6" x14ac:dyDescent="0.3">
      <c r="D1245" s="240"/>
    </row>
    <row r="1246" spans="4:4" ht="15.6" x14ac:dyDescent="0.3">
      <c r="D1246" s="240"/>
    </row>
    <row r="1247" spans="4:4" ht="15.6" x14ac:dyDescent="0.3">
      <c r="D1247" s="240"/>
    </row>
    <row r="1248" spans="4:4" ht="15.6" x14ac:dyDescent="0.3">
      <c r="D1248" s="240"/>
    </row>
    <row r="1249" spans="4:4" ht="15.6" x14ac:dyDescent="0.3">
      <c r="D1249" s="240"/>
    </row>
    <row r="1250" spans="4:4" ht="15.6" x14ac:dyDescent="0.3">
      <c r="D1250" s="240"/>
    </row>
    <row r="1251" spans="4:4" ht="15.6" x14ac:dyDescent="0.3">
      <c r="D1251" s="240"/>
    </row>
    <row r="1252" spans="4:4" ht="15.6" x14ac:dyDescent="0.3">
      <c r="D1252" s="240"/>
    </row>
    <row r="1253" spans="4:4" ht="15.6" x14ac:dyDescent="0.3">
      <c r="D1253" s="240"/>
    </row>
    <row r="1254" spans="4:4" ht="15.6" x14ac:dyDescent="0.3">
      <c r="D1254" s="240"/>
    </row>
    <row r="1255" spans="4:4" ht="15.6" x14ac:dyDescent="0.3">
      <c r="D1255" s="240"/>
    </row>
    <row r="1256" spans="4:4" ht="15.6" x14ac:dyDescent="0.3">
      <c r="D1256" s="240"/>
    </row>
    <row r="1257" spans="4:4" ht="15.6" x14ac:dyDescent="0.3">
      <c r="D1257" s="240"/>
    </row>
    <row r="1258" spans="4:4" ht="15.6" x14ac:dyDescent="0.3">
      <c r="D1258" s="240"/>
    </row>
    <row r="1259" spans="4:4" ht="15.6" x14ac:dyDescent="0.3">
      <c r="D1259" s="240"/>
    </row>
    <row r="1260" spans="4:4" ht="15.6" x14ac:dyDescent="0.3">
      <c r="D1260" s="240"/>
    </row>
    <row r="1261" spans="4:4" ht="15.6" x14ac:dyDescent="0.3">
      <c r="D1261" s="240"/>
    </row>
    <row r="1262" spans="4:4" ht="15.6" x14ac:dyDescent="0.3">
      <c r="D1262" s="240"/>
    </row>
    <row r="1263" spans="4:4" ht="15.6" x14ac:dyDescent="0.3">
      <c r="D1263" s="240"/>
    </row>
    <row r="1264" spans="4:4" ht="15.6" x14ac:dyDescent="0.3">
      <c r="D1264" s="240"/>
    </row>
    <row r="1265" spans="4:4" ht="15.6" x14ac:dyDescent="0.3">
      <c r="D1265" s="240"/>
    </row>
    <row r="1266" spans="4:4" ht="15.6" x14ac:dyDescent="0.3">
      <c r="D1266" s="240"/>
    </row>
    <row r="1267" spans="4:4" ht="15.6" x14ac:dyDescent="0.3">
      <c r="D1267" s="240"/>
    </row>
    <row r="1268" spans="4:4" ht="15.6" x14ac:dyDescent="0.3">
      <c r="D1268" s="240"/>
    </row>
    <row r="1269" spans="4:4" ht="15.6" x14ac:dyDescent="0.3">
      <c r="D1269" s="240"/>
    </row>
    <row r="1270" spans="4:4" ht="15.6" x14ac:dyDescent="0.3">
      <c r="D1270" s="240"/>
    </row>
    <row r="1271" spans="4:4" ht="15.6" x14ac:dyDescent="0.3">
      <c r="D1271" s="240"/>
    </row>
    <row r="1272" spans="4:4" ht="15.6" x14ac:dyDescent="0.3">
      <c r="D1272" s="240"/>
    </row>
    <row r="1273" spans="4:4" ht="15.6" x14ac:dyDescent="0.3">
      <c r="D1273" s="240"/>
    </row>
    <row r="1274" spans="4:4" ht="15.6" x14ac:dyDescent="0.3">
      <c r="D1274" s="240"/>
    </row>
    <row r="1275" spans="4:4" ht="15.6" x14ac:dyDescent="0.3">
      <c r="D1275" s="240"/>
    </row>
    <row r="1276" spans="4:4" ht="15.6" x14ac:dyDescent="0.3">
      <c r="D1276" s="240"/>
    </row>
    <row r="1277" spans="4:4" ht="15.6" x14ac:dyDescent="0.3">
      <c r="D1277" s="240"/>
    </row>
    <row r="1278" spans="4:4" ht="15.6" x14ac:dyDescent="0.3">
      <c r="D1278" s="240"/>
    </row>
    <row r="1279" spans="4:4" ht="15.6" x14ac:dyDescent="0.3">
      <c r="D1279" s="240"/>
    </row>
    <row r="1280" spans="4:4" ht="15.6" x14ac:dyDescent="0.3">
      <c r="D1280" s="240"/>
    </row>
    <row r="1281" spans="4:4" ht="15.6" x14ac:dyDescent="0.3">
      <c r="D1281" s="240"/>
    </row>
    <row r="1282" spans="4:4" ht="15.6" x14ac:dyDescent="0.3">
      <c r="D1282" s="240"/>
    </row>
    <row r="1283" spans="4:4" ht="15.6" x14ac:dyDescent="0.3">
      <c r="D1283" s="240"/>
    </row>
    <row r="1284" spans="4:4" ht="15.6" x14ac:dyDescent="0.3">
      <c r="D1284" s="240"/>
    </row>
    <row r="1285" spans="4:4" ht="15.6" x14ac:dyDescent="0.3">
      <c r="D1285" s="240"/>
    </row>
    <row r="1286" spans="4:4" ht="15.6" x14ac:dyDescent="0.3">
      <c r="D1286" s="240"/>
    </row>
    <row r="1287" spans="4:4" ht="15.6" x14ac:dyDescent="0.3">
      <c r="D1287" s="240"/>
    </row>
    <row r="1288" spans="4:4" ht="15.6" x14ac:dyDescent="0.3">
      <c r="D1288" s="240"/>
    </row>
    <row r="1289" spans="4:4" ht="15.6" x14ac:dyDescent="0.3">
      <c r="D1289" s="240"/>
    </row>
    <row r="1290" spans="4:4" ht="15.6" x14ac:dyDescent="0.3">
      <c r="D1290" s="240"/>
    </row>
    <row r="1291" spans="4:4" ht="15.6" x14ac:dyDescent="0.3">
      <c r="D1291" s="240"/>
    </row>
    <row r="1292" spans="4:4" ht="15.6" x14ac:dyDescent="0.3">
      <c r="D1292" s="240"/>
    </row>
    <row r="1293" spans="4:4" ht="15.6" x14ac:dyDescent="0.3">
      <c r="D1293" s="240"/>
    </row>
    <row r="1294" spans="4:4" ht="15.6" x14ac:dyDescent="0.3">
      <c r="D1294" s="240"/>
    </row>
    <row r="1295" spans="4:4" ht="15.6" x14ac:dyDescent="0.3">
      <c r="D1295" s="240"/>
    </row>
    <row r="1296" spans="4:4" ht="15.6" x14ac:dyDescent="0.3">
      <c r="D1296" s="240"/>
    </row>
    <row r="1297" spans="4:4" ht="15.6" x14ac:dyDescent="0.3">
      <c r="D1297" s="240"/>
    </row>
    <row r="1298" spans="4:4" ht="15.6" x14ac:dyDescent="0.3">
      <c r="D1298" s="240"/>
    </row>
    <row r="1299" spans="4:4" ht="15.6" x14ac:dyDescent="0.3">
      <c r="D1299" s="240"/>
    </row>
    <row r="1300" spans="4:4" ht="15.6" x14ac:dyDescent="0.3">
      <c r="D1300" s="240"/>
    </row>
    <row r="1301" spans="4:4" ht="15.6" x14ac:dyDescent="0.3">
      <c r="D1301" s="240"/>
    </row>
    <row r="1302" spans="4:4" ht="15.6" x14ac:dyDescent="0.3">
      <c r="D1302" s="240"/>
    </row>
    <row r="1303" spans="4:4" ht="15.6" x14ac:dyDescent="0.3">
      <c r="D1303" s="240"/>
    </row>
    <row r="1304" spans="4:4" ht="15.6" x14ac:dyDescent="0.3">
      <c r="D1304" s="240"/>
    </row>
    <row r="1305" spans="4:4" ht="15.6" x14ac:dyDescent="0.3">
      <c r="D1305" s="240"/>
    </row>
    <row r="1306" spans="4:4" ht="15.6" x14ac:dyDescent="0.3">
      <c r="D1306" s="240"/>
    </row>
  </sheetData>
  <sortState xmlns:xlrd2="http://schemas.microsoft.com/office/spreadsheetml/2017/richdata2" ref="F3:F1305">
    <sortCondition descending="1" ref="F3:F1305"/>
  </sortState>
  <mergeCells count="2">
    <mergeCell ref="B1:B3"/>
    <mergeCell ref="D1:H2"/>
  </mergeCells>
  <printOptions horizontalCentered="1" verticalCentered="1"/>
  <pageMargins left="0" right="0" top="0" bottom="0" header="0" footer="0"/>
  <pageSetup scale="90" orientation="landscape" horizontalDpi="1200" verticalDpi="1200" r:id="rId1"/>
  <rowBreaks count="1" manualBreakCount="1">
    <brk id="37" min="1" max="7"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6417-1F0A-4002-A3F4-C80E94766651}">
  <sheetPr>
    <pageSetUpPr fitToPage="1"/>
  </sheetPr>
  <dimension ref="B1:H57"/>
  <sheetViews>
    <sheetView zoomScale="70" zoomScaleNormal="70" workbookViewId="0"/>
  </sheetViews>
  <sheetFormatPr defaultColWidth="15.77734375" defaultRowHeight="15" x14ac:dyDescent="0.25"/>
  <cols>
    <col min="1" max="1" width="2" style="1" customWidth="1"/>
    <col min="2" max="2" width="44.77734375" style="1" customWidth="1"/>
    <col min="3" max="3" width="8.88671875" style="1" customWidth="1"/>
    <col min="4" max="16384" width="15.77734375" style="1"/>
  </cols>
  <sheetData>
    <row r="1" spans="2:8" x14ac:dyDescent="0.25">
      <c r="B1" s="974" t="s">
        <v>3336</v>
      </c>
      <c r="C1" s="153"/>
      <c r="D1" s="975" t="s">
        <v>3340</v>
      </c>
      <c r="E1" s="975"/>
      <c r="F1" s="975"/>
      <c r="G1" s="975"/>
      <c r="H1" s="975"/>
    </row>
    <row r="2" spans="2:8" x14ac:dyDescent="0.25">
      <c r="B2" s="974"/>
      <c r="C2" s="153"/>
      <c r="D2" s="975"/>
      <c r="E2" s="975"/>
      <c r="F2" s="975"/>
      <c r="G2" s="975"/>
      <c r="H2" s="975"/>
    </row>
    <row r="3" spans="2:8" ht="24.6" customHeight="1" x14ac:dyDescent="0.4">
      <c r="B3" s="974"/>
      <c r="C3" s="153"/>
      <c r="D3" s="35" t="s">
        <v>83</v>
      </c>
      <c r="E3" s="35" t="s">
        <v>84</v>
      </c>
      <c r="F3" s="35" t="s">
        <v>85</v>
      </c>
      <c r="G3" s="35" t="s">
        <v>86</v>
      </c>
      <c r="H3" s="35" t="s">
        <v>87</v>
      </c>
    </row>
    <row r="4" spans="2:8" ht="28.2" x14ac:dyDescent="0.5">
      <c r="B4" s="38" t="s">
        <v>121</v>
      </c>
      <c r="C4" s="38"/>
      <c r="D4" s="36">
        <v>44276</v>
      </c>
      <c r="E4" s="36">
        <f>EDATE(D4,12)</f>
        <v>44641</v>
      </c>
      <c r="F4" s="36">
        <f t="shared" ref="F4:H4" si="0">EDATE(E4,12)</f>
        <v>45006</v>
      </c>
      <c r="G4" s="36">
        <f t="shared" si="0"/>
        <v>45372</v>
      </c>
      <c r="H4" s="36">
        <f t="shared" si="0"/>
        <v>45737</v>
      </c>
    </row>
    <row r="6" spans="2:8" x14ac:dyDescent="0.25">
      <c r="B6" s="971" t="s">
        <v>3341</v>
      </c>
      <c r="C6" s="971"/>
      <c r="D6" s="971"/>
      <c r="E6" s="971"/>
      <c r="F6" s="971"/>
      <c r="G6" s="971"/>
      <c r="H6" s="971"/>
    </row>
    <row r="7" spans="2:8" x14ac:dyDescent="0.25">
      <c r="B7" s="971"/>
      <c r="C7" s="971"/>
      <c r="D7" s="971"/>
      <c r="E7" s="971"/>
      <c r="F7" s="971"/>
      <c r="G7" s="971"/>
      <c r="H7" s="971"/>
    </row>
    <row r="9" spans="2:8" x14ac:dyDescent="0.25">
      <c r="B9" s="233" t="s">
        <v>106</v>
      </c>
      <c r="C9" s="587" t="s">
        <v>112</v>
      </c>
      <c r="D9" s="46">
        <f>'PROFIT &amp; LOSS'!D38</f>
        <v>11155</v>
      </c>
      <c r="E9" s="46">
        <f>'PROFIT &amp; LOSS'!E38</f>
        <v>11084</v>
      </c>
      <c r="F9" s="46">
        <f>'PROFIT &amp; LOSS'!F38</f>
        <v>11804</v>
      </c>
      <c r="G9" s="46">
        <f>'PROFIT &amp; LOSS'!G38</f>
        <v>11168</v>
      </c>
      <c r="H9" s="46">
        <f>'PROFIT &amp; LOSS'!H38</f>
        <v>13191</v>
      </c>
    </row>
    <row r="10" spans="2:8" x14ac:dyDescent="0.25">
      <c r="B10" s="265" t="s">
        <v>3342</v>
      </c>
      <c r="C10" s="589" t="s">
        <v>112</v>
      </c>
      <c r="D10" s="295" t="s">
        <v>122</v>
      </c>
      <c r="E10" s="105">
        <f>('BALANCE SHEET'!E77+'BALANCE SHEET'!D77)/2</f>
        <v>60253</v>
      </c>
      <c r="F10" s="105">
        <f>('BALANCE SHEET'!F77+'BALANCE SHEET'!E77)/2</f>
        <v>71591</v>
      </c>
      <c r="G10" s="105">
        <f>('BALANCE SHEET'!G77+'BALANCE SHEET'!F77)/2</f>
        <v>76197</v>
      </c>
      <c r="H10" s="105">
        <f>('BALANCE SHEET'!H77+'BALANCE SHEET'!G77)/2</f>
        <v>78622.5</v>
      </c>
    </row>
    <row r="11" spans="2:8" x14ac:dyDescent="0.25">
      <c r="C11" s="315"/>
    </row>
    <row r="12" spans="2:8" ht="15.6" x14ac:dyDescent="0.3">
      <c r="B12" s="590" t="s">
        <v>522</v>
      </c>
      <c r="C12" s="591" t="s">
        <v>113</v>
      </c>
      <c r="D12" s="637" t="s">
        <v>122</v>
      </c>
      <c r="E12" s="572">
        <f>E9/E10</f>
        <v>0.18395764526247654</v>
      </c>
      <c r="F12" s="572">
        <f t="shared" ref="F12:H12" si="1">F9/F10</f>
        <v>0.16488106046849466</v>
      </c>
      <c r="G12" s="572">
        <f t="shared" si="1"/>
        <v>0.14656745016207987</v>
      </c>
      <c r="H12" s="572">
        <f t="shared" si="1"/>
        <v>0.16777639988552895</v>
      </c>
    </row>
    <row r="14" spans="2:8" x14ac:dyDescent="0.25">
      <c r="B14" s="971" t="s">
        <v>3343</v>
      </c>
      <c r="C14" s="971"/>
      <c r="D14" s="971"/>
      <c r="E14" s="971"/>
      <c r="F14" s="971"/>
      <c r="G14" s="971"/>
      <c r="H14" s="971"/>
    </row>
    <row r="15" spans="2:8" x14ac:dyDescent="0.25">
      <c r="B15" s="971"/>
      <c r="C15" s="971"/>
      <c r="D15" s="971"/>
      <c r="E15" s="971"/>
      <c r="F15" s="971"/>
      <c r="G15" s="971"/>
      <c r="H15" s="971"/>
    </row>
    <row r="17" spans="2:8" x14ac:dyDescent="0.25">
      <c r="B17" s="233" t="s">
        <v>106</v>
      </c>
      <c r="C17" s="587" t="s">
        <v>112</v>
      </c>
      <c r="D17" s="46">
        <f>D9</f>
        <v>11155</v>
      </c>
      <c r="E17" s="46">
        <f t="shared" ref="E17:H17" si="2">E9</f>
        <v>11084</v>
      </c>
      <c r="F17" s="46">
        <f t="shared" si="2"/>
        <v>11804</v>
      </c>
      <c r="G17" s="46">
        <f t="shared" si="2"/>
        <v>11168</v>
      </c>
      <c r="H17" s="46">
        <f t="shared" si="2"/>
        <v>13191</v>
      </c>
    </row>
    <row r="18" spans="2:8" x14ac:dyDescent="0.25">
      <c r="B18" s="265" t="s">
        <v>3344</v>
      </c>
      <c r="C18" s="589" t="s">
        <v>112</v>
      </c>
      <c r="D18" s="105">
        <f>'PROFIT &amp; LOSS'!D10</f>
        <v>64625</v>
      </c>
      <c r="E18" s="105">
        <f>'PROFIT &amp; LOSS'!E10</f>
        <v>81590</v>
      </c>
      <c r="F18" s="105">
        <f>'PROFIT &amp; LOSS'!F10</f>
        <v>93201</v>
      </c>
      <c r="G18" s="105">
        <f>'PROFIT &amp; LOSS'!G10</f>
        <v>92425</v>
      </c>
      <c r="H18" s="105">
        <f>'PROFIT &amp; LOSS'!H10</f>
        <v>92972</v>
      </c>
    </row>
    <row r="19" spans="2:8" x14ac:dyDescent="0.25">
      <c r="C19" s="315"/>
    </row>
    <row r="20" spans="2:8" ht="15.6" x14ac:dyDescent="0.3">
      <c r="B20" s="590" t="s">
        <v>521</v>
      </c>
      <c r="C20" s="591" t="s">
        <v>113</v>
      </c>
      <c r="D20" s="572">
        <f>D17/D18</f>
        <v>0.17261121856866538</v>
      </c>
      <c r="E20" s="572">
        <f t="shared" ref="E20:H20" si="3">E17/E18</f>
        <v>0.13584998161539405</v>
      </c>
      <c r="F20" s="572">
        <f t="shared" si="3"/>
        <v>0.1266510015986953</v>
      </c>
      <c r="G20" s="572">
        <f t="shared" si="3"/>
        <v>0.12083310792534488</v>
      </c>
      <c r="H20" s="572">
        <f t="shared" si="3"/>
        <v>0.14188142666609302</v>
      </c>
    </row>
    <row r="21" spans="2:8" x14ac:dyDescent="0.25">
      <c r="C21" s="315"/>
    </row>
    <row r="22" spans="2:8" x14ac:dyDescent="0.25">
      <c r="B22" s="229" t="s">
        <v>3344</v>
      </c>
      <c r="C22" s="587" t="s">
        <v>112</v>
      </c>
      <c r="D22" s="46">
        <f>D18</f>
        <v>64625</v>
      </c>
      <c r="E22" s="46">
        <f t="shared" ref="E22:H22" si="4">E18</f>
        <v>81590</v>
      </c>
      <c r="F22" s="46">
        <f t="shared" si="4"/>
        <v>93201</v>
      </c>
      <c r="G22" s="46">
        <f t="shared" si="4"/>
        <v>92425</v>
      </c>
      <c r="H22" s="46">
        <f t="shared" si="4"/>
        <v>92972</v>
      </c>
    </row>
    <row r="23" spans="2:8" x14ac:dyDescent="0.25">
      <c r="B23" s="231" t="s">
        <v>3345</v>
      </c>
      <c r="C23" s="589" t="s">
        <v>112</v>
      </c>
      <c r="D23" s="295" t="s">
        <v>122</v>
      </c>
      <c r="E23" s="105">
        <f>('BALANCE SHEET'!E39+'BALANCE SHEET'!D39)/2</f>
        <v>94889.5</v>
      </c>
      <c r="F23" s="105">
        <f>('BALANCE SHEET'!F39+'BALANCE SHEET'!E39)/2</f>
        <v>112079.5</v>
      </c>
      <c r="G23" s="105">
        <f>('BALANCE SHEET'!G39+'BALANCE SHEET'!F39)/2</f>
        <v>115952.5</v>
      </c>
      <c r="H23" s="105">
        <f>('BALANCE SHEET'!H39+'BALANCE SHEET'!G39)/2</f>
        <v>121488</v>
      </c>
    </row>
    <row r="24" spans="2:8" x14ac:dyDescent="0.25">
      <c r="C24" s="315"/>
    </row>
    <row r="25" spans="2:8" ht="15.6" x14ac:dyDescent="0.3">
      <c r="B25" s="590" t="s">
        <v>524</v>
      </c>
      <c r="C25" s="591" t="s">
        <v>3107</v>
      </c>
      <c r="D25" s="637" t="s">
        <v>122</v>
      </c>
      <c r="E25" s="638">
        <f>E22/E23</f>
        <v>0.85984223754999234</v>
      </c>
      <c r="F25" s="638">
        <f t="shared" ref="F25:H25" si="5">F22/F23</f>
        <v>0.83156152552429308</v>
      </c>
      <c r="G25" s="638">
        <f t="shared" si="5"/>
        <v>0.79709363748086504</v>
      </c>
      <c r="H25" s="638">
        <f t="shared" si="5"/>
        <v>0.76527722902673512</v>
      </c>
    </row>
    <row r="26" spans="2:8" x14ac:dyDescent="0.25">
      <c r="C26" s="315"/>
    </row>
    <row r="27" spans="2:8" x14ac:dyDescent="0.25">
      <c r="B27" s="233" t="s">
        <v>3345</v>
      </c>
      <c r="C27" s="587" t="s">
        <v>112</v>
      </c>
      <c r="D27" s="337" t="str">
        <f>D23</f>
        <v>N/A</v>
      </c>
      <c r="E27" s="62">
        <f t="shared" ref="E27:H27" si="6">E23</f>
        <v>94889.5</v>
      </c>
      <c r="F27" s="62">
        <f t="shared" si="6"/>
        <v>112079.5</v>
      </c>
      <c r="G27" s="62">
        <f t="shared" si="6"/>
        <v>115952.5</v>
      </c>
      <c r="H27" s="62">
        <f t="shared" si="6"/>
        <v>121488</v>
      </c>
    </row>
    <row r="28" spans="2:8" x14ac:dyDescent="0.25">
      <c r="B28" s="265" t="s">
        <v>3342</v>
      </c>
      <c r="C28" s="589" t="s">
        <v>112</v>
      </c>
      <c r="D28" s="295" t="str">
        <f>D10</f>
        <v>N/A</v>
      </c>
      <c r="E28" s="180">
        <f t="shared" ref="E28:H28" si="7">E10</f>
        <v>60253</v>
      </c>
      <c r="F28" s="180">
        <f t="shared" si="7"/>
        <v>71591</v>
      </c>
      <c r="G28" s="180">
        <f t="shared" si="7"/>
        <v>76197</v>
      </c>
      <c r="H28" s="180">
        <f t="shared" si="7"/>
        <v>78622.5</v>
      </c>
    </row>
    <row r="29" spans="2:8" x14ac:dyDescent="0.25">
      <c r="C29" s="315"/>
    </row>
    <row r="30" spans="2:8" ht="15.6" x14ac:dyDescent="0.3">
      <c r="B30" s="590" t="s">
        <v>3346</v>
      </c>
      <c r="C30" s="591" t="s">
        <v>3107</v>
      </c>
      <c r="D30" s="637" t="s">
        <v>122</v>
      </c>
      <c r="E30" s="638">
        <f>E27/E28</f>
        <v>1.5748510447612567</v>
      </c>
      <c r="F30" s="638">
        <f t="shared" ref="F30:H30" si="8">F27/F28</f>
        <v>1.5655529326311968</v>
      </c>
      <c r="G30" s="638">
        <f t="shared" si="8"/>
        <v>1.5217462629762326</v>
      </c>
      <c r="H30" s="638">
        <f t="shared" si="8"/>
        <v>1.5452065248497568</v>
      </c>
    </row>
    <row r="31" spans="2:8" ht="15.6" x14ac:dyDescent="0.3">
      <c r="B31" s="205"/>
      <c r="C31" s="359"/>
      <c r="D31" s="205"/>
      <c r="E31" s="205"/>
      <c r="F31" s="205"/>
      <c r="G31" s="205"/>
      <c r="H31" s="205"/>
    </row>
    <row r="32" spans="2:8" ht="15.6" x14ac:dyDescent="0.3">
      <c r="B32" s="578" t="s">
        <v>522</v>
      </c>
      <c r="C32" s="644" t="s">
        <v>113</v>
      </c>
      <c r="D32" s="639" t="s">
        <v>122</v>
      </c>
      <c r="E32" s="640">
        <f>E30*E25*E20</f>
        <v>0.18395764526247657</v>
      </c>
      <c r="F32" s="640">
        <f t="shared" ref="F32:H32" si="9">F30*F25*F20</f>
        <v>0.16488106046849468</v>
      </c>
      <c r="G32" s="640">
        <f t="shared" si="9"/>
        <v>0.14656745016207989</v>
      </c>
      <c r="H32" s="640">
        <f t="shared" si="9"/>
        <v>0.16777639988552895</v>
      </c>
    </row>
    <row r="34" spans="2:8" x14ac:dyDescent="0.25">
      <c r="B34" s="971" t="s">
        <v>3347</v>
      </c>
      <c r="C34" s="971"/>
      <c r="D34" s="971"/>
      <c r="E34" s="971"/>
      <c r="F34" s="971"/>
      <c r="G34" s="971"/>
      <c r="H34" s="971"/>
    </row>
    <row r="35" spans="2:8" x14ac:dyDescent="0.25">
      <c r="B35" s="971"/>
      <c r="C35" s="971"/>
      <c r="D35" s="971"/>
      <c r="E35" s="971"/>
      <c r="F35" s="971"/>
      <c r="G35" s="971"/>
      <c r="H35" s="971"/>
    </row>
    <row r="37" spans="2:8" x14ac:dyDescent="0.25">
      <c r="B37" s="233" t="s">
        <v>106</v>
      </c>
      <c r="C37" s="587" t="s">
        <v>112</v>
      </c>
      <c r="D37" s="641">
        <f>D9</f>
        <v>11155</v>
      </c>
      <c r="E37" s="641">
        <f t="shared" ref="E37:H37" si="10">E9</f>
        <v>11084</v>
      </c>
      <c r="F37" s="641">
        <f t="shared" si="10"/>
        <v>11804</v>
      </c>
      <c r="G37" s="641">
        <f t="shared" si="10"/>
        <v>11168</v>
      </c>
      <c r="H37" s="641">
        <f t="shared" si="10"/>
        <v>13191</v>
      </c>
    </row>
    <row r="38" spans="2:8" x14ac:dyDescent="0.25">
      <c r="B38" s="265" t="s">
        <v>3348</v>
      </c>
      <c r="C38" s="589" t="s">
        <v>112</v>
      </c>
      <c r="D38" s="295" t="str">
        <f>D23</f>
        <v>N/A</v>
      </c>
      <c r="E38" s="180">
        <f t="shared" ref="E38:H38" si="11">E23</f>
        <v>94889.5</v>
      </c>
      <c r="F38" s="180">
        <f t="shared" si="11"/>
        <v>112079.5</v>
      </c>
      <c r="G38" s="180">
        <f t="shared" si="11"/>
        <v>115952.5</v>
      </c>
      <c r="H38" s="180">
        <f t="shared" si="11"/>
        <v>121488</v>
      </c>
    </row>
    <row r="39" spans="2:8" x14ac:dyDescent="0.25">
      <c r="C39" s="315"/>
    </row>
    <row r="40" spans="2:8" ht="15.6" x14ac:dyDescent="0.3">
      <c r="B40" s="590" t="s">
        <v>535</v>
      </c>
      <c r="C40" s="591" t="s">
        <v>113</v>
      </c>
      <c r="D40" s="637" t="s">
        <v>122</v>
      </c>
      <c r="E40" s="572">
        <f>E37/E38</f>
        <v>0.11680955216330574</v>
      </c>
      <c r="F40" s="572">
        <f t="shared" ref="F40:H40" si="12">F37/F38</f>
        <v>0.10531810009859073</v>
      </c>
      <c r="G40" s="572">
        <f t="shared" si="12"/>
        <v>9.6315301524331084E-2</v>
      </c>
      <c r="H40" s="572">
        <f t="shared" si="12"/>
        <v>0.10857862504938759</v>
      </c>
    </row>
    <row r="42" spans="2:8" x14ac:dyDescent="0.25">
      <c r="B42" s="971" t="s">
        <v>3349</v>
      </c>
      <c r="C42" s="971"/>
      <c r="D42" s="971"/>
      <c r="E42" s="971"/>
      <c r="F42" s="971"/>
      <c r="G42" s="971"/>
      <c r="H42" s="971"/>
    </row>
    <row r="43" spans="2:8" x14ac:dyDescent="0.25">
      <c r="B43" s="971"/>
      <c r="C43" s="971"/>
      <c r="D43" s="971"/>
      <c r="E43" s="971"/>
      <c r="F43" s="971"/>
      <c r="G43" s="971"/>
      <c r="H43" s="971"/>
    </row>
    <row r="45" spans="2:8" x14ac:dyDescent="0.25">
      <c r="B45" s="233" t="s">
        <v>106</v>
      </c>
      <c r="C45" s="587" t="s">
        <v>112</v>
      </c>
      <c r="D45" s="46">
        <f>D37</f>
        <v>11155</v>
      </c>
      <c r="E45" s="46">
        <f t="shared" ref="E45:H45" si="13">E37</f>
        <v>11084</v>
      </c>
      <c r="F45" s="46">
        <f t="shared" si="13"/>
        <v>11804</v>
      </c>
      <c r="G45" s="46">
        <f t="shared" si="13"/>
        <v>11168</v>
      </c>
      <c r="H45" s="46">
        <f t="shared" si="13"/>
        <v>13191</v>
      </c>
    </row>
    <row r="46" spans="2:8" x14ac:dyDescent="0.25">
      <c r="B46" s="265" t="s">
        <v>3344</v>
      </c>
      <c r="C46" s="589" t="s">
        <v>112</v>
      </c>
      <c r="D46" s="105">
        <f>D18</f>
        <v>64625</v>
      </c>
      <c r="E46" s="105">
        <f t="shared" ref="E46:H46" si="14">E18</f>
        <v>81590</v>
      </c>
      <c r="F46" s="105">
        <f t="shared" si="14"/>
        <v>93201</v>
      </c>
      <c r="G46" s="105">
        <f t="shared" si="14"/>
        <v>92425</v>
      </c>
      <c r="H46" s="105">
        <f t="shared" si="14"/>
        <v>92972</v>
      </c>
    </row>
    <row r="47" spans="2:8" x14ac:dyDescent="0.25">
      <c r="C47" s="315"/>
    </row>
    <row r="48" spans="2:8" ht="15.6" x14ac:dyDescent="0.3">
      <c r="B48" s="590" t="s">
        <v>521</v>
      </c>
      <c r="C48" s="591" t="s">
        <v>113</v>
      </c>
      <c r="D48" s="572">
        <f>D45/D46</f>
        <v>0.17261121856866538</v>
      </c>
      <c r="E48" s="572">
        <f t="shared" ref="E48:H48" si="15">E45/E46</f>
        <v>0.13584998161539405</v>
      </c>
      <c r="F48" s="572">
        <f t="shared" si="15"/>
        <v>0.1266510015986953</v>
      </c>
      <c r="G48" s="572">
        <f t="shared" si="15"/>
        <v>0.12083310792534488</v>
      </c>
      <c r="H48" s="572">
        <f t="shared" si="15"/>
        <v>0.14188142666609302</v>
      </c>
    </row>
    <row r="49" spans="2:8" x14ac:dyDescent="0.25">
      <c r="C49" s="315"/>
    </row>
    <row r="50" spans="2:8" x14ac:dyDescent="0.25">
      <c r="B50" s="229" t="s">
        <v>3344</v>
      </c>
      <c r="C50" s="587" t="s">
        <v>112</v>
      </c>
      <c r="D50" s="46">
        <f>D46</f>
        <v>64625</v>
      </c>
      <c r="E50" s="46">
        <f t="shared" ref="E50:H50" si="16">E46</f>
        <v>81590</v>
      </c>
      <c r="F50" s="46">
        <f t="shared" si="16"/>
        <v>93201</v>
      </c>
      <c r="G50" s="46">
        <f t="shared" si="16"/>
        <v>92425</v>
      </c>
      <c r="H50" s="46">
        <f t="shared" si="16"/>
        <v>92972</v>
      </c>
    </row>
    <row r="51" spans="2:8" x14ac:dyDescent="0.25">
      <c r="B51" s="231" t="s">
        <v>3345</v>
      </c>
      <c r="C51" s="589" t="s">
        <v>112</v>
      </c>
      <c r="D51" s="295" t="str">
        <f>D38</f>
        <v>N/A</v>
      </c>
      <c r="E51" s="180">
        <f t="shared" ref="E51:H51" si="17">E38</f>
        <v>94889.5</v>
      </c>
      <c r="F51" s="180">
        <f t="shared" si="17"/>
        <v>112079.5</v>
      </c>
      <c r="G51" s="180">
        <f t="shared" si="17"/>
        <v>115952.5</v>
      </c>
      <c r="H51" s="180">
        <f t="shared" si="17"/>
        <v>121488</v>
      </c>
    </row>
    <row r="52" spans="2:8" x14ac:dyDescent="0.25">
      <c r="C52" s="315"/>
    </row>
    <row r="53" spans="2:8" ht="15.6" x14ac:dyDescent="0.3">
      <c r="B53" s="590" t="s">
        <v>524</v>
      </c>
      <c r="C53" s="591" t="s">
        <v>3107</v>
      </c>
      <c r="D53" s="637" t="s">
        <v>122</v>
      </c>
      <c r="E53" s="638">
        <f>E50/E51</f>
        <v>0.85984223754999234</v>
      </c>
      <c r="F53" s="638">
        <f t="shared" ref="F53:H53" si="18">F50/F51</f>
        <v>0.83156152552429308</v>
      </c>
      <c r="G53" s="638">
        <f t="shared" si="18"/>
        <v>0.79709363748086504</v>
      </c>
      <c r="H53" s="638">
        <f t="shared" si="18"/>
        <v>0.76527722902673512</v>
      </c>
    </row>
    <row r="54" spans="2:8" x14ac:dyDescent="0.25">
      <c r="C54" s="315"/>
    </row>
    <row r="55" spans="2:8" ht="15.6" x14ac:dyDescent="0.3">
      <c r="B55" s="578" t="s">
        <v>535</v>
      </c>
      <c r="C55" s="644" t="s">
        <v>113</v>
      </c>
      <c r="D55" s="639" t="s">
        <v>122</v>
      </c>
      <c r="E55" s="640">
        <f>E53*E48</f>
        <v>0.11680955216330574</v>
      </c>
      <c r="F55" s="640">
        <f t="shared" ref="F55:H55" si="19">F53*F48</f>
        <v>0.10531810009859074</v>
      </c>
      <c r="G55" s="640">
        <f t="shared" si="19"/>
        <v>9.6315301524331084E-2</v>
      </c>
      <c r="H55" s="640">
        <f t="shared" si="19"/>
        <v>0.10857862504938759</v>
      </c>
    </row>
    <row r="57" spans="2:8" x14ac:dyDescent="0.25">
      <c r="B57" s="236"/>
      <c r="C57" s="236"/>
      <c r="D57" s="236"/>
      <c r="E57" s="236"/>
      <c r="F57" s="236"/>
      <c r="G57" s="236"/>
      <c r="H57" s="236"/>
    </row>
  </sheetData>
  <mergeCells count="6">
    <mergeCell ref="B42:H43"/>
    <mergeCell ref="B1:B3"/>
    <mergeCell ref="D1:H2"/>
    <mergeCell ref="B6:H7"/>
    <mergeCell ref="B14:H15"/>
    <mergeCell ref="B34:H35"/>
  </mergeCells>
  <printOptions horizontalCentered="1" verticalCentered="1"/>
  <pageMargins left="0" right="0" top="0" bottom="0" header="0" footer="0"/>
  <pageSetup scale="67" orientation="landscape" horizontalDpi="1200" verticalDpi="1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1F953-C777-4A3B-B9F2-77F6BE51EC7D}">
  <sheetPr>
    <pageSetUpPr fitToPage="1"/>
  </sheetPr>
  <dimension ref="B1:M37"/>
  <sheetViews>
    <sheetView zoomScale="70" zoomScaleNormal="70" workbookViewId="0"/>
  </sheetViews>
  <sheetFormatPr defaultColWidth="15.77734375" defaultRowHeight="15" x14ac:dyDescent="0.25"/>
  <cols>
    <col min="1" max="1" width="2" style="1" customWidth="1"/>
    <col min="2" max="2" width="44.77734375" style="1" customWidth="1"/>
    <col min="3" max="4" width="15.77734375" style="1"/>
    <col min="5" max="5" width="5.77734375" style="1" customWidth="1"/>
    <col min="6" max="16384" width="15.77734375" style="1"/>
  </cols>
  <sheetData>
    <row r="1" spans="2:13" ht="15" customHeight="1" x14ac:dyDescent="0.25">
      <c r="B1" s="974" t="s">
        <v>3336</v>
      </c>
      <c r="C1" s="975" t="s">
        <v>3356</v>
      </c>
      <c r="D1" s="975"/>
      <c r="E1" s="975"/>
      <c r="F1" s="975"/>
      <c r="G1" s="975"/>
      <c r="H1" s="975"/>
      <c r="I1" s="975"/>
      <c r="J1" s="187"/>
      <c r="K1" s="187"/>
      <c r="L1" s="187"/>
      <c r="M1" s="187"/>
    </row>
    <row r="2" spans="2:13" ht="15" customHeight="1" x14ac:dyDescent="0.25">
      <c r="B2" s="974"/>
      <c r="C2" s="975"/>
      <c r="D2" s="975"/>
      <c r="E2" s="975"/>
      <c r="F2" s="975"/>
      <c r="G2" s="975"/>
      <c r="H2" s="975"/>
      <c r="I2" s="975"/>
      <c r="J2" s="187"/>
      <c r="K2" s="187"/>
      <c r="L2" s="187"/>
      <c r="M2" s="187"/>
    </row>
    <row r="3" spans="2:13" ht="24.6" customHeight="1" x14ac:dyDescent="0.25">
      <c r="B3" s="974"/>
      <c r="C3" s="975"/>
      <c r="D3" s="975"/>
      <c r="E3" s="975"/>
      <c r="F3" s="975"/>
      <c r="G3" s="975"/>
      <c r="H3" s="975"/>
      <c r="I3" s="975"/>
      <c r="J3" s="187"/>
      <c r="K3" s="187"/>
      <c r="L3" s="187"/>
      <c r="M3" s="187"/>
    </row>
    <row r="4" spans="2:13" ht="28.2" x14ac:dyDescent="0.5">
      <c r="B4" s="38" t="s">
        <v>481</v>
      </c>
      <c r="C4" s="38"/>
      <c r="D4" s="185"/>
      <c r="E4" s="36"/>
      <c r="F4" s="1023" t="s">
        <v>3357</v>
      </c>
      <c r="G4" s="1023"/>
      <c r="H4" s="1023"/>
      <c r="I4" s="646">
        <v>2</v>
      </c>
      <c r="J4" s="67"/>
      <c r="K4" s="67"/>
      <c r="L4" s="67"/>
      <c r="M4" s="67"/>
    </row>
    <row r="6" spans="2:13" x14ac:dyDescent="0.25">
      <c r="F6" s="1022" t="s">
        <v>3350</v>
      </c>
      <c r="G6" s="1022"/>
      <c r="H6" s="1022"/>
      <c r="I6" s="1022"/>
    </row>
    <row r="7" spans="2:13" x14ac:dyDescent="0.25">
      <c r="F7" s="1022"/>
      <c r="G7" s="1022"/>
      <c r="H7" s="1022"/>
      <c r="I7" s="1022"/>
    </row>
    <row r="8" spans="2:13" ht="18.600000000000001" x14ac:dyDescent="0.25">
      <c r="F8" s="284"/>
      <c r="G8" s="284"/>
      <c r="H8" s="284"/>
      <c r="I8" s="284"/>
    </row>
    <row r="9" spans="2:13" x14ac:dyDescent="0.25">
      <c r="F9" s="229"/>
      <c r="G9" s="337" t="s">
        <v>489</v>
      </c>
      <c r="H9" s="337" t="s">
        <v>3355</v>
      </c>
      <c r="I9" s="645" t="s">
        <v>487</v>
      </c>
    </row>
    <row r="10" spans="2:13" x14ac:dyDescent="0.25">
      <c r="F10" s="230" t="s">
        <v>3351</v>
      </c>
      <c r="G10" s="288">
        <f>'RELATIVE VALUATION'!Q25*'PROFIT &amp; LOSS'!H42</f>
        <v>246.3</v>
      </c>
      <c r="H10" s="288">
        <f>'RELATIVE VALUATION'!Q23*'PROFIT &amp; LOSS'!H42</f>
        <v>306.44655728835789</v>
      </c>
      <c r="I10" s="263">
        <f>'RELATIVE VALUATION'!Q20*'PROFIT &amp; LOSS'!H42</f>
        <v>618.39186428571429</v>
      </c>
    </row>
    <row r="11" spans="2:13" x14ac:dyDescent="0.25">
      <c r="F11" s="230" t="s">
        <v>3358</v>
      </c>
      <c r="G11" s="288">
        <f>CHOOSE($I$4,G21,G22,G23)</f>
        <v>113.47511384458886</v>
      </c>
      <c r="H11" s="288">
        <f t="shared" ref="H11:I11" si="0">CHOOSE($I$4,H21,H22,H23)</f>
        <v>181.07898976900731</v>
      </c>
      <c r="I11" s="288">
        <f t="shared" si="0"/>
        <v>260.82503603229355</v>
      </c>
    </row>
    <row r="12" spans="2:13" x14ac:dyDescent="0.25">
      <c r="F12" s="230" t="s">
        <v>3352</v>
      </c>
      <c r="G12" s="647">
        <v>200</v>
      </c>
      <c r="H12" s="647">
        <v>250</v>
      </c>
      <c r="I12" s="648">
        <v>280</v>
      </c>
    </row>
    <row r="13" spans="2:13" x14ac:dyDescent="0.25">
      <c r="F13" s="230" t="s">
        <v>3353</v>
      </c>
      <c r="G13" s="647">
        <v>190</v>
      </c>
      <c r="H13" s="647">
        <v>232</v>
      </c>
      <c r="I13" s="648">
        <v>275</v>
      </c>
    </row>
    <row r="14" spans="2:13" x14ac:dyDescent="0.25">
      <c r="F14" s="230" t="s">
        <v>3359</v>
      </c>
      <c r="G14" s="288">
        <f>(('RELATIVE VALUATION'!P25*I29)-(H29))/G35</f>
        <v>228.49403283861781</v>
      </c>
      <c r="H14" s="288">
        <f>(('RELATIVE VALUATION'!P23*I28)-(H28))/G34</f>
        <v>623.38493290910174</v>
      </c>
      <c r="I14" s="263">
        <f>(('RELATIVE VALUATION'!P21*I27)-(H27))/G33</f>
        <v>715.79556800183389</v>
      </c>
    </row>
    <row r="15" spans="2:13" x14ac:dyDescent="0.25">
      <c r="F15" s="231" t="s">
        <v>3354</v>
      </c>
      <c r="G15" s="113">
        <f>'RELATIVE VALUATION'!$E$11</f>
        <v>246.3</v>
      </c>
      <c r="H15" s="113">
        <f>$G$15</f>
        <v>246.3</v>
      </c>
      <c r="I15" s="113">
        <f t="shared" ref="I15" si="1">$G$15</f>
        <v>246.3</v>
      </c>
    </row>
    <row r="17" spans="2:9" ht="15.6" x14ac:dyDescent="0.3">
      <c r="F17" s="1021" t="s">
        <v>3364</v>
      </c>
      <c r="G17" s="1021"/>
      <c r="H17" s="1021"/>
      <c r="I17" s="1021"/>
    </row>
    <row r="19" spans="2:9" ht="15" customHeight="1" x14ac:dyDescent="0.25">
      <c r="F19" s="663" t="s">
        <v>3358</v>
      </c>
      <c r="G19" s="655" t="s">
        <v>489</v>
      </c>
      <c r="H19" s="655" t="s">
        <v>3355</v>
      </c>
      <c r="I19" s="649" t="s">
        <v>487</v>
      </c>
    </row>
    <row r="20" spans="2:9" ht="15" customHeight="1" x14ac:dyDescent="0.25">
      <c r="F20" s="654"/>
      <c r="G20" s="654"/>
      <c r="H20" s="654"/>
      <c r="I20" s="650"/>
    </row>
    <row r="21" spans="2:9" x14ac:dyDescent="0.25">
      <c r="F21" s="654" t="s">
        <v>3360</v>
      </c>
      <c r="G21" s="656">
        <v>127.79755399618881</v>
      </c>
      <c r="H21" s="656">
        <v>203.72330988270949</v>
      </c>
      <c r="I21" s="651">
        <v>293.51810232518841</v>
      </c>
    </row>
    <row r="22" spans="2:9" x14ac:dyDescent="0.25">
      <c r="F22" s="230" t="s">
        <v>3361</v>
      </c>
      <c r="G22" s="657">
        <v>113.47511384458886</v>
      </c>
      <c r="H22" s="657">
        <v>181.07898976900731</v>
      </c>
      <c r="I22" s="652">
        <v>260.82503603229355</v>
      </c>
    </row>
    <row r="23" spans="2:9" x14ac:dyDescent="0.25">
      <c r="F23" s="231" t="s">
        <v>3362</v>
      </c>
      <c r="G23" s="658">
        <v>102.73717902675534</v>
      </c>
      <c r="H23" s="658">
        <v>163.98522528004099</v>
      </c>
      <c r="I23" s="653">
        <v>235.95388921771334</v>
      </c>
    </row>
    <row r="25" spans="2:9" x14ac:dyDescent="0.25">
      <c r="B25" s="1019" t="s">
        <v>3829</v>
      </c>
      <c r="C25" s="1020"/>
      <c r="D25" s="1020"/>
      <c r="F25" s="662" t="s">
        <v>107</v>
      </c>
      <c r="G25" s="337" t="s">
        <v>122</v>
      </c>
      <c r="H25" s="337" t="s">
        <v>483</v>
      </c>
      <c r="I25" s="645" t="s">
        <v>100</v>
      </c>
    </row>
    <row r="26" spans="2:9" x14ac:dyDescent="0.25">
      <c r="B26" s="1020"/>
      <c r="C26" s="1020"/>
      <c r="D26" s="1020"/>
      <c r="F26" s="230"/>
      <c r="G26" s="230"/>
      <c r="H26" s="294"/>
      <c r="I26" s="659"/>
    </row>
    <row r="27" spans="2:9" x14ac:dyDescent="0.25">
      <c r="B27" s="1020"/>
      <c r="C27" s="1020"/>
      <c r="D27" s="1020"/>
      <c r="F27" s="660" t="s">
        <v>3360</v>
      </c>
      <c r="G27" s="288">
        <v>26.539186434375988</v>
      </c>
      <c r="H27" s="104">
        <f>('P &amp; L ASSUMPTIONS'!K86-'CASH FLOW ASSUMPTION'!D62)</f>
        <v>3861.684124895386</v>
      </c>
      <c r="I27" s="181">
        <f>('P &amp; L ASSUMPTIONS'!K22+'P &amp; L ASSUMPTIONS'!K28)-('P &amp; L ASSUMPTIONS'!K56+'P &amp; L ASSUMPTIONS'!K60)</f>
        <v>24565.159999999989</v>
      </c>
    </row>
    <row r="28" spans="2:9" x14ac:dyDescent="0.25">
      <c r="B28" s="1020"/>
      <c r="C28" s="1020"/>
      <c r="D28" s="1020"/>
      <c r="F28" s="660" t="s">
        <v>3361</v>
      </c>
      <c r="G28" s="288">
        <v>23.410175602339752</v>
      </c>
      <c r="H28" s="104">
        <f>('P &amp; L ASSUMPTIONS'!R86-'CASH FLOW ASSUMPTION'!K62)</f>
        <v>5447.2320254148217</v>
      </c>
      <c r="I28" s="181">
        <f>('P &amp; L ASSUMPTIONS'!R22+'P &amp; L ASSUMPTIONS'!R28)-('P &amp; L ASSUMPTIONS'!R56+'P &amp; L ASSUMPTIONS'!R60)</f>
        <v>22960.048439999999</v>
      </c>
    </row>
    <row r="29" spans="2:9" x14ac:dyDescent="0.25">
      <c r="B29" s="1020"/>
      <c r="C29" s="1020"/>
      <c r="D29" s="1020"/>
      <c r="F29" s="661" t="s">
        <v>3362</v>
      </c>
      <c r="G29" s="113">
        <v>21.465975590370387</v>
      </c>
      <c r="H29" s="105">
        <f>('P &amp; L ASSUMPTIONS'!Y86-'CASH FLOW ASSUMPTION'!R62)</f>
        <v>5932.1732539883233</v>
      </c>
      <c r="I29" s="163">
        <f>('P &amp; L ASSUMPTIONS'!Y22+'P &amp; L ASSUMPTIONS'!Y28)-('P &amp; L ASSUMPTIONS'!Y56+'P &amp; L ASSUMPTIONS'!Y60)</f>
        <v>21674.104959999997</v>
      </c>
    </row>
    <row r="30" spans="2:9" x14ac:dyDescent="0.25">
      <c r="B30" s="1020"/>
      <c r="C30" s="1020"/>
      <c r="D30" s="1020"/>
    </row>
    <row r="31" spans="2:9" x14ac:dyDescent="0.25">
      <c r="B31" s="1020"/>
      <c r="C31" s="1020"/>
      <c r="D31" s="1020"/>
      <c r="F31" s="662" t="s">
        <v>3363</v>
      </c>
      <c r="G31" s="234"/>
    </row>
    <row r="32" spans="2:9" x14ac:dyDescent="0.25">
      <c r="B32" s="1020"/>
      <c r="C32" s="1020"/>
      <c r="D32" s="1020"/>
      <c r="F32" s="230"/>
      <c r="G32" s="293"/>
    </row>
    <row r="33" spans="2:9" x14ac:dyDescent="0.25">
      <c r="B33" s="1020"/>
      <c r="C33" s="1020"/>
      <c r="D33" s="1020"/>
      <c r="F33" s="660" t="s">
        <v>3360</v>
      </c>
      <c r="G33" s="263">
        <v>564.4714899999999</v>
      </c>
    </row>
    <row r="34" spans="2:9" x14ac:dyDescent="0.25">
      <c r="B34" s="1020"/>
      <c r="C34" s="1020"/>
      <c r="D34" s="1020"/>
      <c r="F34" s="660" t="s">
        <v>3361</v>
      </c>
      <c r="G34" s="263">
        <v>583.15509999999995</v>
      </c>
    </row>
    <row r="35" spans="2:9" x14ac:dyDescent="0.25">
      <c r="B35" s="1020"/>
      <c r="C35" s="1020"/>
      <c r="D35" s="1020"/>
      <c r="F35" s="661" t="s">
        <v>3362</v>
      </c>
      <c r="G35" s="63">
        <v>594.47849999999994</v>
      </c>
    </row>
    <row r="37" spans="2:9" x14ac:dyDescent="0.25">
      <c r="B37" s="236"/>
      <c r="C37" s="236"/>
      <c r="D37" s="236"/>
      <c r="E37" s="236"/>
      <c r="F37" s="236"/>
      <c r="G37" s="236"/>
      <c r="H37" s="236"/>
      <c r="I37" s="236"/>
    </row>
  </sheetData>
  <mergeCells count="6">
    <mergeCell ref="B25:D35"/>
    <mergeCell ref="F17:I17"/>
    <mergeCell ref="B1:B3"/>
    <mergeCell ref="F6:I7"/>
    <mergeCell ref="C1:I3"/>
    <mergeCell ref="F4:H4"/>
  </mergeCells>
  <printOptions horizontalCentered="1" verticalCentered="1"/>
  <pageMargins left="0" right="0" top="0" bottom="0" header="0" footer="0"/>
  <pageSetup scale="95" orientation="landscape" horizontalDpi="1200" verticalDpi="12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E8E5A-EFF9-41F8-90A3-BB1556E357DB}">
  <dimension ref="A1"/>
  <sheetViews>
    <sheetView workbookViewId="0"/>
  </sheetViews>
  <sheetFormatPr defaultColWidth="15.77734375" defaultRowHeight="15" x14ac:dyDescent="0.25"/>
  <cols>
    <col min="1" max="1" width="2" style="1" customWidth="1"/>
    <col min="2" max="2" width="44.77734375" style="1" customWidth="1"/>
    <col min="3" max="16384" width="15.77734375" style="1"/>
  </cols>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E480B-76B1-4A37-9123-D4F0CA50B800}">
  <dimension ref="B3:K127"/>
  <sheetViews>
    <sheetView workbookViewId="0"/>
  </sheetViews>
  <sheetFormatPr defaultRowHeight="15" x14ac:dyDescent="0.25"/>
  <cols>
    <col min="1" max="1" width="2" style="1" customWidth="1"/>
    <col min="2" max="5" width="25.77734375" style="1" customWidth="1"/>
    <col min="6" max="16384" width="8.88671875" style="1"/>
  </cols>
  <sheetData>
    <row r="3" spans="2:5" x14ac:dyDescent="0.25">
      <c r="C3" s="700" t="s">
        <v>3469</v>
      </c>
      <c r="D3" s="700" t="s">
        <v>3470</v>
      </c>
      <c r="E3" s="700" t="s">
        <v>3471</v>
      </c>
    </row>
    <row r="4" spans="2:5" x14ac:dyDescent="0.25">
      <c r="B4" s="1" t="s">
        <v>3467</v>
      </c>
      <c r="C4" s="315" t="s">
        <v>481</v>
      </c>
      <c r="D4" s="315" t="s">
        <v>3468</v>
      </c>
      <c r="E4" s="315" t="s">
        <v>3472</v>
      </c>
    </row>
    <row r="5" spans="2:5" ht="7.05" customHeight="1" x14ac:dyDescent="0.25"/>
    <row r="6" spans="2:5" x14ac:dyDescent="0.25">
      <c r="B6" s="1" t="s">
        <v>3358</v>
      </c>
      <c r="C6" s="701">
        <f>'PV OF FCFF'!$C$43</f>
        <v>181.07898976900731</v>
      </c>
      <c r="D6" s="702">
        <v>0.5</v>
      </c>
      <c r="E6" s="701">
        <f>C6*D6</f>
        <v>90.539494884503654</v>
      </c>
    </row>
    <row r="7" spans="2:5" x14ac:dyDescent="0.25">
      <c r="B7" s="1" t="s">
        <v>477</v>
      </c>
      <c r="C7" s="701">
        <f>'COMPETETIVE POSITION'!H81</f>
        <v>306.44655728835789</v>
      </c>
      <c r="D7" s="702">
        <v>0.3</v>
      </c>
      <c r="E7" s="701">
        <f t="shared" ref="E7:E9" si="0">C7*D7</f>
        <v>91.93396718650736</v>
      </c>
    </row>
    <row r="8" spans="2:5" x14ac:dyDescent="0.25">
      <c r="B8" s="1" t="s">
        <v>3359</v>
      </c>
      <c r="C8" s="701">
        <f>'COMPETETIVE POSITION'!J81</f>
        <v>614.97996384802184</v>
      </c>
      <c r="D8" s="702">
        <v>0.05</v>
      </c>
      <c r="E8" s="701">
        <f t="shared" si="0"/>
        <v>30.748998192401093</v>
      </c>
    </row>
    <row r="9" spans="2:5" x14ac:dyDescent="0.25">
      <c r="B9" s="1" t="s">
        <v>3490</v>
      </c>
      <c r="C9" s="701">
        <f>'COMPETETIVE POSITION'!I81</f>
        <v>504.47404654509302</v>
      </c>
      <c r="D9" s="702">
        <v>0.15</v>
      </c>
      <c r="E9" s="701">
        <f t="shared" si="0"/>
        <v>75.671106981763955</v>
      </c>
    </row>
    <row r="11" spans="2:5" x14ac:dyDescent="0.25">
      <c r="E11" s="703" t="s">
        <v>3473</v>
      </c>
    </row>
    <row r="12" spans="2:5" x14ac:dyDescent="0.25">
      <c r="B12" s="1" t="s">
        <v>3390</v>
      </c>
      <c r="C12" s="242">
        <f>'PROFIT &amp; LOSS'!H44/'PROFIT &amp; LOSS'!H41</f>
        <v>11.083243548757441</v>
      </c>
      <c r="E12" s="704">
        <f>SUM(E6:E8)</f>
        <v>213.2224602634121</v>
      </c>
    </row>
    <row r="13" spans="2:5" x14ac:dyDescent="0.25">
      <c r="B13" s="1" t="s">
        <v>3619</v>
      </c>
      <c r="C13" s="49">
        <f>(C12/COVER!E8)*100</f>
        <v>4.499895878504848</v>
      </c>
    </row>
    <row r="18" spans="2:11" x14ac:dyDescent="0.25">
      <c r="B18" s="670" t="s">
        <v>3632</v>
      </c>
      <c r="C18" s="670" t="s">
        <v>3633</v>
      </c>
      <c r="D18" s="670" t="s">
        <v>3634</v>
      </c>
      <c r="E18" s="670" t="s">
        <v>3635</v>
      </c>
      <c r="F18" s="670" t="s">
        <v>3636</v>
      </c>
    </row>
    <row r="19" spans="2:11" x14ac:dyDescent="0.25">
      <c r="B19" s="669" t="s">
        <v>3637</v>
      </c>
      <c r="C19" s="669">
        <v>39</v>
      </c>
      <c r="D19" s="669">
        <v>43</v>
      </c>
      <c r="E19" s="669">
        <v>46</v>
      </c>
      <c r="F19" s="669">
        <v>50</v>
      </c>
    </row>
    <row r="20" spans="2:11" x14ac:dyDescent="0.25">
      <c r="B20" s="669" t="s">
        <v>3651</v>
      </c>
      <c r="C20" s="669">
        <v>9</v>
      </c>
      <c r="D20" s="669">
        <v>10</v>
      </c>
      <c r="E20" s="669">
        <v>11</v>
      </c>
      <c r="F20" s="669">
        <v>12</v>
      </c>
    </row>
    <row r="21" spans="2:11" x14ac:dyDescent="0.25">
      <c r="B21" s="669" t="s">
        <v>3638</v>
      </c>
      <c r="C21" s="669">
        <v>36</v>
      </c>
      <c r="D21" s="669">
        <v>39</v>
      </c>
      <c r="E21" s="669">
        <v>43</v>
      </c>
      <c r="F21" s="669">
        <v>46</v>
      </c>
    </row>
    <row r="22" spans="2:11" x14ac:dyDescent="0.25">
      <c r="B22" s="669" t="s">
        <v>3654</v>
      </c>
      <c r="C22" s="669">
        <v>8</v>
      </c>
      <c r="D22" s="669">
        <v>9</v>
      </c>
      <c r="E22" s="669">
        <v>10</v>
      </c>
      <c r="F22" s="669">
        <v>11</v>
      </c>
    </row>
    <row r="23" spans="2:11" x14ac:dyDescent="0.25">
      <c r="B23" s="669" t="s">
        <v>3653</v>
      </c>
      <c r="C23" s="669">
        <v>18</v>
      </c>
      <c r="D23" s="669">
        <v>21</v>
      </c>
      <c r="E23" s="669">
        <v>24</v>
      </c>
      <c r="F23" s="669">
        <v>27</v>
      </c>
    </row>
    <row r="24" spans="2:11" ht="28.8" x14ac:dyDescent="0.25">
      <c r="B24" s="669" t="s">
        <v>3639</v>
      </c>
      <c r="C24" s="669">
        <v>47</v>
      </c>
      <c r="D24" s="669">
        <v>55</v>
      </c>
      <c r="E24" s="669">
        <v>62</v>
      </c>
      <c r="F24" s="669">
        <v>68</v>
      </c>
    </row>
    <row r="25" spans="2:11" ht="28.8" x14ac:dyDescent="0.25">
      <c r="B25" s="669" t="s">
        <v>3640</v>
      </c>
      <c r="C25" s="669">
        <v>61</v>
      </c>
      <c r="D25" s="669">
        <v>69</v>
      </c>
      <c r="E25" s="669">
        <v>78</v>
      </c>
      <c r="F25" s="669">
        <v>86</v>
      </c>
    </row>
    <row r="26" spans="2:11" ht="28.8" x14ac:dyDescent="0.25">
      <c r="B26" s="669" t="s">
        <v>3641</v>
      </c>
      <c r="C26" s="669">
        <v>33</v>
      </c>
      <c r="D26" s="669">
        <v>36</v>
      </c>
      <c r="E26" s="669">
        <v>39</v>
      </c>
      <c r="F26" s="669">
        <v>42</v>
      </c>
    </row>
    <row r="27" spans="2:11" x14ac:dyDescent="0.25">
      <c r="B27" s="669" t="s">
        <v>3642</v>
      </c>
      <c r="C27" s="669">
        <v>216</v>
      </c>
      <c r="D27" s="669">
        <v>242</v>
      </c>
      <c r="E27" s="669">
        <v>268</v>
      </c>
      <c r="F27" s="669">
        <v>292</v>
      </c>
    </row>
    <row r="28" spans="2:11" x14ac:dyDescent="0.25">
      <c r="B28" s="669" t="s">
        <v>3643</v>
      </c>
      <c r="C28" s="669">
        <v>28</v>
      </c>
      <c r="D28" s="669">
        <v>32</v>
      </c>
      <c r="E28" s="669">
        <v>35</v>
      </c>
      <c r="F28" s="669">
        <v>39</v>
      </c>
    </row>
    <row r="29" spans="2:11" x14ac:dyDescent="0.25">
      <c r="B29" s="669" t="s">
        <v>3644</v>
      </c>
      <c r="C29" s="669">
        <v>-6</v>
      </c>
      <c r="D29" s="669">
        <v>-7</v>
      </c>
      <c r="E29" s="669">
        <v>-8</v>
      </c>
      <c r="F29" s="669">
        <v>-9</v>
      </c>
    </row>
    <row r="30" spans="2:11" x14ac:dyDescent="0.25">
      <c r="B30" s="669" t="s">
        <v>3645</v>
      </c>
      <c r="C30" s="669">
        <v>238</v>
      </c>
      <c r="D30" s="669">
        <v>267</v>
      </c>
      <c r="E30" s="669">
        <v>295</v>
      </c>
      <c r="F30" s="669">
        <v>322</v>
      </c>
    </row>
    <row r="31" spans="2:11" x14ac:dyDescent="0.25">
      <c r="H31" s="1">
        <f>C27+C28-C29</f>
        <v>250</v>
      </c>
      <c r="I31" s="1">
        <f t="shared" ref="I31:K31" si="1">D27+D28-D29</f>
        <v>281</v>
      </c>
      <c r="J31" s="1">
        <f t="shared" si="1"/>
        <v>311</v>
      </c>
      <c r="K31" s="1">
        <f t="shared" si="1"/>
        <v>340</v>
      </c>
    </row>
    <row r="32" spans="2:11" x14ac:dyDescent="0.25">
      <c r="B32" s="670" t="s">
        <v>3632</v>
      </c>
      <c r="C32" s="670" t="s">
        <v>3633</v>
      </c>
      <c r="D32" s="670" t="s">
        <v>3634</v>
      </c>
      <c r="E32" s="670" t="s">
        <v>3635</v>
      </c>
      <c r="F32" s="670" t="s">
        <v>3636</v>
      </c>
    </row>
    <row r="33" spans="2:7" x14ac:dyDescent="0.25">
      <c r="B33" s="669" t="s">
        <v>3625</v>
      </c>
      <c r="C33" s="669">
        <v>20</v>
      </c>
      <c r="D33" s="669">
        <v>21</v>
      </c>
      <c r="E33" s="669">
        <v>22</v>
      </c>
      <c r="F33" s="669">
        <v>23</v>
      </c>
    </row>
    <row r="34" spans="2:7" x14ac:dyDescent="0.25">
      <c r="B34" s="669" t="s">
        <v>3651</v>
      </c>
      <c r="C34" s="669">
        <v>96</v>
      </c>
      <c r="D34" s="669">
        <v>102</v>
      </c>
      <c r="E34" s="669">
        <v>109</v>
      </c>
      <c r="F34" s="669">
        <v>115</v>
      </c>
    </row>
    <row r="35" spans="2:7" x14ac:dyDescent="0.25">
      <c r="B35" s="669" t="s">
        <v>3638</v>
      </c>
      <c r="C35" s="669">
        <v>220</v>
      </c>
      <c r="D35" s="669">
        <v>232</v>
      </c>
      <c r="E35" s="669">
        <v>244</v>
      </c>
      <c r="F35" s="669">
        <v>255</v>
      </c>
    </row>
    <row r="36" spans="2:7" x14ac:dyDescent="0.25">
      <c r="B36" s="669" t="s">
        <v>3652</v>
      </c>
      <c r="C36" s="669">
        <v>54</v>
      </c>
      <c r="D36" s="669">
        <v>57</v>
      </c>
      <c r="E36" s="669">
        <v>60</v>
      </c>
      <c r="F36" s="669">
        <v>63</v>
      </c>
    </row>
    <row r="37" spans="2:7" x14ac:dyDescent="0.25">
      <c r="B37" s="669" t="s">
        <v>3653</v>
      </c>
      <c r="C37" s="669">
        <v>99</v>
      </c>
      <c r="D37" s="669">
        <v>106</v>
      </c>
      <c r="E37" s="669">
        <v>113</v>
      </c>
      <c r="F37" s="669">
        <v>120</v>
      </c>
    </row>
    <row r="38" spans="2:7" x14ac:dyDescent="0.25">
      <c r="B38" s="669" t="s">
        <v>3646</v>
      </c>
      <c r="C38" s="669">
        <v>311</v>
      </c>
      <c r="D38" s="669">
        <v>333</v>
      </c>
      <c r="E38" s="669">
        <v>360</v>
      </c>
      <c r="F38" s="669">
        <v>381</v>
      </c>
    </row>
    <row r="39" spans="2:7" x14ac:dyDescent="0.25">
      <c r="B39" s="669" t="s">
        <v>3647</v>
      </c>
      <c r="C39" s="669">
        <v>440</v>
      </c>
      <c r="D39" s="669">
        <v>466</v>
      </c>
      <c r="E39" s="669">
        <v>501</v>
      </c>
      <c r="F39" s="669">
        <v>532</v>
      </c>
    </row>
    <row r="40" spans="2:7" ht="28.8" x14ac:dyDescent="0.25">
      <c r="B40" s="669" t="s">
        <v>3648</v>
      </c>
      <c r="C40" s="669">
        <v>241</v>
      </c>
      <c r="D40" s="669">
        <v>252</v>
      </c>
      <c r="E40" s="669">
        <v>266</v>
      </c>
      <c r="F40" s="669">
        <v>277</v>
      </c>
    </row>
    <row r="41" spans="2:7" x14ac:dyDescent="0.25">
      <c r="B41" s="669" t="s">
        <v>3642</v>
      </c>
      <c r="C41" s="871">
        <v>1942</v>
      </c>
      <c r="D41" s="871">
        <v>2058</v>
      </c>
      <c r="E41" s="871">
        <v>2209</v>
      </c>
      <c r="F41" s="871">
        <v>2333</v>
      </c>
    </row>
    <row r="42" spans="2:7" ht="28.8" x14ac:dyDescent="0.25">
      <c r="B42" s="669" t="s">
        <v>3649</v>
      </c>
      <c r="C42" s="669">
        <v>257</v>
      </c>
      <c r="D42" s="669">
        <v>277</v>
      </c>
      <c r="E42" s="669">
        <v>300</v>
      </c>
      <c r="F42" s="669">
        <v>320</v>
      </c>
    </row>
    <row r="43" spans="2:7" x14ac:dyDescent="0.25">
      <c r="B43" s="669" t="s">
        <v>3644</v>
      </c>
      <c r="C43" s="669">
        <v>-8</v>
      </c>
      <c r="D43" s="669">
        <v>-9</v>
      </c>
      <c r="E43" s="669">
        <v>-10</v>
      </c>
      <c r="F43" s="669">
        <v>-14</v>
      </c>
    </row>
    <row r="44" spans="2:7" x14ac:dyDescent="0.25">
      <c r="B44" s="669" t="s">
        <v>3645</v>
      </c>
      <c r="C44" s="871">
        <v>2191</v>
      </c>
      <c r="D44" s="871">
        <v>2326</v>
      </c>
      <c r="E44" s="871">
        <v>2499</v>
      </c>
      <c r="F44" s="871">
        <v>2639</v>
      </c>
    </row>
    <row r="47" spans="2:7" ht="43.2" x14ac:dyDescent="0.25">
      <c r="B47" s="670" t="s">
        <v>3681</v>
      </c>
      <c r="C47" s="670" t="s">
        <v>3682</v>
      </c>
      <c r="D47" s="672" t="s">
        <v>3683</v>
      </c>
      <c r="E47" s="670" t="s">
        <v>3681</v>
      </c>
      <c r="F47" s="670" t="s">
        <v>3682</v>
      </c>
      <c r="G47" s="672" t="s">
        <v>3693</v>
      </c>
    </row>
    <row r="48" spans="2:7" ht="72" x14ac:dyDescent="0.25">
      <c r="B48" s="669">
        <v>1</v>
      </c>
      <c r="C48" s="669" t="s">
        <v>3659</v>
      </c>
      <c r="D48" s="673">
        <v>6.5000000000000002E-2</v>
      </c>
      <c r="E48" s="669">
        <v>1</v>
      </c>
      <c r="F48" s="669" t="s">
        <v>3694</v>
      </c>
      <c r="G48" s="673">
        <v>1.7999999999999999E-2</v>
      </c>
    </row>
    <row r="49" spans="2:7" x14ac:dyDescent="0.25">
      <c r="B49" s="669">
        <v>2</v>
      </c>
      <c r="C49" s="669" t="s">
        <v>3660</v>
      </c>
      <c r="D49" s="673">
        <v>6.7000000000000004E-2</v>
      </c>
      <c r="E49" s="669">
        <v>2</v>
      </c>
      <c r="F49" s="669" t="s">
        <v>3662</v>
      </c>
      <c r="G49" s="673">
        <v>1.7000000000000001E-2</v>
      </c>
    </row>
    <row r="50" spans="2:7" ht="28.8" x14ac:dyDescent="0.25">
      <c r="B50" s="669">
        <v>3</v>
      </c>
      <c r="C50" s="669" t="s">
        <v>3684</v>
      </c>
      <c r="D50" s="673">
        <v>6.5000000000000002E-2</v>
      </c>
      <c r="E50" s="669">
        <v>3</v>
      </c>
      <c r="F50" s="669" t="s">
        <v>3665</v>
      </c>
      <c r="G50" s="673">
        <v>2.5000000000000001E-2</v>
      </c>
    </row>
    <row r="51" spans="2:7" ht="28.8" x14ac:dyDescent="0.25">
      <c r="B51" s="669">
        <v>4</v>
      </c>
      <c r="C51" s="669" t="s">
        <v>3662</v>
      </c>
      <c r="D51" s="673">
        <v>6.3E-2</v>
      </c>
      <c r="E51" s="669">
        <v>4</v>
      </c>
      <c r="F51" s="669" t="s">
        <v>3666</v>
      </c>
      <c r="G51" s="673">
        <v>0.02</v>
      </c>
    </row>
    <row r="52" spans="2:7" ht="28.8" x14ac:dyDescent="0.25">
      <c r="B52" s="669">
        <v>5</v>
      </c>
      <c r="C52" s="669" t="s">
        <v>3663</v>
      </c>
      <c r="D52" s="673">
        <v>6.5000000000000002E-2</v>
      </c>
      <c r="E52" s="669">
        <v>5</v>
      </c>
      <c r="F52" s="669" t="s">
        <v>3685</v>
      </c>
      <c r="G52" s="673">
        <v>2.1000000000000001E-2</v>
      </c>
    </row>
    <row r="53" spans="2:7" ht="28.8" x14ac:dyDescent="0.25">
      <c r="B53" s="669">
        <v>6</v>
      </c>
      <c r="C53" s="669" t="s">
        <v>3664</v>
      </c>
      <c r="D53" s="673">
        <v>6.5000000000000002E-2</v>
      </c>
      <c r="E53" s="669">
        <v>6</v>
      </c>
      <c r="F53" s="669" t="s">
        <v>3663</v>
      </c>
      <c r="G53" s="673">
        <v>1.9E-2</v>
      </c>
    </row>
    <row r="54" spans="2:7" ht="28.8" x14ac:dyDescent="0.25">
      <c r="B54" s="669">
        <v>7</v>
      </c>
      <c r="C54" s="669" t="s">
        <v>3665</v>
      </c>
      <c r="D54" s="673">
        <v>6.3E-2</v>
      </c>
      <c r="E54" s="669">
        <v>7</v>
      </c>
      <c r="F54" s="669" t="s">
        <v>3695</v>
      </c>
      <c r="G54" s="673">
        <v>1.7999999999999999E-2</v>
      </c>
    </row>
    <row r="55" spans="2:7" ht="28.8" x14ac:dyDescent="0.25">
      <c r="B55" s="669">
        <v>8</v>
      </c>
      <c r="C55" s="669" t="s">
        <v>3666</v>
      </c>
      <c r="D55" s="673">
        <v>6.5000000000000002E-2</v>
      </c>
      <c r="E55" s="669">
        <v>8</v>
      </c>
      <c r="F55" s="669" t="s">
        <v>3696</v>
      </c>
      <c r="G55" s="673">
        <v>0.02</v>
      </c>
    </row>
    <row r="56" spans="2:7" x14ac:dyDescent="0.25">
      <c r="B56" s="669">
        <v>9</v>
      </c>
      <c r="C56" s="669" t="s">
        <v>3685</v>
      </c>
      <c r="D56" s="673">
        <v>6.4000000000000001E-2</v>
      </c>
      <c r="E56" s="669">
        <v>9</v>
      </c>
      <c r="F56" s="669" t="s">
        <v>3670</v>
      </c>
      <c r="G56" s="673">
        <v>1.9E-2</v>
      </c>
    </row>
    <row r="57" spans="2:7" x14ac:dyDescent="0.25">
      <c r="B57" s="669">
        <v>10</v>
      </c>
      <c r="C57" s="669" t="s">
        <v>3668</v>
      </c>
      <c r="D57" s="673">
        <v>0.06</v>
      </c>
      <c r="E57" s="669">
        <v>10</v>
      </c>
      <c r="F57" s="669" t="s">
        <v>3671</v>
      </c>
      <c r="G57" s="673">
        <v>1.7999999999999999E-2</v>
      </c>
    </row>
    <row r="58" spans="2:7" x14ac:dyDescent="0.25">
      <c r="B58" s="669">
        <v>11</v>
      </c>
      <c r="C58" s="669" t="s">
        <v>3669</v>
      </c>
      <c r="D58" s="673">
        <v>6.5000000000000002E-2</v>
      </c>
      <c r="E58" s="669">
        <v>11</v>
      </c>
      <c r="F58" s="669" t="s">
        <v>3672</v>
      </c>
      <c r="G58" s="673">
        <v>1.7000000000000001E-2</v>
      </c>
    </row>
    <row r="59" spans="2:7" ht="28.8" x14ac:dyDescent="0.25">
      <c r="B59" s="669">
        <v>12</v>
      </c>
      <c r="C59" s="669" t="s">
        <v>3670</v>
      </c>
      <c r="D59" s="673">
        <v>6.4000000000000001E-2</v>
      </c>
      <c r="E59" s="669">
        <v>12</v>
      </c>
      <c r="F59" s="669" t="s">
        <v>3686</v>
      </c>
      <c r="G59" s="673">
        <v>0.02</v>
      </c>
    </row>
    <row r="60" spans="2:7" x14ac:dyDescent="0.25">
      <c r="B60" s="669">
        <v>13</v>
      </c>
      <c r="C60" s="669" t="s">
        <v>3671</v>
      </c>
      <c r="D60" s="673">
        <v>6.2E-2</v>
      </c>
      <c r="E60" s="669">
        <v>13</v>
      </c>
      <c r="F60" s="669" t="s">
        <v>3668</v>
      </c>
      <c r="G60" s="673">
        <v>1.6E-2</v>
      </c>
    </row>
    <row r="61" spans="2:7" x14ac:dyDescent="0.25">
      <c r="B61" s="669">
        <v>14</v>
      </c>
      <c r="C61" s="669" t="s">
        <v>3672</v>
      </c>
      <c r="D61" s="673">
        <v>6.3E-2</v>
      </c>
      <c r="E61" s="669">
        <v>14</v>
      </c>
      <c r="F61" s="669" t="s">
        <v>3669</v>
      </c>
      <c r="G61" s="673">
        <v>1.9E-2</v>
      </c>
    </row>
    <row r="62" spans="2:7" x14ac:dyDescent="0.25">
      <c r="B62" s="669">
        <v>15</v>
      </c>
      <c r="C62" s="669" t="s">
        <v>3686</v>
      </c>
      <c r="D62" s="673">
        <v>6.4000000000000001E-2</v>
      </c>
      <c r="E62" s="669">
        <v>15</v>
      </c>
      <c r="F62" s="669" t="s">
        <v>3677</v>
      </c>
      <c r="G62" s="673">
        <v>1.7999999999999999E-2</v>
      </c>
    </row>
    <row r="63" spans="2:7" x14ac:dyDescent="0.25">
      <c r="B63" s="669">
        <v>16</v>
      </c>
      <c r="C63" s="669" t="s">
        <v>3687</v>
      </c>
      <c r="D63" s="673">
        <v>6.6000000000000003E-2</v>
      </c>
      <c r="E63" s="669">
        <v>16</v>
      </c>
      <c r="F63" s="669" t="s">
        <v>3679</v>
      </c>
      <c r="G63" s="673">
        <v>1.9E-2</v>
      </c>
    </row>
    <row r="64" spans="2:7" x14ac:dyDescent="0.25">
      <c r="B64" s="669">
        <v>17</v>
      </c>
      <c r="C64" s="669" t="s">
        <v>3675</v>
      </c>
      <c r="D64" s="673">
        <v>6.5000000000000002E-2</v>
      </c>
      <c r="E64" s="669">
        <v>17</v>
      </c>
      <c r="F64" s="669" t="s">
        <v>3678</v>
      </c>
      <c r="G64" s="673">
        <v>1.7999999999999999E-2</v>
      </c>
    </row>
    <row r="65" spans="2:7" ht="57.6" x14ac:dyDescent="0.25">
      <c r="B65" s="669">
        <v>18</v>
      </c>
      <c r="C65" s="669" t="s">
        <v>3676</v>
      </c>
      <c r="D65" s="673">
        <v>6.5000000000000002E-2</v>
      </c>
      <c r="E65" s="669">
        <v>18</v>
      </c>
      <c r="F65" s="669" t="s">
        <v>3689</v>
      </c>
      <c r="G65" s="673">
        <v>1.7000000000000001E-2</v>
      </c>
    </row>
    <row r="66" spans="2:7" ht="28.8" x14ac:dyDescent="0.25">
      <c r="B66" s="669">
        <v>19</v>
      </c>
      <c r="C66" s="669" t="s">
        <v>3677</v>
      </c>
      <c r="D66" s="673">
        <v>6.4000000000000001E-2</v>
      </c>
      <c r="E66" s="669">
        <v>19</v>
      </c>
      <c r="F66" s="669" t="s">
        <v>3690</v>
      </c>
      <c r="G66" s="673">
        <v>1.6E-2</v>
      </c>
    </row>
    <row r="67" spans="2:7" ht="72" x14ac:dyDescent="0.25">
      <c r="B67" s="669">
        <v>20</v>
      </c>
      <c r="C67" s="669" t="s">
        <v>3678</v>
      </c>
      <c r="D67" s="673">
        <v>6.3E-2</v>
      </c>
      <c r="E67" s="669">
        <v>20</v>
      </c>
      <c r="F67" s="669" t="s">
        <v>3697</v>
      </c>
      <c r="G67" s="673">
        <v>1.9E-2</v>
      </c>
    </row>
    <row r="68" spans="2:7" ht="57.6" x14ac:dyDescent="0.25">
      <c r="B68" s="669">
        <v>21</v>
      </c>
      <c r="C68" s="669" t="s">
        <v>3679</v>
      </c>
      <c r="D68" s="673">
        <v>6.5000000000000002E-2</v>
      </c>
      <c r="E68" s="669">
        <v>21</v>
      </c>
      <c r="F68" s="669" t="s">
        <v>3692</v>
      </c>
      <c r="G68" s="673">
        <v>1.7999999999999999E-2</v>
      </c>
    </row>
    <row r="69" spans="2:7" ht="72" x14ac:dyDescent="0.25">
      <c r="C69" s="1" t="s">
        <v>3680</v>
      </c>
      <c r="D69" s="49">
        <v>6.7000000000000004E-2</v>
      </c>
      <c r="E69" s="669">
        <v>22</v>
      </c>
      <c r="F69" s="669" t="s">
        <v>3698</v>
      </c>
      <c r="G69" s="673">
        <v>1.9E-2</v>
      </c>
    </row>
    <row r="73" spans="2:7" x14ac:dyDescent="0.25">
      <c r="B73" s="670" t="s">
        <v>3742</v>
      </c>
      <c r="C73" s="670" t="s">
        <v>3743</v>
      </c>
      <c r="D73" s="670" t="s">
        <v>3744</v>
      </c>
      <c r="E73" s="670" t="s">
        <v>3745</v>
      </c>
      <c r="F73" s="670" t="s">
        <v>3746</v>
      </c>
    </row>
    <row r="74" spans="2:7" ht="86.4" x14ac:dyDescent="0.25">
      <c r="B74" s="669" t="s">
        <v>3666</v>
      </c>
      <c r="C74" s="669" t="s">
        <v>3747</v>
      </c>
      <c r="D74" s="669">
        <v>245</v>
      </c>
      <c r="E74" s="932">
        <v>0.08</v>
      </c>
      <c r="F74" s="669" t="s">
        <v>3748</v>
      </c>
    </row>
    <row r="75" spans="2:7" ht="100.8" x14ac:dyDescent="0.25">
      <c r="B75" s="669" t="s">
        <v>3749</v>
      </c>
      <c r="C75" s="669" t="s">
        <v>3750</v>
      </c>
      <c r="D75" s="669">
        <v>275</v>
      </c>
      <c r="E75" s="932">
        <v>0.21</v>
      </c>
      <c r="F75" s="669" t="s">
        <v>3751</v>
      </c>
    </row>
    <row r="76" spans="2:7" ht="72" x14ac:dyDescent="0.25">
      <c r="B76" s="669" t="s">
        <v>3665</v>
      </c>
      <c r="C76" s="669" t="s">
        <v>3752</v>
      </c>
      <c r="D76" s="669">
        <v>240</v>
      </c>
      <c r="E76" s="932">
        <v>0.06</v>
      </c>
      <c r="F76" s="669" t="s">
        <v>3753</v>
      </c>
    </row>
    <row r="77" spans="2:7" ht="86.4" x14ac:dyDescent="0.25">
      <c r="B77" s="669" t="s">
        <v>3754</v>
      </c>
      <c r="C77" s="669" t="s">
        <v>3755</v>
      </c>
      <c r="D77" s="669">
        <v>205</v>
      </c>
      <c r="E77" s="932">
        <v>-0.09</v>
      </c>
      <c r="F77" s="669" t="s">
        <v>3756</v>
      </c>
    </row>
    <row r="78" spans="2:7" ht="100.8" x14ac:dyDescent="0.25">
      <c r="B78" s="669" t="s">
        <v>3668</v>
      </c>
      <c r="C78" s="669" t="s">
        <v>3757</v>
      </c>
      <c r="D78" s="669">
        <v>285</v>
      </c>
      <c r="E78" s="932">
        <v>0.25</v>
      </c>
      <c r="F78" s="669" t="s">
        <v>3758</v>
      </c>
    </row>
    <row r="79" spans="2:7" ht="86.4" x14ac:dyDescent="0.25">
      <c r="B79" s="669" t="s">
        <v>3759</v>
      </c>
      <c r="C79" s="669" t="s">
        <v>3760</v>
      </c>
      <c r="D79" s="669">
        <v>290</v>
      </c>
      <c r="E79" s="932">
        <v>0.27</v>
      </c>
      <c r="F79" s="669" t="s">
        <v>3761</v>
      </c>
    </row>
    <row r="80" spans="2:7" ht="72" x14ac:dyDescent="0.25">
      <c r="B80" s="669" t="s">
        <v>3762</v>
      </c>
      <c r="C80" s="669" t="s">
        <v>3752</v>
      </c>
      <c r="D80" s="669">
        <v>235</v>
      </c>
      <c r="E80" s="932">
        <v>0.04</v>
      </c>
      <c r="F80" s="669" t="s">
        <v>3763</v>
      </c>
    </row>
    <row r="81" spans="2:6" ht="72" x14ac:dyDescent="0.25">
      <c r="B81" s="669" t="s">
        <v>3669</v>
      </c>
      <c r="C81" s="669" t="s">
        <v>3757</v>
      </c>
      <c r="D81" s="669">
        <v>280</v>
      </c>
      <c r="E81" s="932">
        <v>0.23</v>
      </c>
      <c r="F81" s="669" t="s">
        <v>3764</v>
      </c>
    </row>
    <row r="82" spans="2:6" ht="72" x14ac:dyDescent="0.25">
      <c r="B82" s="669" t="s">
        <v>3671</v>
      </c>
      <c r="C82" s="669" t="s">
        <v>3752</v>
      </c>
      <c r="D82" s="669">
        <v>238</v>
      </c>
      <c r="E82" s="932">
        <v>0.05</v>
      </c>
      <c r="F82" s="669" t="s">
        <v>3765</v>
      </c>
    </row>
    <row r="83" spans="2:6" ht="86.4" x14ac:dyDescent="0.25">
      <c r="B83" s="669" t="s">
        <v>3766</v>
      </c>
      <c r="C83" s="669" t="s">
        <v>3747</v>
      </c>
      <c r="D83" s="669">
        <v>230</v>
      </c>
      <c r="E83" s="932">
        <v>0.02</v>
      </c>
      <c r="F83" s="669" t="s">
        <v>3767</v>
      </c>
    </row>
    <row r="84" spans="2:6" ht="86.4" x14ac:dyDescent="0.25">
      <c r="B84" s="669" t="s">
        <v>3768</v>
      </c>
      <c r="C84" s="669" t="s">
        <v>3757</v>
      </c>
      <c r="D84" s="669">
        <v>295</v>
      </c>
      <c r="E84" s="932">
        <v>0.28999999999999998</v>
      </c>
      <c r="F84" s="669" t="s">
        <v>3769</v>
      </c>
    </row>
    <row r="85" spans="2:6" ht="115.2" x14ac:dyDescent="0.25">
      <c r="B85" s="669" t="s">
        <v>3770</v>
      </c>
      <c r="C85" s="669" t="s">
        <v>3473</v>
      </c>
      <c r="D85" s="669">
        <v>270</v>
      </c>
      <c r="E85" s="932">
        <v>0.19</v>
      </c>
      <c r="F85" s="669" t="s">
        <v>3771</v>
      </c>
    </row>
    <row r="86" spans="2:6" ht="86.4" x14ac:dyDescent="0.25">
      <c r="B86" s="669" t="s">
        <v>3772</v>
      </c>
      <c r="C86" s="669" t="s">
        <v>3773</v>
      </c>
      <c r="D86" s="669">
        <v>210</v>
      </c>
      <c r="E86" s="932">
        <v>-7.0000000000000007E-2</v>
      </c>
      <c r="F86" s="669" t="s">
        <v>3774</v>
      </c>
    </row>
    <row r="87" spans="2:6" ht="86.4" x14ac:dyDescent="0.25">
      <c r="B87" s="669" t="s">
        <v>3775</v>
      </c>
      <c r="C87" s="669" t="s">
        <v>3757</v>
      </c>
      <c r="D87" s="669">
        <v>288</v>
      </c>
      <c r="E87" s="932">
        <v>0.26</v>
      </c>
      <c r="F87" s="669" t="s">
        <v>3776</v>
      </c>
    </row>
    <row r="88" spans="2:6" ht="72" x14ac:dyDescent="0.25">
      <c r="B88" s="669" t="s">
        <v>3777</v>
      </c>
      <c r="C88" s="669" t="s">
        <v>3747</v>
      </c>
      <c r="D88" s="669">
        <v>232</v>
      </c>
      <c r="E88" s="932">
        <v>0.03</v>
      </c>
      <c r="F88" s="669" t="s">
        <v>3778</v>
      </c>
    </row>
    <row r="89" spans="2:6" ht="86.4" x14ac:dyDescent="0.25">
      <c r="B89" s="669" t="s">
        <v>3779</v>
      </c>
      <c r="C89" s="669" t="s">
        <v>3473</v>
      </c>
      <c r="D89" s="669">
        <v>265</v>
      </c>
      <c r="E89" s="932">
        <v>0.17</v>
      </c>
      <c r="F89" s="669" t="s">
        <v>3780</v>
      </c>
    </row>
    <row r="90" spans="2:6" ht="86.4" x14ac:dyDescent="0.25">
      <c r="B90" s="669" t="s">
        <v>3781</v>
      </c>
      <c r="C90" s="669" t="s">
        <v>3757</v>
      </c>
      <c r="D90" s="669">
        <v>278</v>
      </c>
      <c r="E90" s="932">
        <v>0.22</v>
      </c>
      <c r="F90" s="669" t="s">
        <v>3782</v>
      </c>
    </row>
    <row r="91" spans="2:6" ht="72" x14ac:dyDescent="0.25">
      <c r="B91" s="669" t="s">
        <v>3783</v>
      </c>
      <c r="C91" s="669" t="s">
        <v>3752</v>
      </c>
      <c r="D91" s="669">
        <v>225</v>
      </c>
      <c r="E91" s="932">
        <v>0</v>
      </c>
      <c r="F91" s="669" t="s">
        <v>3784</v>
      </c>
    </row>
    <row r="92" spans="2:6" ht="100.8" x14ac:dyDescent="0.25">
      <c r="B92" s="669" t="s">
        <v>3785</v>
      </c>
      <c r="C92" s="669" t="s">
        <v>3757</v>
      </c>
      <c r="D92" s="669">
        <v>300</v>
      </c>
      <c r="E92" s="932">
        <v>0.31</v>
      </c>
      <c r="F92" s="669" t="s">
        <v>3786</v>
      </c>
    </row>
    <row r="93" spans="2:6" ht="100.8" x14ac:dyDescent="0.25">
      <c r="B93" s="669" t="s">
        <v>3827</v>
      </c>
      <c r="C93" s="669" t="s">
        <v>3747</v>
      </c>
      <c r="D93" s="669">
        <v>240</v>
      </c>
      <c r="E93" s="932">
        <v>0.06</v>
      </c>
      <c r="F93" s="669" t="s">
        <v>3788</v>
      </c>
    </row>
    <row r="94" spans="2:6" ht="72" x14ac:dyDescent="0.25">
      <c r="B94" s="669" t="s">
        <v>3789</v>
      </c>
      <c r="C94" s="669" t="s">
        <v>3757</v>
      </c>
      <c r="D94" s="669">
        <v>282</v>
      </c>
      <c r="E94" s="932">
        <v>0.24</v>
      </c>
      <c r="F94" s="669" t="s">
        <v>3790</v>
      </c>
    </row>
    <row r="95" spans="2:6" ht="86.4" x14ac:dyDescent="0.25">
      <c r="B95" s="669" t="s">
        <v>3791</v>
      </c>
      <c r="C95" s="669" t="s">
        <v>3792</v>
      </c>
      <c r="D95" s="669">
        <v>272</v>
      </c>
      <c r="E95" s="932">
        <v>0.2</v>
      </c>
      <c r="F95" s="669" t="s">
        <v>3793</v>
      </c>
    </row>
    <row r="96" spans="2:6" ht="86.4" x14ac:dyDescent="0.25">
      <c r="B96" s="669" t="s">
        <v>3826</v>
      </c>
      <c r="C96" s="669" t="s">
        <v>3747</v>
      </c>
      <c r="D96" s="669">
        <v>236</v>
      </c>
      <c r="E96" s="932">
        <v>0.04</v>
      </c>
      <c r="F96" s="669" t="s">
        <v>3795</v>
      </c>
    </row>
    <row r="97" spans="2:6" ht="86.4" x14ac:dyDescent="0.25">
      <c r="B97" s="669" t="s">
        <v>3796</v>
      </c>
      <c r="C97" s="669" t="s">
        <v>3757</v>
      </c>
      <c r="D97" s="669">
        <v>286</v>
      </c>
      <c r="E97" s="932">
        <v>0.26</v>
      </c>
      <c r="F97" s="669" t="s">
        <v>3797</v>
      </c>
    </row>
    <row r="98" spans="2:6" ht="100.8" x14ac:dyDescent="0.25">
      <c r="B98" s="669" t="s">
        <v>3798</v>
      </c>
      <c r="C98" s="669" t="s">
        <v>3747</v>
      </c>
      <c r="D98" s="669">
        <v>228</v>
      </c>
      <c r="E98" s="932">
        <v>0.01</v>
      </c>
      <c r="F98" s="669" t="s">
        <v>3799</v>
      </c>
    </row>
    <row r="102" spans="2:6" x14ac:dyDescent="0.25">
      <c r="B102" s="670" t="s">
        <v>3742</v>
      </c>
      <c r="C102" s="670" t="s">
        <v>3743</v>
      </c>
      <c r="D102" s="670" t="s">
        <v>3744</v>
      </c>
      <c r="E102" s="670" t="s">
        <v>3745</v>
      </c>
      <c r="F102" s="670" t="s">
        <v>3800</v>
      </c>
    </row>
    <row r="103" spans="2:6" ht="43.2" x14ac:dyDescent="0.25">
      <c r="B103" s="669" t="s">
        <v>3666</v>
      </c>
      <c r="C103" s="669" t="s">
        <v>3747</v>
      </c>
      <c r="D103" s="669">
        <v>245</v>
      </c>
      <c r="E103" s="932">
        <v>0.08</v>
      </c>
      <c r="F103" s="669" t="s">
        <v>3801</v>
      </c>
    </row>
    <row r="104" spans="2:6" ht="28.8" x14ac:dyDescent="0.25">
      <c r="B104" s="669" t="s">
        <v>3749</v>
      </c>
      <c r="C104" s="669" t="s">
        <v>3750</v>
      </c>
      <c r="D104" s="669">
        <v>275</v>
      </c>
      <c r="E104" s="932">
        <v>0.21</v>
      </c>
      <c r="F104" s="669" t="s">
        <v>3802</v>
      </c>
    </row>
    <row r="105" spans="2:6" ht="28.8" x14ac:dyDescent="0.25">
      <c r="B105" s="669" t="s">
        <v>3665</v>
      </c>
      <c r="C105" s="669" t="s">
        <v>3752</v>
      </c>
      <c r="D105" s="669">
        <v>240</v>
      </c>
      <c r="E105" s="932">
        <v>0.06</v>
      </c>
      <c r="F105" s="669" t="s">
        <v>3803</v>
      </c>
    </row>
    <row r="106" spans="2:6" ht="43.2" x14ac:dyDescent="0.25">
      <c r="B106" s="669" t="s">
        <v>3754</v>
      </c>
      <c r="C106" s="669" t="s">
        <v>3755</v>
      </c>
      <c r="D106" s="669">
        <v>205</v>
      </c>
      <c r="E106" s="932">
        <v>-0.09</v>
      </c>
      <c r="F106" s="669" t="s">
        <v>3804</v>
      </c>
    </row>
    <row r="107" spans="2:6" ht="43.2" x14ac:dyDescent="0.25">
      <c r="B107" s="669" t="s">
        <v>3668</v>
      </c>
      <c r="C107" s="669" t="s">
        <v>3757</v>
      </c>
      <c r="D107" s="669">
        <v>285</v>
      </c>
      <c r="E107" s="932">
        <v>0.25</v>
      </c>
      <c r="F107" s="669" t="s">
        <v>3805</v>
      </c>
    </row>
    <row r="108" spans="2:6" ht="28.8" x14ac:dyDescent="0.25">
      <c r="B108" s="669" t="s">
        <v>3759</v>
      </c>
      <c r="C108" s="669" t="s">
        <v>3760</v>
      </c>
      <c r="D108" s="669">
        <v>290</v>
      </c>
      <c r="E108" s="932">
        <v>0.27</v>
      </c>
      <c r="F108" s="669" t="s">
        <v>3806</v>
      </c>
    </row>
    <row r="109" spans="2:6" ht="28.8" x14ac:dyDescent="0.25">
      <c r="B109" s="669" t="s">
        <v>3762</v>
      </c>
      <c r="C109" s="669" t="s">
        <v>3752</v>
      </c>
      <c r="D109" s="669">
        <v>235</v>
      </c>
      <c r="E109" s="932">
        <v>0.04</v>
      </c>
      <c r="F109" s="669" t="s">
        <v>3807</v>
      </c>
    </row>
    <row r="110" spans="2:6" ht="28.8" x14ac:dyDescent="0.25">
      <c r="B110" s="669" t="s">
        <v>3669</v>
      </c>
      <c r="C110" s="669" t="s">
        <v>3757</v>
      </c>
      <c r="D110" s="669">
        <v>280</v>
      </c>
      <c r="E110" s="932">
        <v>0.23</v>
      </c>
      <c r="F110" s="669" t="s">
        <v>3808</v>
      </c>
    </row>
    <row r="111" spans="2:6" ht="28.8" x14ac:dyDescent="0.25">
      <c r="B111" s="669" t="s">
        <v>3671</v>
      </c>
      <c r="C111" s="669" t="s">
        <v>3752</v>
      </c>
      <c r="D111" s="669">
        <v>238</v>
      </c>
      <c r="E111" s="932">
        <v>0.05</v>
      </c>
      <c r="F111" s="669" t="s">
        <v>3809</v>
      </c>
    </row>
    <row r="112" spans="2:6" ht="43.2" x14ac:dyDescent="0.25">
      <c r="B112" s="669" t="s">
        <v>3766</v>
      </c>
      <c r="C112" s="669" t="s">
        <v>3747</v>
      </c>
      <c r="D112" s="669">
        <v>230</v>
      </c>
      <c r="E112" s="932">
        <v>0.02</v>
      </c>
      <c r="F112" s="669" t="s">
        <v>3810</v>
      </c>
    </row>
    <row r="113" spans="2:6" ht="28.8" x14ac:dyDescent="0.25">
      <c r="B113" s="669" t="s">
        <v>3768</v>
      </c>
      <c r="C113" s="669" t="s">
        <v>3757</v>
      </c>
      <c r="D113" s="669">
        <v>295</v>
      </c>
      <c r="E113" s="932">
        <v>0.28999999999999998</v>
      </c>
      <c r="F113" s="669" t="s">
        <v>3811</v>
      </c>
    </row>
    <row r="114" spans="2:6" ht="43.2" x14ac:dyDescent="0.25">
      <c r="B114" s="669" t="s">
        <v>3770</v>
      </c>
      <c r="C114" s="669" t="s">
        <v>3473</v>
      </c>
      <c r="D114" s="669">
        <v>270</v>
      </c>
      <c r="E114" s="932">
        <v>0.19</v>
      </c>
      <c r="F114" s="669" t="s">
        <v>3812</v>
      </c>
    </row>
    <row r="115" spans="2:6" ht="28.8" x14ac:dyDescent="0.25">
      <c r="B115" s="669" t="s">
        <v>3772</v>
      </c>
      <c r="C115" s="669" t="s">
        <v>3773</v>
      </c>
      <c r="D115" s="669">
        <v>210</v>
      </c>
      <c r="E115" s="932">
        <v>-7.0000000000000007E-2</v>
      </c>
      <c r="F115" s="669" t="s">
        <v>3813</v>
      </c>
    </row>
    <row r="116" spans="2:6" ht="28.8" x14ac:dyDescent="0.25">
      <c r="B116" s="669" t="s">
        <v>3775</v>
      </c>
      <c r="C116" s="669" t="s">
        <v>3757</v>
      </c>
      <c r="D116" s="669">
        <v>288</v>
      </c>
      <c r="E116" s="932">
        <v>0.26</v>
      </c>
      <c r="F116" s="669" t="s">
        <v>3814</v>
      </c>
    </row>
    <row r="117" spans="2:6" ht="28.8" x14ac:dyDescent="0.25">
      <c r="B117" s="669" t="s">
        <v>3777</v>
      </c>
      <c r="C117" s="669" t="s">
        <v>3747</v>
      </c>
      <c r="D117" s="669">
        <v>232</v>
      </c>
      <c r="E117" s="932">
        <v>0.03</v>
      </c>
      <c r="F117" s="669" t="s">
        <v>3815</v>
      </c>
    </row>
    <row r="118" spans="2:6" ht="28.8" x14ac:dyDescent="0.25">
      <c r="B118" s="669" t="s">
        <v>3779</v>
      </c>
      <c r="C118" s="669" t="s">
        <v>3473</v>
      </c>
      <c r="D118" s="669">
        <v>265</v>
      </c>
      <c r="E118" s="932">
        <v>0.17</v>
      </c>
      <c r="F118" s="669" t="s">
        <v>3816</v>
      </c>
    </row>
    <row r="119" spans="2:6" ht="28.8" x14ac:dyDescent="0.25">
      <c r="B119" s="669" t="s">
        <v>3781</v>
      </c>
      <c r="C119" s="669" t="s">
        <v>3757</v>
      </c>
      <c r="D119" s="669">
        <v>278</v>
      </c>
      <c r="E119" s="932">
        <v>0.22</v>
      </c>
      <c r="F119" s="669" t="s">
        <v>3817</v>
      </c>
    </row>
    <row r="120" spans="2:6" ht="28.8" x14ac:dyDescent="0.25">
      <c r="B120" s="669" t="s">
        <v>3783</v>
      </c>
      <c r="C120" s="669" t="s">
        <v>3752</v>
      </c>
      <c r="D120" s="669">
        <v>225</v>
      </c>
      <c r="E120" s="932">
        <v>0</v>
      </c>
      <c r="F120" s="669" t="s">
        <v>3803</v>
      </c>
    </row>
    <row r="121" spans="2:6" ht="28.8" x14ac:dyDescent="0.25">
      <c r="B121" s="669" t="s">
        <v>3785</v>
      </c>
      <c r="C121" s="669" t="s">
        <v>3757</v>
      </c>
      <c r="D121" s="669">
        <v>300</v>
      </c>
      <c r="E121" s="932">
        <v>0.31</v>
      </c>
      <c r="F121" s="669" t="s">
        <v>3818</v>
      </c>
    </row>
    <row r="122" spans="2:6" ht="28.8" x14ac:dyDescent="0.25">
      <c r="B122" s="669" t="s">
        <v>3787</v>
      </c>
      <c r="C122" s="669" t="s">
        <v>3747</v>
      </c>
      <c r="D122" s="669">
        <v>240</v>
      </c>
      <c r="E122" s="932">
        <v>0.06</v>
      </c>
      <c r="F122" s="669" t="s">
        <v>3819</v>
      </c>
    </row>
    <row r="123" spans="2:6" ht="28.8" x14ac:dyDescent="0.25">
      <c r="B123" s="669" t="s">
        <v>3789</v>
      </c>
      <c r="C123" s="669" t="s">
        <v>3757</v>
      </c>
      <c r="D123" s="669">
        <v>282</v>
      </c>
      <c r="E123" s="932">
        <v>0.24</v>
      </c>
      <c r="F123" s="669" t="s">
        <v>3820</v>
      </c>
    </row>
    <row r="124" spans="2:6" ht="28.8" x14ac:dyDescent="0.25">
      <c r="B124" s="669" t="s">
        <v>3791</v>
      </c>
      <c r="C124" s="669" t="s">
        <v>3792</v>
      </c>
      <c r="D124" s="669">
        <v>272</v>
      </c>
      <c r="E124" s="932">
        <v>0.2</v>
      </c>
      <c r="F124" s="669" t="s">
        <v>3821</v>
      </c>
    </row>
    <row r="125" spans="2:6" ht="28.8" x14ac:dyDescent="0.25">
      <c r="B125" s="669" t="s">
        <v>3794</v>
      </c>
      <c r="C125" s="669" t="s">
        <v>3747</v>
      </c>
      <c r="D125" s="669">
        <v>236</v>
      </c>
      <c r="E125" s="932">
        <v>0.04</v>
      </c>
      <c r="F125" s="669" t="s">
        <v>3822</v>
      </c>
    </row>
    <row r="126" spans="2:6" ht="28.8" x14ac:dyDescent="0.25">
      <c r="B126" s="669" t="s">
        <v>3796</v>
      </c>
      <c r="C126" s="669" t="s">
        <v>3757</v>
      </c>
      <c r="D126" s="669">
        <v>286</v>
      </c>
      <c r="E126" s="932">
        <v>0.26</v>
      </c>
      <c r="F126" s="669" t="s">
        <v>3823</v>
      </c>
    </row>
    <row r="127" spans="2:6" ht="28.8" x14ac:dyDescent="0.25">
      <c r="B127" s="669" t="s">
        <v>3798</v>
      </c>
      <c r="C127" s="669" t="s">
        <v>3747</v>
      </c>
      <c r="D127" s="669">
        <v>228</v>
      </c>
      <c r="E127" s="932">
        <v>0.01</v>
      </c>
      <c r="F127" s="669" t="s">
        <v>3824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F4B6E-EFFC-44A6-BE35-1F48B93BA3D5}">
  <sheetPr>
    <pageSetUpPr fitToPage="1"/>
  </sheetPr>
  <dimension ref="A1:L90"/>
  <sheetViews>
    <sheetView zoomScaleNormal="100" workbookViewId="0"/>
  </sheetViews>
  <sheetFormatPr defaultColWidth="15.77734375" defaultRowHeight="15" x14ac:dyDescent="0.25"/>
  <cols>
    <col min="1" max="1" width="2" style="1" customWidth="1"/>
    <col min="2" max="2" width="25.77734375" style="1" customWidth="1"/>
    <col min="3" max="5" width="15.77734375" style="1" customWidth="1"/>
    <col min="6" max="6" width="2" style="1" customWidth="1"/>
    <col min="7" max="16382" width="15.77734375" style="1"/>
    <col min="16383" max="16384" width="10.77734375" style="1" customWidth="1"/>
  </cols>
  <sheetData>
    <row r="1" spans="1:12" ht="15" customHeight="1" x14ac:dyDescent="0.25">
      <c r="B1" s="938" t="s">
        <v>378</v>
      </c>
      <c r="C1" s="938"/>
      <c r="D1" s="859"/>
      <c r="E1" s="859"/>
      <c r="F1" s="705"/>
      <c r="G1" s="1025" t="s">
        <v>3462</v>
      </c>
      <c r="H1" s="1025"/>
      <c r="I1" s="1025"/>
      <c r="J1" s="1025"/>
      <c r="K1" s="1025"/>
      <c r="L1" s="1025"/>
    </row>
    <row r="2" spans="1:12" ht="15" customHeight="1" x14ac:dyDescent="0.25">
      <c r="B2" s="938"/>
      <c r="C2" s="938"/>
      <c r="D2" s="859"/>
      <c r="E2" s="859"/>
      <c r="F2" s="705"/>
      <c r="G2" s="1025"/>
      <c r="H2" s="1025"/>
      <c r="I2" s="1025"/>
      <c r="J2" s="1025"/>
      <c r="K2" s="1025"/>
      <c r="L2" s="1025"/>
    </row>
    <row r="3" spans="1:12" ht="15" customHeight="1" x14ac:dyDescent="0.25">
      <c r="B3" s="938"/>
      <c r="C3" s="938"/>
      <c r="D3" s="859"/>
      <c r="E3" s="859"/>
      <c r="F3" s="705"/>
      <c r="G3" s="1025"/>
      <c r="H3" s="1025"/>
      <c r="I3" s="1025"/>
      <c r="J3" s="1025"/>
      <c r="K3" s="1025"/>
      <c r="L3" s="1025"/>
    </row>
    <row r="4" spans="1:12" ht="15" customHeight="1" x14ac:dyDescent="0.25">
      <c r="B4" s="938"/>
      <c r="C4" s="938"/>
      <c r="D4" s="859"/>
      <c r="E4" s="859"/>
      <c r="F4" s="706"/>
      <c r="G4" s="1026" t="s">
        <v>3463</v>
      </c>
      <c r="H4" s="1026"/>
      <c r="I4" s="1026"/>
      <c r="J4" s="1026"/>
      <c r="K4" s="1026"/>
      <c r="L4" s="1026"/>
    </row>
    <row r="5" spans="1:12" ht="15" customHeight="1" x14ac:dyDescent="0.25">
      <c r="B5" s="938"/>
      <c r="C5" s="938"/>
      <c r="D5" s="859"/>
      <c r="E5" s="859"/>
      <c r="F5" s="706"/>
      <c r="G5" s="1027"/>
      <c r="H5" s="1027"/>
      <c r="I5" s="1027"/>
      <c r="J5" s="1027"/>
      <c r="K5" s="1027"/>
      <c r="L5" s="1027"/>
    </row>
    <row r="6" spans="1:12" x14ac:dyDescent="0.25">
      <c r="B6" s="713"/>
      <c r="C6" s="713"/>
      <c r="D6" s="713"/>
      <c r="E6" s="713"/>
    </row>
    <row r="7" spans="1:12" x14ac:dyDescent="0.25">
      <c r="B7" s="724" t="s">
        <v>3474</v>
      </c>
      <c r="C7" s="724"/>
      <c r="D7" s="727"/>
      <c r="E7" s="933" t="str">
        <f>IF(E8&gt;E9,"SELL","BUY")</f>
        <v>SELL</v>
      </c>
      <c r="F7" s="707"/>
      <c r="G7" s="1031" t="s">
        <v>3492</v>
      </c>
      <c r="H7" s="1031"/>
      <c r="I7" s="721"/>
      <c r="J7" s="720"/>
      <c r="K7" s="721"/>
      <c r="L7" s="721"/>
    </row>
    <row r="8" spans="1:12" x14ac:dyDescent="0.25">
      <c r="B8" s="714" t="s">
        <v>3114</v>
      </c>
      <c r="C8" s="714"/>
      <c r="D8" s="728"/>
      <c r="E8" s="715">
        <f>'FOOTBALL FIELD ANALYSIS'!$H$15</f>
        <v>246.3</v>
      </c>
      <c r="F8" s="708"/>
      <c r="G8" s="720"/>
      <c r="H8" s="721"/>
      <c r="I8" s="721"/>
      <c r="J8" s="720"/>
      <c r="K8" s="721"/>
      <c r="L8" s="721"/>
    </row>
    <row r="9" spans="1:12" ht="15" customHeight="1" x14ac:dyDescent="0.25">
      <c r="B9" s="714" t="s">
        <v>3465</v>
      </c>
      <c r="C9" s="714"/>
      <c r="D9" s="728"/>
      <c r="E9" s="715">
        <f>CALCULATION!$E$12</f>
        <v>213.2224602634121</v>
      </c>
      <c r="F9" s="708"/>
      <c r="G9" s="1032" t="s">
        <v>3382</v>
      </c>
      <c r="H9" s="1032"/>
      <c r="I9" s="1032"/>
      <c r="J9" s="1032"/>
      <c r="K9" s="1032"/>
      <c r="L9" s="1032"/>
    </row>
    <row r="10" spans="1:12" x14ac:dyDescent="0.25">
      <c r="B10" s="725" t="s">
        <v>3466</v>
      </c>
      <c r="C10" s="725"/>
      <c r="D10" s="729"/>
      <c r="E10" s="726">
        <f>E9/E8-1</f>
        <v>-0.1342977658813963</v>
      </c>
      <c r="F10" s="709"/>
      <c r="G10" s="1032"/>
      <c r="H10" s="1032"/>
      <c r="I10" s="1032"/>
      <c r="J10" s="1032"/>
      <c r="K10" s="1032"/>
      <c r="L10" s="1032"/>
    </row>
    <row r="11" spans="1:12" x14ac:dyDescent="0.25">
      <c r="B11" s="711"/>
      <c r="C11" s="711"/>
      <c r="D11" s="711"/>
      <c r="E11" s="711"/>
      <c r="G11" s="1032"/>
      <c r="H11" s="1032"/>
      <c r="I11" s="1032"/>
      <c r="J11" s="1032"/>
      <c r="K11" s="1032"/>
      <c r="L11" s="1032"/>
    </row>
    <row r="12" spans="1:12" x14ac:dyDescent="0.25">
      <c r="B12" s="1024" t="s">
        <v>3479</v>
      </c>
      <c r="C12" s="1024"/>
      <c r="D12" s="1024"/>
      <c r="E12" s="1024"/>
      <c r="G12" s="1032"/>
      <c r="H12" s="1032"/>
      <c r="I12" s="1032"/>
      <c r="J12" s="1032"/>
      <c r="K12" s="1032"/>
      <c r="L12" s="1032"/>
    </row>
    <row r="13" spans="1:12" ht="15" customHeight="1" x14ac:dyDescent="0.25">
      <c r="A13" s="1" t="s">
        <v>3464</v>
      </c>
      <c r="B13" s="716"/>
      <c r="C13" s="716"/>
      <c r="D13" s="716"/>
      <c r="E13" s="716"/>
      <c r="F13" s="699"/>
      <c r="G13" s="1032"/>
      <c r="H13" s="1032"/>
      <c r="I13" s="1032"/>
      <c r="J13" s="1032"/>
      <c r="K13" s="1032"/>
      <c r="L13" s="1032"/>
    </row>
    <row r="14" spans="1:12" x14ac:dyDescent="0.25">
      <c r="B14" s="731" t="s">
        <v>406</v>
      </c>
      <c r="C14" s="731"/>
      <c r="D14" s="734"/>
      <c r="E14" s="732">
        <f>'REGRESSION BETA'!$C$10</f>
        <v>22904.45</v>
      </c>
      <c r="F14" s="699"/>
      <c r="G14" s="1032"/>
      <c r="H14" s="1032"/>
      <c r="I14" s="1032"/>
      <c r="J14" s="1032"/>
      <c r="K14" s="1032"/>
      <c r="L14" s="1032"/>
    </row>
    <row r="15" spans="1:12" x14ac:dyDescent="0.25">
      <c r="B15" s="716" t="s">
        <v>3477</v>
      </c>
      <c r="C15" s="716"/>
      <c r="D15" s="735"/>
      <c r="E15" s="717" t="s">
        <v>3488</v>
      </c>
      <c r="F15" s="699"/>
      <c r="G15" s="1032"/>
      <c r="H15" s="1032"/>
      <c r="I15" s="1032"/>
      <c r="J15" s="1032"/>
      <c r="K15" s="1032"/>
      <c r="L15" s="1032"/>
    </row>
    <row r="16" spans="1:12" x14ac:dyDescent="0.25">
      <c r="B16" s="716" t="s">
        <v>3476</v>
      </c>
      <c r="C16" s="716"/>
      <c r="D16" s="735"/>
      <c r="E16" s="869">
        <f>'ALTMAN''S Z SCORE'!$H$21</f>
        <v>139447.671</v>
      </c>
      <c r="F16" s="699"/>
      <c r="G16" s="1032"/>
      <c r="H16" s="1032"/>
      <c r="I16" s="1032"/>
      <c r="J16" s="1032"/>
      <c r="K16" s="1032"/>
      <c r="L16" s="1032"/>
    </row>
    <row r="17" spans="2:12" x14ac:dyDescent="0.25">
      <c r="B17" s="711" t="s">
        <v>3475</v>
      </c>
      <c r="C17" s="711"/>
      <c r="D17" s="736"/>
      <c r="E17" s="718">
        <f>'PROFIT &amp; LOSS'!$H$41</f>
        <v>566.16999999999996</v>
      </c>
      <c r="G17" s="1032"/>
      <c r="H17" s="1032"/>
      <c r="I17" s="1032"/>
      <c r="J17" s="1032"/>
      <c r="K17" s="1032"/>
      <c r="L17" s="1032"/>
    </row>
    <row r="18" spans="2:12" x14ac:dyDescent="0.25">
      <c r="B18" s="711" t="s">
        <v>3408</v>
      </c>
      <c r="C18" s="711"/>
      <c r="D18" s="736"/>
      <c r="E18" s="870">
        <f>'RELATIVE VALUATION'!$I$11</f>
        <v>143270.671</v>
      </c>
      <c r="G18" s="1032"/>
      <c r="H18" s="1032"/>
      <c r="I18" s="1032"/>
      <c r="J18" s="1032"/>
      <c r="K18" s="1032"/>
      <c r="L18" s="1032"/>
    </row>
    <row r="19" spans="2:12" x14ac:dyDescent="0.25">
      <c r="B19" s="730" t="s">
        <v>3478</v>
      </c>
      <c r="C19" s="730"/>
      <c r="D19" s="737"/>
      <c r="E19" s="733" t="s">
        <v>378</v>
      </c>
      <c r="G19" s="1032"/>
      <c r="H19" s="1032"/>
      <c r="I19" s="1032"/>
      <c r="J19" s="1032"/>
      <c r="K19" s="1032"/>
      <c r="L19" s="1032"/>
    </row>
    <row r="20" spans="2:12" x14ac:dyDescent="0.25">
      <c r="B20" s="711"/>
      <c r="C20" s="711"/>
      <c r="D20" s="711"/>
      <c r="E20" s="711"/>
      <c r="G20" s="1032"/>
      <c r="H20" s="1032"/>
      <c r="I20" s="1032"/>
      <c r="J20" s="1032"/>
      <c r="K20" s="1032"/>
      <c r="L20" s="1032"/>
    </row>
    <row r="21" spans="2:12" x14ac:dyDescent="0.25">
      <c r="B21" s="1029" t="s">
        <v>3480</v>
      </c>
      <c r="C21" s="1029"/>
      <c r="D21" s="1029"/>
      <c r="E21" s="1029"/>
      <c r="G21" s="1032"/>
      <c r="H21" s="1032"/>
      <c r="I21" s="1032"/>
      <c r="J21" s="1032"/>
      <c r="K21" s="1032"/>
      <c r="L21" s="1032"/>
    </row>
    <row r="22" spans="2:12" x14ac:dyDescent="0.25">
      <c r="B22" s="712"/>
      <c r="C22" s="712"/>
      <c r="D22" s="712"/>
      <c r="E22" s="712"/>
      <c r="G22" s="720"/>
      <c r="H22" s="720"/>
      <c r="I22" s="720"/>
      <c r="J22" s="720"/>
      <c r="K22" s="720"/>
      <c r="L22" s="720"/>
    </row>
    <row r="23" spans="2:12" x14ac:dyDescent="0.25">
      <c r="B23" s="712"/>
      <c r="C23" s="712"/>
      <c r="D23" s="712"/>
      <c r="E23" s="712"/>
      <c r="G23" s="1031" t="s">
        <v>3493</v>
      </c>
      <c r="H23" s="1031"/>
      <c r="I23" s="720"/>
      <c r="J23" s="720"/>
      <c r="K23" s="720"/>
      <c r="L23" s="720"/>
    </row>
    <row r="24" spans="2:12" x14ac:dyDescent="0.25">
      <c r="B24" s="712"/>
      <c r="C24" s="712"/>
      <c r="D24" s="712"/>
      <c r="E24" s="712"/>
      <c r="G24" s="720"/>
      <c r="H24" s="720"/>
      <c r="I24" s="720"/>
      <c r="J24" s="720"/>
      <c r="K24" s="720"/>
      <c r="L24" s="720"/>
    </row>
    <row r="25" spans="2:12" ht="15" customHeight="1" x14ac:dyDescent="0.25">
      <c r="B25" s="712"/>
      <c r="C25" s="712"/>
      <c r="D25" s="712"/>
      <c r="E25" s="712"/>
      <c r="G25" s="1033" t="s">
        <v>3495</v>
      </c>
      <c r="H25" s="1033"/>
      <c r="I25" s="1033"/>
      <c r="J25" s="1033"/>
      <c r="K25" s="1033"/>
      <c r="L25" s="1033"/>
    </row>
    <row r="26" spans="2:12" x14ac:dyDescent="0.25">
      <c r="B26" s="712"/>
      <c r="C26" s="712"/>
      <c r="D26" s="712"/>
      <c r="E26" s="712"/>
      <c r="G26" s="1033"/>
      <c r="H26" s="1033"/>
      <c r="I26" s="1033"/>
      <c r="J26" s="1033"/>
      <c r="K26" s="1033"/>
      <c r="L26" s="1033"/>
    </row>
    <row r="27" spans="2:12" x14ac:dyDescent="0.25">
      <c r="B27" s="712"/>
      <c r="C27" s="712"/>
      <c r="D27" s="712"/>
      <c r="E27" s="712"/>
      <c r="G27" s="1033"/>
      <c r="H27" s="1033"/>
      <c r="I27" s="1033"/>
      <c r="J27" s="1033"/>
      <c r="K27" s="1033"/>
      <c r="L27" s="1033"/>
    </row>
    <row r="28" spans="2:12" x14ac:dyDescent="0.25">
      <c r="B28" s="712"/>
      <c r="C28" s="712"/>
      <c r="D28" s="712"/>
      <c r="E28" s="712"/>
      <c r="G28" s="1033"/>
      <c r="H28" s="1033"/>
      <c r="I28" s="1033"/>
      <c r="J28" s="1033"/>
      <c r="K28" s="1033"/>
      <c r="L28" s="1033"/>
    </row>
    <row r="29" spans="2:12" x14ac:dyDescent="0.25">
      <c r="B29" s="712"/>
      <c r="C29" s="712"/>
      <c r="D29" s="712"/>
      <c r="E29" s="712"/>
      <c r="G29" s="1033"/>
      <c r="H29" s="1033"/>
      <c r="I29" s="1033"/>
      <c r="J29" s="1033"/>
      <c r="K29" s="1033"/>
      <c r="L29" s="1033"/>
    </row>
    <row r="30" spans="2:12" x14ac:dyDescent="0.25">
      <c r="B30" s="712"/>
      <c r="C30" s="712"/>
      <c r="D30" s="712"/>
      <c r="E30" s="712"/>
      <c r="G30" s="1033"/>
      <c r="H30" s="1033"/>
      <c r="I30" s="1033"/>
      <c r="J30" s="1033"/>
      <c r="K30" s="1033"/>
      <c r="L30" s="1033"/>
    </row>
    <row r="31" spans="2:12" x14ac:dyDescent="0.25">
      <c r="B31" s="712"/>
      <c r="C31" s="712"/>
      <c r="D31" s="712"/>
      <c r="E31" s="712"/>
      <c r="G31" s="1033"/>
      <c r="H31" s="1033"/>
      <c r="I31" s="1033"/>
      <c r="J31" s="1033"/>
      <c r="K31" s="1033"/>
      <c r="L31" s="1033"/>
    </row>
    <row r="32" spans="2:12" x14ac:dyDescent="0.25">
      <c r="B32" s="712"/>
      <c r="C32" s="712"/>
      <c r="D32" s="712"/>
      <c r="E32" s="712"/>
      <c r="G32" s="1033"/>
      <c r="H32" s="1033"/>
      <c r="I32" s="1033"/>
      <c r="J32" s="1033"/>
      <c r="K32" s="1033"/>
      <c r="L32" s="1033"/>
    </row>
    <row r="33" spans="2:12" x14ac:dyDescent="0.25">
      <c r="B33" s="712"/>
      <c r="C33" s="712"/>
      <c r="D33" s="712"/>
      <c r="E33" s="712"/>
      <c r="G33" s="1033"/>
      <c r="H33" s="1033"/>
      <c r="I33" s="1033"/>
      <c r="J33" s="1033"/>
      <c r="K33" s="1033"/>
      <c r="L33" s="1033"/>
    </row>
    <row r="34" spans="2:12" x14ac:dyDescent="0.25">
      <c r="B34" s="712"/>
      <c r="C34" s="712"/>
      <c r="D34" s="712"/>
      <c r="E34" s="712"/>
      <c r="G34" s="1033"/>
      <c r="H34" s="1033"/>
      <c r="I34" s="1033"/>
      <c r="J34" s="1033"/>
      <c r="K34" s="1033"/>
      <c r="L34" s="1033"/>
    </row>
    <row r="35" spans="2:12" x14ac:dyDescent="0.25">
      <c r="B35" s="712"/>
      <c r="C35" s="712"/>
      <c r="D35" s="712"/>
      <c r="E35" s="712"/>
      <c r="G35" s="1033"/>
      <c r="H35" s="1033"/>
      <c r="I35" s="1033"/>
      <c r="J35" s="1033"/>
      <c r="K35" s="1033"/>
      <c r="L35" s="1033"/>
    </row>
    <row r="36" spans="2:12" x14ac:dyDescent="0.25">
      <c r="B36" s="738"/>
      <c r="C36" s="863" t="s">
        <v>3605</v>
      </c>
      <c r="D36" s="863" t="s">
        <v>3606</v>
      </c>
      <c r="E36" s="863" t="s">
        <v>3607</v>
      </c>
      <c r="G36" s="1033"/>
      <c r="H36" s="1033"/>
      <c r="I36" s="1033"/>
      <c r="J36" s="1033"/>
      <c r="K36" s="1033"/>
      <c r="L36" s="1033"/>
    </row>
    <row r="37" spans="2:12" x14ac:dyDescent="0.25">
      <c r="B37" s="730" t="s">
        <v>3481</v>
      </c>
      <c r="C37" s="864">
        <f>'REGRESSION BETA'!F49/'REGRESSION BETA'!F62-1</f>
        <v>0.10320798284677557</v>
      </c>
      <c r="D37" s="864">
        <f>'REGRESSION BETA'!F36/'REGRESSION BETA'!F62-1</f>
        <v>9.9991753257463234E-2</v>
      </c>
      <c r="E37" s="864">
        <f>'REGRESSION BETA'!F10/'REGRESSION BETA'!F62-1</f>
        <v>1.558634339435927E-2</v>
      </c>
      <c r="G37" s="1033"/>
      <c r="H37" s="1033"/>
      <c r="I37" s="1033"/>
      <c r="J37" s="1033"/>
      <c r="K37" s="1033"/>
      <c r="L37" s="1033"/>
    </row>
    <row r="38" spans="2:12" x14ac:dyDescent="0.25">
      <c r="B38" s="711"/>
      <c r="C38" s="711"/>
      <c r="D38" s="711"/>
      <c r="E38" s="711"/>
      <c r="G38" s="1033"/>
      <c r="H38" s="1033"/>
      <c r="I38" s="1033"/>
      <c r="J38" s="1033"/>
      <c r="K38" s="1033"/>
      <c r="L38" s="1033"/>
    </row>
    <row r="39" spans="2:12" x14ac:dyDescent="0.25">
      <c r="B39" s="1030" t="s">
        <v>3482</v>
      </c>
      <c r="C39" s="1030"/>
      <c r="D39" s="1030"/>
      <c r="E39" s="1030"/>
      <c r="G39" s="1033"/>
      <c r="H39" s="1033"/>
      <c r="I39" s="1033"/>
      <c r="J39" s="1033"/>
      <c r="K39" s="1033"/>
      <c r="L39" s="1033"/>
    </row>
    <row r="40" spans="2:12" x14ac:dyDescent="0.25">
      <c r="B40" s="739"/>
      <c r="C40" s="739"/>
      <c r="D40" s="739"/>
      <c r="E40" s="740"/>
      <c r="G40" s="1033"/>
      <c r="H40" s="1033"/>
      <c r="I40" s="1033"/>
      <c r="J40" s="1033"/>
      <c r="K40" s="1033"/>
      <c r="L40" s="1033"/>
    </row>
    <row r="41" spans="2:12" x14ac:dyDescent="0.25">
      <c r="B41" s="711" t="s">
        <v>3483</v>
      </c>
      <c r="C41" s="711"/>
      <c r="D41" s="711"/>
      <c r="E41" s="860">
        <f>'DATA SHEET'!C366</f>
        <v>0.72</v>
      </c>
      <c r="G41" s="1033"/>
      <c r="H41" s="1033"/>
      <c r="I41" s="1033"/>
      <c r="J41" s="1033"/>
      <c r="K41" s="1033"/>
      <c r="L41" s="1033"/>
    </row>
    <row r="42" spans="2:12" x14ac:dyDescent="0.25">
      <c r="B42" s="711" t="s">
        <v>3441</v>
      </c>
      <c r="C42" s="711"/>
      <c r="D42" s="711"/>
      <c r="E42" s="861">
        <f>'DATA SHEET'!C367</f>
        <v>0.08</v>
      </c>
      <c r="G42" s="1033"/>
      <c r="H42" s="1033"/>
      <c r="I42" s="1033"/>
      <c r="J42" s="1033"/>
      <c r="K42" s="1033"/>
      <c r="L42" s="1033"/>
    </row>
    <row r="43" spans="2:12" x14ac:dyDescent="0.25">
      <c r="B43" s="711" t="s">
        <v>3442</v>
      </c>
      <c r="C43" s="711"/>
      <c r="D43" s="711"/>
      <c r="E43" s="861">
        <f>'DATA SHEET'!C368</f>
        <v>0.1</v>
      </c>
      <c r="G43" s="1033"/>
      <c r="H43" s="1033"/>
      <c r="I43" s="1033"/>
      <c r="J43" s="1033"/>
      <c r="K43" s="1033"/>
      <c r="L43" s="1033"/>
    </row>
    <row r="44" spans="2:12" x14ac:dyDescent="0.25">
      <c r="B44" s="711" t="s">
        <v>3443</v>
      </c>
      <c r="C44" s="711"/>
      <c r="D44" s="711"/>
      <c r="E44" s="862">
        <f>'DATA SHEET'!C369</f>
        <v>0.1</v>
      </c>
      <c r="G44" s="1033"/>
      <c r="H44" s="1033"/>
      <c r="I44" s="1033"/>
      <c r="J44" s="1033"/>
      <c r="K44" s="1033"/>
      <c r="L44" s="1033"/>
    </row>
    <row r="45" spans="2:12" x14ac:dyDescent="0.25">
      <c r="B45" s="740"/>
      <c r="C45" s="740"/>
      <c r="D45" s="740"/>
      <c r="E45" s="711"/>
      <c r="G45" s="1033"/>
      <c r="H45" s="1033"/>
      <c r="I45" s="1033"/>
      <c r="J45" s="1033"/>
      <c r="K45" s="1033"/>
      <c r="L45" s="1033"/>
    </row>
    <row r="46" spans="2:12" x14ac:dyDescent="0.25">
      <c r="B46" s="730" t="s">
        <v>3484</v>
      </c>
      <c r="C46" s="733" t="s">
        <v>3140</v>
      </c>
      <c r="D46" s="733" t="s">
        <v>3141</v>
      </c>
      <c r="E46" s="733" t="s">
        <v>3142</v>
      </c>
      <c r="G46" s="1033"/>
      <c r="H46" s="1033"/>
      <c r="I46" s="1033"/>
      <c r="J46" s="1033"/>
      <c r="K46" s="1033"/>
      <c r="L46" s="1033"/>
    </row>
    <row r="47" spans="2:12" x14ac:dyDescent="0.25">
      <c r="B47" s="739"/>
      <c r="C47" s="739"/>
      <c r="D47" s="739"/>
      <c r="E47" s="739"/>
      <c r="G47" s="1033"/>
      <c r="H47" s="1033"/>
      <c r="I47" s="1033"/>
      <c r="J47" s="1033"/>
      <c r="K47" s="1033"/>
      <c r="L47" s="1033"/>
    </row>
    <row r="48" spans="2:12" x14ac:dyDescent="0.25">
      <c r="B48" s="741" t="s">
        <v>3485</v>
      </c>
      <c r="C48" s="742">
        <f>'PROFIT &amp; LOSS'!F6</f>
        <v>90935</v>
      </c>
      <c r="D48" s="742">
        <f>'PROFIT &amp; LOSS'!G6</f>
        <v>89794</v>
      </c>
      <c r="E48" s="742">
        <f>'PROFIT &amp; LOSS'!H6</f>
        <v>89088</v>
      </c>
      <c r="G48" s="1033"/>
      <c r="H48" s="1033"/>
      <c r="I48" s="1033"/>
      <c r="J48" s="1033"/>
      <c r="K48" s="1033"/>
      <c r="L48" s="1033"/>
    </row>
    <row r="49" spans="2:12" x14ac:dyDescent="0.25">
      <c r="B49" s="736" t="s">
        <v>100</v>
      </c>
      <c r="C49" s="743">
        <f>'PROFIT &amp; LOSS'!F21</f>
        <v>19620</v>
      </c>
      <c r="D49" s="743">
        <f>'PROFIT &amp; LOSS'!G21</f>
        <v>19439</v>
      </c>
      <c r="E49" s="743">
        <f>'PROFIT &amp; LOSS'!H21</f>
        <v>21904</v>
      </c>
      <c r="G49" s="1033"/>
      <c r="H49" s="1033"/>
      <c r="I49" s="1033"/>
      <c r="J49" s="1033"/>
      <c r="K49" s="1033"/>
      <c r="L49" s="1033"/>
    </row>
    <row r="50" spans="2:12" x14ac:dyDescent="0.25">
      <c r="B50" s="736" t="s">
        <v>519</v>
      </c>
      <c r="C50" s="744">
        <f>C49/C48</f>
        <v>0.21575850882498487</v>
      </c>
      <c r="D50" s="744">
        <f t="shared" ref="D50:E50" si="0">D49/D48</f>
        <v>0.2164843976212219</v>
      </c>
      <c r="E50" s="744">
        <f t="shared" si="0"/>
        <v>0.24586925287356323</v>
      </c>
      <c r="G50" s="1033"/>
      <c r="H50" s="1033"/>
      <c r="I50" s="1033"/>
      <c r="J50" s="1033"/>
      <c r="K50" s="1033"/>
      <c r="L50" s="1033"/>
    </row>
    <row r="51" spans="2:12" x14ac:dyDescent="0.25">
      <c r="B51" s="736" t="s">
        <v>106</v>
      </c>
      <c r="C51" s="743">
        <f>'PROFIT &amp; LOSS'!F38</f>
        <v>11804</v>
      </c>
      <c r="D51" s="743">
        <f>'PROFIT &amp; LOSS'!G38</f>
        <v>11168</v>
      </c>
      <c r="E51" s="743">
        <f>'PROFIT &amp; LOSS'!H38</f>
        <v>13191</v>
      </c>
      <c r="G51" s="1033"/>
      <c r="H51" s="1033"/>
      <c r="I51" s="1033"/>
      <c r="J51" s="1033"/>
      <c r="K51" s="1033"/>
      <c r="L51" s="1033"/>
    </row>
    <row r="52" spans="2:12" x14ac:dyDescent="0.25">
      <c r="B52" s="736" t="s">
        <v>3486</v>
      </c>
      <c r="C52" s="745">
        <f>'PROFIT &amp; LOSS'!F42</f>
        <v>20.68</v>
      </c>
      <c r="D52" s="745">
        <f>'PROFIT &amp; LOSS'!G42</f>
        <v>10.41</v>
      </c>
      <c r="E52" s="745">
        <f>'PROFIT &amp; LOSS'!H42</f>
        <v>12.52</v>
      </c>
      <c r="G52" s="1033"/>
      <c r="H52" s="1033"/>
      <c r="I52" s="1033"/>
      <c r="J52" s="1033"/>
      <c r="K52" s="1033"/>
      <c r="L52" s="1033"/>
    </row>
    <row r="53" spans="2:12" x14ac:dyDescent="0.25">
      <c r="B53" s="736" t="s">
        <v>477</v>
      </c>
      <c r="C53" s="746">
        <f>'RATIO ANALYSIS'!E46</f>
        <v>8.8646034816247585</v>
      </c>
      <c r="D53" s="746">
        <f>'RATIO ANALYSIS'!F46</f>
        <v>23.296829971181555</v>
      </c>
      <c r="E53" s="746">
        <f>'RATIO ANALYSIS'!G46</f>
        <v>19.672523961661344</v>
      </c>
      <c r="G53" s="1033"/>
      <c r="H53" s="1033"/>
      <c r="I53" s="1033"/>
      <c r="J53" s="1033"/>
      <c r="K53" s="1033"/>
      <c r="L53" s="1033"/>
    </row>
    <row r="54" spans="2:12" x14ac:dyDescent="0.25">
      <c r="B54" s="736" t="s">
        <v>535</v>
      </c>
      <c r="C54" s="744">
        <f>'DUPONT ANALYSIS'!F40</f>
        <v>0.10531810009859073</v>
      </c>
      <c r="D54" s="744">
        <f>'DUPONT ANALYSIS'!G40</f>
        <v>9.6315301524331084E-2</v>
      </c>
      <c r="E54" s="744">
        <f>'DUPONT ANALYSIS'!H40</f>
        <v>0.10857862504938759</v>
      </c>
      <c r="G54" s="1033"/>
      <c r="H54" s="1033"/>
      <c r="I54" s="1033"/>
      <c r="J54" s="1033"/>
      <c r="K54" s="1033"/>
      <c r="L54" s="1033"/>
    </row>
    <row r="55" spans="2:12" x14ac:dyDescent="0.25">
      <c r="B55" s="736" t="s">
        <v>3487</v>
      </c>
      <c r="C55" s="746">
        <f>E16/C48</f>
        <v>1.5334873371089239</v>
      </c>
      <c r="D55" s="746">
        <f t="shared" ref="D55:E55" si="1">F16/D48</f>
        <v>0</v>
      </c>
      <c r="E55" s="746">
        <f t="shared" si="1"/>
        <v>0</v>
      </c>
      <c r="G55" s="1033"/>
      <c r="H55" s="1033"/>
      <c r="I55" s="1033"/>
      <c r="J55" s="1033"/>
      <c r="K55" s="1033"/>
      <c r="L55" s="1033"/>
    </row>
    <row r="56" spans="2:12" x14ac:dyDescent="0.25">
      <c r="B56" s="736" t="s">
        <v>522</v>
      </c>
      <c r="C56" s="744">
        <f>'DUPONT ANALYSIS'!F12</f>
        <v>0.16488106046849466</v>
      </c>
      <c r="D56" s="744">
        <f>'DUPONT ANALYSIS'!G12</f>
        <v>0.14656745016207987</v>
      </c>
      <c r="E56" s="744">
        <f>'DUPONT ANALYSIS'!H12</f>
        <v>0.16777639988552895</v>
      </c>
      <c r="G56" s="1033"/>
      <c r="H56" s="1033"/>
      <c r="I56" s="1033"/>
      <c r="J56" s="1033"/>
      <c r="K56" s="1033"/>
      <c r="L56" s="1033"/>
    </row>
    <row r="57" spans="2:12" x14ac:dyDescent="0.25">
      <c r="B57" s="737" t="s">
        <v>425</v>
      </c>
      <c r="C57" s="747">
        <f>'INTRINSIC GROWTH'!F64</f>
        <v>0.21503103949280147</v>
      </c>
      <c r="D57" s="747">
        <f>'INTRINSIC GROWTH'!G64</f>
        <v>0.21317448075951387</v>
      </c>
      <c r="E57" s="747">
        <f>'INTRINSIC GROWTH'!H64</f>
        <v>0.22320134773747394</v>
      </c>
      <c r="G57" s="1033"/>
      <c r="H57" s="1033"/>
      <c r="I57" s="1033"/>
      <c r="J57" s="1033"/>
      <c r="K57" s="1033"/>
      <c r="L57" s="1033"/>
    </row>
    <row r="58" spans="2:12" x14ac:dyDescent="0.25">
      <c r="B58" s="740"/>
      <c r="C58" s="740"/>
      <c r="D58" s="740"/>
      <c r="E58" s="740"/>
      <c r="G58" s="1033"/>
      <c r="H58" s="1033"/>
      <c r="I58" s="1033"/>
      <c r="J58" s="1033"/>
      <c r="K58" s="1033"/>
      <c r="L58" s="1033"/>
    </row>
    <row r="59" spans="2:12" x14ac:dyDescent="0.25">
      <c r="B59" s="730" t="s">
        <v>3489</v>
      </c>
      <c r="C59" s="733" t="s">
        <v>477</v>
      </c>
      <c r="D59" s="733" t="s">
        <v>3490</v>
      </c>
      <c r="E59" s="733" t="s">
        <v>3359</v>
      </c>
      <c r="G59" s="1033"/>
      <c r="H59" s="1033"/>
      <c r="I59" s="1033"/>
      <c r="J59" s="1033"/>
      <c r="K59" s="1033"/>
      <c r="L59" s="1033"/>
    </row>
    <row r="60" spans="2:12" x14ac:dyDescent="0.25">
      <c r="B60" s="711"/>
      <c r="C60" s="711"/>
      <c r="D60" s="711"/>
      <c r="E60" s="711"/>
      <c r="G60" s="1033"/>
      <c r="H60" s="1033"/>
      <c r="I60" s="1033"/>
      <c r="J60" s="1033"/>
      <c r="K60" s="1033"/>
      <c r="L60" s="1033"/>
    </row>
    <row r="61" spans="2:12" x14ac:dyDescent="0.25">
      <c r="B61" s="741" t="str">
        <f>'RELATIVE VALUATION'!B13</f>
        <v>TCS</v>
      </c>
      <c r="C61" s="750">
        <f>'RELATIVE VALUATION'!Q13</f>
        <v>24.476562083734656</v>
      </c>
      <c r="D61" s="750">
        <f>'RELATIVE VALUATION'!O13</f>
        <v>4.6715459572934783</v>
      </c>
      <c r="E61" s="749">
        <f>'RELATIVE VALUATION'!P13</f>
        <v>16.712547464585466</v>
      </c>
      <c r="G61" s="1033"/>
      <c r="H61" s="1033"/>
      <c r="I61" s="1033"/>
      <c r="J61" s="1033"/>
      <c r="K61" s="1033"/>
      <c r="L61" s="1033"/>
    </row>
    <row r="62" spans="2:12" x14ac:dyDescent="0.25">
      <c r="B62" s="736" t="str">
        <f>'RELATIVE VALUATION'!B14</f>
        <v>Infosys</v>
      </c>
      <c r="C62" s="746">
        <f>'RELATIVE VALUATION'!Q14</f>
        <v>21.978252336448598</v>
      </c>
      <c r="D62" s="746">
        <f>'RELATIVE VALUATION'!O14</f>
        <v>3.5384946929259464</v>
      </c>
      <c r="E62" s="719">
        <f>'RELATIVE VALUATION'!P14</f>
        <v>13.463891353067513</v>
      </c>
      <c r="G62" s="1033"/>
      <c r="H62" s="1033"/>
      <c r="I62" s="1033"/>
      <c r="J62" s="1033"/>
      <c r="K62" s="1033"/>
      <c r="L62" s="1033"/>
    </row>
    <row r="63" spans="2:12" x14ac:dyDescent="0.25">
      <c r="B63" s="736" t="str">
        <f>'RELATIVE VALUATION'!B15</f>
        <v>HCL Technologies</v>
      </c>
      <c r="C63" s="746">
        <f>'RELATIVE VALUATION'!Q15</f>
        <v>22.150071843209378</v>
      </c>
      <c r="D63" s="746">
        <f>'RELATIVE VALUATION'!O15</f>
        <v>3.1474187347827942</v>
      </c>
      <c r="E63" s="719">
        <f>'RELATIVE VALUATION'!P15</f>
        <v>13.163067633713244</v>
      </c>
      <c r="G63" s="1033"/>
      <c r="H63" s="1033"/>
      <c r="I63" s="1033"/>
      <c r="J63" s="1033"/>
      <c r="K63" s="1033"/>
      <c r="L63" s="1033"/>
    </row>
    <row r="64" spans="2:12" x14ac:dyDescent="0.25">
      <c r="B64" s="736" t="str">
        <f>'RELATIVE VALUATION'!B16</f>
        <v>LTIMindtree</v>
      </c>
      <c r="C64" s="746">
        <f>'RELATIVE VALUATION'!Q16</f>
        <v>26.963820078226856</v>
      </c>
      <c r="D64" s="746">
        <f>'RELATIVE VALUATION'!O16</f>
        <v>3.24893443485582</v>
      </c>
      <c r="E64" s="719">
        <f>'RELATIVE VALUATION'!P16</f>
        <v>16.497728790915165</v>
      </c>
      <c r="G64" s="1033"/>
      <c r="H64" s="1033"/>
      <c r="I64" s="1033"/>
      <c r="J64" s="1033"/>
      <c r="K64" s="1033"/>
      <c r="L64" s="1033"/>
    </row>
    <row r="65" spans="2:12" x14ac:dyDescent="0.25">
      <c r="B65" s="736" t="str">
        <f>'RELATIVE VALUATION'!B17</f>
        <v>Tech Mahindra</v>
      </c>
      <c r="C65" s="746">
        <f>'RELATIVE VALUATION'!Q17</f>
        <v>30.127474723724433</v>
      </c>
      <c r="D65" s="746">
        <f>'RELATIVE VALUATION'!O17</f>
        <v>2.3741064014493851</v>
      </c>
      <c r="E65" s="719">
        <f>'RELATIVE VALUATION'!P17</f>
        <v>16.070407511497191</v>
      </c>
      <c r="G65" s="1033"/>
      <c r="H65" s="1033"/>
      <c r="I65" s="1033"/>
      <c r="J65" s="1033"/>
      <c r="K65" s="1033"/>
      <c r="L65" s="1033"/>
    </row>
    <row r="66" spans="2:12" x14ac:dyDescent="0.25">
      <c r="B66" s="736" t="str">
        <f>'RELATIVE VALUATION'!B18</f>
        <v>Persistent Systems</v>
      </c>
      <c r="C66" s="746">
        <f>'RELATIVE VALUATION'!Q18</f>
        <v>49.392321428571428</v>
      </c>
      <c r="D66" s="746">
        <f>'RELATIVE VALUATION'!O18</f>
        <v>5.7249560264678783</v>
      </c>
      <c r="E66" s="719">
        <f>'RELATIVE VALUATION'!P18</f>
        <v>31.124886156648451</v>
      </c>
      <c r="G66" s="1033"/>
      <c r="H66" s="1033"/>
      <c r="I66" s="1033"/>
      <c r="J66" s="1033"/>
      <c r="K66" s="1033"/>
      <c r="L66" s="1033"/>
    </row>
    <row r="67" spans="2:12" x14ac:dyDescent="0.25">
      <c r="B67" s="847" t="s">
        <v>378</v>
      </c>
      <c r="C67" s="848">
        <f>$E$53</f>
        <v>19.672523961661344</v>
      </c>
      <c r="D67" s="848">
        <f>'RELATIVE VALUATION'!$O$11</f>
        <v>1.608192697108477</v>
      </c>
      <c r="E67" s="849">
        <f>'RELATIVE VALUATION'!$P$11</f>
        <v>6.5408450967859757</v>
      </c>
      <c r="G67" s="1033"/>
      <c r="H67" s="1033"/>
      <c r="I67" s="1033"/>
      <c r="J67" s="1033"/>
      <c r="K67" s="1033"/>
      <c r="L67" s="1033"/>
    </row>
    <row r="68" spans="2:12" x14ac:dyDescent="0.25">
      <c r="B68" s="748"/>
      <c r="C68" s="748"/>
      <c r="D68" s="748"/>
      <c r="E68" s="748"/>
      <c r="G68" s="1033"/>
      <c r="H68" s="1033"/>
      <c r="I68" s="1033"/>
      <c r="J68" s="1033"/>
      <c r="K68" s="1033"/>
      <c r="L68" s="1033"/>
    </row>
    <row r="69" spans="2:12" x14ac:dyDescent="0.25">
      <c r="B69" s="1029" t="s">
        <v>3491</v>
      </c>
      <c r="C69" s="1029"/>
      <c r="D69" s="1029"/>
      <c r="E69" s="1029"/>
      <c r="G69" s="1033"/>
      <c r="H69" s="1033"/>
      <c r="I69" s="1033"/>
      <c r="J69" s="1033"/>
      <c r="K69" s="1033"/>
      <c r="L69" s="1033"/>
    </row>
    <row r="70" spans="2:12" x14ac:dyDescent="0.25">
      <c r="B70" s="711"/>
      <c r="C70" s="711"/>
      <c r="D70" s="711"/>
      <c r="E70" s="711"/>
      <c r="G70" s="1033"/>
      <c r="H70" s="1033"/>
      <c r="I70" s="1033"/>
      <c r="J70" s="1033"/>
      <c r="K70" s="1033"/>
      <c r="L70" s="1033"/>
    </row>
    <row r="71" spans="2:12" x14ac:dyDescent="0.25">
      <c r="B71" s="711"/>
      <c r="C71" s="711"/>
      <c r="D71" s="711"/>
      <c r="E71" s="711"/>
      <c r="G71" s="1033"/>
      <c r="H71" s="1033"/>
      <c r="I71" s="1033"/>
      <c r="J71" s="1033"/>
      <c r="K71" s="1033"/>
      <c r="L71" s="1033"/>
    </row>
    <row r="72" spans="2:12" x14ac:dyDescent="0.25">
      <c r="B72" s="711"/>
      <c r="C72" s="711"/>
      <c r="D72" s="711"/>
      <c r="E72" s="711"/>
      <c r="G72" s="1033"/>
      <c r="H72" s="1033"/>
      <c r="I72" s="1033"/>
      <c r="J72" s="1033"/>
      <c r="K72" s="1033"/>
      <c r="L72" s="1033"/>
    </row>
    <row r="73" spans="2:12" x14ac:dyDescent="0.25">
      <c r="B73" s="711"/>
      <c r="C73" s="711"/>
      <c r="D73" s="711"/>
      <c r="E73" s="711"/>
      <c r="G73" s="1033"/>
      <c r="H73" s="1033"/>
      <c r="I73" s="1033"/>
      <c r="J73" s="1033"/>
      <c r="K73" s="1033"/>
      <c r="L73" s="1033"/>
    </row>
    <row r="74" spans="2:12" x14ac:dyDescent="0.25">
      <c r="B74" s="711"/>
      <c r="C74" s="711"/>
      <c r="D74" s="711"/>
      <c r="E74" s="711"/>
      <c r="G74" s="1033"/>
      <c r="H74" s="1033"/>
      <c r="I74" s="1033"/>
      <c r="J74" s="1033"/>
      <c r="K74" s="1033"/>
      <c r="L74" s="1033"/>
    </row>
    <row r="75" spans="2:12" x14ac:dyDescent="0.25">
      <c r="B75" s="711"/>
      <c r="C75" s="711"/>
      <c r="D75" s="711"/>
      <c r="E75" s="711"/>
      <c r="G75" s="1033"/>
      <c r="H75" s="1033"/>
      <c r="I75" s="1033"/>
      <c r="J75" s="1033"/>
      <c r="K75" s="1033"/>
      <c r="L75" s="1033"/>
    </row>
    <row r="76" spans="2:12" x14ac:dyDescent="0.25">
      <c r="B76" s="711"/>
      <c r="C76" s="711"/>
      <c r="D76" s="711"/>
      <c r="E76" s="711"/>
      <c r="G76" s="1033"/>
      <c r="H76" s="1033"/>
      <c r="I76" s="1033"/>
      <c r="J76" s="1033"/>
      <c r="K76" s="1033"/>
      <c r="L76" s="1033"/>
    </row>
    <row r="77" spans="2:12" x14ac:dyDescent="0.25">
      <c r="B77" s="711"/>
      <c r="C77" s="711"/>
      <c r="D77" s="711"/>
      <c r="E77" s="711"/>
      <c r="G77" s="1033"/>
      <c r="H77" s="1033"/>
      <c r="I77" s="1033"/>
      <c r="J77" s="1033"/>
      <c r="K77" s="1033"/>
      <c r="L77" s="1033"/>
    </row>
    <row r="78" spans="2:12" x14ac:dyDescent="0.25">
      <c r="B78" s="711"/>
      <c r="C78" s="711"/>
      <c r="D78" s="711"/>
      <c r="E78" s="711"/>
      <c r="G78" s="1033"/>
      <c r="H78" s="1033"/>
      <c r="I78" s="1033"/>
      <c r="J78" s="1033"/>
      <c r="K78" s="1033"/>
      <c r="L78" s="1033"/>
    </row>
    <row r="79" spans="2:12" x14ac:dyDescent="0.25">
      <c r="B79" s="711"/>
      <c r="C79" s="711"/>
      <c r="D79" s="711"/>
      <c r="E79" s="711"/>
      <c r="G79" s="1033"/>
      <c r="H79" s="1033"/>
      <c r="I79" s="1033"/>
      <c r="J79" s="1033"/>
      <c r="K79" s="1033"/>
      <c r="L79" s="1033"/>
    </row>
    <row r="80" spans="2:12" x14ac:dyDescent="0.25">
      <c r="B80" s="711"/>
      <c r="C80" s="711"/>
      <c r="D80" s="711"/>
      <c r="E80" s="711"/>
      <c r="G80" s="1033"/>
      <c r="H80" s="1033"/>
      <c r="I80" s="1033"/>
      <c r="J80" s="1033"/>
      <c r="K80" s="1033"/>
      <c r="L80" s="1033"/>
    </row>
    <row r="81" spans="2:12" x14ac:dyDescent="0.25">
      <c r="B81" s="711"/>
      <c r="C81" s="711"/>
      <c r="D81" s="711"/>
      <c r="E81" s="711"/>
      <c r="G81" s="1033"/>
      <c r="H81" s="1033"/>
      <c r="I81" s="1033"/>
      <c r="J81" s="1033"/>
      <c r="K81" s="1033"/>
      <c r="L81" s="1033"/>
    </row>
    <row r="82" spans="2:12" x14ac:dyDescent="0.25">
      <c r="B82" s="711"/>
      <c r="C82" s="711"/>
      <c r="D82" s="711"/>
      <c r="E82" s="711"/>
      <c r="G82" s="1033"/>
      <c r="H82" s="1033"/>
      <c r="I82" s="1033"/>
      <c r="J82" s="1033"/>
      <c r="K82" s="1033"/>
      <c r="L82" s="1033"/>
    </row>
    <row r="83" spans="2:12" x14ac:dyDescent="0.25">
      <c r="B83" s="711"/>
      <c r="C83" s="711"/>
      <c r="D83" s="711"/>
      <c r="E83" s="711"/>
      <c r="G83" s="1033"/>
      <c r="H83" s="1033"/>
      <c r="I83" s="1033"/>
      <c r="J83" s="1033"/>
      <c r="K83" s="1033"/>
      <c r="L83" s="1033"/>
    </row>
    <row r="84" spans="2:12" x14ac:dyDescent="0.25">
      <c r="B84" s="711"/>
      <c r="C84" s="711"/>
      <c r="D84" s="711"/>
      <c r="E84" s="711"/>
      <c r="G84" s="723"/>
      <c r="H84" s="723"/>
      <c r="I84" s="723"/>
      <c r="J84" s="723"/>
      <c r="K84" s="723"/>
      <c r="L84" s="723"/>
    </row>
    <row r="85" spans="2:12" x14ac:dyDescent="0.25">
      <c r="B85" s="711"/>
      <c r="C85" s="711"/>
      <c r="D85" s="711"/>
      <c r="E85" s="711"/>
      <c r="G85" s="1028" t="s">
        <v>3494</v>
      </c>
      <c r="H85" s="1028"/>
      <c r="I85" s="1028"/>
      <c r="J85" s="1028"/>
      <c r="K85" s="1028"/>
      <c r="L85" s="1028"/>
    </row>
    <row r="86" spans="2:12" x14ac:dyDescent="0.25">
      <c r="B86" s="711"/>
      <c r="C86" s="711"/>
      <c r="D86" s="711"/>
      <c r="E86" s="711"/>
      <c r="G86" s="1028"/>
      <c r="H86" s="1028"/>
      <c r="I86" s="1028"/>
      <c r="J86" s="1028"/>
      <c r="K86" s="1028"/>
      <c r="L86" s="1028"/>
    </row>
    <row r="87" spans="2:12" x14ac:dyDescent="0.25">
      <c r="B87" s="711"/>
      <c r="C87" s="711"/>
      <c r="D87" s="711"/>
      <c r="E87" s="711"/>
      <c r="G87" s="1028"/>
      <c r="H87" s="1028"/>
      <c r="I87" s="1028"/>
      <c r="J87" s="1028"/>
      <c r="K87" s="1028"/>
      <c r="L87" s="1028"/>
    </row>
    <row r="88" spans="2:12" x14ac:dyDescent="0.25">
      <c r="B88" s="711"/>
      <c r="C88" s="711"/>
      <c r="D88" s="711"/>
      <c r="E88" s="711"/>
      <c r="G88" s="1028"/>
      <c r="H88" s="1028"/>
      <c r="I88" s="1028"/>
      <c r="J88" s="1028"/>
      <c r="K88" s="1028"/>
      <c r="L88" s="1028"/>
    </row>
    <row r="90" spans="2:12" x14ac:dyDescent="0.25">
      <c r="B90" s="937" t="s">
        <v>3835</v>
      </c>
      <c r="C90" s="937"/>
      <c r="D90" s="937"/>
      <c r="E90" s="937"/>
      <c r="F90" s="937"/>
      <c r="G90" s="937"/>
      <c r="H90" s="937"/>
      <c r="I90" s="937"/>
      <c r="J90" s="937"/>
      <c r="K90" s="937"/>
      <c r="L90" s="937"/>
    </row>
  </sheetData>
  <mergeCells count="13">
    <mergeCell ref="B90:L90"/>
    <mergeCell ref="B12:E12"/>
    <mergeCell ref="G1:L3"/>
    <mergeCell ref="G4:L5"/>
    <mergeCell ref="G85:L88"/>
    <mergeCell ref="B21:E21"/>
    <mergeCell ref="B39:E39"/>
    <mergeCell ref="B69:E69"/>
    <mergeCell ref="G7:H7"/>
    <mergeCell ref="G9:L21"/>
    <mergeCell ref="G23:H23"/>
    <mergeCell ref="G25:L83"/>
    <mergeCell ref="B1:C5"/>
  </mergeCells>
  <printOptions horizontalCentered="1"/>
  <pageMargins left="0" right="0" top="0" bottom="0" header="0" footer="0"/>
  <pageSetup scale="57" orientation="portrait" horizontalDpi="1200" verticalDpi="120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7B4E6-FA0E-4CF9-8696-63D8F878927E}">
  <sheetPr>
    <pageSetUpPr fitToPage="1"/>
  </sheetPr>
  <dimension ref="B1:L90"/>
  <sheetViews>
    <sheetView zoomScaleNormal="100" workbookViewId="0"/>
  </sheetViews>
  <sheetFormatPr defaultColWidth="15.77734375" defaultRowHeight="15" x14ac:dyDescent="0.25"/>
  <cols>
    <col min="1" max="1" width="2" style="720" customWidth="1"/>
    <col min="2" max="2" width="25.77734375" style="720" customWidth="1"/>
    <col min="3" max="5" width="15.77734375" style="720"/>
    <col min="6" max="6" width="15.77734375" style="720" customWidth="1"/>
    <col min="7" max="7" width="2" style="720" customWidth="1"/>
    <col min="8" max="16384" width="15.77734375" style="720"/>
  </cols>
  <sheetData>
    <row r="1" spans="2:12" ht="15" customHeight="1" x14ac:dyDescent="0.25">
      <c r="B1" s="938" t="s">
        <v>378</v>
      </c>
      <c r="C1" s="938"/>
      <c r="D1" s="939" t="s">
        <v>3496</v>
      </c>
      <c r="E1" s="939"/>
      <c r="F1" s="939"/>
      <c r="G1" s="939"/>
      <c r="H1" s="939"/>
      <c r="I1" s="939"/>
      <c r="J1" s="939"/>
      <c r="K1" s="939"/>
      <c r="L1" s="939"/>
    </row>
    <row r="2" spans="2:12" ht="15" customHeight="1" x14ac:dyDescent="0.25">
      <c r="B2" s="938"/>
      <c r="C2" s="938"/>
      <c r="D2" s="939"/>
      <c r="E2" s="939"/>
      <c r="F2" s="939"/>
      <c r="G2" s="939"/>
      <c r="H2" s="939"/>
      <c r="I2" s="939"/>
      <c r="J2" s="939"/>
      <c r="K2" s="939"/>
      <c r="L2" s="939"/>
    </row>
    <row r="3" spans="2:12" ht="15" customHeight="1" x14ac:dyDescent="0.25">
      <c r="B3" s="938"/>
      <c r="C3" s="938"/>
      <c r="D3" s="939"/>
      <c r="E3" s="939"/>
      <c r="F3" s="939"/>
      <c r="G3" s="939"/>
      <c r="H3" s="939"/>
      <c r="I3" s="939"/>
      <c r="J3" s="939"/>
      <c r="K3" s="939"/>
      <c r="L3" s="939"/>
    </row>
    <row r="4" spans="2:12" ht="15" customHeight="1" x14ac:dyDescent="0.25">
      <c r="B4" s="938"/>
      <c r="C4" s="938"/>
      <c r="D4" s="939"/>
      <c r="E4" s="939"/>
      <c r="F4" s="939"/>
      <c r="G4" s="939"/>
      <c r="H4" s="939"/>
      <c r="I4" s="939"/>
      <c r="J4" s="939"/>
      <c r="K4" s="939"/>
      <c r="L4" s="939"/>
    </row>
    <row r="5" spans="2:12" ht="15" customHeight="1" x14ac:dyDescent="0.25">
      <c r="B5" s="938"/>
      <c r="C5" s="938"/>
      <c r="D5" s="939"/>
      <c r="E5" s="939"/>
      <c r="F5" s="939"/>
      <c r="G5" s="939"/>
      <c r="H5" s="939"/>
      <c r="I5" s="939"/>
      <c r="J5" s="939"/>
      <c r="K5" s="939"/>
      <c r="L5" s="939"/>
    </row>
    <row r="7" spans="2:12" x14ac:dyDescent="0.25">
      <c r="B7" s="1076" t="s">
        <v>3497</v>
      </c>
      <c r="C7" s="1076"/>
      <c r="D7" s="1076"/>
      <c r="E7" s="1076"/>
      <c r="F7" s="1076"/>
      <c r="G7" s="1076"/>
      <c r="H7" s="1076"/>
      <c r="I7" s="1076"/>
      <c r="J7" s="1076"/>
      <c r="K7" s="1076"/>
      <c r="L7" s="1076"/>
    </row>
    <row r="8" spans="2:12" x14ac:dyDescent="0.25">
      <c r="B8" s="1076"/>
      <c r="C8" s="1076"/>
      <c r="D8" s="1076"/>
      <c r="E8" s="1076"/>
      <c r="F8" s="1076"/>
      <c r="G8" s="1076"/>
      <c r="H8" s="1076"/>
      <c r="I8" s="1076"/>
      <c r="J8" s="1076"/>
      <c r="K8" s="1076"/>
      <c r="L8" s="1076"/>
    </row>
    <row r="10" spans="2:12" x14ac:dyDescent="0.25">
      <c r="B10" s="755" t="s">
        <v>3498</v>
      </c>
      <c r="C10" s="756"/>
      <c r="D10" s="1075" t="s">
        <v>3500</v>
      </c>
      <c r="E10" s="1066"/>
      <c r="F10" s="1067"/>
      <c r="G10" s="779"/>
      <c r="H10" s="1066" t="s">
        <v>3499</v>
      </c>
      <c r="I10" s="1066"/>
      <c r="J10" s="1066"/>
      <c r="K10" s="1066"/>
      <c r="L10" s="1067"/>
    </row>
    <row r="11" spans="2:12" x14ac:dyDescent="0.25">
      <c r="D11" s="722"/>
      <c r="E11" s="722"/>
      <c r="F11" s="722"/>
    </row>
    <row r="12" spans="2:12" ht="15" customHeight="1" x14ac:dyDescent="0.25">
      <c r="B12" s="764" t="s">
        <v>3501</v>
      </c>
      <c r="C12" s="765"/>
      <c r="D12" s="1089" t="s">
        <v>3506</v>
      </c>
      <c r="E12" s="1090"/>
      <c r="F12" s="1091"/>
      <c r="G12" s="774"/>
      <c r="H12" s="1083" t="s">
        <v>3511</v>
      </c>
      <c r="I12" s="1083"/>
      <c r="J12" s="1083"/>
      <c r="K12" s="1083"/>
      <c r="L12" s="1084"/>
    </row>
    <row r="13" spans="2:12" x14ac:dyDescent="0.25">
      <c r="B13" s="767"/>
      <c r="C13" s="768"/>
      <c r="D13" s="1092"/>
      <c r="E13" s="1093"/>
      <c r="F13" s="1094"/>
      <c r="G13" s="770"/>
      <c r="H13" s="770"/>
      <c r="I13" s="770"/>
      <c r="J13" s="770"/>
      <c r="K13" s="770"/>
      <c r="L13" s="766"/>
    </row>
    <row r="14" spans="2:12" x14ac:dyDescent="0.25">
      <c r="B14" s="767"/>
      <c r="C14" s="768"/>
      <c r="D14" s="775"/>
      <c r="E14" s="769"/>
      <c r="F14" s="776"/>
      <c r="G14" s="770"/>
      <c r="H14" s="770"/>
      <c r="I14" s="770"/>
      <c r="J14" s="770"/>
      <c r="K14" s="770"/>
      <c r="L14" s="766"/>
    </row>
    <row r="15" spans="2:12" x14ac:dyDescent="0.25">
      <c r="B15" s="767" t="s">
        <v>3502</v>
      </c>
      <c r="C15" s="766"/>
      <c r="D15" s="1095" t="s">
        <v>3507</v>
      </c>
      <c r="E15" s="1085"/>
      <c r="F15" s="1086"/>
      <c r="G15" s="770"/>
      <c r="H15" s="1085" t="s">
        <v>3512</v>
      </c>
      <c r="I15" s="1085"/>
      <c r="J15" s="1085"/>
      <c r="K15" s="1085"/>
      <c r="L15" s="1086"/>
    </row>
    <row r="16" spans="2:12" x14ac:dyDescent="0.25">
      <c r="B16" s="767"/>
      <c r="C16" s="766"/>
      <c r="D16" s="772"/>
      <c r="E16" s="771"/>
      <c r="F16" s="773"/>
      <c r="G16" s="770"/>
      <c r="H16" s="770"/>
      <c r="I16" s="770"/>
      <c r="J16" s="770"/>
      <c r="K16" s="770"/>
      <c r="L16" s="766"/>
    </row>
    <row r="17" spans="2:12" x14ac:dyDescent="0.25">
      <c r="B17" s="767" t="s">
        <v>3503</v>
      </c>
      <c r="C17" s="766"/>
      <c r="D17" s="1092" t="s">
        <v>3508</v>
      </c>
      <c r="E17" s="1093"/>
      <c r="F17" s="1094"/>
      <c r="G17" s="770"/>
      <c r="H17" s="1085" t="s">
        <v>3513</v>
      </c>
      <c r="I17" s="1085"/>
      <c r="J17" s="1085"/>
      <c r="K17" s="1085"/>
      <c r="L17" s="1086"/>
    </row>
    <row r="18" spans="2:12" x14ac:dyDescent="0.25">
      <c r="B18" s="767"/>
      <c r="C18" s="766"/>
      <c r="D18" s="1092"/>
      <c r="E18" s="1093"/>
      <c r="F18" s="1094"/>
      <c r="G18" s="770"/>
      <c r="H18" s="770"/>
      <c r="I18" s="770"/>
      <c r="J18" s="770"/>
      <c r="K18" s="770"/>
      <c r="L18" s="766"/>
    </row>
    <row r="19" spans="2:12" x14ac:dyDescent="0.25">
      <c r="B19" s="757"/>
      <c r="C19" s="758"/>
      <c r="D19" s="757"/>
      <c r="E19" s="759"/>
      <c r="F19" s="758"/>
      <c r="G19" s="759"/>
      <c r="H19" s="759"/>
      <c r="I19" s="759"/>
      <c r="J19" s="759"/>
      <c r="K19" s="759"/>
      <c r="L19" s="758"/>
    </row>
    <row r="20" spans="2:12" x14ac:dyDescent="0.25">
      <c r="B20" s="757" t="s">
        <v>3504</v>
      </c>
      <c r="C20" s="758"/>
      <c r="D20" s="1077" t="s">
        <v>3509</v>
      </c>
      <c r="E20" s="1078"/>
      <c r="F20" s="1079"/>
      <c r="G20" s="759"/>
      <c r="H20" s="1087" t="s">
        <v>3514</v>
      </c>
      <c r="I20" s="1087"/>
      <c r="J20" s="1087"/>
      <c r="K20" s="1087"/>
      <c r="L20" s="1088"/>
    </row>
    <row r="21" spans="2:12" x14ac:dyDescent="0.25">
      <c r="B21" s="757"/>
      <c r="C21" s="758"/>
      <c r="D21" s="1077"/>
      <c r="E21" s="1078"/>
      <c r="F21" s="1079"/>
      <c r="G21" s="759"/>
      <c r="H21" s="759"/>
      <c r="I21" s="759"/>
      <c r="J21" s="759"/>
      <c r="K21" s="759"/>
      <c r="L21" s="758"/>
    </row>
    <row r="22" spans="2:12" x14ac:dyDescent="0.25">
      <c r="B22" s="757"/>
      <c r="C22" s="758"/>
      <c r="D22" s="777"/>
      <c r="E22" s="760"/>
      <c r="F22" s="778"/>
      <c r="G22" s="759"/>
      <c r="H22" s="759"/>
      <c r="I22" s="759"/>
      <c r="J22" s="759"/>
      <c r="K22" s="759"/>
      <c r="L22" s="758"/>
    </row>
    <row r="23" spans="2:12" x14ac:dyDescent="0.25">
      <c r="B23" s="757" t="s">
        <v>3505</v>
      </c>
      <c r="C23" s="758"/>
      <c r="D23" s="1077" t="s">
        <v>3510</v>
      </c>
      <c r="E23" s="1078"/>
      <c r="F23" s="1079"/>
      <c r="G23" s="759"/>
      <c r="H23" s="1087" t="s">
        <v>3515</v>
      </c>
      <c r="I23" s="1087"/>
      <c r="J23" s="1087"/>
      <c r="K23" s="1087"/>
      <c r="L23" s="1088"/>
    </row>
    <row r="24" spans="2:12" x14ac:dyDescent="0.25">
      <c r="B24" s="761"/>
      <c r="C24" s="762"/>
      <c r="D24" s="1080"/>
      <c r="E24" s="1081"/>
      <c r="F24" s="1082"/>
      <c r="G24" s="763"/>
      <c r="H24" s="763"/>
      <c r="I24" s="763"/>
      <c r="J24" s="763"/>
      <c r="K24" s="763"/>
      <c r="L24" s="762"/>
    </row>
    <row r="26" spans="2:12" x14ac:dyDescent="0.25">
      <c r="B26" s="1076" t="s">
        <v>3516</v>
      </c>
      <c r="C26" s="1076"/>
      <c r="D26" s="1076"/>
      <c r="E26" s="1076"/>
      <c r="F26" s="1076"/>
      <c r="G26" s="1076"/>
      <c r="H26" s="1076"/>
      <c r="I26" s="1076"/>
      <c r="J26" s="1076"/>
      <c r="K26" s="1076"/>
      <c r="L26" s="1076"/>
    </row>
    <row r="27" spans="2:12" x14ac:dyDescent="0.25">
      <c r="B27" s="1076"/>
      <c r="C27" s="1076"/>
      <c r="D27" s="1076"/>
      <c r="E27" s="1076"/>
      <c r="F27" s="1076"/>
      <c r="G27" s="1076"/>
      <c r="H27" s="1076"/>
      <c r="I27" s="1076"/>
      <c r="J27" s="1076"/>
      <c r="K27" s="1076"/>
      <c r="L27" s="1076"/>
    </row>
    <row r="29" spans="2:12" x14ac:dyDescent="0.25">
      <c r="B29" s="1073" t="s">
        <v>3519</v>
      </c>
      <c r="C29" s="1074"/>
      <c r="D29" s="1075" t="s">
        <v>3518</v>
      </c>
      <c r="E29" s="1066"/>
      <c r="F29" s="1067"/>
      <c r="G29" s="779"/>
      <c r="H29" s="1066" t="s">
        <v>3517</v>
      </c>
      <c r="I29" s="1066"/>
      <c r="J29" s="1066"/>
      <c r="K29" s="1066"/>
      <c r="L29" s="1067"/>
    </row>
    <row r="30" spans="2:12" x14ac:dyDescent="0.25">
      <c r="B30" s="781"/>
    </row>
    <row r="31" spans="2:12" ht="15" customHeight="1" x14ac:dyDescent="0.25">
      <c r="B31" s="751"/>
      <c r="C31" s="751"/>
      <c r="D31" s="1070" t="s">
        <v>3520</v>
      </c>
      <c r="E31" s="1071"/>
      <c r="F31" s="1072"/>
      <c r="G31" s="752"/>
      <c r="H31" s="1071" t="s">
        <v>3524</v>
      </c>
      <c r="I31" s="1071"/>
      <c r="J31" s="1071"/>
      <c r="K31" s="1071"/>
      <c r="L31" s="1072"/>
    </row>
    <row r="32" spans="2:12" x14ac:dyDescent="0.25">
      <c r="B32" s="751"/>
      <c r="C32" s="751"/>
      <c r="D32" s="1035" t="s">
        <v>3521</v>
      </c>
      <c r="E32" s="1036"/>
      <c r="F32" s="1037"/>
      <c r="G32" s="753"/>
      <c r="H32" s="1036" t="s">
        <v>3525</v>
      </c>
      <c r="I32" s="1036"/>
      <c r="J32" s="1036"/>
      <c r="K32" s="1036"/>
      <c r="L32" s="1037"/>
    </row>
    <row r="33" spans="2:12" x14ac:dyDescent="0.25">
      <c r="B33" s="751"/>
      <c r="C33" s="751"/>
      <c r="D33" s="1035" t="s">
        <v>3522</v>
      </c>
      <c r="E33" s="1036"/>
      <c r="F33" s="1037"/>
      <c r="G33" s="753"/>
      <c r="H33" s="1036" t="s">
        <v>3526</v>
      </c>
      <c r="I33" s="1036"/>
      <c r="J33" s="1036"/>
      <c r="K33" s="1036"/>
      <c r="L33" s="1037"/>
    </row>
    <row r="34" spans="2:12" x14ac:dyDescent="0.25">
      <c r="B34" s="751"/>
      <c r="C34" s="783"/>
      <c r="D34" s="1039" t="s">
        <v>3523</v>
      </c>
      <c r="E34" s="1039"/>
      <c r="F34" s="1040"/>
      <c r="G34" s="754"/>
      <c r="H34" s="1039" t="s">
        <v>3527</v>
      </c>
      <c r="I34" s="1039"/>
      <c r="J34" s="1039"/>
      <c r="K34" s="1039"/>
      <c r="L34" s="1040"/>
    </row>
    <row r="35" spans="2:12" x14ac:dyDescent="0.25">
      <c r="B35" s="782"/>
      <c r="C35" s="782"/>
    </row>
    <row r="36" spans="2:12" x14ac:dyDescent="0.25">
      <c r="B36" s="1073" t="s">
        <v>3528</v>
      </c>
      <c r="C36" s="1074"/>
      <c r="D36" s="1075" t="s">
        <v>3530</v>
      </c>
      <c r="E36" s="1066"/>
      <c r="F36" s="1067"/>
      <c r="G36" s="779"/>
      <c r="H36" s="1066" t="s">
        <v>3500</v>
      </c>
      <c r="I36" s="1066"/>
      <c r="J36" s="1066"/>
      <c r="K36" s="1066"/>
      <c r="L36" s="1067"/>
    </row>
    <row r="38" spans="2:12" x14ac:dyDescent="0.25">
      <c r="B38" s="751"/>
      <c r="C38" s="751"/>
      <c r="D38" s="1070" t="s">
        <v>3520</v>
      </c>
      <c r="E38" s="1071"/>
      <c r="F38" s="1072"/>
      <c r="G38" s="752"/>
      <c r="H38" s="1071" t="s">
        <v>3524</v>
      </c>
      <c r="I38" s="1071"/>
      <c r="J38" s="1071"/>
      <c r="K38" s="1071"/>
      <c r="L38" s="1072"/>
    </row>
    <row r="39" spans="2:12" x14ac:dyDescent="0.25">
      <c r="B39" s="751"/>
      <c r="C39" s="751"/>
      <c r="D39" s="1035" t="s">
        <v>3521</v>
      </c>
      <c r="E39" s="1036"/>
      <c r="F39" s="1037"/>
      <c r="G39" s="753"/>
      <c r="H39" s="1036" t="s">
        <v>3525</v>
      </c>
      <c r="I39" s="1036"/>
      <c r="J39" s="1036"/>
      <c r="K39" s="1036"/>
      <c r="L39" s="1037"/>
    </row>
    <row r="40" spans="2:12" x14ac:dyDescent="0.25">
      <c r="B40" s="751"/>
      <c r="C40" s="751"/>
      <c r="D40" s="1035" t="s">
        <v>3522</v>
      </c>
      <c r="E40" s="1036"/>
      <c r="F40" s="1037"/>
      <c r="G40" s="753"/>
      <c r="H40" s="1036" t="s">
        <v>3526</v>
      </c>
      <c r="I40" s="1036"/>
      <c r="J40" s="1036"/>
      <c r="K40" s="1036"/>
      <c r="L40" s="1037"/>
    </row>
    <row r="41" spans="2:12" x14ac:dyDescent="0.25">
      <c r="B41" s="751"/>
      <c r="C41" s="751"/>
      <c r="D41" s="1038" t="s">
        <v>3523</v>
      </c>
      <c r="E41" s="1039"/>
      <c r="F41" s="1040"/>
      <c r="G41" s="754"/>
      <c r="H41" s="1039" t="s">
        <v>3527</v>
      </c>
      <c r="I41" s="1039"/>
      <c r="J41" s="1039"/>
      <c r="K41" s="1039"/>
      <c r="L41" s="1040"/>
    </row>
    <row r="43" spans="2:12" x14ac:dyDescent="0.25">
      <c r="B43" s="1073" t="s">
        <v>3529</v>
      </c>
      <c r="C43" s="1074"/>
      <c r="D43" s="1075" t="s">
        <v>3518</v>
      </c>
      <c r="E43" s="1066"/>
      <c r="F43" s="1067"/>
      <c r="G43" s="779"/>
      <c r="H43" s="1066" t="s">
        <v>3531</v>
      </c>
      <c r="I43" s="1066"/>
      <c r="J43" s="1066"/>
      <c r="K43" s="1066"/>
      <c r="L43" s="1067"/>
    </row>
    <row r="45" spans="2:12" x14ac:dyDescent="0.25">
      <c r="B45" s="751"/>
      <c r="C45" s="751"/>
      <c r="D45" s="1070" t="s">
        <v>3520</v>
      </c>
      <c r="E45" s="1071"/>
      <c r="F45" s="1072"/>
      <c r="G45" s="752"/>
      <c r="H45" s="1071" t="s">
        <v>3524</v>
      </c>
      <c r="I45" s="1071"/>
      <c r="J45" s="1071"/>
      <c r="K45" s="1071"/>
      <c r="L45" s="1072"/>
    </row>
    <row r="46" spans="2:12" x14ac:dyDescent="0.25">
      <c r="B46" s="751"/>
      <c r="C46" s="751"/>
      <c r="D46" s="1035" t="s">
        <v>3521</v>
      </c>
      <c r="E46" s="1036"/>
      <c r="F46" s="1037"/>
      <c r="G46" s="753"/>
      <c r="H46" s="1036" t="s">
        <v>3525</v>
      </c>
      <c r="I46" s="1036"/>
      <c r="J46" s="1036"/>
      <c r="K46" s="1036"/>
      <c r="L46" s="1037"/>
    </row>
    <row r="47" spans="2:12" x14ac:dyDescent="0.25">
      <c r="B47" s="751"/>
      <c r="C47" s="751"/>
      <c r="D47" s="1035" t="s">
        <v>3522</v>
      </c>
      <c r="E47" s="1036"/>
      <c r="F47" s="1037"/>
      <c r="G47" s="753"/>
      <c r="H47" s="1036" t="s">
        <v>3526</v>
      </c>
      <c r="I47" s="1036"/>
      <c r="J47" s="1036"/>
      <c r="K47" s="1036"/>
      <c r="L47" s="1037"/>
    </row>
    <row r="48" spans="2:12" x14ac:dyDescent="0.25">
      <c r="B48" s="751"/>
      <c r="C48" s="751"/>
      <c r="D48" s="1038" t="s">
        <v>3523</v>
      </c>
      <c r="E48" s="1039"/>
      <c r="F48" s="1040"/>
      <c r="G48" s="754"/>
      <c r="H48" s="1039" t="s">
        <v>3527</v>
      </c>
      <c r="I48" s="1039"/>
      <c r="J48" s="1039"/>
      <c r="K48" s="1039"/>
      <c r="L48" s="1040"/>
    </row>
    <row r="50" spans="2:12" x14ac:dyDescent="0.25">
      <c r="B50" s="1063" t="s">
        <v>3532</v>
      </c>
      <c r="C50" s="1063"/>
      <c r="D50" s="1063"/>
      <c r="E50" s="1063"/>
      <c r="F50" s="1063"/>
      <c r="G50" s="1063" t="s">
        <v>3533</v>
      </c>
      <c r="H50" s="1063"/>
      <c r="I50" s="1063"/>
      <c r="J50" s="1063"/>
      <c r="K50" s="1063"/>
      <c r="L50" s="1063"/>
    </row>
    <row r="51" spans="2:12" x14ac:dyDescent="0.25">
      <c r="B51" s="1063"/>
      <c r="C51" s="1063"/>
      <c r="D51" s="1063"/>
      <c r="E51" s="1063"/>
      <c r="F51" s="1063"/>
      <c r="G51" s="1063"/>
      <c r="H51" s="1063"/>
      <c r="I51" s="1063"/>
      <c r="J51" s="1063"/>
      <c r="K51" s="1063"/>
      <c r="L51" s="1063"/>
    </row>
    <row r="53" spans="2:12" x14ac:dyDescent="0.25">
      <c r="B53" s="1064" t="s">
        <v>3534</v>
      </c>
      <c r="C53" s="1065"/>
      <c r="D53" s="1066" t="s">
        <v>3535</v>
      </c>
      <c r="E53" s="1066"/>
      <c r="F53" s="1067"/>
      <c r="G53" s="780"/>
      <c r="H53" s="1066" t="s">
        <v>3546</v>
      </c>
      <c r="I53" s="1066"/>
      <c r="J53" s="1066" t="s">
        <v>3500</v>
      </c>
      <c r="K53" s="1066"/>
      <c r="L53" s="1067"/>
    </row>
    <row r="54" spans="2:12" x14ac:dyDescent="0.25">
      <c r="G54" s="722"/>
      <c r="H54" s="722"/>
      <c r="I54" s="722"/>
    </row>
    <row r="55" spans="2:12" x14ac:dyDescent="0.25">
      <c r="B55" s="1068" t="s">
        <v>3536</v>
      </c>
      <c r="C55" s="1069"/>
      <c r="D55" s="1070" t="s">
        <v>3541</v>
      </c>
      <c r="E55" s="1071"/>
      <c r="F55" s="1072"/>
      <c r="G55" s="1070" t="s">
        <v>3547</v>
      </c>
      <c r="H55" s="1071"/>
      <c r="I55" s="1072"/>
      <c r="J55" s="1070" t="s">
        <v>3551</v>
      </c>
      <c r="K55" s="1071"/>
      <c r="L55" s="1072"/>
    </row>
    <row r="56" spans="2:12" x14ac:dyDescent="0.25">
      <c r="B56" s="1041" t="s">
        <v>3537</v>
      </c>
      <c r="C56" s="1042"/>
      <c r="D56" s="1035" t="s">
        <v>3542</v>
      </c>
      <c r="E56" s="1036"/>
      <c r="F56" s="1037"/>
      <c r="G56" s="1035" t="s">
        <v>3548</v>
      </c>
      <c r="H56" s="1036"/>
      <c r="I56" s="1037"/>
      <c r="J56" s="1035" t="s">
        <v>3552</v>
      </c>
      <c r="K56" s="1036"/>
      <c r="L56" s="1037"/>
    </row>
    <row r="57" spans="2:12" x14ac:dyDescent="0.25">
      <c r="B57" s="1041" t="s">
        <v>3538</v>
      </c>
      <c r="C57" s="1042"/>
      <c r="D57" s="1035" t="s">
        <v>3543</v>
      </c>
      <c r="E57" s="1036"/>
      <c r="F57" s="1037"/>
      <c r="G57" s="1035" t="s">
        <v>3549</v>
      </c>
      <c r="H57" s="1036"/>
      <c r="I57" s="1037"/>
      <c r="J57" s="1035" t="s">
        <v>3553</v>
      </c>
      <c r="K57" s="1036"/>
      <c r="L57" s="1037"/>
    </row>
    <row r="58" spans="2:12" x14ac:dyDescent="0.25">
      <c r="B58" s="1041" t="s">
        <v>3539</v>
      </c>
      <c r="C58" s="1042"/>
      <c r="D58" s="1035" t="s">
        <v>3544</v>
      </c>
      <c r="E58" s="1036"/>
      <c r="F58" s="1037"/>
      <c r="G58" s="1035" t="s">
        <v>3550</v>
      </c>
      <c r="H58" s="1036"/>
      <c r="I58" s="1037"/>
      <c r="J58" s="1035" t="s">
        <v>3554</v>
      </c>
      <c r="K58" s="1036"/>
      <c r="L58" s="1037"/>
    </row>
    <row r="59" spans="2:12" x14ac:dyDescent="0.25">
      <c r="B59" s="1043" t="s">
        <v>3540</v>
      </c>
      <c r="C59" s="1044"/>
      <c r="D59" s="1038" t="s">
        <v>3545</v>
      </c>
      <c r="E59" s="1039"/>
      <c r="F59" s="1040"/>
      <c r="G59" s="1038" t="s">
        <v>101</v>
      </c>
      <c r="H59" s="1039"/>
      <c r="I59" s="1040"/>
      <c r="J59" s="1038" t="s">
        <v>3555</v>
      </c>
      <c r="K59" s="1039"/>
      <c r="L59" s="1040"/>
    </row>
    <row r="61" spans="2:12" ht="15" customHeight="1" x14ac:dyDescent="0.25">
      <c r="B61" s="1045" t="s">
        <v>3556</v>
      </c>
      <c r="C61" s="1046"/>
      <c r="D61" s="1046"/>
      <c r="E61" s="1046"/>
      <c r="F61" s="1047"/>
      <c r="G61" s="1054" t="s">
        <v>3557</v>
      </c>
      <c r="H61" s="1055"/>
      <c r="I61" s="1055"/>
      <c r="J61" s="1055"/>
      <c r="K61" s="1055"/>
      <c r="L61" s="1056"/>
    </row>
    <row r="62" spans="2:12" x14ac:dyDescent="0.25">
      <c r="B62" s="1048"/>
      <c r="C62" s="1049"/>
      <c r="D62" s="1049"/>
      <c r="E62" s="1049"/>
      <c r="F62" s="1050"/>
      <c r="G62" s="1057"/>
      <c r="H62" s="1058"/>
      <c r="I62" s="1058"/>
      <c r="J62" s="1058"/>
      <c r="K62" s="1058"/>
      <c r="L62" s="1059"/>
    </row>
    <row r="63" spans="2:12" x14ac:dyDescent="0.25">
      <c r="B63" s="1048"/>
      <c r="C63" s="1049"/>
      <c r="D63" s="1049"/>
      <c r="E63" s="1049"/>
      <c r="F63" s="1050"/>
      <c r="G63" s="1057"/>
      <c r="H63" s="1058"/>
      <c r="I63" s="1058"/>
      <c r="J63" s="1058"/>
      <c r="K63" s="1058"/>
      <c r="L63" s="1059"/>
    </row>
    <row r="64" spans="2:12" x14ac:dyDescent="0.25">
      <c r="B64" s="1051"/>
      <c r="C64" s="1052"/>
      <c r="D64" s="1052"/>
      <c r="E64" s="1052"/>
      <c r="F64" s="1053"/>
      <c r="G64" s="1060"/>
      <c r="H64" s="1061"/>
      <c r="I64" s="1061"/>
      <c r="J64" s="1061"/>
      <c r="K64" s="1061"/>
      <c r="L64" s="1062"/>
    </row>
    <row r="81" spans="2:12" x14ac:dyDescent="0.25">
      <c r="B81" s="1032" t="s">
        <v>3558</v>
      </c>
      <c r="C81" s="1034"/>
      <c r="D81" s="1034"/>
      <c r="E81" s="1034"/>
      <c r="F81" s="1034"/>
      <c r="G81" s="1034"/>
      <c r="H81" s="1034"/>
      <c r="I81" s="1034"/>
      <c r="J81" s="1034"/>
      <c r="K81" s="1034"/>
      <c r="L81" s="1034"/>
    </row>
    <row r="82" spans="2:12" x14ac:dyDescent="0.25">
      <c r="B82" s="1034"/>
      <c r="C82" s="1034"/>
      <c r="D82" s="1034"/>
      <c r="E82" s="1034"/>
      <c r="F82" s="1034"/>
      <c r="G82" s="1034"/>
      <c r="H82" s="1034"/>
      <c r="I82" s="1034"/>
      <c r="J82" s="1034"/>
      <c r="K82" s="1034"/>
      <c r="L82" s="1034"/>
    </row>
    <row r="83" spans="2:12" x14ac:dyDescent="0.25">
      <c r="B83" s="1034"/>
      <c r="C83" s="1034"/>
      <c r="D83" s="1034"/>
      <c r="E83" s="1034"/>
      <c r="F83" s="1034"/>
      <c r="G83" s="1034"/>
      <c r="H83" s="1034"/>
      <c r="I83" s="1034"/>
      <c r="J83" s="1034"/>
      <c r="K83" s="1034"/>
      <c r="L83" s="1034"/>
    </row>
    <row r="84" spans="2:12" x14ac:dyDescent="0.25">
      <c r="B84" s="1034"/>
      <c r="C84" s="1034"/>
      <c r="D84" s="1034"/>
      <c r="E84" s="1034"/>
      <c r="F84" s="1034"/>
      <c r="G84" s="1034"/>
      <c r="H84" s="1034"/>
      <c r="I84" s="1034"/>
      <c r="J84" s="1034"/>
      <c r="K84" s="1034"/>
      <c r="L84" s="1034"/>
    </row>
    <row r="85" spans="2:12" x14ac:dyDescent="0.25">
      <c r="B85" s="1034"/>
      <c r="C85" s="1034"/>
      <c r="D85" s="1034"/>
      <c r="E85" s="1034"/>
      <c r="F85" s="1034"/>
      <c r="G85" s="1034"/>
      <c r="H85" s="1034"/>
      <c r="I85" s="1034"/>
      <c r="J85" s="1034"/>
      <c r="K85" s="1034"/>
      <c r="L85" s="1034"/>
    </row>
    <row r="86" spans="2:12" x14ac:dyDescent="0.25">
      <c r="B86" s="1034"/>
      <c r="C86" s="1034"/>
      <c r="D86" s="1034"/>
      <c r="E86" s="1034"/>
      <c r="F86" s="1034"/>
      <c r="G86" s="1034"/>
      <c r="H86" s="1034"/>
      <c r="I86" s="1034"/>
      <c r="J86" s="1034"/>
      <c r="K86" s="1034"/>
      <c r="L86" s="1034"/>
    </row>
    <row r="87" spans="2:12" x14ac:dyDescent="0.25">
      <c r="B87" s="1034"/>
      <c r="C87" s="1034"/>
      <c r="D87" s="1034"/>
      <c r="E87" s="1034"/>
      <c r="F87" s="1034"/>
      <c r="G87" s="1034"/>
      <c r="H87" s="1034"/>
      <c r="I87" s="1034"/>
      <c r="J87" s="1034"/>
      <c r="K87" s="1034"/>
      <c r="L87" s="1034"/>
    </row>
    <row r="88" spans="2:12" x14ac:dyDescent="0.25">
      <c r="B88" s="1034"/>
      <c r="C88" s="1034"/>
      <c r="D88" s="1034"/>
      <c r="E88" s="1034"/>
      <c r="F88" s="1034"/>
      <c r="G88" s="1034"/>
      <c r="H88" s="1034"/>
      <c r="I88" s="1034"/>
      <c r="J88" s="1034"/>
      <c r="K88" s="1034"/>
      <c r="L88" s="1034"/>
    </row>
    <row r="90" spans="2:12" x14ac:dyDescent="0.25">
      <c r="B90" s="937" t="s">
        <v>3835</v>
      </c>
      <c r="C90" s="937"/>
      <c r="D90" s="937"/>
      <c r="E90" s="937"/>
      <c r="F90" s="937"/>
      <c r="G90" s="937"/>
      <c r="H90" s="937"/>
      <c r="I90" s="937"/>
      <c r="J90" s="937"/>
      <c r="K90" s="937"/>
      <c r="L90" s="937"/>
    </row>
  </sheetData>
  <mergeCells count="79">
    <mergeCell ref="B7:L8"/>
    <mergeCell ref="D10:F10"/>
    <mergeCell ref="H10:L10"/>
    <mergeCell ref="B1:C5"/>
    <mergeCell ref="D1:L5"/>
    <mergeCell ref="D20:F21"/>
    <mergeCell ref="D23:F24"/>
    <mergeCell ref="H12:L12"/>
    <mergeCell ref="H15:L15"/>
    <mergeCell ref="H17:L17"/>
    <mergeCell ref="H20:L20"/>
    <mergeCell ref="H23:L23"/>
    <mergeCell ref="D12:F13"/>
    <mergeCell ref="D15:F15"/>
    <mergeCell ref="D17:F18"/>
    <mergeCell ref="D40:F40"/>
    <mergeCell ref="H40:L40"/>
    <mergeCell ref="D41:F41"/>
    <mergeCell ref="B26:L27"/>
    <mergeCell ref="D29:F29"/>
    <mergeCell ref="H29:L29"/>
    <mergeCell ref="B29:C29"/>
    <mergeCell ref="D31:F31"/>
    <mergeCell ref="D32:F32"/>
    <mergeCell ref="D39:F39"/>
    <mergeCell ref="H39:L39"/>
    <mergeCell ref="D33:F33"/>
    <mergeCell ref="D34:F34"/>
    <mergeCell ref="H31:L31"/>
    <mergeCell ref="H32:L32"/>
    <mergeCell ref="H33:L33"/>
    <mergeCell ref="H34:L34"/>
    <mergeCell ref="B36:C36"/>
    <mergeCell ref="D36:F36"/>
    <mergeCell ref="H36:L36"/>
    <mergeCell ref="D38:F38"/>
    <mergeCell ref="H38:L38"/>
    <mergeCell ref="H41:L41"/>
    <mergeCell ref="B43:C43"/>
    <mergeCell ref="D43:F43"/>
    <mergeCell ref="H43:L43"/>
    <mergeCell ref="D45:F45"/>
    <mergeCell ref="H45:L45"/>
    <mergeCell ref="D46:F46"/>
    <mergeCell ref="H46:L46"/>
    <mergeCell ref="D47:F47"/>
    <mergeCell ref="H47:L47"/>
    <mergeCell ref="D48:F48"/>
    <mergeCell ref="H48:L48"/>
    <mergeCell ref="J58:L58"/>
    <mergeCell ref="J59:L59"/>
    <mergeCell ref="B61:F64"/>
    <mergeCell ref="G61:L64"/>
    <mergeCell ref="B50:F51"/>
    <mergeCell ref="G50:L51"/>
    <mergeCell ref="B53:C53"/>
    <mergeCell ref="D53:F53"/>
    <mergeCell ref="B55:C55"/>
    <mergeCell ref="H53:I53"/>
    <mergeCell ref="J53:L53"/>
    <mergeCell ref="G55:I55"/>
    <mergeCell ref="D55:F55"/>
    <mergeCell ref="J55:L55"/>
    <mergeCell ref="B90:L90"/>
    <mergeCell ref="B81:L88"/>
    <mergeCell ref="G56:I56"/>
    <mergeCell ref="G57:I57"/>
    <mergeCell ref="G58:I58"/>
    <mergeCell ref="G59:I59"/>
    <mergeCell ref="B57:C57"/>
    <mergeCell ref="B58:C58"/>
    <mergeCell ref="B59:C59"/>
    <mergeCell ref="B56:C56"/>
    <mergeCell ref="D56:F56"/>
    <mergeCell ref="D57:F57"/>
    <mergeCell ref="D58:F58"/>
    <mergeCell ref="D59:F59"/>
    <mergeCell ref="J56:L56"/>
    <mergeCell ref="J57:L57"/>
  </mergeCells>
  <printOptions horizontalCentered="1"/>
  <pageMargins left="0" right="0" top="0" bottom="0" header="0" footer="0"/>
  <pageSetup scale="57" orientation="portrait" horizontalDpi="1200" verticalDpi="120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3116D-0E3B-4CE5-9E57-824201D96A54}">
  <sheetPr>
    <pageSetUpPr fitToPage="1"/>
  </sheetPr>
  <dimension ref="B1:O90"/>
  <sheetViews>
    <sheetView zoomScaleNormal="100" workbookViewId="0"/>
  </sheetViews>
  <sheetFormatPr defaultColWidth="15.77734375" defaultRowHeight="15" x14ac:dyDescent="0.25"/>
  <cols>
    <col min="1" max="1" width="2" style="720" customWidth="1"/>
    <col min="2" max="2" width="25.77734375" style="720" customWidth="1"/>
    <col min="3" max="3" width="15.77734375" style="720"/>
    <col min="4" max="4" width="16" style="720" bestFit="1" customWidth="1"/>
    <col min="5" max="6" width="15.77734375" style="720"/>
    <col min="7" max="7" width="2" style="720" customWidth="1"/>
    <col min="8" max="16384" width="15.77734375" style="720"/>
  </cols>
  <sheetData>
    <row r="1" spans="2:12" ht="15" customHeight="1" x14ac:dyDescent="0.25">
      <c r="B1" s="938" t="s">
        <v>378</v>
      </c>
      <c r="C1" s="938"/>
      <c r="D1" s="939" t="s">
        <v>3608</v>
      </c>
      <c r="E1" s="939"/>
      <c r="F1" s="939"/>
      <c r="G1" s="939"/>
      <c r="H1" s="939"/>
      <c r="I1" s="939"/>
      <c r="J1" s="939"/>
      <c r="K1" s="939"/>
      <c r="L1" s="939"/>
    </row>
    <row r="2" spans="2:12" ht="15" customHeight="1" x14ac:dyDescent="0.25">
      <c r="B2" s="938"/>
      <c r="C2" s="938"/>
      <c r="D2" s="939"/>
      <c r="E2" s="939"/>
      <c r="F2" s="939"/>
      <c r="G2" s="939"/>
      <c r="H2" s="939"/>
      <c r="I2" s="939"/>
      <c r="J2" s="939"/>
      <c r="K2" s="939"/>
      <c r="L2" s="939"/>
    </row>
    <row r="3" spans="2:12" ht="15" customHeight="1" x14ac:dyDescent="0.25">
      <c r="B3" s="938"/>
      <c r="C3" s="938"/>
      <c r="D3" s="939"/>
      <c r="E3" s="939"/>
      <c r="F3" s="939"/>
      <c r="G3" s="939"/>
      <c r="H3" s="939"/>
      <c r="I3" s="939"/>
      <c r="J3" s="939"/>
      <c r="K3" s="939"/>
      <c r="L3" s="939"/>
    </row>
    <row r="4" spans="2:12" ht="15" customHeight="1" x14ac:dyDescent="0.25">
      <c r="B4" s="938"/>
      <c r="C4" s="938"/>
      <c r="D4" s="939"/>
      <c r="E4" s="939"/>
      <c r="F4" s="939"/>
      <c r="G4" s="939"/>
      <c r="H4" s="939"/>
      <c r="I4" s="939"/>
      <c r="J4" s="939"/>
      <c r="K4" s="939"/>
      <c r="L4" s="939"/>
    </row>
    <row r="5" spans="2:12" ht="15" customHeight="1" x14ac:dyDescent="0.25">
      <c r="B5" s="938"/>
      <c r="C5" s="938"/>
      <c r="D5" s="939"/>
      <c r="E5" s="939"/>
      <c r="F5" s="939"/>
      <c r="G5" s="939"/>
      <c r="H5" s="939"/>
      <c r="I5" s="939"/>
      <c r="J5" s="939"/>
      <c r="K5" s="939"/>
      <c r="L5" s="939"/>
    </row>
    <row r="7" spans="2:12" ht="15" customHeight="1" x14ac:dyDescent="0.25">
      <c r="B7" s="1076" t="s">
        <v>3559</v>
      </c>
      <c r="C7" s="1076"/>
      <c r="D7" s="1076"/>
      <c r="E7" s="1076"/>
      <c r="F7" s="1076"/>
      <c r="G7" s="1076"/>
      <c r="H7" s="1076"/>
      <c r="I7" s="1076"/>
      <c r="J7" s="1076"/>
      <c r="K7" s="1076"/>
      <c r="L7" s="1076"/>
    </row>
    <row r="8" spans="2:12" x14ac:dyDescent="0.25">
      <c r="B8" s="1076"/>
      <c r="C8" s="1076"/>
      <c r="D8" s="1076"/>
      <c r="E8" s="1076"/>
      <c r="F8" s="1076"/>
      <c r="G8" s="1076"/>
      <c r="H8" s="1076"/>
      <c r="I8" s="1076"/>
      <c r="J8" s="1076"/>
      <c r="K8" s="1076"/>
      <c r="L8" s="1076"/>
    </row>
    <row r="10" spans="2:12" ht="15" customHeight="1" x14ac:dyDescent="0.25">
      <c r="B10" s="1106" t="s">
        <v>3604</v>
      </c>
      <c r="C10" s="1106"/>
      <c r="D10" s="1106"/>
      <c r="E10" s="1106"/>
      <c r="F10" s="1106"/>
      <c r="G10" s="1106"/>
      <c r="H10" s="1106"/>
      <c r="I10" s="1106"/>
      <c r="J10" s="1106"/>
      <c r="K10" s="1106"/>
      <c r="L10" s="1106"/>
    </row>
    <row r="11" spans="2:12" x14ac:dyDescent="0.25">
      <c r="B11" s="1106"/>
      <c r="C11" s="1106"/>
      <c r="D11" s="1106"/>
      <c r="E11" s="1106"/>
      <c r="F11" s="1106"/>
      <c r="G11" s="1106"/>
      <c r="H11" s="1106"/>
      <c r="I11" s="1106"/>
      <c r="J11" s="1106"/>
      <c r="K11" s="1106"/>
      <c r="L11" s="1106"/>
    </row>
    <row r="12" spans="2:12" x14ac:dyDescent="0.25">
      <c r="B12" s="1106"/>
      <c r="C12" s="1106"/>
      <c r="D12" s="1106"/>
      <c r="E12" s="1106"/>
      <c r="F12" s="1106"/>
      <c r="G12" s="1106"/>
      <c r="H12" s="1106"/>
      <c r="I12" s="1106"/>
      <c r="J12" s="1106"/>
      <c r="K12" s="1106"/>
      <c r="L12" s="1106"/>
    </row>
    <row r="13" spans="2:12" x14ac:dyDescent="0.25">
      <c r="B13" s="1106"/>
      <c r="C13" s="1106"/>
      <c r="D13" s="1106"/>
      <c r="E13" s="1106"/>
      <c r="F13" s="1106"/>
      <c r="G13" s="1106"/>
      <c r="H13" s="1106"/>
      <c r="I13" s="1106"/>
      <c r="J13" s="1106"/>
      <c r="K13" s="1106"/>
      <c r="L13" s="1106"/>
    </row>
    <row r="14" spans="2:12" x14ac:dyDescent="0.25">
      <c r="B14" s="1106"/>
      <c r="C14" s="1106"/>
      <c r="D14" s="1106"/>
      <c r="E14" s="1106"/>
      <c r="F14" s="1106"/>
      <c r="G14" s="1106"/>
      <c r="H14" s="1106"/>
      <c r="I14" s="1106"/>
      <c r="J14" s="1106"/>
      <c r="K14" s="1106"/>
      <c r="L14" s="1106"/>
    </row>
    <row r="15" spans="2:12" x14ac:dyDescent="0.25">
      <c r="B15" s="1106"/>
      <c r="C15" s="1106"/>
      <c r="D15" s="1106"/>
      <c r="E15" s="1106"/>
      <c r="F15" s="1106"/>
      <c r="G15" s="1106"/>
      <c r="H15" s="1106"/>
      <c r="I15" s="1106"/>
      <c r="J15" s="1106"/>
      <c r="K15" s="1106"/>
      <c r="L15" s="1106"/>
    </row>
    <row r="16" spans="2:12" x14ac:dyDescent="0.25">
      <c r="B16" s="1106"/>
      <c r="C16" s="1106"/>
      <c r="D16" s="1106"/>
      <c r="E16" s="1106"/>
      <c r="F16" s="1106"/>
      <c r="G16" s="1106"/>
      <c r="H16" s="1106"/>
      <c r="I16" s="1106"/>
      <c r="J16" s="1106"/>
      <c r="K16" s="1106"/>
      <c r="L16" s="1106"/>
    </row>
    <row r="17" spans="2:12" x14ac:dyDescent="0.25">
      <c r="B17" s="1106"/>
      <c r="C17" s="1106"/>
      <c r="D17" s="1106"/>
      <c r="E17" s="1106"/>
      <c r="F17" s="1106"/>
      <c r="G17" s="1106"/>
      <c r="H17" s="1106"/>
      <c r="I17" s="1106"/>
      <c r="J17" s="1106"/>
      <c r="K17" s="1106"/>
      <c r="L17" s="1106"/>
    </row>
    <row r="18" spans="2:12" x14ac:dyDescent="0.25">
      <c r="B18" s="1106"/>
      <c r="C18" s="1106"/>
      <c r="D18" s="1106"/>
      <c r="E18" s="1106"/>
      <c r="F18" s="1106"/>
      <c r="G18" s="1106"/>
      <c r="H18" s="1106"/>
      <c r="I18" s="1106"/>
      <c r="J18" s="1106"/>
      <c r="K18" s="1106"/>
      <c r="L18" s="1106"/>
    </row>
    <row r="19" spans="2:12" x14ac:dyDescent="0.25">
      <c r="B19" s="1106"/>
      <c r="C19" s="1106"/>
      <c r="D19" s="1106"/>
      <c r="E19" s="1106"/>
      <c r="F19" s="1106"/>
      <c r="G19" s="1106"/>
      <c r="H19" s="1106"/>
      <c r="I19" s="1106"/>
      <c r="J19" s="1106"/>
      <c r="K19" s="1106"/>
      <c r="L19" s="1106"/>
    </row>
    <row r="20" spans="2:12" x14ac:dyDescent="0.25">
      <c r="B20" s="1106"/>
      <c r="C20" s="1106"/>
      <c r="D20" s="1106"/>
      <c r="E20" s="1106"/>
      <c r="F20" s="1106"/>
      <c r="G20" s="1106"/>
      <c r="H20" s="1106"/>
      <c r="I20" s="1106"/>
      <c r="J20" s="1106"/>
      <c r="K20" s="1106"/>
      <c r="L20" s="1106"/>
    </row>
    <row r="21" spans="2:12" x14ac:dyDescent="0.25">
      <c r="B21" s="1106"/>
      <c r="C21" s="1106"/>
      <c r="D21" s="1106"/>
      <c r="E21" s="1106"/>
      <c r="F21" s="1106"/>
      <c r="G21" s="1106"/>
      <c r="H21" s="1106"/>
      <c r="I21" s="1106"/>
      <c r="J21" s="1106"/>
      <c r="K21" s="1106"/>
      <c r="L21" s="1106"/>
    </row>
    <row r="22" spans="2:12" x14ac:dyDescent="0.25">
      <c r="B22" s="1106"/>
      <c r="C22" s="1106"/>
      <c r="D22" s="1106"/>
      <c r="E22" s="1106"/>
      <c r="F22" s="1106"/>
      <c r="G22" s="1106"/>
      <c r="H22" s="1106"/>
      <c r="I22" s="1106"/>
      <c r="J22" s="1106"/>
      <c r="K22" s="1106"/>
      <c r="L22" s="1106"/>
    </row>
    <row r="23" spans="2:12" x14ac:dyDescent="0.25">
      <c r="B23" s="1106"/>
      <c r="C23" s="1106"/>
      <c r="D23" s="1106"/>
      <c r="E23" s="1106"/>
      <c r="F23" s="1106"/>
      <c r="G23" s="1106"/>
      <c r="H23" s="1106"/>
      <c r="I23" s="1106"/>
      <c r="J23" s="1106"/>
      <c r="K23" s="1106"/>
      <c r="L23" s="1106"/>
    </row>
    <row r="24" spans="2:12" x14ac:dyDescent="0.25">
      <c r="B24" s="850"/>
      <c r="C24" s="850"/>
      <c r="D24" s="850"/>
      <c r="E24" s="850"/>
      <c r="F24" s="850"/>
      <c r="G24" s="850"/>
      <c r="H24" s="850"/>
      <c r="I24" s="850"/>
      <c r="J24" s="850"/>
      <c r="K24" s="850"/>
      <c r="L24" s="850"/>
    </row>
    <row r="25" spans="2:12" x14ac:dyDescent="0.25">
      <c r="B25" s="1076" t="s">
        <v>3592</v>
      </c>
      <c r="C25" s="1076"/>
      <c r="D25" s="1076"/>
      <c r="E25" s="1076"/>
      <c r="F25" s="1076"/>
      <c r="G25" s="1076"/>
      <c r="H25" s="1076"/>
      <c r="I25" s="1076"/>
      <c r="J25" s="1076"/>
      <c r="K25" s="1076"/>
      <c r="L25" s="1076"/>
    </row>
    <row r="26" spans="2:12" x14ac:dyDescent="0.25">
      <c r="B26" s="1076"/>
      <c r="C26" s="1076"/>
      <c r="D26" s="1076"/>
      <c r="E26" s="1076"/>
      <c r="F26" s="1076"/>
      <c r="G26" s="1076"/>
      <c r="H26" s="1076"/>
      <c r="I26" s="1076"/>
      <c r="J26" s="1076"/>
      <c r="K26" s="1076"/>
      <c r="L26" s="1076"/>
    </row>
    <row r="28" spans="2:12" x14ac:dyDescent="0.25">
      <c r="B28" s="1102" t="s">
        <v>3564</v>
      </c>
      <c r="C28" s="1103"/>
      <c r="D28" s="785">
        <v>2023</v>
      </c>
      <c r="E28" s="785">
        <v>2024</v>
      </c>
      <c r="F28" s="784">
        <v>2025</v>
      </c>
      <c r="H28" s="1102" t="s">
        <v>3564</v>
      </c>
      <c r="I28" s="1103"/>
      <c r="J28" s="785">
        <v>2023</v>
      </c>
      <c r="K28" s="785">
        <v>2024</v>
      </c>
      <c r="L28" s="784">
        <v>2025</v>
      </c>
    </row>
    <row r="30" spans="2:12" x14ac:dyDescent="0.25">
      <c r="B30" s="1096" t="s">
        <v>3560</v>
      </c>
      <c r="C30" s="1097"/>
      <c r="D30" s="798">
        <v>9500000</v>
      </c>
      <c r="E30" s="798">
        <v>10800000</v>
      </c>
      <c r="F30" s="798">
        <v>12500000</v>
      </c>
      <c r="H30" s="1096" t="s">
        <v>3568</v>
      </c>
      <c r="I30" s="1097"/>
      <c r="J30" s="801">
        <f>J35/D30</f>
        <v>9.8106315789473677E-3</v>
      </c>
      <c r="K30" s="801">
        <f t="shared" ref="K30:L30" si="0">K35/E30</f>
        <v>8.5578703703703702E-3</v>
      </c>
      <c r="L30" s="801">
        <f t="shared" si="0"/>
        <v>7.4377599999999999E-3</v>
      </c>
    </row>
    <row r="31" spans="2:12" x14ac:dyDescent="0.25">
      <c r="B31" s="1098" t="s">
        <v>3562</v>
      </c>
      <c r="C31" s="1099"/>
      <c r="D31" s="799">
        <v>7200000</v>
      </c>
      <c r="E31" s="799">
        <v>8100000</v>
      </c>
      <c r="F31" s="799">
        <v>9500000</v>
      </c>
      <c r="H31" s="1098" t="s">
        <v>3567</v>
      </c>
      <c r="I31" s="1099"/>
      <c r="J31" s="802">
        <f>J37/D31</f>
        <v>1.0219583333333334E-2</v>
      </c>
      <c r="K31" s="802">
        <f t="shared" ref="K31:L31" si="1">K37/E31</f>
        <v>9.0106172839506168E-3</v>
      </c>
      <c r="L31" s="802">
        <f t="shared" si="1"/>
        <v>7.4808421052631581E-3</v>
      </c>
    </row>
    <row r="32" spans="2:12" x14ac:dyDescent="0.25">
      <c r="B32" s="1098" t="s">
        <v>3561</v>
      </c>
      <c r="C32" s="1099"/>
      <c r="D32" s="799">
        <v>2300000</v>
      </c>
      <c r="E32" s="799">
        <v>2700000</v>
      </c>
      <c r="F32" s="799">
        <v>3000000</v>
      </c>
      <c r="H32" s="1098" t="s">
        <v>3565</v>
      </c>
      <c r="I32" s="1099"/>
      <c r="J32" s="802">
        <f>J39/D32</f>
        <v>8.5304347826086948E-3</v>
      </c>
      <c r="K32" s="802">
        <f t="shared" ref="K32:L32" si="2">K39/E32</f>
        <v>7.1996296296296296E-3</v>
      </c>
      <c r="L32" s="802">
        <f t="shared" si="2"/>
        <v>7.3013333333333333E-3</v>
      </c>
    </row>
    <row r="33" spans="2:13" x14ac:dyDescent="0.25">
      <c r="B33" s="1100" t="s">
        <v>3563</v>
      </c>
      <c r="C33" s="1101"/>
      <c r="D33" s="800">
        <v>1150000</v>
      </c>
      <c r="E33" s="800">
        <v>1320000</v>
      </c>
      <c r="F33" s="800">
        <v>1500000</v>
      </c>
      <c r="H33" s="1104" t="s">
        <v>3566</v>
      </c>
      <c r="I33" s="1105"/>
      <c r="J33" s="803">
        <f>J41/D33</f>
        <v>1.0264347826086956E-2</v>
      </c>
      <c r="K33" s="803">
        <f t="shared" ref="K33:L33" si="3">K41/E33</f>
        <v>8.4606060606060608E-3</v>
      </c>
      <c r="L33" s="803">
        <f t="shared" si="3"/>
        <v>8.7939999999999997E-3</v>
      </c>
    </row>
    <row r="35" spans="2:13" x14ac:dyDescent="0.25">
      <c r="B35" s="1096" t="s">
        <v>3569</v>
      </c>
      <c r="C35" s="1097"/>
      <c r="D35" s="798">
        <v>2200000</v>
      </c>
      <c r="E35" s="798">
        <v>2450000</v>
      </c>
      <c r="F35" s="798">
        <v>2650000</v>
      </c>
      <c r="H35" s="1096" t="s">
        <v>3574</v>
      </c>
      <c r="I35" s="1097"/>
      <c r="J35" s="798">
        <f>'PROFIT &amp; LOSS'!F10</f>
        <v>93201</v>
      </c>
      <c r="K35" s="798">
        <f>'PROFIT &amp; LOSS'!G10</f>
        <v>92425</v>
      </c>
      <c r="L35" s="798">
        <f>'PROFIT &amp; LOSS'!H10</f>
        <v>92972</v>
      </c>
    </row>
    <row r="36" spans="2:13" x14ac:dyDescent="0.25">
      <c r="B36" s="851" t="s">
        <v>3573</v>
      </c>
      <c r="C36" s="852"/>
      <c r="D36" s="853">
        <f>D35/D30</f>
        <v>0.23157894736842105</v>
      </c>
      <c r="E36" s="853">
        <f t="shared" ref="E36:F36" si="4">E35/E30</f>
        <v>0.22685185185185186</v>
      </c>
      <c r="F36" s="853">
        <f t="shared" si="4"/>
        <v>0.21199999999999999</v>
      </c>
      <c r="G36" s="857"/>
      <c r="H36" s="851" t="s">
        <v>3578</v>
      </c>
      <c r="I36" s="852"/>
      <c r="J36" s="853">
        <f>J35/D35</f>
        <v>4.2364090909090907E-2</v>
      </c>
      <c r="K36" s="853">
        <f t="shared" ref="K36:L36" si="5">K35/E35</f>
        <v>3.7724489795918366E-2</v>
      </c>
      <c r="L36" s="853">
        <f t="shared" si="5"/>
        <v>3.5083773584905657E-2</v>
      </c>
    </row>
    <row r="37" spans="2:13" x14ac:dyDescent="0.25">
      <c r="B37" s="1098" t="s">
        <v>3570</v>
      </c>
      <c r="C37" s="1099"/>
      <c r="D37" s="799">
        <v>1720000</v>
      </c>
      <c r="E37" s="799">
        <v>1900000</v>
      </c>
      <c r="F37" s="799">
        <v>2050000</v>
      </c>
      <c r="H37" s="1098" t="s">
        <v>3575</v>
      </c>
      <c r="I37" s="1099"/>
      <c r="J37" s="799">
        <f>'PROFIT &amp; LOSS'!F12+'PROFIT &amp; LOSS'!F18</f>
        <v>73581</v>
      </c>
      <c r="K37" s="799">
        <f>'PROFIT &amp; LOSS'!G12+'PROFIT &amp; LOSS'!G18</f>
        <v>72986</v>
      </c>
      <c r="L37" s="799">
        <f>'PROFIT &amp; LOSS'!H12+'PROFIT &amp; LOSS'!H18</f>
        <v>71068</v>
      </c>
    </row>
    <row r="38" spans="2:13" x14ac:dyDescent="0.25">
      <c r="B38" s="851" t="s">
        <v>3591</v>
      </c>
      <c r="C38" s="852"/>
      <c r="D38" s="853">
        <f>D37/D35</f>
        <v>0.78181818181818186</v>
      </c>
      <c r="E38" s="853">
        <f t="shared" ref="E38:F38" si="6">E37/E35</f>
        <v>0.77551020408163263</v>
      </c>
      <c r="F38" s="853">
        <f t="shared" si="6"/>
        <v>0.77358490566037741</v>
      </c>
      <c r="G38" s="857"/>
      <c r="H38" s="851" t="s">
        <v>3591</v>
      </c>
      <c r="I38" s="852"/>
      <c r="J38" s="853">
        <f>J37/J35</f>
        <v>0.7894872372614028</v>
      </c>
      <c r="K38" s="853">
        <f t="shared" ref="K38:L38" si="7">K37/K35</f>
        <v>0.78967811739248039</v>
      </c>
      <c r="L38" s="853">
        <f t="shared" si="7"/>
        <v>0.76440218560426798</v>
      </c>
    </row>
    <row r="39" spans="2:13" x14ac:dyDescent="0.25">
      <c r="B39" s="1098" t="s">
        <v>3571</v>
      </c>
      <c r="C39" s="1099"/>
      <c r="D39" s="799">
        <v>480000</v>
      </c>
      <c r="E39" s="799">
        <v>550000</v>
      </c>
      <c r="F39" s="799">
        <v>600000</v>
      </c>
      <c r="H39" s="1098" t="s">
        <v>3576</v>
      </c>
      <c r="I39" s="1099"/>
      <c r="J39" s="799">
        <f>'PROFIT &amp; LOSS'!F21</f>
        <v>19620</v>
      </c>
      <c r="K39" s="799">
        <f>'PROFIT &amp; LOSS'!G21</f>
        <v>19439</v>
      </c>
      <c r="L39" s="799">
        <f>'PROFIT &amp; LOSS'!H21</f>
        <v>21904</v>
      </c>
    </row>
    <row r="40" spans="2:13" x14ac:dyDescent="0.25">
      <c r="B40" s="851" t="s">
        <v>519</v>
      </c>
      <c r="C40" s="852"/>
      <c r="D40" s="853">
        <f>D39/D35</f>
        <v>0.21818181818181817</v>
      </c>
      <c r="E40" s="853">
        <f t="shared" ref="E40:F40" si="8">E39/E35</f>
        <v>0.22448979591836735</v>
      </c>
      <c r="F40" s="853">
        <f t="shared" si="8"/>
        <v>0.22641509433962265</v>
      </c>
      <c r="H40" s="851" t="s">
        <v>519</v>
      </c>
      <c r="I40" s="852"/>
      <c r="J40" s="853">
        <f>J39/J35</f>
        <v>0.21051276273859723</v>
      </c>
      <c r="K40" s="853">
        <f t="shared" ref="K40:L40" si="9">K39/K35</f>
        <v>0.21032188260751961</v>
      </c>
      <c r="L40" s="853">
        <f t="shared" si="9"/>
        <v>0.23559781439573205</v>
      </c>
      <c r="M40" s="857"/>
    </row>
    <row r="41" spans="2:13" x14ac:dyDescent="0.25">
      <c r="B41" s="1109" t="s">
        <v>3572</v>
      </c>
      <c r="C41" s="1110"/>
      <c r="D41" s="799">
        <v>235000</v>
      </c>
      <c r="E41" s="799">
        <v>275000</v>
      </c>
      <c r="F41" s="799">
        <v>300000</v>
      </c>
      <c r="H41" s="1109" t="s">
        <v>3577</v>
      </c>
      <c r="I41" s="1110"/>
      <c r="J41" s="799">
        <f>'PROFIT &amp; LOSS'!F38</f>
        <v>11804</v>
      </c>
      <c r="K41" s="799">
        <f>'PROFIT &amp; LOSS'!G38</f>
        <v>11168</v>
      </c>
      <c r="L41" s="799">
        <f>'PROFIT &amp; LOSS'!H38</f>
        <v>13191</v>
      </c>
    </row>
    <row r="42" spans="2:13" x14ac:dyDescent="0.25">
      <c r="B42" s="854" t="s">
        <v>521</v>
      </c>
      <c r="C42" s="855"/>
      <c r="D42" s="856">
        <f>D41/D35</f>
        <v>0.10681818181818181</v>
      </c>
      <c r="E42" s="856">
        <f t="shared" ref="E42:F42" si="10">E41/E35</f>
        <v>0.11224489795918367</v>
      </c>
      <c r="F42" s="856">
        <f t="shared" si="10"/>
        <v>0.11320754716981132</v>
      </c>
      <c r="H42" s="854" t="s">
        <v>521</v>
      </c>
      <c r="I42" s="855"/>
      <c r="J42" s="856">
        <f>J41/J35</f>
        <v>0.1266510015986953</v>
      </c>
      <c r="K42" s="856">
        <f t="shared" ref="K42:L42" si="11">K41/K35</f>
        <v>0.12083310792534488</v>
      </c>
      <c r="L42" s="856">
        <f t="shared" si="11"/>
        <v>0.14188142666609302</v>
      </c>
    </row>
    <row r="44" spans="2:13" x14ac:dyDescent="0.25">
      <c r="B44" s="795" t="s">
        <v>3579</v>
      </c>
      <c r="C44" s="788"/>
      <c r="D44" s="1111">
        <f>(F30/D30)^(1/2)-1</f>
        <v>0.14707866935280878</v>
      </c>
      <c r="E44" s="1111"/>
      <c r="F44" s="1112"/>
      <c r="H44" s="1108" t="s">
        <v>3586</v>
      </c>
      <c r="I44" s="1108"/>
      <c r="J44" s="1108"/>
      <c r="K44" s="1108"/>
      <c r="L44" s="1108"/>
    </row>
    <row r="45" spans="2:13" x14ac:dyDescent="0.25">
      <c r="B45" s="1098" t="s">
        <v>3580</v>
      </c>
      <c r="C45" s="1099"/>
      <c r="D45" s="804">
        <f>D31/D30</f>
        <v>0.75789473684210529</v>
      </c>
      <c r="E45" s="804">
        <f t="shared" ref="E45:F45" si="12">E31/E30</f>
        <v>0.75</v>
      </c>
      <c r="F45" s="805">
        <f t="shared" si="12"/>
        <v>0.76</v>
      </c>
      <c r="H45" s="1108"/>
      <c r="I45" s="1108"/>
      <c r="J45" s="1108"/>
      <c r="K45" s="1108"/>
      <c r="L45" s="1108"/>
    </row>
    <row r="46" spans="2:13" x14ac:dyDescent="0.25">
      <c r="B46" s="1104" t="s">
        <v>3581</v>
      </c>
      <c r="C46" s="1105"/>
      <c r="D46" s="806">
        <f>D33/D30</f>
        <v>0.12105263157894737</v>
      </c>
      <c r="E46" s="806">
        <f t="shared" ref="E46:F46" si="13">E33/E30</f>
        <v>0.12222222222222222</v>
      </c>
      <c r="F46" s="807">
        <f t="shared" si="13"/>
        <v>0.12</v>
      </c>
      <c r="H46" s="1108"/>
      <c r="I46" s="1108"/>
      <c r="J46" s="1108"/>
      <c r="K46" s="1108"/>
      <c r="L46" s="1108"/>
    </row>
    <row r="48" spans="2:13" ht="15.6" x14ac:dyDescent="0.3">
      <c r="D48" s="812">
        <v>2026</v>
      </c>
      <c r="E48" s="812">
        <v>2027</v>
      </c>
      <c r="F48" s="812">
        <v>2028</v>
      </c>
      <c r="H48" s="1108" t="s">
        <v>3603</v>
      </c>
      <c r="I48" s="1108"/>
      <c r="J48" s="1108"/>
      <c r="K48" s="1108"/>
      <c r="L48" s="1108"/>
    </row>
    <row r="49" spans="2:12" x14ac:dyDescent="0.25">
      <c r="B49" s="795" t="s">
        <v>3582</v>
      </c>
      <c r="C49" s="788"/>
      <c r="D49" s="798">
        <f>F30*(1+$D$44)</f>
        <v>14338483.366910109</v>
      </c>
      <c r="E49" s="798">
        <f>D49*(1+$D$44)</f>
        <v>16447368.421052629</v>
      </c>
      <c r="F49" s="798">
        <f t="shared" ref="F49" si="14">E49*(1+$D$44)</f>
        <v>18866425.482776456</v>
      </c>
      <c r="H49" s="1108"/>
      <c r="I49" s="1108"/>
      <c r="J49" s="1108"/>
      <c r="K49" s="1108"/>
      <c r="L49" s="1108"/>
    </row>
    <row r="50" spans="2:12" x14ac:dyDescent="0.25">
      <c r="B50" s="796" t="s">
        <v>3583</v>
      </c>
      <c r="C50" s="789"/>
      <c r="D50" s="799">
        <f>D49*$F$45</f>
        <v>10897247.358851682</v>
      </c>
      <c r="E50" s="799">
        <f t="shared" ref="E50:F50" si="15">E49*$F$45</f>
        <v>12499999.999999998</v>
      </c>
      <c r="F50" s="799">
        <f t="shared" si="15"/>
        <v>14338483.366910106</v>
      </c>
      <c r="H50" s="1108"/>
      <c r="I50" s="1108"/>
      <c r="J50" s="1108"/>
      <c r="K50" s="1108"/>
      <c r="L50" s="1108"/>
    </row>
    <row r="51" spans="2:12" x14ac:dyDescent="0.25">
      <c r="B51" s="796" t="s">
        <v>3584</v>
      </c>
      <c r="C51" s="789"/>
      <c r="D51" s="799">
        <f>D49-D50</f>
        <v>3441236.0080584269</v>
      </c>
      <c r="E51" s="799">
        <f t="shared" ref="E51:F51" si="16">E49-E50</f>
        <v>3947368.421052631</v>
      </c>
      <c r="F51" s="799">
        <f t="shared" si="16"/>
        <v>4527942.11586635</v>
      </c>
      <c r="H51" s="1108"/>
      <c r="I51" s="1108"/>
      <c r="J51" s="1108"/>
      <c r="K51" s="1108"/>
      <c r="L51" s="1108"/>
    </row>
    <row r="52" spans="2:12" x14ac:dyDescent="0.25">
      <c r="B52" s="797" t="s">
        <v>3585</v>
      </c>
      <c r="C52" s="790"/>
      <c r="D52" s="800">
        <f>D49*$F$46</f>
        <v>1720618.004029213</v>
      </c>
      <c r="E52" s="800">
        <f t="shared" ref="E52:F52" si="17">E49*$F$46</f>
        <v>1973684.2105263155</v>
      </c>
      <c r="F52" s="800">
        <f t="shared" si="17"/>
        <v>2263971.0579331745</v>
      </c>
      <c r="H52" s="1108"/>
      <c r="I52" s="1108"/>
      <c r="J52" s="1108"/>
      <c r="K52" s="1108"/>
      <c r="L52" s="1108"/>
    </row>
    <row r="53" spans="2:12" ht="15.6" x14ac:dyDescent="0.3">
      <c r="J53" s="812"/>
      <c r="K53" s="812"/>
      <c r="L53" s="812"/>
    </row>
    <row r="54" spans="2:12" ht="15" customHeight="1" x14ac:dyDescent="0.25">
      <c r="B54" s="795" t="s">
        <v>3587</v>
      </c>
      <c r="C54" s="788"/>
      <c r="D54" s="798">
        <f>D49*$F$36</f>
        <v>3039758.4737849431</v>
      </c>
      <c r="E54" s="798">
        <f t="shared" ref="E54:F54" si="18">E49*$F$36</f>
        <v>3486842.1052631573</v>
      </c>
      <c r="F54" s="809">
        <f t="shared" si="18"/>
        <v>3999682.2023486085</v>
      </c>
      <c r="H54" s="1108" t="s">
        <v>3593</v>
      </c>
      <c r="I54" s="1108"/>
      <c r="J54" s="1108"/>
      <c r="K54" s="1108"/>
      <c r="L54" s="1108"/>
    </row>
    <row r="55" spans="2:12" x14ac:dyDescent="0.25">
      <c r="B55" s="796" t="s">
        <v>3588</v>
      </c>
      <c r="C55" s="789"/>
      <c r="D55" s="799">
        <f>D54*$F$38</f>
        <v>2351511.272173258</v>
      </c>
      <c r="E55" s="799">
        <f t="shared" ref="E55:F55" si="19">E54*$F$38</f>
        <v>2697368.4210526315</v>
      </c>
      <c r="F55" s="810">
        <f t="shared" si="19"/>
        <v>3094093.7791753388</v>
      </c>
      <c r="H55" s="1108"/>
      <c r="I55" s="1108"/>
      <c r="J55" s="1108"/>
      <c r="K55" s="1108"/>
      <c r="L55" s="1108"/>
    </row>
    <row r="56" spans="2:12" x14ac:dyDescent="0.25">
      <c r="B56" s="796" t="s">
        <v>3589</v>
      </c>
      <c r="C56" s="789"/>
      <c r="D56" s="799">
        <f>D54-D55</f>
        <v>688247.2016116851</v>
      </c>
      <c r="E56" s="799">
        <f t="shared" ref="E56:F56" si="20">E54-E55</f>
        <v>789473.68421052583</v>
      </c>
      <c r="F56" s="810">
        <f t="shared" si="20"/>
        <v>905588.42317326972</v>
      </c>
      <c r="H56" s="1108"/>
      <c r="I56" s="1108"/>
      <c r="J56" s="1108"/>
      <c r="K56" s="1108"/>
      <c r="L56" s="1108"/>
    </row>
    <row r="57" spans="2:12" x14ac:dyDescent="0.25">
      <c r="B57" s="797" t="s">
        <v>3590</v>
      </c>
      <c r="C57" s="790"/>
      <c r="D57" s="800">
        <f>D54*$F$42</f>
        <v>344123.60080584261</v>
      </c>
      <c r="E57" s="800">
        <f t="shared" ref="E57:F57" si="21">E54*$F$42</f>
        <v>394736.84210526309</v>
      </c>
      <c r="F57" s="811">
        <f t="shared" si="21"/>
        <v>452794.21158663492</v>
      </c>
      <c r="H57" s="1108"/>
      <c r="I57" s="1108"/>
      <c r="J57" s="1108"/>
      <c r="K57" s="1108"/>
      <c r="L57" s="1108"/>
    </row>
    <row r="58" spans="2:12" x14ac:dyDescent="0.25">
      <c r="H58" s="1108"/>
      <c r="I58" s="1108"/>
      <c r="J58" s="1108"/>
      <c r="K58" s="1108"/>
      <c r="L58" s="1108"/>
    </row>
    <row r="60" spans="2:12" x14ac:dyDescent="0.25">
      <c r="B60" s="1076" t="s">
        <v>3594</v>
      </c>
      <c r="C60" s="1076"/>
      <c r="D60" s="1076"/>
      <c r="E60" s="1076"/>
      <c r="F60" s="1076"/>
      <c r="G60" s="1076"/>
      <c r="H60" s="1076"/>
      <c r="I60" s="1076"/>
      <c r="J60" s="1076"/>
      <c r="K60" s="1076"/>
      <c r="L60" s="1076"/>
    </row>
    <row r="61" spans="2:12" x14ac:dyDescent="0.25">
      <c r="B61" s="1076"/>
      <c r="C61" s="1076"/>
      <c r="D61" s="1076"/>
      <c r="E61" s="1076"/>
      <c r="F61" s="1076"/>
      <c r="G61" s="1076"/>
      <c r="H61" s="1076"/>
      <c r="I61" s="1076"/>
      <c r="J61" s="1076"/>
      <c r="K61" s="1076"/>
      <c r="L61" s="1076"/>
    </row>
    <row r="63" spans="2:12" x14ac:dyDescent="0.25">
      <c r="B63" s="794" t="s">
        <v>3595</v>
      </c>
      <c r="C63" s="784"/>
      <c r="D63" s="819" t="s">
        <v>500</v>
      </c>
      <c r="E63" s="819" t="s">
        <v>95</v>
      </c>
      <c r="F63" s="818" t="s">
        <v>288</v>
      </c>
      <c r="H63" s="823" t="s">
        <v>3596</v>
      </c>
      <c r="I63" s="817" t="s">
        <v>474</v>
      </c>
      <c r="J63" s="817" t="s">
        <v>477</v>
      </c>
      <c r="K63" s="817" t="s">
        <v>475</v>
      </c>
      <c r="L63" s="818" t="s">
        <v>3597</v>
      </c>
    </row>
    <row r="64" spans="2:12" x14ac:dyDescent="0.25">
      <c r="H64" s="786"/>
    </row>
    <row r="65" spans="2:15" x14ac:dyDescent="0.25">
      <c r="B65" s="795" t="str">
        <f>'RELATIVE VALUATION'!B13</f>
        <v>TCS</v>
      </c>
      <c r="C65" s="786"/>
      <c r="D65" s="798">
        <f>'RELATIVE VALUATION'!I13</f>
        <v>1192757.8</v>
      </c>
      <c r="E65" s="809">
        <f>'RELATIVE VALUATION'!K13</f>
        <v>255324</v>
      </c>
      <c r="F65" s="814">
        <f>'RELATIVE VALUATION'!G13</f>
        <v>1194382.8</v>
      </c>
      <c r="G65" s="808"/>
      <c r="H65" s="795">
        <f>'RELATIVE VALUATION'!L13</f>
        <v>71369</v>
      </c>
      <c r="I65" s="791">
        <f>'RELATIVE VALUATION'!M13</f>
        <v>48797</v>
      </c>
      <c r="J65" s="824">
        <f>F65/I65</f>
        <v>24.476562083734656</v>
      </c>
      <c r="K65" s="824">
        <f>D65/E65</f>
        <v>4.6715459572934783</v>
      </c>
      <c r="L65" s="825">
        <f>D65/H65</f>
        <v>16.712547464585466</v>
      </c>
    </row>
    <row r="66" spans="2:15" x14ac:dyDescent="0.25">
      <c r="B66" s="796" t="str">
        <f>'RELATIVE VALUATION'!B14</f>
        <v>Infosys</v>
      </c>
      <c r="D66" s="799">
        <f>'RELATIVE VALUATION'!I14</f>
        <v>576739.25</v>
      </c>
      <c r="E66" s="810">
        <f>'RELATIVE VALUATION'!K14</f>
        <v>162990</v>
      </c>
      <c r="F66" s="815">
        <f>'RELATIVE VALUATION'!G14</f>
        <v>587918.25</v>
      </c>
      <c r="G66" s="808"/>
      <c r="H66" s="796">
        <f>'RELATIVE VALUATION'!L14</f>
        <v>42836</v>
      </c>
      <c r="I66" s="792">
        <f>'RELATIVE VALUATION'!M14</f>
        <v>26750</v>
      </c>
      <c r="J66" s="826">
        <f t="shared" ref="J66:J70" si="22">F66/I66</f>
        <v>21.978252336448598</v>
      </c>
      <c r="K66" s="826">
        <f t="shared" ref="K66:K70" si="23">D66/E66</f>
        <v>3.5384946929259464</v>
      </c>
      <c r="L66" s="827">
        <f t="shared" ref="L66:L70" si="24">D66/H66</f>
        <v>13.463891353067513</v>
      </c>
    </row>
    <row r="67" spans="2:15" x14ac:dyDescent="0.25">
      <c r="B67" s="796" t="str">
        <f>'RELATIVE VALUATION'!B15</f>
        <v>HCL Technologies</v>
      </c>
      <c r="D67" s="799">
        <f>'RELATIVE VALUATION'!I15</f>
        <v>368421.1</v>
      </c>
      <c r="E67" s="810">
        <f>'RELATIVE VALUATION'!K15</f>
        <v>117055</v>
      </c>
      <c r="F67" s="815">
        <f>'RELATIVE VALUATION'!G15</f>
        <v>385389.1</v>
      </c>
      <c r="G67" s="808"/>
      <c r="H67" s="796">
        <f>'RELATIVE VALUATION'!L15</f>
        <v>27989</v>
      </c>
      <c r="I67" s="792">
        <f>'RELATIVE VALUATION'!M15</f>
        <v>17399</v>
      </c>
      <c r="J67" s="826">
        <f t="shared" si="22"/>
        <v>22.150071843209378</v>
      </c>
      <c r="K67" s="826">
        <f t="shared" si="23"/>
        <v>3.1474187347827942</v>
      </c>
      <c r="L67" s="827">
        <f t="shared" si="24"/>
        <v>13.163067633713244</v>
      </c>
    </row>
    <row r="68" spans="2:15" x14ac:dyDescent="0.25">
      <c r="B68" s="796" t="str">
        <f>'RELATIVE VALUATION'!B16</f>
        <v>LTIMindtree</v>
      </c>
      <c r="D68" s="799">
        <f>'RELATIVE VALUATION'!I16</f>
        <v>123485.5</v>
      </c>
      <c r="E68" s="810">
        <f>'RELATIVE VALUATION'!K16</f>
        <v>38008</v>
      </c>
      <c r="F68" s="815">
        <f>'RELATIVE VALUATION'!G16</f>
        <v>124087.5</v>
      </c>
      <c r="G68" s="808"/>
      <c r="H68" s="796">
        <f>'RELATIVE VALUATION'!L16</f>
        <v>7485</v>
      </c>
      <c r="I68" s="792">
        <f>'RELATIVE VALUATION'!M16</f>
        <v>4602</v>
      </c>
      <c r="J68" s="826">
        <f t="shared" si="22"/>
        <v>26.963820078226856</v>
      </c>
      <c r="K68" s="826">
        <f t="shared" si="23"/>
        <v>3.24893443485582</v>
      </c>
      <c r="L68" s="827">
        <f t="shared" si="24"/>
        <v>16.497728790915165</v>
      </c>
    </row>
    <row r="69" spans="2:15" x14ac:dyDescent="0.25">
      <c r="B69" s="796" t="str">
        <f>'RELATIVE VALUATION'!B17</f>
        <v>Tech Mahindra</v>
      </c>
      <c r="D69" s="799">
        <f>'RELATIVE VALUATION'!I17</f>
        <v>125799.15000000001</v>
      </c>
      <c r="E69" s="810">
        <f>'RELATIVE VALUATION'!K17</f>
        <v>52988</v>
      </c>
      <c r="F69" s="815">
        <f>'RELATIVE VALUATION'!G17</f>
        <v>128132.15000000001</v>
      </c>
      <c r="G69" s="808"/>
      <c r="H69" s="796">
        <f>'RELATIVE VALUATION'!L17</f>
        <v>7828</v>
      </c>
      <c r="I69" s="792">
        <f>'RELATIVE VALUATION'!M17</f>
        <v>4253</v>
      </c>
      <c r="J69" s="826">
        <f t="shared" si="22"/>
        <v>30.127474723724433</v>
      </c>
      <c r="K69" s="826">
        <f t="shared" si="23"/>
        <v>2.3741064014493851</v>
      </c>
      <c r="L69" s="827">
        <f t="shared" si="24"/>
        <v>16.070407511497191</v>
      </c>
    </row>
    <row r="70" spans="2:15" x14ac:dyDescent="0.25">
      <c r="B70" s="797" t="str">
        <f>'RELATIVE VALUATION'!B18</f>
        <v>Persistent Systems</v>
      </c>
      <c r="C70" s="787"/>
      <c r="D70" s="800">
        <f>'RELATIVE VALUATION'!I18</f>
        <v>68350.25</v>
      </c>
      <c r="E70" s="811">
        <f>'RELATIVE VALUATION'!K18</f>
        <v>11939</v>
      </c>
      <c r="F70" s="816">
        <f>'RELATIVE VALUATION'!G18</f>
        <v>69149.25</v>
      </c>
      <c r="G70" s="808"/>
      <c r="H70" s="797">
        <f>'RELATIVE VALUATION'!L18</f>
        <v>2196</v>
      </c>
      <c r="I70" s="793">
        <f>'RELATIVE VALUATION'!M18</f>
        <v>1400</v>
      </c>
      <c r="J70" s="828">
        <f t="shared" si="22"/>
        <v>49.392321428571428</v>
      </c>
      <c r="K70" s="828">
        <f t="shared" si="23"/>
        <v>5.7249560264678783</v>
      </c>
      <c r="L70" s="829">
        <f t="shared" si="24"/>
        <v>31.124886156648451</v>
      </c>
    </row>
    <row r="72" spans="2:15" x14ac:dyDescent="0.25">
      <c r="B72" s="830" t="s">
        <v>407</v>
      </c>
      <c r="C72" s="831"/>
      <c r="D72" s="832">
        <f>'RELATIVE VALUATION'!I11</f>
        <v>143270.671</v>
      </c>
      <c r="E72" s="832">
        <f>'RELATIVE VALUATION'!K11</f>
        <v>89088</v>
      </c>
      <c r="F72" s="831">
        <f>'RELATIVE VALUATION'!G11</f>
        <v>139447.671</v>
      </c>
      <c r="H72" s="833">
        <f>L39</f>
        <v>21904</v>
      </c>
      <c r="I72" s="833">
        <f>L41</f>
        <v>13191</v>
      </c>
      <c r="J72" s="834">
        <f>F72/I72</f>
        <v>10.571425289970435</v>
      </c>
      <c r="K72" s="834">
        <f>D72/E72</f>
        <v>1.608192697108477</v>
      </c>
      <c r="L72" s="835">
        <f>D72/H72</f>
        <v>6.5408450967859757</v>
      </c>
    </row>
    <row r="73" spans="2:15" ht="15.6" x14ac:dyDescent="0.3">
      <c r="D73" s="836" t="s">
        <v>477</v>
      </c>
      <c r="E73" s="836" t="s">
        <v>3490</v>
      </c>
      <c r="F73" s="836" t="s">
        <v>3598</v>
      </c>
      <c r="H73" s="837" t="s">
        <v>3599</v>
      </c>
      <c r="I73" s="837" t="s">
        <v>3600</v>
      </c>
      <c r="J73" s="837" t="s">
        <v>3601</v>
      </c>
      <c r="K73" s="837" t="s">
        <v>3354</v>
      </c>
      <c r="L73" s="837" t="s">
        <v>3602</v>
      </c>
    </row>
    <row r="74" spans="2:15" x14ac:dyDescent="0.25">
      <c r="B74" s="795" t="str">
        <f>B65</f>
        <v>TCS</v>
      </c>
      <c r="C74" s="788"/>
      <c r="D74" s="824">
        <f>J65</f>
        <v>24.476562083734656</v>
      </c>
      <c r="E74" s="824">
        <f>K65</f>
        <v>4.6715459572934783</v>
      </c>
      <c r="F74" s="825">
        <f>L65</f>
        <v>16.712547464585466</v>
      </c>
      <c r="H74" s="820">
        <f>'RELATIVE VALUATION'!$Q$23*STATEMENTS!K77</f>
        <v>3284.5098660163535</v>
      </c>
      <c r="I74" s="838">
        <f>(('RELATIVE VALUATION'!$O$23*E65)-('RELATIVE VALUATION'!H13))/'RELATIVE VALUATION'!F13</f>
        <v>2296.0108719478658</v>
      </c>
      <c r="J74" s="841">
        <f>((H65*'RELATIVE VALUATION'!$P$23)-('RELATIVE VALUATION'!H13))/'RELATIVE VALUATION'!F13</f>
        <v>3172.800866541555</v>
      </c>
      <c r="K74" s="820">
        <f>'RELATIVE VALUATION'!E13</f>
        <v>3299.4</v>
      </c>
      <c r="L74" s="844">
        <f>(H74*0.5)+(I74*0.1)+(J74*0.4)</f>
        <v>3140.9763668195856</v>
      </c>
      <c r="M74" s="813"/>
      <c r="N74" s="813"/>
      <c r="O74" s="813"/>
    </row>
    <row r="75" spans="2:15" x14ac:dyDescent="0.25">
      <c r="B75" s="796" t="str">
        <f t="shared" ref="B75:B79" si="25">B66</f>
        <v>Infosys</v>
      </c>
      <c r="C75" s="789"/>
      <c r="D75" s="826">
        <f t="shared" ref="D75:F75" si="26">J66</f>
        <v>21.978252336448598</v>
      </c>
      <c r="E75" s="826">
        <f t="shared" si="26"/>
        <v>3.5384946929259464</v>
      </c>
      <c r="F75" s="827">
        <f t="shared" si="26"/>
        <v>13.463891353067513</v>
      </c>
      <c r="H75" s="821">
        <f>'RELATIVE VALUATION'!$Q$23*STATEMENTS!K78</f>
        <v>1578.7382544008854</v>
      </c>
      <c r="I75" s="813">
        <f>(('RELATIVE VALUATION'!$O$23*E66)-('RELATIVE VALUATION'!H14))/'RELATIVE VALUATION'!F14</f>
        <v>1335.1180828077779</v>
      </c>
      <c r="J75" s="842">
        <f>((H66*'RELATIVE VALUATION'!$P$23)-('RELATIVE VALUATION'!H14))/'RELATIVE VALUATION'!F14</f>
        <v>1727.3357436110955</v>
      </c>
      <c r="K75" s="821">
        <f>'RELATIVE VALUATION'!E14</f>
        <v>1451.65</v>
      </c>
      <c r="L75" s="845">
        <f>(H75*0.5)+(I75*0.1)+(J75*0.4)</f>
        <v>1613.8152329256586</v>
      </c>
      <c r="M75" s="813"/>
      <c r="N75" s="813"/>
      <c r="O75" s="813"/>
    </row>
    <row r="76" spans="2:15" x14ac:dyDescent="0.25">
      <c r="B76" s="796" t="str">
        <f t="shared" si="25"/>
        <v>HCL Technologies</v>
      </c>
      <c r="C76" s="789"/>
      <c r="D76" s="826">
        <f t="shared" ref="D76:F76" si="27">J67</f>
        <v>22.150071843209378</v>
      </c>
      <c r="E76" s="826">
        <f t="shared" si="27"/>
        <v>3.1474187347827942</v>
      </c>
      <c r="F76" s="827">
        <f t="shared" si="27"/>
        <v>13.163067633713244</v>
      </c>
      <c r="H76" s="821">
        <f>'RELATIVE VALUATION'!$Q$23*STATEMENTS!K79</f>
        <v>1570.4162232924155</v>
      </c>
      <c r="I76" s="813">
        <f>(('RELATIVE VALUATION'!$O$23*E67)-('RELATIVE VALUATION'!H15))/'RELATIVE VALUATION'!F15</f>
        <v>1465.9484142880001</v>
      </c>
      <c r="J76" s="842">
        <f>((H67*'RELATIVE VALUATION'!$P$23)-('RELATIVE VALUATION'!H15))/'RELATIVE VALUATION'!F15</f>
        <v>1722.3713499604976</v>
      </c>
      <c r="K76" s="821">
        <f>'RELATIVE VALUATION'!E15</f>
        <v>1422.1</v>
      </c>
      <c r="L76" s="845">
        <f>(H76*0.5)+(I76*0.1)+(J76*0.4)</f>
        <v>1620.751493059207</v>
      </c>
      <c r="M76" s="813"/>
      <c r="N76" s="813"/>
      <c r="O76" s="813"/>
    </row>
    <row r="77" spans="2:15" x14ac:dyDescent="0.25">
      <c r="B77" s="796" t="str">
        <f t="shared" si="25"/>
        <v>LTIMindtree</v>
      </c>
      <c r="C77" s="789"/>
      <c r="D77" s="826">
        <f t="shared" ref="D77:F77" si="28">J68</f>
        <v>26.963820078226856</v>
      </c>
      <c r="E77" s="826">
        <f t="shared" si="28"/>
        <v>3.24893443485582</v>
      </c>
      <c r="F77" s="827">
        <f t="shared" si="28"/>
        <v>16.497728790915165</v>
      </c>
      <c r="H77" s="821">
        <f>'RELATIVE VALUATION'!$Q$23*STATEMENTS!K80</f>
        <v>4332.3514888210339</v>
      </c>
      <c r="I77" s="813">
        <f>(('RELATIVE VALUATION'!$O$23*'RELATIVE VALUATION'!K16)-('RELATIVE VALUATION'!H16))/'RELATIVE VALUATION'!F16</f>
        <v>4136.25</v>
      </c>
      <c r="J77" s="842">
        <f>((H68*'RELATIVE VALUATION'!$P$23)-('RELATIVE VALUATION'!H16))/'RELATIVE VALUATION'!F16</f>
        <v>4029.6333407852158</v>
      </c>
      <c r="K77" s="821">
        <f>'RELATIVE VALUATION'!E16</f>
        <v>4136.25</v>
      </c>
      <c r="L77" s="845">
        <f>(H77*0.5)+(I77*0)+(J77*0.5)</f>
        <v>4180.992414803125</v>
      </c>
      <c r="M77" s="813"/>
      <c r="N77" s="813"/>
      <c r="O77" s="813"/>
    </row>
    <row r="78" spans="2:15" x14ac:dyDescent="0.25">
      <c r="B78" s="796" t="str">
        <f t="shared" si="25"/>
        <v>Tech Mahindra</v>
      </c>
      <c r="C78" s="789"/>
      <c r="D78" s="826">
        <f t="shared" ref="D78:F78" si="29">J69</f>
        <v>30.127474723724433</v>
      </c>
      <c r="E78" s="826">
        <f t="shared" si="29"/>
        <v>2.3741064014493851</v>
      </c>
      <c r="F78" s="827">
        <f t="shared" si="29"/>
        <v>16.070407511497191</v>
      </c>
      <c r="H78" s="821">
        <f>'RELATIVE VALUATION'!$Q$23*STATEMENTS!K81</f>
        <v>1174.8749800192636</v>
      </c>
      <c r="I78" s="813">
        <f>(('RELATIVE VALUATION'!$O$23*E69)-('RELATIVE VALUATION'!H17))/'RELATIVE VALUATION'!F17</f>
        <v>1798.8405962282493</v>
      </c>
      <c r="J78" s="842">
        <f>((H69*'RELATIVE VALUATION'!$P$23)-('RELATIVE VALUATION'!H17))/'RELATIVE VALUATION'!F17</f>
        <v>1320.95</v>
      </c>
      <c r="K78" s="821">
        <f>'RELATIVE VALUATION'!E17</f>
        <v>1320.95</v>
      </c>
      <c r="L78" s="858">
        <f>(H78*0.9)+(I78*0.1)+(J78*0)</f>
        <v>1237.2715416401622</v>
      </c>
      <c r="M78" s="813"/>
      <c r="N78" s="813"/>
      <c r="O78" s="813"/>
    </row>
    <row r="79" spans="2:15" x14ac:dyDescent="0.25">
      <c r="B79" s="797" t="str">
        <f t="shared" si="25"/>
        <v>Persistent Systems</v>
      </c>
      <c r="C79" s="790"/>
      <c r="D79" s="828">
        <f t="shared" ref="D79:F79" si="30">J70</f>
        <v>49.392321428571428</v>
      </c>
      <c r="E79" s="828">
        <f t="shared" si="30"/>
        <v>5.7249560264678783</v>
      </c>
      <c r="F79" s="829">
        <f t="shared" si="30"/>
        <v>31.124886156648451</v>
      </c>
      <c r="H79" s="822">
        <f>'RELATIVE VALUATION'!$Q$23*STATEMENTS!K82</f>
        <v>2216.1079310613359</v>
      </c>
      <c r="I79" s="839">
        <f>(('RELATIVE VALUATION'!$O$23*E70)-('RELATIVE VALUATION'!H18))/'RELATIVE VALUATION'!F18</f>
        <v>2639.2018811829093</v>
      </c>
      <c r="J79" s="843">
        <f>((H70*'RELATIVE VALUATION'!$P$23)-('RELATIVE VALUATION'!H18))/'RELATIVE VALUATION'!F18</f>
        <v>2405.9743263498553</v>
      </c>
      <c r="K79" s="843">
        <f>'RELATIVE VALUATION'!E18</f>
        <v>4609.95</v>
      </c>
      <c r="L79" s="846">
        <f>(H79*0.4)+(I79*0.4)+(J79*0.2)</f>
        <v>2423.3187901676692</v>
      </c>
      <c r="M79" s="813"/>
      <c r="N79" s="813"/>
      <c r="O79" s="813"/>
    </row>
    <row r="81" spans="2:12" x14ac:dyDescent="0.25">
      <c r="B81" s="830" t="str">
        <f>B72</f>
        <v>Wipro</v>
      </c>
      <c r="C81" s="831"/>
      <c r="D81" s="834">
        <f>J72</f>
        <v>10.571425289970435</v>
      </c>
      <c r="E81" s="834">
        <f t="shared" ref="E81:F81" si="31">K72</f>
        <v>1.608192697108477</v>
      </c>
      <c r="F81" s="834">
        <f t="shared" si="31"/>
        <v>6.5408450967859757</v>
      </c>
      <c r="H81" s="840">
        <f>'RELATIVE VALUATION'!Q23*'PROFIT &amp; LOSS'!H42</f>
        <v>306.44655728835789</v>
      </c>
      <c r="I81" s="840">
        <f>(('RELATIVE VALUATION'!O23*'RELATIVE VALUATION'!K11)-('RELATIVE VALUATION'!H11))/'RELATIVE VALUATION'!F11</f>
        <v>504.47404654509302</v>
      </c>
      <c r="J81" s="840">
        <f>(('RELATIVE VALUATION'!P23*'RELATIVE VALUATION'!L11)-('RELATIVE VALUATION'!H11))/'RELATIVE VALUATION'!F11</f>
        <v>614.97996384802184</v>
      </c>
      <c r="K81" s="840">
        <f>COVER!E8</f>
        <v>246.3</v>
      </c>
      <c r="L81" s="934">
        <f>COVER!$E$9</f>
        <v>213.2224602634121</v>
      </c>
    </row>
    <row r="83" spans="2:12" x14ac:dyDescent="0.25">
      <c r="B83" s="1107" t="s">
        <v>3830</v>
      </c>
      <c r="C83" s="1107"/>
      <c r="D83" s="1107"/>
      <c r="E83" s="1107"/>
      <c r="F83" s="1107"/>
      <c r="G83" s="1107"/>
      <c r="H83" s="1107"/>
      <c r="I83" s="1107"/>
      <c r="J83" s="1107"/>
      <c r="K83" s="1107"/>
      <c r="L83" s="1107"/>
    </row>
    <row r="84" spans="2:12" x14ac:dyDescent="0.25">
      <c r="B84" s="1107"/>
      <c r="C84" s="1107"/>
      <c r="D84" s="1107"/>
      <c r="E84" s="1107"/>
      <c r="F84" s="1107"/>
      <c r="G84" s="1107"/>
      <c r="H84" s="1107"/>
      <c r="I84" s="1107"/>
      <c r="J84" s="1107"/>
      <c r="K84" s="1107"/>
      <c r="L84" s="1107"/>
    </row>
    <row r="85" spans="2:12" x14ac:dyDescent="0.25">
      <c r="B85" s="1107"/>
      <c r="C85" s="1107"/>
      <c r="D85" s="1107"/>
      <c r="E85" s="1107"/>
      <c r="F85" s="1107"/>
      <c r="G85" s="1107"/>
      <c r="H85" s="1107"/>
      <c r="I85" s="1107"/>
      <c r="J85" s="1107"/>
      <c r="K85" s="1107"/>
      <c r="L85" s="1107"/>
    </row>
    <row r="86" spans="2:12" x14ac:dyDescent="0.25">
      <c r="B86" s="1107"/>
      <c r="C86" s="1107"/>
      <c r="D86" s="1107"/>
      <c r="E86" s="1107"/>
      <c r="F86" s="1107"/>
      <c r="G86" s="1107"/>
      <c r="H86" s="1107"/>
      <c r="I86" s="1107"/>
      <c r="J86" s="1107"/>
      <c r="K86" s="1107"/>
      <c r="L86" s="1107"/>
    </row>
    <row r="87" spans="2:12" x14ac:dyDescent="0.25">
      <c r="B87" s="1107"/>
      <c r="C87" s="1107"/>
      <c r="D87" s="1107"/>
      <c r="E87" s="1107"/>
      <c r="F87" s="1107"/>
      <c r="G87" s="1107"/>
      <c r="H87" s="1107"/>
      <c r="I87" s="1107"/>
      <c r="J87" s="1107"/>
      <c r="K87" s="1107"/>
      <c r="L87" s="1107"/>
    </row>
    <row r="88" spans="2:12" x14ac:dyDescent="0.25">
      <c r="B88" s="1107"/>
      <c r="C88" s="1107"/>
      <c r="D88" s="1107"/>
      <c r="E88" s="1107"/>
      <c r="F88" s="1107"/>
      <c r="G88" s="1107"/>
      <c r="H88" s="1107"/>
      <c r="I88" s="1107"/>
      <c r="J88" s="1107"/>
      <c r="K88" s="1107"/>
      <c r="L88" s="1107"/>
    </row>
    <row r="90" spans="2:12" x14ac:dyDescent="0.25">
      <c r="B90" s="937" t="s">
        <v>3835</v>
      </c>
      <c r="C90" s="937"/>
      <c r="D90" s="937"/>
      <c r="E90" s="937"/>
      <c r="F90" s="937"/>
      <c r="G90" s="937"/>
      <c r="H90" s="937"/>
      <c r="I90" s="937"/>
      <c r="J90" s="937"/>
      <c r="K90" s="937"/>
      <c r="L90" s="937"/>
    </row>
  </sheetData>
  <mergeCells count="32">
    <mergeCell ref="B10:L23"/>
    <mergeCell ref="B83:L88"/>
    <mergeCell ref="H48:L52"/>
    <mergeCell ref="H54:L58"/>
    <mergeCell ref="B60:L61"/>
    <mergeCell ref="H37:I37"/>
    <mergeCell ref="H39:I39"/>
    <mergeCell ref="H41:I41"/>
    <mergeCell ref="B45:C45"/>
    <mergeCell ref="B46:C46"/>
    <mergeCell ref="D44:F44"/>
    <mergeCell ref="H44:L46"/>
    <mergeCell ref="B37:C37"/>
    <mergeCell ref="B39:C39"/>
    <mergeCell ref="B41:C41"/>
    <mergeCell ref="B25:L26"/>
    <mergeCell ref="B90:L90"/>
    <mergeCell ref="B1:C5"/>
    <mergeCell ref="D1:L5"/>
    <mergeCell ref="H35:I35"/>
    <mergeCell ref="B30:C30"/>
    <mergeCell ref="B31:C31"/>
    <mergeCell ref="B32:C32"/>
    <mergeCell ref="B33:C33"/>
    <mergeCell ref="H28:I28"/>
    <mergeCell ref="H30:I30"/>
    <mergeCell ref="H31:I31"/>
    <mergeCell ref="H32:I32"/>
    <mergeCell ref="H33:I33"/>
    <mergeCell ref="B28:C28"/>
    <mergeCell ref="B35:C35"/>
    <mergeCell ref="B7:L8"/>
  </mergeCells>
  <printOptions horizontalCentered="1"/>
  <pageMargins left="0" right="0" top="0" bottom="0" header="0" footer="0"/>
  <pageSetup scale="57" orientation="portrait" horizontalDpi="1200" verticalDpi="1200" r:id="rId1"/>
  <ignoredErrors>
    <ignoredError sqref="J37:L37 J39:L39 J41:L41"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AF25E-BC53-4784-92CE-593B3E9CC77B}">
  <sheetPr>
    <pageSetUpPr fitToPage="1"/>
  </sheetPr>
  <dimension ref="B1:L90"/>
  <sheetViews>
    <sheetView zoomScaleNormal="100" workbookViewId="0"/>
  </sheetViews>
  <sheetFormatPr defaultColWidth="15.77734375" defaultRowHeight="15" x14ac:dyDescent="0.25"/>
  <cols>
    <col min="1" max="1" width="2" style="720" customWidth="1"/>
    <col min="2" max="2" width="25.77734375" style="720" customWidth="1"/>
    <col min="3" max="6" width="15.77734375" style="720"/>
    <col min="7" max="7" width="2" style="720" customWidth="1"/>
    <col min="8" max="16384" width="15.77734375" style="720"/>
  </cols>
  <sheetData>
    <row r="1" spans="2:12" x14ac:dyDescent="0.25">
      <c r="B1" s="938" t="s">
        <v>378</v>
      </c>
      <c r="C1" s="938"/>
      <c r="D1" s="939" t="s">
        <v>3620</v>
      </c>
      <c r="E1" s="939"/>
      <c r="F1" s="939"/>
      <c r="G1" s="939"/>
      <c r="H1" s="939"/>
      <c r="I1" s="939"/>
      <c r="J1" s="939"/>
      <c r="K1" s="939"/>
      <c r="L1" s="939"/>
    </row>
    <row r="2" spans="2:12" x14ac:dyDescent="0.25">
      <c r="B2" s="938"/>
      <c r="C2" s="938"/>
      <c r="D2" s="939"/>
      <c r="E2" s="939"/>
      <c r="F2" s="939"/>
      <c r="G2" s="939"/>
      <c r="H2" s="939"/>
      <c r="I2" s="939"/>
      <c r="J2" s="939"/>
      <c r="K2" s="939"/>
      <c r="L2" s="939"/>
    </row>
    <row r="3" spans="2:12" x14ac:dyDescent="0.25">
      <c r="B3" s="938"/>
      <c r="C3" s="938"/>
      <c r="D3" s="939"/>
      <c r="E3" s="939"/>
      <c r="F3" s="939"/>
      <c r="G3" s="939"/>
      <c r="H3" s="939"/>
      <c r="I3" s="939"/>
      <c r="J3" s="939"/>
      <c r="K3" s="939"/>
      <c r="L3" s="939"/>
    </row>
    <row r="4" spans="2:12" x14ac:dyDescent="0.25">
      <c r="B4" s="938"/>
      <c r="C4" s="938"/>
      <c r="D4" s="939"/>
      <c r="E4" s="939"/>
      <c r="F4" s="939"/>
      <c r="G4" s="939"/>
      <c r="H4" s="939"/>
      <c r="I4" s="939"/>
      <c r="J4" s="939"/>
      <c r="K4" s="939"/>
      <c r="L4" s="939"/>
    </row>
    <row r="5" spans="2:12" x14ac:dyDescent="0.25">
      <c r="B5" s="938"/>
      <c r="C5" s="938"/>
      <c r="D5" s="939"/>
      <c r="E5" s="939"/>
      <c r="F5" s="939"/>
      <c r="G5" s="939"/>
      <c r="H5" s="939"/>
      <c r="I5" s="939"/>
      <c r="J5" s="939"/>
      <c r="K5" s="939"/>
      <c r="L5" s="939"/>
    </row>
    <row r="90" spans="2:12" x14ac:dyDescent="0.25">
      <c r="B90" s="937" t="s">
        <v>3835</v>
      </c>
      <c r="C90" s="937"/>
      <c r="D90" s="937"/>
      <c r="E90" s="937"/>
      <c r="F90" s="937"/>
      <c r="G90" s="937"/>
      <c r="H90" s="937"/>
      <c r="I90" s="937"/>
      <c r="J90" s="937"/>
      <c r="K90" s="937"/>
      <c r="L90" s="937"/>
    </row>
  </sheetData>
  <mergeCells count="3">
    <mergeCell ref="B1:C5"/>
    <mergeCell ref="D1:L5"/>
    <mergeCell ref="B90:L90"/>
  </mergeCells>
  <printOptions horizontalCentered="1"/>
  <pageMargins left="0" right="0" top="0" bottom="0" header="0" footer="0"/>
  <pageSetup scale="57" orientation="portrait" horizontalDpi="1200" verticalDpi="12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21E4-3C71-440F-A071-96D5E5482477}">
  <sheetPr>
    <pageSetUpPr fitToPage="1"/>
  </sheetPr>
  <dimension ref="B1:L90"/>
  <sheetViews>
    <sheetView zoomScaleNormal="100" workbookViewId="0"/>
  </sheetViews>
  <sheetFormatPr defaultColWidth="15.77734375" defaultRowHeight="15" x14ac:dyDescent="0.25"/>
  <cols>
    <col min="1" max="1" width="2" style="720" customWidth="1"/>
    <col min="2" max="2" width="15.77734375" style="720" customWidth="1"/>
    <col min="3" max="16384" width="15.77734375" style="720"/>
  </cols>
  <sheetData>
    <row r="1" spans="2:11" ht="15" customHeight="1" x14ac:dyDescent="0.25">
      <c r="B1" s="938" t="s">
        <v>378</v>
      </c>
      <c r="C1" s="938"/>
      <c r="D1" s="938"/>
      <c r="E1" s="939" t="s">
        <v>3609</v>
      </c>
      <c r="F1" s="939"/>
      <c r="G1" s="939"/>
      <c r="H1" s="939"/>
      <c r="I1" s="939"/>
      <c r="J1" s="939"/>
      <c r="K1" s="939"/>
    </row>
    <row r="2" spans="2:11" ht="15" customHeight="1" x14ac:dyDescent="0.25">
      <c r="B2" s="938"/>
      <c r="C2" s="938"/>
      <c r="D2" s="938"/>
      <c r="E2" s="939"/>
      <c r="F2" s="939"/>
      <c r="G2" s="939"/>
      <c r="H2" s="939"/>
      <c r="I2" s="939"/>
      <c r="J2" s="939"/>
      <c r="K2" s="939"/>
    </row>
    <row r="3" spans="2:11" ht="15" customHeight="1" x14ac:dyDescent="0.25">
      <c r="B3" s="938"/>
      <c r="C3" s="938"/>
      <c r="D3" s="938"/>
      <c r="E3" s="939"/>
      <c r="F3" s="939"/>
      <c r="G3" s="939"/>
      <c r="H3" s="939"/>
      <c r="I3" s="939"/>
      <c r="J3" s="939"/>
      <c r="K3" s="939"/>
    </row>
    <row r="4" spans="2:11" ht="15" customHeight="1" x14ac:dyDescent="0.25">
      <c r="B4" s="938"/>
      <c r="C4" s="938"/>
      <c r="D4" s="938"/>
      <c r="E4" s="939"/>
      <c r="F4" s="939"/>
      <c r="G4" s="939"/>
      <c r="H4" s="939"/>
      <c r="I4" s="939"/>
      <c r="J4" s="939"/>
      <c r="K4" s="939"/>
    </row>
    <row r="5" spans="2:11" ht="15" customHeight="1" x14ac:dyDescent="0.25">
      <c r="B5" s="938"/>
      <c r="C5" s="938"/>
      <c r="D5" s="938"/>
      <c r="E5" s="939"/>
      <c r="F5" s="939"/>
      <c r="G5" s="939"/>
      <c r="H5" s="939"/>
      <c r="I5" s="939"/>
      <c r="J5" s="939"/>
      <c r="K5" s="939"/>
    </row>
    <row r="7" spans="2:11" ht="15" customHeight="1" x14ac:dyDescent="0.25">
      <c r="B7" s="1113" t="s">
        <v>3611</v>
      </c>
      <c r="C7" s="1113"/>
      <c r="D7" s="1113"/>
      <c r="E7" s="1113"/>
      <c r="F7" s="1113"/>
      <c r="G7" s="1113" t="s">
        <v>3610</v>
      </c>
      <c r="H7" s="1113"/>
      <c r="I7" s="1113"/>
      <c r="J7" s="1113"/>
      <c r="K7" s="1113"/>
    </row>
    <row r="8" spans="2:11" ht="15" customHeight="1" x14ac:dyDescent="0.25">
      <c r="B8" s="1113"/>
      <c r="C8" s="1113"/>
      <c r="D8" s="1113"/>
      <c r="E8" s="1113"/>
      <c r="F8" s="1113"/>
      <c r="G8" s="1113"/>
      <c r="H8" s="1113"/>
      <c r="I8" s="1113"/>
      <c r="J8" s="1113"/>
      <c r="K8" s="1113"/>
    </row>
    <row r="10" spans="2:11" ht="15.6" customHeight="1" x14ac:dyDescent="0.25">
      <c r="B10" s="867">
        <v>2021</v>
      </c>
      <c r="C10" s="867">
        <f>B10+1</f>
        <v>2022</v>
      </c>
      <c r="D10" s="867">
        <f t="shared" ref="D10:F10" si="0">C10+1</f>
        <v>2023</v>
      </c>
      <c r="E10" s="867">
        <f t="shared" si="0"/>
        <v>2024</v>
      </c>
      <c r="F10" s="868">
        <f t="shared" si="0"/>
        <v>2025</v>
      </c>
      <c r="G10" s="867">
        <v>2026</v>
      </c>
      <c r="H10" s="867">
        <f>G10+1</f>
        <v>2027</v>
      </c>
      <c r="I10" s="867">
        <f t="shared" ref="I10:K10" si="1">H10+1</f>
        <v>2028</v>
      </c>
      <c r="J10" s="867">
        <f t="shared" si="1"/>
        <v>2029</v>
      </c>
      <c r="K10" s="868">
        <f t="shared" si="1"/>
        <v>2030</v>
      </c>
    </row>
    <row r="12" spans="2:11" ht="15.6" customHeight="1" x14ac:dyDescent="0.25">
      <c r="B12" s="865">
        <f>'PROFIT &amp; LOSS'!D10</f>
        <v>64625</v>
      </c>
      <c r="C12" s="865">
        <f>'PROFIT &amp; LOSS'!E10</f>
        <v>81590</v>
      </c>
      <c r="D12" s="865">
        <f>'PROFIT &amp; LOSS'!F10</f>
        <v>93201</v>
      </c>
      <c r="E12" s="865">
        <f>'PROFIT &amp; LOSS'!G10</f>
        <v>92425</v>
      </c>
      <c r="F12" s="865">
        <f>'PROFIT &amp; LOSS'!H10</f>
        <v>92972</v>
      </c>
      <c r="G12" s="866">
        <f>'P &amp; L ASSUMPTIONS'!R6</f>
        <v>92275.319999999992</v>
      </c>
      <c r="H12" s="866">
        <f>'P &amp; L ASSUMPTIONS'!S6</f>
        <v>91597.258799999996</v>
      </c>
      <c r="I12" s="866">
        <f>'P &amp; L ASSUMPTIONS'!T6</f>
        <v>92684.515788000004</v>
      </c>
      <c r="J12" s="866">
        <f>'P &amp; L ASSUMPTIONS'!U6</f>
        <v>93791.209565879995</v>
      </c>
      <c r="K12" s="866">
        <f>'P &amp; L ASSUMPTIONS'!V6</f>
        <v>95808.664545447609</v>
      </c>
    </row>
    <row r="29" spans="2:11" x14ac:dyDescent="0.25">
      <c r="B29" s="1113" t="s">
        <v>3612</v>
      </c>
      <c r="C29" s="1113"/>
      <c r="D29" s="1113"/>
      <c r="E29" s="1113"/>
      <c r="F29" s="1113"/>
      <c r="G29" s="1113" t="s">
        <v>3613</v>
      </c>
      <c r="H29" s="1113"/>
      <c r="I29" s="1113"/>
      <c r="J29" s="1113"/>
      <c r="K29" s="1113"/>
    </row>
    <row r="30" spans="2:11" x14ac:dyDescent="0.25">
      <c r="B30" s="1113"/>
      <c r="C30" s="1113"/>
      <c r="D30" s="1113"/>
      <c r="E30" s="1113"/>
      <c r="F30" s="1113"/>
      <c r="G30" s="1113"/>
      <c r="H30" s="1113"/>
      <c r="I30" s="1113"/>
      <c r="J30" s="1113"/>
      <c r="K30" s="1113"/>
    </row>
    <row r="32" spans="2:11" x14ac:dyDescent="0.25">
      <c r="B32" s="865">
        <f>'PROFIT &amp; LOSS'!D21</f>
        <v>17462</v>
      </c>
      <c r="C32" s="865">
        <f>'PROFIT &amp; LOSS'!E21</f>
        <v>17594</v>
      </c>
      <c r="D32" s="865">
        <f>'PROFIT &amp; LOSS'!F21</f>
        <v>19620</v>
      </c>
      <c r="E32" s="865">
        <f>'PROFIT &amp; LOSS'!G21</f>
        <v>19439</v>
      </c>
      <c r="F32" s="865">
        <f>'PROFIT &amp; LOSS'!H21</f>
        <v>21904</v>
      </c>
      <c r="G32" s="866">
        <f>('P &amp; L ASSUMPTIONS'!R6)-('P &amp; L ASSUMPTIONS'!R56+'P &amp; L ASSUMPTIONS'!R60)</f>
        <v>22960.048439999999</v>
      </c>
      <c r="H32" s="866">
        <f>('P &amp; L ASSUMPTIONS'!S6)-('P &amp; L ASSUMPTIONS'!S56+'P &amp; L ASSUMPTIONS'!S60)</f>
        <v>22959.724359600004</v>
      </c>
      <c r="I32" s="866">
        <f>('P &amp; L ASSUMPTIONS'!T6)-('P &amp; L ASSUMPTIONS'!T56+'P &amp; L ASSUMPTIONS'!T60)</f>
        <v>23349.815085996001</v>
      </c>
      <c r="J32" s="866">
        <f>('P &amp; L ASSUMPTIONS'!U6)-('P &amp; L ASSUMPTIONS'!U56+'P &amp; L ASSUMPTIONS'!U60)</f>
        <v>23751.831393795961</v>
      </c>
      <c r="K32" s="866">
        <f>('P &amp; L ASSUMPTIONS'!V6)-('P &amp; L ASSUMPTIONS'!V56+'P &amp; L ASSUMPTIONS'!V60)</f>
        <v>24359.576070262134</v>
      </c>
    </row>
    <row r="49" spans="2:11" x14ac:dyDescent="0.25">
      <c r="B49" s="1113" t="s">
        <v>3614</v>
      </c>
      <c r="C49" s="1113"/>
      <c r="D49" s="1113"/>
      <c r="E49" s="1113"/>
      <c r="F49" s="1113"/>
      <c r="G49" s="1113" t="s">
        <v>3615</v>
      </c>
      <c r="H49" s="1113"/>
      <c r="I49" s="1113"/>
      <c r="J49" s="1113"/>
      <c r="K49" s="1113"/>
    </row>
    <row r="50" spans="2:11" x14ac:dyDescent="0.25">
      <c r="B50" s="1113"/>
      <c r="C50" s="1113"/>
      <c r="D50" s="1113"/>
      <c r="E50" s="1113"/>
      <c r="F50" s="1113"/>
      <c r="G50" s="1113"/>
      <c r="H50" s="1113"/>
      <c r="I50" s="1113"/>
      <c r="J50" s="1113"/>
      <c r="K50" s="1113"/>
    </row>
    <row r="52" spans="2:11" x14ac:dyDescent="0.25">
      <c r="B52" s="865">
        <f>'PROFIT &amp; LOSS'!D38</f>
        <v>11155</v>
      </c>
      <c r="C52" s="865">
        <f>'PROFIT &amp; LOSS'!E38</f>
        <v>11084</v>
      </c>
      <c r="D52" s="865">
        <f>'PROFIT &amp; LOSS'!F38</f>
        <v>11804</v>
      </c>
      <c r="E52" s="865">
        <f>'PROFIT &amp; LOSS'!G38</f>
        <v>11168</v>
      </c>
      <c r="F52" s="865">
        <f>'PROFIT &amp; LOSS'!H38</f>
        <v>13191</v>
      </c>
      <c r="G52" s="866">
        <f>'P &amp; L ASSUMPTIONS'!R101</f>
        <v>13528.787694399998</v>
      </c>
      <c r="H52" s="866">
        <f>'P &amp; L ASSUMPTIONS'!S101</f>
        <v>13475.565991560319</v>
      </c>
      <c r="I52" s="866">
        <f>'P &amp; L ASSUMPTIONS'!T101</f>
        <v>13723.460849747315</v>
      </c>
      <c r="J52" s="866">
        <f>'P &amp; L ASSUMPTIONS'!U101</f>
        <v>13977.569173076128</v>
      </c>
      <c r="K52" s="866">
        <f>'P &amp; L ASSUMPTIONS'!V101</f>
        <v>14385.227611511244</v>
      </c>
    </row>
    <row r="69" spans="2:11" x14ac:dyDescent="0.25">
      <c r="B69" s="1113" t="s">
        <v>3616</v>
      </c>
      <c r="C69" s="1113"/>
      <c r="D69" s="1113"/>
      <c r="E69" s="1113"/>
      <c r="F69" s="1113"/>
      <c r="G69" s="1113" t="s">
        <v>3617</v>
      </c>
      <c r="H69" s="1113"/>
      <c r="I69" s="1113"/>
      <c r="J69" s="1113"/>
      <c r="K69" s="1113"/>
    </row>
    <row r="70" spans="2:11" x14ac:dyDescent="0.25">
      <c r="B70" s="1113"/>
      <c r="C70" s="1113"/>
      <c r="D70" s="1113"/>
      <c r="E70" s="1113"/>
      <c r="F70" s="1113"/>
      <c r="G70" s="1113"/>
      <c r="H70" s="1113"/>
      <c r="I70" s="1113"/>
      <c r="J70" s="1113"/>
      <c r="K70" s="1113"/>
    </row>
    <row r="72" spans="2:11" x14ac:dyDescent="0.25">
      <c r="B72" s="865">
        <f>'BALANCE SHEET'!D15</f>
        <v>17473</v>
      </c>
      <c r="C72" s="865">
        <f>'BALANCE SHEET'!E15</f>
        <v>10002</v>
      </c>
      <c r="D72" s="865">
        <f>'BALANCE SHEET'!F15</f>
        <v>9247</v>
      </c>
      <c r="E72" s="865">
        <f>'BALANCE SHEET'!G15</f>
        <v>9802</v>
      </c>
      <c r="F72" s="865">
        <f>'BALANCE SHEET'!H15</f>
        <v>12358</v>
      </c>
      <c r="G72" s="866">
        <f>'CASH FLOW ASSUMPTION'!K62</f>
        <v>10833.767974585178</v>
      </c>
      <c r="H72" s="866">
        <f>'CASH FLOW ASSUMPTION'!L62</f>
        <v>10683.265226411109</v>
      </c>
      <c r="I72" s="866">
        <f>'CASH FLOW ASSUMPTION'!M62</f>
        <v>11140.237603936956</v>
      </c>
      <c r="J72" s="866">
        <f>'CASH FLOW ASSUMPTION'!N62</f>
        <v>10616.362193573354</v>
      </c>
      <c r="K72" s="866">
        <f>'CASH FLOW ASSUMPTION'!O62</f>
        <v>10863.194645485462</v>
      </c>
    </row>
    <row r="88" spans="2:12" x14ac:dyDescent="0.25">
      <c r="B88" s="1114" t="s">
        <v>3618</v>
      </c>
      <c r="C88" s="1114"/>
      <c r="D88" s="1114"/>
      <c r="E88" s="1114"/>
      <c r="F88" s="1114"/>
      <c r="G88" s="1114"/>
      <c r="H88" s="1114"/>
      <c r="I88" s="1114"/>
      <c r="J88" s="1114"/>
      <c r="K88" s="1114"/>
    </row>
    <row r="90" spans="2:12" x14ac:dyDescent="0.25">
      <c r="B90" s="937" t="s">
        <v>3835</v>
      </c>
      <c r="C90" s="937"/>
      <c r="D90" s="937"/>
      <c r="E90" s="937"/>
      <c r="F90" s="937"/>
      <c r="G90" s="937"/>
      <c r="H90" s="937"/>
      <c r="I90" s="937"/>
      <c r="J90" s="937"/>
      <c r="K90" s="937"/>
      <c r="L90" s="936"/>
    </row>
  </sheetData>
  <mergeCells count="12">
    <mergeCell ref="B1:D5"/>
    <mergeCell ref="E1:K5"/>
    <mergeCell ref="B49:F50"/>
    <mergeCell ref="G49:K50"/>
    <mergeCell ref="B7:F8"/>
    <mergeCell ref="G7:K8"/>
    <mergeCell ref="B90:K90"/>
    <mergeCell ref="B69:F70"/>
    <mergeCell ref="G69:K70"/>
    <mergeCell ref="B88:K88"/>
    <mergeCell ref="B29:F30"/>
    <mergeCell ref="G29:K30"/>
  </mergeCells>
  <printOptions horizontalCentered="1"/>
  <pageMargins left="0" right="0" top="0" bottom="0" header="0" footer="0"/>
  <pageSetup scale="57" orientation="portrait" horizontalDpi="1200" verticalDpi="1200" r:id="rId1"/>
  <colBreaks count="1" manualBreakCount="1">
    <brk id="11" max="1048575" man="1"/>
  </col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29A54-7CC6-4E10-AA62-F3C3BC988DE4}">
  <sheetPr>
    <pageSetUpPr fitToPage="1"/>
  </sheetPr>
  <dimension ref="B1:L90"/>
  <sheetViews>
    <sheetView zoomScaleNormal="100" workbookViewId="0"/>
  </sheetViews>
  <sheetFormatPr defaultColWidth="15.77734375" defaultRowHeight="15" x14ac:dyDescent="0.25"/>
  <cols>
    <col min="1" max="1" width="2" style="720" customWidth="1"/>
    <col min="2" max="2" width="25.77734375" style="720" customWidth="1"/>
    <col min="3" max="8" width="15.77734375" style="720"/>
    <col min="9" max="9" width="2" style="720" customWidth="1"/>
    <col min="10" max="16384" width="15.77734375" style="720"/>
  </cols>
  <sheetData>
    <row r="1" spans="2:12" x14ac:dyDescent="0.25">
      <c r="B1" s="938" t="s">
        <v>378</v>
      </c>
      <c r="C1" s="938"/>
      <c r="D1" s="939" t="s">
        <v>3621</v>
      </c>
      <c r="E1" s="939"/>
      <c r="F1" s="939"/>
      <c r="G1" s="939"/>
      <c r="H1" s="939"/>
      <c r="I1" s="939"/>
      <c r="J1" s="939"/>
      <c r="K1" s="939"/>
      <c r="L1" s="939"/>
    </row>
    <row r="2" spans="2:12" x14ac:dyDescent="0.25">
      <c r="B2" s="938"/>
      <c r="C2" s="938"/>
      <c r="D2" s="939"/>
      <c r="E2" s="939"/>
      <c r="F2" s="939"/>
      <c r="G2" s="939"/>
      <c r="H2" s="939"/>
      <c r="I2" s="939"/>
      <c r="J2" s="939"/>
      <c r="K2" s="939"/>
      <c r="L2" s="939"/>
    </row>
    <row r="3" spans="2:12" x14ac:dyDescent="0.25">
      <c r="B3" s="938"/>
      <c r="C3" s="938"/>
      <c r="D3" s="939"/>
      <c r="E3" s="939"/>
      <c r="F3" s="939"/>
      <c r="G3" s="939"/>
      <c r="H3" s="939"/>
      <c r="I3" s="939"/>
      <c r="J3" s="939"/>
      <c r="K3" s="939"/>
      <c r="L3" s="939"/>
    </row>
    <row r="4" spans="2:12" x14ac:dyDescent="0.25">
      <c r="B4" s="938"/>
      <c r="C4" s="938"/>
      <c r="D4" s="939"/>
      <c r="E4" s="939"/>
      <c r="F4" s="939"/>
      <c r="G4" s="939"/>
      <c r="H4" s="939"/>
      <c r="I4" s="939"/>
      <c r="J4" s="939"/>
      <c r="K4" s="939"/>
      <c r="L4" s="939"/>
    </row>
    <row r="5" spans="2:12" x14ac:dyDescent="0.25">
      <c r="B5" s="938"/>
      <c r="C5" s="938"/>
      <c r="D5" s="939"/>
      <c r="E5" s="939"/>
      <c r="F5" s="939"/>
      <c r="G5" s="939"/>
      <c r="H5" s="939"/>
      <c r="I5" s="939"/>
      <c r="J5" s="939"/>
      <c r="K5" s="939"/>
      <c r="L5" s="939"/>
    </row>
    <row r="52" spans="2:12" x14ac:dyDescent="0.25">
      <c r="B52" s="1028" t="s">
        <v>3622</v>
      </c>
      <c r="C52" s="1115"/>
      <c r="D52" s="1115"/>
      <c r="E52" s="1115"/>
      <c r="F52" s="1115"/>
      <c r="G52" s="1115"/>
      <c r="H52" s="1115"/>
      <c r="I52" s="1115"/>
      <c r="J52" s="1115"/>
      <c r="K52" s="1115"/>
      <c r="L52" s="1115"/>
    </row>
    <row r="53" spans="2:12" x14ac:dyDescent="0.25">
      <c r="B53" s="1115"/>
      <c r="C53" s="1115"/>
      <c r="D53" s="1115"/>
      <c r="E53" s="1115"/>
      <c r="F53" s="1115"/>
      <c r="G53" s="1115"/>
      <c r="H53" s="1115"/>
      <c r="I53" s="1115"/>
      <c r="J53" s="1115"/>
      <c r="K53" s="1115"/>
      <c r="L53" s="1115"/>
    </row>
    <row r="54" spans="2:12" x14ac:dyDescent="0.25">
      <c r="B54" s="1115"/>
      <c r="C54" s="1115"/>
      <c r="D54" s="1115"/>
      <c r="E54" s="1115"/>
      <c r="F54" s="1115"/>
      <c r="G54" s="1115"/>
      <c r="H54" s="1115"/>
      <c r="I54" s="1115"/>
      <c r="J54" s="1115"/>
      <c r="K54" s="1115"/>
      <c r="L54" s="1115"/>
    </row>
    <row r="55" spans="2:12" x14ac:dyDescent="0.25">
      <c r="B55" s="1115"/>
      <c r="C55" s="1115"/>
      <c r="D55" s="1115"/>
      <c r="E55" s="1115"/>
      <c r="F55" s="1115"/>
      <c r="G55" s="1115"/>
      <c r="H55" s="1115"/>
      <c r="I55" s="1115"/>
      <c r="J55" s="1115"/>
      <c r="K55" s="1115"/>
      <c r="L55" s="1115"/>
    </row>
    <row r="56" spans="2:12" x14ac:dyDescent="0.25">
      <c r="B56" s="1115"/>
      <c r="C56" s="1115"/>
      <c r="D56" s="1115"/>
      <c r="E56" s="1115"/>
      <c r="F56" s="1115"/>
      <c r="G56" s="1115"/>
      <c r="H56" s="1115"/>
      <c r="I56" s="1115"/>
      <c r="J56" s="1115"/>
      <c r="K56" s="1115"/>
      <c r="L56" s="1115"/>
    </row>
    <row r="57" spans="2:12" x14ac:dyDescent="0.25">
      <c r="B57" s="1115"/>
      <c r="C57" s="1115"/>
      <c r="D57" s="1115"/>
      <c r="E57" s="1115"/>
      <c r="F57" s="1115"/>
      <c r="G57" s="1115"/>
      <c r="H57" s="1115"/>
      <c r="I57" s="1115"/>
      <c r="J57" s="1115"/>
      <c r="K57" s="1115"/>
      <c r="L57" s="1115"/>
    </row>
    <row r="58" spans="2:12" x14ac:dyDescent="0.25">
      <c r="B58" s="1115"/>
      <c r="C58" s="1115"/>
      <c r="D58" s="1115"/>
      <c r="E58" s="1115"/>
      <c r="F58" s="1115"/>
      <c r="G58" s="1115"/>
      <c r="H58" s="1115"/>
      <c r="I58" s="1115"/>
      <c r="J58" s="1115"/>
      <c r="K58" s="1115"/>
      <c r="L58" s="1115"/>
    </row>
    <row r="59" spans="2:12" x14ac:dyDescent="0.25">
      <c r="B59" s="1115"/>
      <c r="C59" s="1115"/>
      <c r="D59" s="1115"/>
      <c r="E59" s="1115"/>
      <c r="F59" s="1115"/>
      <c r="G59" s="1115"/>
      <c r="H59" s="1115"/>
      <c r="I59" s="1115"/>
      <c r="J59" s="1115"/>
      <c r="K59" s="1115"/>
      <c r="L59" s="1115"/>
    </row>
    <row r="60" spans="2:12" x14ac:dyDescent="0.25">
      <c r="B60" s="1115"/>
      <c r="C60" s="1115"/>
      <c r="D60" s="1115"/>
      <c r="E60" s="1115"/>
      <c r="F60" s="1115"/>
      <c r="G60" s="1115"/>
      <c r="H60" s="1115"/>
      <c r="I60" s="1115"/>
      <c r="J60" s="1115"/>
      <c r="K60" s="1115"/>
      <c r="L60" s="1115"/>
    </row>
    <row r="61" spans="2:12" x14ac:dyDescent="0.25">
      <c r="B61" s="1115"/>
      <c r="C61" s="1115"/>
      <c r="D61" s="1115"/>
      <c r="E61" s="1115"/>
      <c r="F61" s="1115"/>
      <c r="G61" s="1115"/>
      <c r="H61" s="1115"/>
      <c r="I61" s="1115"/>
      <c r="J61" s="1115"/>
      <c r="K61" s="1115"/>
      <c r="L61" s="1115"/>
    </row>
    <row r="62" spans="2:12" x14ac:dyDescent="0.25">
      <c r="B62" s="1115"/>
      <c r="C62" s="1115"/>
      <c r="D62" s="1115"/>
      <c r="E62" s="1115"/>
      <c r="F62" s="1115"/>
      <c r="G62" s="1115"/>
      <c r="H62" s="1115"/>
      <c r="I62" s="1115"/>
      <c r="J62" s="1115"/>
      <c r="K62" s="1115"/>
      <c r="L62" s="1115"/>
    </row>
    <row r="63" spans="2:12" x14ac:dyDescent="0.25">
      <c r="B63" s="1115"/>
      <c r="C63" s="1115"/>
      <c r="D63" s="1115"/>
      <c r="E63" s="1115"/>
      <c r="F63" s="1115"/>
      <c r="G63" s="1115"/>
      <c r="H63" s="1115"/>
      <c r="I63" s="1115"/>
      <c r="J63" s="1115"/>
      <c r="K63" s="1115"/>
      <c r="L63" s="1115"/>
    </row>
    <row r="64" spans="2:12" x14ac:dyDescent="0.25">
      <c r="B64" s="1115"/>
      <c r="C64" s="1115"/>
      <c r="D64" s="1115"/>
      <c r="E64" s="1115"/>
      <c r="F64" s="1115"/>
      <c r="G64" s="1115"/>
      <c r="H64" s="1115"/>
      <c r="I64" s="1115"/>
      <c r="J64" s="1115"/>
      <c r="K64" s="1115"/>
      <c r="L64" s="1115"/>
    </row>
    <row r="65" spans="2:12" x14ac:dyDescent="0.25">
      <c r="B65" s="1115"/>
      <c r="C65" s="1115"/>
      <c r="D65" s="1115"/>
      <c r="E65" s="1115"/>
      <c r="F65" s="1115"/>
      <c r="G65" s="1115"/>
      <c r="H65" s="1115"/>
      <c r="I65" s="1115"/>
      <c r="J65" s="1115"/>
      <c r="K65" s="1115"/>
      <c r="L65" s="1115"/>
    </row>
    <row r="66" spans="2:12" x14ac:dyDescent="0.25">
      <c r="B66" s="1115"/>
      <c r="C66" s="1115"/>
      <c r="D66" s="1115"/>
      <c r="E66" s="1115"/>
      <c r="F66" s="1115"/>
      <c r="G66" s="1115"/>
      <c r="H66" s="1115"/>
      <c r="I66" s="1115"/>
      <c r="J66" s="1115"/>
      <c r="K66" s="1115"/>
      <c r="L66" s="1115"/>
    </row>
    <row r="67" spans="2:12" x14ac:dyDescent="0.25">
      <c r="B67" s="1115"/>
      <c r="C67" s="1115"/>
      <c r="D67" s="1115"/>
      <c r="E67" s="1115"/>
      <c r="F67" s="1115"/>
      <c r="G67" s="1115"/>
      <c r="H67" s="1115"/>
      <c r="I67" s="1115"/>
      <c r="J67" s="1115"/>
      <c r="K67" s="1115"/>
      <c r="L67" s="1115"/>
    </row>
    <row r="68" spans="2:12" x14ac:dyDescent="0.25">
      <c r="B68" s="1115"/>
      <c r="C68" s="1115"/>
      <c r="D68" s="1115"/>
      <c r="E68" s="1115"/>
      <c r="F68" s="1115"/>
      <c r="G68" s="1115"/>
      <c r="H68" s="1115"/>
      <c r="I68" s="1115"/>
      <c r="J68" s="1115"/>
      <c r="K68" s="1115"/>
      <c r="L68" s="1115"/>
    </row>
    <row r="69" spans="2:12" x14ac:dyDescent="0.25">
      <c r="B69" s="1115"/>
      <c r="C69" s="1115"/>
      <c r="D69" s="1115"/>
      <c r="E69" s="1115"/>
      <c r="F69" s="1115"/>
      <c r="G69" s="1115"/>
      <c r="H69" s="1115"/>
      <c r="I69" s="1115"/>
      <c r="J69" s="1115"/>
      <c r="K69" s="1115"/>
      <c r="L69" s="1115"/>
    </row>
    <row r="70" spans="2:12" x14ac:dyDescent="0.25">
      <c r="B70" s="1115"/>
      <c r="C70" s="1115"/>
      <c r="D70" s="1115"/>
      <c r="E70" s="1115"/>
      <c r="F70" s="1115"/>
      <c r="G70" s="1115"/>
      <c r="H70" s="1115"/>
      <c r="I70" s="1115"/>
      <c r="J70" s="1115"/>
      <c r="K70" s="1115"/>
      <c r="L70" s="1115"/>
    </row>
    <row r="71" spans="2:12" x14ac:dyDescent="0.25">
      <c r="B71" s="1115"/>
      <c r="C71" s="1115"/>
      <c r="D71" s="1115"/>
      <c r="E71" s="1115"/>
      <c r="F71" s="1115"/>
      <c r="G71" s="1115"/>
      <c r="H71" s="1115"/>
      <c r="I71" s="1115"/>
      <c r="J71" s="1115"/>
      <c r="K71" s="1115"/>
      <c r="L71" s="1115"/>
    </row>
    <row r="72" spans="2:12" x14ac:dyDescent="0.25">
      <c r="B72" s="1115"/>
      <c r="C72" s="1115"/>
      <c r="D72" s="1115"/>
      <c r="E72" s="1115"/>
      <c r="F72" s="1115"/>
      <c r="G72" s="1115"/>
      <c r="H72" s="1115"/>
      <c r="I72" s="1115"/>
      <c r="J72" s="1115"/>
      <c r="K72" s="1115"/>
      <c r="L72" s="1115"/>
    </row>
    <row r="73" spans="2:12" x14ac:dyDescent="0.25">
      <c r="B73" s="1115"/>
      <c r="C73" s="1115"/>
      <c r="D73" s="1115"/>
      <c r="E73" s="1115"/>
      <c r="F73" s="1115"/>
      <c r="G73" s="1115"/>
      <c r="H73" s="1115"/>
      <c r="I73" s="1115"/>
      <c r="J73" s="1115"/>
      <c r="K73" s="1115"/>
      <c r="L73" s="1115"/>
    </row>
    <row r="74" spans="2:12" x14ac:dyDescent="0.25">
      <c r="B74" s="1115"/>
      <c r="C74" s="1115"/>
      <c r="D74" s="1115"/>
      <c r="E74" s="1115"/>
      <c r="F74" s="1115"/>
      <c r="G74" s="1115"/>
      <c r="H74" s="1115"/>
      <c r="I74" s="1115"/>
      <c r="J74" s="1115"/>
      <c r="K74" s="1115"/>
      <c r="L74" s="1115"/>
    </row>
    <row r="75" spans="2:12" x14ac:dyDescent="0.25">
      <c r="B75" s="1115"/>
      <c r="C75" s="1115"/>
      <c r="D75" s="1115"/>
      <c r="E75" s="1115"/>
      <c r="F75" s="1115"/>
      <c r="G75" s="1115"/>
      <c r="H75" s="1115"/>
      <c r="I75" s="1115"/>
      <c r="J75" s="1115"/>
      <c r="K75" s="1115"/>
      <c r="L75" s="1115"/>
    </row>
    <row r="76" spans="2:12" x14ac:dyDescent="0.25">
      <c r="B76" s="1115"/>
      <c r="C76" s="1115"/>
      <c r="D76" s="1115"/>
      <c r="E76" s="1115"/>
      <c r="F76" s="1115"/>
      <c r="G76" s="1115"/>
      <c r="H76" s="1115"/>
      <c r="I76" s="1115"/>
      <c r="J76" s="1115"/>
      <c r="K76" s="1115"/>
      <c r="L76" s="1115"/>
    </row>
    <row r="77" spans="2:12" x14ac:dyDescent="0.25">
      <c r="B77" s="1115"/>
      <c r="C77" s="1115"/>
      <c r="D77" s="1115"/>
      <c r="E77" s="1115"/>
      <c r="F77" s="1115"/>
      <c r="G77" s="1115"/>
      <c r="H77" s="1115"/>
      <c r="I77" s="1115"/>
      <c r="J77" s="1115"/>
      <c r="K77" s="1115"/>
      <c r="L77" s="1115"/>
    </row>
    <row r="78" spans="2:12" x14ac:dyDescent="0.25">
      <c r="B78" s="1115"/>
      <c r="C78" s="1115"/>
      <c r="D78" s="1115"/>
      <c r="E78" s="1115"/>
      <c r="F78" s="1115"/>
      <c r="G78" s="1115"/>
      <c r="H78" s="1115"/>
      <c r="I78" s="1115"/>
      <c r="J78" s="1115"/>
      <c r="K78" s="1115"/>
      <c r="L78" s="1115"/>
    </row>
    <row r="79" spans="2:12" x14ac:dyDescent="0.25">
      <c r="B79" s="1115"/>
      <c r="C79" s="1115"/>
      <c r="D79" s="1115"/>
      <c r="E79" s="1115"/>
      <c r="F79" s="1115"/>
      <c r="G79" s="1115"/>
      <c r="H79" s="1115"/>
      <c r="I79" s="1115"/>
      <c r="J79" s="1115"/>
      <c r="K79" s="1115"/>
      <c r="L79" s="1115"/>
    </row>
    <row r="80" spans="2:12" x14ac:dyDescent="0.25">
      <c r="B80" s="1115"/>
      <c r="C80" s="1115"/>
      <c r="D80" s="1115"/>
      <c r="E80" s="1115"/>
      <c r="F80" s="1115"/>
      <c r="G80" s="1115"/>
      <c r="H80" s="1115"/>
      <c r="I80" s="1115"/>
      <c r="J80" s="1115"/>
      <c r="K80" s="1115"/>
      <c r="L80" s="1115"/>
    </row>
    <row r="81" spans="2:12" x14ac:dyDescent="0.25">
      <c r="B81" s="1115"/>
      <c r="C81" s="1115"/>
      <c r="D81" s="1115"/>
      <c r="E81" s="1115"/>
      <c r="F81" s="1115"/>
      <c r="G81" s="1115"/>
      <c r="H81" s="1115"/>
      <c r="I81" s="1115"/>
      <c r="J81" s="1115"/>
      <c r="K81" s="1115"/>
      <c r="L81" s="1115"/>
    </row>
    <row r="82" spans="2:12" x14ac:dyDescent="0.25">
      <c r="B82" s="1115"/>
      <c r="C82" s="1115"/>
      <c r="D82" s="1115"/>
      <c r="E82" s="1115"/>
      <c r="F82" s="1115"/>
      <c r="G82" s="1115"/>
      <c r="H82" s="1115"/>
      <c r="I82" s="1115"/>
      <c r="J82" s="1115"/>
      <c r="K82" s="1115"/>
      <c r="L82" s="1115"/>
    </row>
    <row r="83" spans="2:12" x14ac:dyDescent="0.25">
      <c r="B83" s="1115"/>
      <c r="C83" s="1115"/>
      <c r="D83" s="1115"/>
      <c r="E83" s="1115"/>
      <c r="F83" s="1115"/>
      <c r="G83" s="1115"/>
      <c r="H83" s="1115"/>
      <c r="I83" s="1115"/>
      <c r="J83" s="1115"/>
      <c r="K83" s="1115"/>
      <c r="L83" s="1115"/>
    </row>
    <row r="84" spans="2:12" x14ac:dyDescent="0.25">
      <c r="B84" s="1115"/>
      <c r="C84" s="1115"/>
      <c r="D84" s="1115"/>
      <c r="E84" s="1115"/>
      <c r="F84" s="1115"/>
      <c r="G84" s="1115"/>
      <c r="H84" s="1115"/>
      <c r="I84" s="1115"/>
      <c r="J84" s="1115"/>
      <c r="K84" s="1115"/>
      <c r="L84" s="1115"/>
    </row>
    <row r="85" spans="2:12" x14ac:dyDescent="0.25">
      <c r="B85" s="1115"/>
      <c r="C85" s="1115"/>
      <c r="D85" s="1115"/>
      <c r="E85" s="1115"/>
      <c r="F85" s="1115"/>
      <c r="G85" s="1115"/>
      <c r="H85" s="1115"/>
      <c r="I85" s="1115"/>
      <c r="J85" s="1115"/>
      <c r="K85" s="1115"/>
      <c r="L85" s="1115"/>
    </row>
    <row r="86" spans="2:12" x14ac:dyDescent="0.25">
      <c r="B86" s="1115"/>
      <c r="C86" s="1115"/>
      <c r="D86" s="1115"/>
      <c r="E86" s="1115"/>
      <c r="F86" s="1115"/>
      <c r="G86" s="1115"/>
      <c r="H86" s="1115"/>
      <c r="I86" s="1115"/>
      <c r="J86" s="1115"/>
      <c r="K86" s="1115"/>
      <c r="L86" s="1115"/>
    </row>
    <row r="87" spans="2:12" x14ac:dyDescent="0.25">
      <c r="B87" s="1115"/>
      <c r="C87" s="1115"/>
      <c r="D87" s="1115"/>
      <c r="E87" s="1115"/>
      <c r="F87" s="1115"/>
      <c r="G87" s="1115"/>
      <c r="H87" s="1115"/>
      <c r="I87" s="1115"/>
      <c r="J87" s="1115"/>
      <c r="K87" s="1115"/>
      <c r="L87" s="1115"/>
    </row>
    <row r="88" spans="2:12" x14ac:dyDescent="0.25">
      <c r="B88" s="1115"/>
      <c r="C88" s="1115"/>
      <c r="D88" s="1115"/>
      <c r="E88" s="1115"/>
      <c r="F88" s="1115"/>
      <c r="G88" s="1115"/>
      <c r="H88" s="1115"/>
      <c r="I88" s="1115"/>
      <c r="J88" s="1115"/>
      <c r="K88" s="1115"/>
      <c r="L88" s="1115"/>
    </row>
    <row r="90" spans="2:12" x14ac:dyDescent="0.25">
      <c r="B90" s="937" t="s">
        <v>3835</v>
      </c>
      <c r="C90" s="937"/>
      <c r="D90" s="937"/>
      <c r="E90" s="937"/>
      <c r="F90" s="937"/>
      <c r="G90" s="937"/>
      <c r="H90" s="937"/>
      <c r="I90" s="937"/>
      <c r="J90" s="937"/>
      <c r="K90" s="937"/>
      <c r="L90" s="937"/>
    </row>
  </sheetData>
  <mergeCells count="4">
    <mergeCell ref="B1:C5"/>
    <mergeCell ref="D1:L5"/>
    <mergeCell ref="B52:L88"/>
    <mergeCell ref="B90:L90"/>
  </mergeCells>
  <printOptions horizontalCentered="1"/>
  <pageMargins left="0" right="0" top="0" bottom="0" header="0" footer="0"/>
  <pageSetup scale="57" orientation="portrait" horizontalDpi="1200" verticalDpi="120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2506-01D5-4CDB-BEE7-D76062C19DE6}">
  <sheetPr>
    <pageSetUpPr fitToPage="1"/>
  </sheetPr>
  <dimension ref="B1:L90"/>
  <sheetViews>
    <sheetView zoomScaleNormal="100" workbookViewId="0"/>
  </sheetViews>
  <sheetFormatPr defaultColWidth="15.77734375" defaultRowHeight="15" x14ac:dyDescent="0.25"/>
  <cols>
    <col min="1" max="1" width="2" style="720" customWidth="1"/>
    <col min="2" max="2" width="25.77734375" style="720" customWidth="1"/>
    <col min="3" max="7" width="15.77734375" style="720"/>
    <col min="8" max="8" width="2" style="720" customWidth="1"/>
    <col min="9" max="16384" width="15.77734375" style="720"/>
  </cols>
  <sheetData>
    <row r="1" spans="2:12" x14ac:dyDescent="0.25">
      <c r="B1" s="938" t="s">
        <v>378</v>
      </c>
      <c r="C1" s="938"/>
      <c r="D1" s="939" t="s">
        <v>3704</v>
      </c>
      <c r="E1" s="939"/>
      <c r="F1" s="939"/>
      <c r="G1" s="939"/>
      <c r="H1" s="939"/>
      <c r="I1" s="939"/>
      <c r="J1" s="939"/>
      <c r="K1" s="939"/>
      <c r="L1" s="939"/>
    </row>
    <row r="2" spans="2:12" x14ac:dyDescent="0.25">
      <c r="B2" s="938"/>
      <c r="C2" s="938"/>
      <c r="D2" s="939"/>
      <c r="E2" s="939"/>
      <c r="F2" s="939"/>
      <c r="G2" s="939"/>
      <c r="H2" s="939"/>
      <c r="I2" s="939"/>
      <c r="J2" s="939"/>
      <c r="K2" s="939"/>
      <c r="L2" s="939"/>
    </row>
    <row r="3" spans="2:12" x14ac:dyDescent="0.25">
      <c r="B3" s="938"/>
      <c r="C3" s="938"/>
      <c r="D3" s="939"/>
      <c r="E3" s="939"/>
      <c r="F3" s="939"/>
      <c r="G3" s="939"/>
      <c r="H3" s="939"/>
      <c r="I3" s="939"/>
      <c r="J3" s="939"/>
      <c r="K3" s="939"/>
      <c r="L3" s="939"/>
    </row>
    <row r="4" spans="2:12" x14ac:dyDescent="0.25">
      <c r="B4" s="938"/>
      <c r="C4" s="938"/>
      <c r="D4" s="939"/>
      <c r="E4" s="939"/>
      <c r="F4" s="939"/>
      <c r="G4" s="939"/>
      <c r="H4" s="939"/>
      <c r="I4" s="939"/>
      <c r="J4" s="939"/>
      <c r="K4" s="939"/>
      <c r="L4" s="939"/>
    </row>
    <row r="5" spans="2:12" x14ac:dyDescent="0.25">
      <c r="B5" s="938"/>
      <c r="C5" s="938"/>
      <c r="D5" s="939"/>
      <c r="E5" s="939"/>
      <c r="F5" s="939"/>
      <c r="G5" s="939"/>
      <c r="H5" s="939"/>
      <c r="I5" s="939"/>
      <c r="J5" s="939"/>
      <c r="K5" s="939"/>
      <c r="L5" s="939"/>
    </row>
    <row r="7" spans="2:12" x14ac:dyDescent="0.25">
      <c r="B7" s="1076" t="s">
        <v>3711</v>
      </c>
      <c r="C7" s="1076"/>
      <c r="D7" s="1076"/>
      <c r="E7" s="1076"/>
      <c r="F7" s="1076"/>
      <c r="G7" s="1076"/>
      <c r="H7" s="1076"/>
      <c r="I7" s="1076"/>
      <c r="J7" s="1076"/>
      <c r="K7" s="1076"/>
      <c r="L7" s="1076"/>
    </row>
    <row r="8" spans="2:12" x14ac:dyDescent="0.25">
      <c r="B8" s="1076"/>
      <c r="C8" s="1076"/>
      <c r="D8" s="1076"/>
      <c r="E8" s="1076"/>
      <c r="F8" s="1076"/>
      <c r="G8" s="1076"/>
      <c r="H8" s="1076"/>
      <c r="I8" s="1076"/>
      <c r="J8" s="1076"/>
      <c r="K8" s="1076"/>
      <c r="L8" s="1076"/>
    </row>
    <row r="10" spans="2:12" x14ac:dyDescent="0.25">
      <c r="B10" s="867" t="s">
        <v>3717</v>
      </c>
      <c r="C10" s="867">
        <v>2021</v>
      </c>
      <c r="D10" s="867">
        <f>C10+1</f>
        <v>2022</v>
      </c>
      <c r="E10" s="867">
        <f t="shared" ref="E10:G10" si="0">D10+1</f>
        <v>2023</v>
      </c>
      <c r="F10" s="867">
        <f t="shared" si="0"/>
        <v>2024</v>
      </c>
      <c r="G10" s="867">
        <f t="shared" si="0"/>
        <v>2025</v>
      </c>
      <c r="I10" s="1120" t="s">
        <v>3719</v>
      </c>
      <c r="J10" s="1121"/>
      <c r="K10" s="1121"/>
      <c r="L10" s="1122"/>
    </row>
    <row r="12" spans="2:12" x14ac:dyDescent="0.25">
      <c r="B12" s="1076" t="s">
        <v>3712</v>
      </c>
      <c r="C12" s="1076"/>
      <c r="D12" s="1076"/>
      <c r="E12" s="1076"/>
      <c r="F12" s="1076"/>
      <c r="G12" s="1076"/>
      <c r="I12" s="1113" t="s">
        <v>3718</v>
      </c>
      <c r="J12" s="1113"/>
      <c r="K12" s="1125" t="s">
        <v>3109</v>
      </c>
      <c r="L12" s="1125" t="s">
        <v>279</v>
      </c>
    </row>
    <row r="13" spans="2:12" x14ac:dyDescent="0.25">
      <c r="B13" s="1076"/>
      <c r="C13" s="1076"/>
      <c r="D13" s="1076"/>
      <c r="E13" s="1076"/>
      <c r="F13" s="1076"/>
      <c r="G13" s="1076"/>
      <c r="I13" s="1113"/>
      <c r="J13" s="1113"/>
      <c r="K13" s="1125"/>
      <c r="L13" s="1125"/>
    </row>
    <row r="15" spans="2:12" x14ac:dyDescent="0.25">
      <c r="B15" s="791" t="s">
        <v>516</v>
      </c>
      <c r="C15" s="891">
        <f>'RATIO ANALYSIS'!C9</f>
        <v>2.2807772561293689</v>
      </c>
      <c r="D15" s="891">
        <f>'RATIO ANALYSIS'!D9</f>
        <v>2.0308446902363553</v>
      </c>
      <c r="E15" s="891">
        <f>'RATIO ANALYSIS'!E9</f>
        <v>2.4715747796204992</v>
      </c>
      <c r="F15" s="891">
        <f>'RATIO ANALYSIS'!F9</f>
        <v>2.5814156137362856</v>
      </c>
      <c r="G15" s="895">
        <f>'RATIO ANALYSIS'!G9</f>
        <v>2.7217117903930133</v>
      </c>
      <c r="I15" s="1118"/>
      <c r="J15" s="1119"/>
      <c r="K15" s="888">
        <f>AVERAGE(C15:G15)</f>
        <v>2.4172648260231044</v>
      </c>
      <c r="L15" s="824">
        <f>MEDIAN(C15:G15)</f>
        <v>2.4715747796204992</v>
      </c>
    </row>
    <row r="16" spans="2:12" x14ac:dyDescent="0.25">
      <c r="B16" s="792" t="s">
        <v>517</v>
      </c>
      <c r="C16" s="892">
        <f>'RATIO ANALYSIS'!C10</f>
        <v>2.2761693618501129</v>
      </c>
      <c r="D16" s="892">
        <f>'RATIO ANALYSIS'!D10</f>
        <v>2.0264665218250051</v>
      </c>
      <c r="E16" s="892">
        <f>'RATIO ANALYSIS'!E10</f>
        <v>2.4671298371432839</v>
      </c>
      <c r="F16" s="892">
        <f>'RATIO ANALYSIS'!F10</f>
        <v>2.5778112250960512</v>
      </c>
      <c r="G16" s="896">
        <f>'RATIO ANALYSIS'!G10</f>
        <v>2.7193013100436683</v>
      </c>
      <c r="I16" s="1117"/>
      <c r="J16" s="1036"/>
      <c r="K16" s="889">
        <f>AVERAGE(C16:G16)</f>
        <v>2.4133756511916244</v>
      </c>
      <c r="L16" s="826">
        <f>MEDIAN(C16:G16)</f>
        <v>2.4671298371432839</v>
      </c>
    </row>
    <row r="17" spans="2:12" x14ac:dyDescent="0.25">
      <c r="B17" s="793" t="s">
        <v>518</v>
      </c>
      <c r="C17" s="894">
        <f>'RATIO ANALYSIS'!C11</f>
        <v>0.75956355416449317</v>
      </c>
      <c r="D17" s="894">
        <f>'RATIO ANALYSIS'!D11</f>
        <v>0.32925143195733753</v>
      </c>
      <c r="E17" s="894">
        <f>'RATIO ANALYSIS'!E11</f>
        <v>0.34539817720005977</v>
      </c>
      <c r="F17" s="894">
        <f>'RATIO ANALYSIS'!F11</f>
        <v>0.38824414781954292</v>
      </c>
      <c r="G17" s="897">
        <f>'RATIO ANALYSIS'!G11</f>
        <v>0.43172052401746724</v>
      </c>
      <c r="I17" s="1123"/>
      <c r="J17" s="1124"/>
      <c r="K17" s="890">
        <f>AVERAGE(C17:G17)</f>
        <v>0.45083556703178013</v>
      </c>
      <c r="L17" s="828">
        <f>MEDIAN(C17:G17)</f>
        <v>0.38824414781954292</v>
      </c>
    </row>
    <row r="18" spans="2:12" x14ac:dyDescent="0.25">
      <c r="I18" s="887"/>
    </row>
    <row r="19" spans="2:12" x14ac:dyDescent="0.25">
      <c r="B19" s="1076" t="s">
        <v>3713</v>
      </c>
      <c r="C19" s="1076"/>
      <c r="D19" s="1076"/>
      <c r="E19" s="1076"/>
      <c r="F19" s="1076"/>
      <c r="G19" s="1076"/>
      <c r="I19" s="898"/>
      <c r="J19" s="899"/>
      <c r="K19" s="899"/>
      <c r="L19" s="899"/>
    </row>
    <row r="20" spans="2:12" x14ac:dyDescent="0.25">
      <c r="B20" s="1076"/>
      <c r="C20" s="1076"/>
      <c r="D20" s="1076"/>
      <c r="E20" s="1076"/>
      <c r="F20" s="1076"/>
      <c r="G20" s="1076"/>
      <c r="I20" s="898"/>
      <c r="J20" s="899"/>
      <c r="K20" s="899"/>
      <c r="L20" s="899"/>
    </row>
    <row r="21" spans="2:12" x14ac:dyDescent="0.25">
      <c r="I21" s="887"/>
    </row>
    <row r="22" spans="2:12" x14ac:dyDescent="0.25">
      <c r="B22" s="791" t="s">
        <v>519</v>
      </c>
      <c r="C22" s="895">
        <f>'RATIO ANALYSIS'!C16</f>
        <v>0.27020502901353965</v>
      </c>
      <c r="D22" s="895">
        <f>'RATIO ANALYSIS'!D16</f>
        <v>0.21563917146709155</v>
      </c>
      <c r="E22" s="895">
        <f>'RATIO ANALYSIS'!E16</f>
        <v>0.21051276273859723</v>
      </c>
      <c r="F22" s="895">
        <f>'RATIO ANALYSIS'!F16</f>
        <v>0.21032188260751961</v>
      </c>
      <c r="G22" s="895">
        <f>'RATIO ANALYSIS'!G16</f>
        <v>0.23559781439573205</v>
      </c>
      <c r="I22" s="1118"/>
      <c r="J22" s="1119"/>
      <c r="K22" s="888">
        <f>AVERAGE(C22:G22)</f>
        <v>0.22845533204449603</v>
      </c>
      <c r="L22" s="824">
        <f>MEDIAN(C22:G22)</f>
        <v>0.21563917146709155</v>
      </c>
    </row>
    <row r="23" spans="2:12" x14ac:dyDescent="0.25">
      <c r="B23" s="792" t="s">
        <v>520</v>
      </c>
      <c r="C23" s="896">
        <f>'RATIO ANALYSIS'!C17</f>
        <v>0.22745067698259189</v>
      </c>
      <c r="D23" s="896">
        <f>'RATIO ANALYSIS'!D17</f>
        <v>0.17791396004412305</v>
      </c>
      <c r="E23" s="896">
        <f>'RATIO ANALYSIS'!E17</f>
        <v>0.17467623737942725</v>
      </c>
      <c r="F23" s="896">
        <f>'RATIO ANALYSIS'!F17</f>
        <v>0.17345956180687044</v>
      </c>
      <c r="G23" s="896">
        <f>'RATIO ANALYSIS'!G17</f>
        <v>0.20378178376285333</v>
      </c>
      <c r="I23" s="1117"/>
      <c r="J23" s="1036"/>
      <c r="K23" s="889">
        <f>AVERAGE(C23:G23)</f>
        <v>0.1914564439951732</v>
      </c>
      <c r="L23" s="826">
        <f>MEDIAN(C23:G23)</f>
        <v>0.17791396004412305</v>
      </c>
    </row>
    <row r="24" spans="2:12" x14ac:dyDescent="0.25">
      <c r="B24" s="792" t="s">
        <v>521</v>
      </c>
      <c r="C24" s="896">
        <f>'RATIO ANALYSIS'!C18</f>
        <v>0.17261121856866538</v>
      </c>
      <c r="D24" s="896">
        <f>'RATIO ANALYSIS'!D18</f>
        <v>0.13584998161539405</v>
      </c>
      <c r="E24" s="896">
        <f>'RATIO ANALYSIS'!E18</f>
        <v>0.1266510015986953</v>
      </c>
      <c r="F24" s="896">
        <f>'RATIO ANALYSIS'!F18</f>
        <v>0.12083310792534488</v>
      </c>
      <c r="G24" s="896">
        <f>'RATIO ANALYSIS'!G18</f>
        <v>0.14188142666609302</v>
      </c>
      <c r="I24" s="1117"/>
      <c r="J24" s="1036"/>
      <c r="K24" s="889">
        <f>AVERAGE(C24:G24)</f>
        <v>0.13956534727483855</v>
      </c>
      <c r="L24" s="826">
        <f>MEDIAN(C24:G24)</f>
        <v>0.13584998161539405</v>
      </c>
    </row>
    <row r="25" spans="2:12" x14ac:dyDescent="0.25">
      <c r="B25" s="792" t="s">
        <v>522</v>
      </c>
      <c r="C25" s="896" t="str">
        <f>'RATIO ANALYSIS'!C19</f>
        <v>N/A</v>
      </c>
      <c r="D25" s="896">
        <f>'RATIO ANALYSIS'!D19</f>
        <v>0.18395764526247654</v>
      </c>
      <c r="E25" s="896">
        <f>'RATIO ANALYSIS'!E19</f>
        <v>0.16488106046849466</v>
      </c>
      <c r="F25" s="896">
        <f>'RATIO ANALYSIS'!F19</f>
        <v>0.14656745016207987</v>
      </c>
      <c r="G25" s="896">
        <f>'RATIO ANALYSIS'!G19</f>
        <v>0.16777639988552895</v>
      </c>
      <c r="I25" s="1117"/>
      <c r="J25" s="1036"/>
      <c r="K25" s="889">
        <f>AVERAGE(D25:G25)</f>
        <v>0.165795638944645</v>
      </c>
      <c r="L25" s="826">
        <f>MEDIAN(D25:G25)</f>
        <v>0.1663287301770118</v>
      </c>
    </row>
    <row r="26" spans="2:12" x14ac:dyDescent="0.25">
      <c r="B26" s="792" t="s">
        <v>523</v>
      </c>
      <c r="C26" s="896">
        <f>'RATIO ANALYSIS'!C20</f>
        <v>0.24609486179242915</v>
      </c>
      <c r="D26" s="896">
        <f>'RATIO ANALYSIS'!D20</f>
        <v>0.18933583763760631</v>
      </c>
      <c r="E26" s="896">
        <f>'RATIO ANALYSIS'!E20</f>
        <v>0.18020610796869638</v>
      </c>
      <c r="F26" s="896">
        <f>'RATIO ANALYSIS'!F20</f>
        <v>0.17903847227650901</v>
      </c>
      <c r="G26" s="896">
        <f>'RATIO ANALYSIS'!G20</f>
        <v>0.19029921955825188</v>
      </c>
      <c r="I26" s="1117"/>
      <c r="J26" s="1036"/>
      <c r="K26" s="889">
        <f>AVERAGE(C26:G26)</f>
        <v>0.19699489984669855</v>
      </c>
      <c r="L26" s="826">
        <f>MEDIAN(C26:G26)</f>
        <v>0.18933583763760631</v>
      </c>
    </row>
    <row r="27" spans="2:12" x14ac:dyDescent="0.25">
      <c r="B27" s="793" t="s">
        <v>535</v>
      </c>
      <c r="C27" s="897" t="str">
        <f>'RATIO ANALYSIS'!C21</f>
        <v>N/A</v>
      </c>
      <c r="D27" s="897">
        <f>'RATIO ANALYSIS'!D21</f>
        <v>0.11680955216330574</v>
      </c>
      <c r="E27" s="897">
        <f>'RATIO ANALYSIS'!E21</f>
        <v>0.10531810009859073</v>
      </c>
      <c r="F27" s="897">
        <f>'RATIO ANALYSIS'!F21</f>
        <v>9.6315301524331084E-2</v>
      </c>
      <c r="G27" s="897">
        <f>'RATIO ANALYSIS'!G21</f>
        <v>0.10857862504938759</v>
      </c>
      <c r="I27" s="1123"/>
      <c r="J27" s="1124"/>
      <c r="K27" s="890">
        <f>AVERAGE(D27:G27)</f>
        <v>0.10675539470890379</v>
      </c>
      <c r="L27" s="828">
        <f>MEDIAN(D27:G27)</f>
        <v>0.10694836257398915</v>
      </c>
    </row>
    <row r="28" spans="2:12" x14ac:dyDescent="0.25">
      <c r="I28" s="887"/>
    </row>
    <row r="29" spans="2:12" x14ac:dyDescent="0.25">
      <c r="B29" s="1076" t="s">
        <v>3714</v>
      </c>
      <c r="C29" s="1076"/>
      <c r="D29" s="1076"/>
      <c r="E29" s="1076"/>
      <c r="F29" s="1076"/>
      <c r="G29" s="1076"/>
      <c r="I29" s="898"/>
      <c r="J29" s="899"/>
      <c r="K29" s="899"/>
      <c r="L29" s="899"/>
    </row>
    <row r="30" spans="2:12" x14ac:dyDescent="0.25">
      <c r="B30" s="1076"/>
      <c r="C30" s="1076"/>
      <c r="D30" s="1076"/>
      <c r="E30" s="1076"/>
      <c r="F30" s="1076"/>
      <c r="G30" s="1076"/>
      <c r="I30" s="898"/>
      <c r="J30" s="899"/>
      <c r="K30" s="899"/>
      <c r="L30" s="899"/>
    </row>
    <row r="31" spans="2:12" x14ac:dyDescent="0.25">
      <c r="I31" s="887"/>
    </row>
    <row r="32" spans="2:12" x14ac:dyDescent="0.25">
      <c r="B32" s="791" t="s">
        <v>3705</v>
      </c>
      <c r="C32" s="895" t="str">
        <f>'RATIO ANALYSIS'!C26</f>
        <v>N/A</v>
      </c>
      <c r="D32" s="895">
        <f>'RATIO ANALYSIS'!D26</f>
        <v>0.83812223691767795</v>
      </c>
      <c r="E32" s="895">
        <f>'RATIO ANALYSIS'!E26</f>
        <v>0.81134373368903323</v>
      </c>
      <c r="F32" s="895">
        <f>'RATIO ANALYSIS'!F26</f>
        <v>0.77440331170091203</v>
      </c>
      <c r="G32" s="895">
        <f>'RATIO ANALYSIS'!G26</f>
        <v>0.73330699328328719</v>
      </c>
      <c r="H32" s="887"/>
      <c r="I32" s="1118"/>
      <c r="J32" s="1119"/>
      <c r="K32" s="888">
        <f>AVERAGE(D32:G32)</f>
        <v>0.78929406889772769</v>
      </c>
      <c r="L32" s="824">
        <f t="shared" ref="L32:L39" si="1">MEDIAN(D32:G32)</f>
        <v>0.79287352269497258</v>
      </c>
    </row>
    <row r="33" spans="2:12" x14ac:dyDescent="0.25">
      <c r="B33" s="792" t="s">
        <v>3706</v>
      </c>
      <c r="C33" s="896" t="str">
        <f>'RATIO ANALYSIS'!C27</f>
        <v>N/A</v>
      </c>
      <c r="D33" s="896">
        <f>'RATIO ANALYSIS'!D27</f>
        <v>494.326359832636</v>
      </c>
      <c r="E33" s="896">
        <f>'RATIO ANALYSIS'!E27</f>
        <v>534.14285714285711</v>
      </c>
      <c r="F33" s="896">
        <f>'RATIO ANALYSIS'!F27</f>
        <v>639.04761904761904</v>
      </c>
      <c r="G33" s="896">
        <f>'RATIO ANALYSIS'!G27</f>
        <v>816.08749999999998</v>
      </c>
      <c r="H33" s="887"/>
      <c r="I33" s="1117"/>
      <c r="J33" s="1036"/>
      <c r="K33" s="889">
        <f t="shared" ref="K33:K39" si="2">AVERAGE(D33:G33)</f>
        <v>620.90108400577799</v>
      </c>
      <c r="L33" s="826">
        <f t="shared" si="1"/>
        <v>586.59523809523807</v>
      </c>
    </row>
    <row r="34" spans="2:12" x14ac:dyDescent="0.25">
      <c r="B34" s="792" t="s">
        <v>228</v>
      </c>
      <c r="C34" s="896" t="str">
        <f>'RATIO ANALYSIS'!C28</f>
        <v>N/A</v>
      </c>
      <c r="D34" s="896">
        <f>'RATIO ANALYSIS'!D28</f>
        <v>0.7383785888407367</v>
      </c>
      <c r="E34" s="896">
        <f>'RATIO ANALYSIS'!E28</f>
        <v>0.68333779085316937</v>
      </c>
      <c r="F34" s="896">
        <f>'RATIO ANALYSIS'!F28</f>
        <v>0.57116244411326378</v>
      </c>
      <c r="G34" s="896">
        <f>'RATIO ANALYSIS'!G28</f>
        <v>0.44725596213641305</v>
      </c>
      <c r="H34" s="887"/>
      <c r="I34" s="1117"/>
      <c r="J34" s="1036"/>
      <c r="K34" s="889">
        <f t="shared" si="2"/>
        <v>0.61003369648589567</v>
      </c>
      <c r="L34" s="826">
        <f t="shared" si="1"/>
        <v>0.62725011748321657</v>
      </c>
    </row>
    <row r="35" spans="2:12" x14ac:dyDescent="0.25">
      <c r="B35" s="792" t="s">
        <v>3707</v>
      </c>
      <c r="C35" s="896" t="str">
        <f>'RATIO ANALYSIS'!C29</f>
        <v>N/A</v>
      </c>
      <c r="D35" s="896">
        <f>'RATIO ANALYSIS'!D29</f>
        <v>5.9414852997327223</v>
      </c>
      <c r="E35" s="896">
        <f>'RATIO ANALYSIS'!E29</f>
        <v>6.5843440824605706</v>
      </c>
      <c r="F35" s="896">
        <f>'RATIO ANALYSIS'!F29</f>
        <v>7.5205723028573788</v>
      </c>
      <c r="G35" s="896">
        <f>'RATIO ANALYSIS'!G29</f>
        <v>7.7099557807066503</v>
      </c>
      <c r="H35" s="887"/>
      <c r="I35" s="1117"/>
      <c r="J35" s="1036"/>
      <c r="K35" s="889">
        <f t="shared" si="2"/>
        <v>6.9390893664393305</v>
      </c>
      <c r="L35" s="826">
        <f t="shared" si="1"/>
        <v>7.0524581926589747</v>
      </c>
    </row>
    <row r="36" spans="2:12" x14ac:dyDescent="0.25">
      <c r="B36" s="792" t="s">
        <v>526</v>
      </c>
      <c r="C36" s="893" t="str">
        <f>'RATIO ANALYSIS'!C30</f>
        <v>N/A</v>
      </c>
      <c r="D36" s="896">
        <f>'RATIO ANALYSIS'!D30</f>
        <v>61.432450235367831</v>
      </c>
      <c r="E36" s="896">
        <f>'RATIO ANALYSIS'!E30</f>
        <v>55.434527027876619</v>
      </c>
      <c r="F36" s="896">
        <f>'RATIO ANALYSIS'!F30</f>
        <v>48.533540440974328</v>
      </c>
      <c r="G36" s="896">
        <f>'RATIO ANALYSIS'!G30</f>
        <v>47.341386952357617</v>
      </c>
      <c r="H36" s="887"/>
      <c r="I36" s="1117"/>
      <c r="J36" s="1036"/>
      <c r="K36" s="889">
        <f t="shared" si="2"/>
        <v>53.185476164144099</v>
      </c>
      <c r="L36" s="826">
        <f t="shared" si="1"/>
        <v>51.984033734425473</v>
      </c>
    </row>
    <row r="37" spans="2:12" x14ac:dyDescent="0.25">
      <c r="B37" s="792" t="s">
        <v>536</v>
      </c>
      <c r="C37" s="896" t="str">
        <f>'RATIO ANALYSIS'!C31</f>
        <v>N/A</v>
      </c>
      <c r="D37" s="896">
        <f>'RATIO ANALYSIS'!D31</f>
        <v>10.332691971313626</v>
      </c>
      <c r="E37" s="896">
        <f>'RATIO ANALYSIS'!E31</f>
        <v>11.011452879581151</v>
      </c>
      <c r="F37" s="896">
        <f>'RATIO ANALYSIS'!F31</f>
        <v>11.432952802862498</v>
      </c>
      <c r="G37" s="896">
        <f>'RATIO ANALYSIS'!G31</f>
        <v>11.224447691910942</v>
      </c>
      <c r="H37" s="887"/>
      <c r="I37" s="1117"/>
      <c r="J37" s="1036"/>
      <c r="K37" s="889">
        <f t="shared" si="2"/>
        <v>11.000386336417055</v>
      </c>
      <c r="L37" s="826">
        <f t="shared" si="1"/>
        <v>11.117950285746048</v>
      </c>
    </row>
    <row r="38" spans="2:12" x14ac:dyDescent="0.25">
      <c r="B38" s="792" t="s">
        <v>527</v>
      </c>
      <c r="C38" s="896" t="str">
        <f>'RATIO ANALYSIS'!C32</f>
        <v>N/A</v>
      </c>
      <c r="D38" s="896">
        <f>'RATIO ANALYSIS'!D32</f>
        <v>35.324773158179852</v>
      </c>
      <c r="E38" s="896">
        <f>'RATIO ANALYSIS'!E32</f>
        <v>33.147306172179135</v>
      </c>
      <c r="F38" s="896">
        <f>'RATIO ANALYSIS'!F32</f>
        <v>31.925260804769</v>
      </c>
      <c r="G38" s="896">
        <f>'RATIO ANALYSIS'!G32</f>
        <v>32.518303797080584</v>
      </c>
      <c r="H38" s="887"/>
      <c r="I38" s="1117"/>
      <c r="J38" s="1036"/>
      <c r="K38" s="889">
        <f t="shared" si="2"/>
        <v>33.228910983052138</v>
      </c>
      <c r="L38" s="826">
        <f t="shared" si="1"/>
        <v>32.83280498462986</v>
      </c>
    </row>
    <row r="39" spans="2:12" x14ac:dyDescent="0.25">
      <c r="B39" s="793" t="s">
        <v>3708</v>
      </c>
      <c r="C39" s="897" t="str">
        <f>'RATIO ANALYSIS'!C33</f>
        <v>N/A</v>
      </c>
      <c r="D39" s="897">
        <f>'RATIO ANALYSIS'!D33</f>
        <v>26.846055666028718</v>
      </c>
      <c r="E39" s="897">
        <f>'RATIO ANALYSIS'!E33</f>
        <v>22.97055864655065</v>
      </c>
      <c r="F39" s="897">
        <f>'RATIO ANALYSIS'!F33</f>
        <v>17.179442080318591</v>
      </c>
      <c r="G39" s="897">
        <f>'RATIO ANALYSIS'!G33</f>
        <v>15.270339117413442</v>
      </c>
      <c r="H39" s="887"/>
      <c r="I39" s="1123"/>
      <c r="J39" s="1124"/>
      <c r="K39" s="890">
        <f t="shared" si="2"/>
        <v>20.566598877577849</v>
      </c>
      <c r="L39" s="828">
        <f t="shared" si="1"/>
        <v>20.075000363434619</v>
      </c>
    </row>
    <row r="40" spans="2:12" x14ac:dyDescent="0.25">
      <c r="C40" s="887"/>
      <c r="I40" s="887"/>
    </row>
    <row r="41" spans="2:12" x14ac:dyDescent="0.25">
      <c r="B41" s="1076" t="s">
        <v>3715</v>
      </c>
      <c r="C41" s="1076"/>
      <c r="D41" s="1076"/>
      <c r="E41" s="1076"/>
      <c r="F41" s="1076"/>
      <c r="G41" s="1076"/>
      <c r="I41" s="898"/>
      <c r="J41" s="899"/>
      <c r="K41" s="899"/>
      <c r="L41" s="899"/>
    </row>
    <row r="42" spans="2:12" x14ac:dyDescent="0.25">
      <c r="B42" s="1076"/>
      <c r="C42" s="1076"/>
      <c r="D42" s="1076"/>
      <c r="E42" s="1076"/>
      <c r="F42" s="1076"/>
      <c r="G42" s="1076"/>
      <c r="I42" s="898"/>
      <c r="J42" s="899"/>
      <c r="K42" s="899"/>
      <c r="L42" s="899"/>
    </row>
    <row r="43" spans="2:12" x14ac:dyDescent="0.25">
      <c r="C43" s="887"/>
      <c r="I43" s="887"/>
    </row>
    <row r="44" spans="2:12" x14ac:dyDescent="0.25">
      <c r="B44" s="791" t="s">
        <v>265</v>
      </c>
      <c r="C44" s="895" t="str">
        <f>'RATIO ANALYSIS'!C38</f>
        <v>N/A</v>
      </c>
      <c r="D44" s="895">
        <f>'RATIO ANALYSIS'!D38</f>
        <v>0.15136873081324589</v>
      </c>
      <c r="E44" s="895">
        <f>'RATIO ANALYSIS'!E38</f>
        <v>0.23174700175693225</v>
      </c>
      <c r="F44" s="895">
        <f>'RATIO ANALYSIS'!F38</f>
        <v>0.19309892315411634</v>
      </c>
      <c r="G44" s="895">
        <f>'RATIO ANALYSIS'!G38</f>
        <v>0.18946790416114215</v>
      </c>
      <c r="H44" s="887"/>
      <c r="I44" s="1118"/>
      <c r="J44" s="1119"/>
      <c r="K44" s="888">
        <f t="shared" ref="K44:K47" si="3">AVERAGE(D44:G44)</f>
        <v>0.19142063997135916</v>
      </c>
      <c r="L44" s="824">
        <f t="shared" ref="L44:L47" si="4">MEDIAN(D44:G44)</f>
        <v>0.19128341365762924</v>
      </c>
    </row>
    <row r="45" spans="2:12" x14ac:dyDescent="0.25">
      <c r="B45" s="792" t="s">
        <v>529</v>
      </c>
      <c r="C45" s="896" t="str">
        <f>'RATIO ANALYSIS'!C39</f>
        <v>N/A</v>
      </c>
      <c r="D45" s="896">
        <f>'RATIO ANALYSIS'!D39</f>
        <v>0.47720765089909517</v>
      </c>
      <c r="E45" s="896">
        <f>'RATIO ANALYSIS'!E39</f>
        <v>0.86216892122314426</v>
      </c>
      <c r="F45" s="896">
        <f>'RATIO ANALYSIS'!F39</f>
        <v>0.76498470948012232</v>
      </c>
      <c r="G45" s="896">
        <f>'RATIO ANALYSIS'!G39</f>
        <v>0.7277637738566799</v>
      </c>
      <c r="H45" s="887"/>
      <c r="I45" s="1117"/>
      <c r="J45" s="1036"/>
      <c r="K45" s="889">
        <f t="shared" si="3"/>
        <v>0.70803126386476045</v>
      </c>
      <c r="L45" s="826">
        <f t="shared" si="4"/>
        <v>0.74637424166840116</v>
      </c>
    </row>
    <row r="46" spans="2:12" x14ac:dyDescent="0.25">
      <c r="B46" s="792" t="s">
        <v>533</v>
      </c>
      <c r="C46" s="896" t="str">
        <f>'RATIO ANALYSIS'!C40</f>
        <v>N/A</v>
      </c>
      <c r="D46" s="896">
        <f>'RATIO ANALYSIS'!D40</f>
        <v>-0.52342228839766347</v>
      </c>
      <c r="E46" s="896">
        <f>'RATIO ANALYSIS'!E40</f>
        <v>0.29367966352165509</v>
      </c>
      <c r="F46" s="896">
        <f>'RATIO ANALYSIS'!F40</f>
        <v>0.29367991845056063</v>
      </c>
      <c r="G46" s="896">
        <f>'RATIO ANALYSIS'!G40</f>
        <v>0.22351972838108955</v>
      </c>
      <c r="H46" s="887"/>
      <c r="I46" s="1117"/>
      <c r="J46" s="1036"/>
      <c r="K46" s="889">
        <f t="shared" si="3"/>
        <v>7.1864255488910456E-2</v>
      </c>
      <c r="L46" s="826">
        <f t="shared" si="4"/>
        <v>0.25859969595137233</v>
      </c>
    </row>
    <row r="47" spans="2:12" x14ac:dyDescent="0.25">
      <c r="B47" s="793" t="s">
        <v>3709</v>
      </c>
      <c r="C47" s="897" t="str">
        <f>'RATIO ANALYSIS'!C41</f>
        <v>N/A</v>
      </c>
      <c r="D47" s="897">
        <f>'RATIO ANALYSIS'!D41</f>
        <v>28.878192534381139</v>
      </c>
      <c r="E47" s="897">
        <f>'RATIO ANALYSIS'!E41</f>
        <v>27.132710280373832</v>
      </c>
      <c r="F47" s="897">
        <f>'RATIO ANALYSIS'!F41</f>
        <v>15.116063138347261</v>
      </c>
      <c r="G47" s="897">
        <f>'RATIO ANALYSIS'!G41</f>
        <v>12.774501992031873</v>
      </c>
      <c r="H47" s="887"/>
      <c r="I47" s="1123"/>
      <c r="J47" s="1124"/>
      <c r="K47" s="890">
        <f t="shared" si="3"/>
        <v>20.975366986283525</v>
      </c>
      <c r="L47" s="828">
        <f t="shared" si="4"/>
        <v>21.124386709360547</v>
      </c>
    </row>
    <row r="48" spans="2:12" x14ac:dyDescent="0.25">
      <c r="I48" s="887"/>
    </row>
    <row r="49" spans="2:12" x14ac:dyDescent="0.25">
      <c r="B49" s="1076" t="s">
        <v>3716</v>
      </c>
      <c r="C49" s="1076"/>
      <c r="D49" s="1076"/>
      <c r="E49" s="1076"/>
      <c r="F49" s="1076"/>
      <c r="G49" s="1076"/>
      <c r="I49" s="898"/>
      <c r="J49" s="899"/>
      <c r="K49" s="899"/>
      <c r="L49" s="899"/>
    </row>
    <row r="50" spans="2:12" x14ac:dyDescent="0.25">
      <c r="B50" s="1076"/>
      <c r="C50" s="1076"/>
      <c r="D50" s="1076"/>
      <c r="E50" s="1076"/>
      <c r="F50" s="1076"/>
      <c r="G50" s="1076"/>
      <c r="I50" s="898"/>
      <c r="J50" s="899"/>
      <c r="K50" s="899"/>
      <c r="L50" s="899"/>
    </row>
    <row r="51" spans="2:12" x14ac:dyDescent="0.25">
      <c r="I51" s="887"/>
    </row>
    <row r="52" spans="2:12" x14ac:dyDescent="0.25">
      <c r="B52" s="791" t="s">
        <v>532</v>
      </c>
      <c r="C52" s="895">
        <f>'RATIO ANALYSIS'!C46</f>
        <v>10.015731515469323</v>
      </c>
      <c r="D52" s="895">
        <f>'RATIO ANALYSIS'!D46</f>
        <v>13.265351860152398</v>
      </c>
      <c r="E52" s="895">
        <f>'RATIO ANALYSIS'!E46</f>
        <v>8.8646034816247585</v>
      </c>
      <c r="F52" s="895">
        <f>'RATIO ANALYSIS'!F46</f>
        <v>23.296829971181555</v>
      </c>
      <c r="G52" s="895">
        <f>'RATIO ANALYSIS'!G46</f>
        <v>19.672523961661344</v>
      </c>
      <c r="I52" s="1118"/>
      <c r="J52" s="1119"/>
      <c r="K52" s="888">
        <f>AVERAGE(C52:G52)</f>
        <v>15.023008158017873</v>
      </c>
      <c r="L52" s="824">
        <f>MEDIAN(C52:G52)</f>
        <v>13.265351860152398</v>
      </c>
    </row>
    <row r="53" spans="2:12" x14ac:dyDescent="0.25">
      <c r="B53" s="792" t="s">
        <v>476</v>
      </c>
      <c r="C53" s="896">
        <f>'RATIO ANALYSIS'!C47</f>
        <v>10.949375214752035</v>
      </c>
      <c r="D53" s="896">
        <f>'RATIO ANALYSIS'!D47</f>
        <v>18.143195578037968</v>
      </c>
      <c r="E53" s="896">
        <f>'RATIO ANALYSIS'!E47</f>
        <v>5.4223418960244647</v>
      </c>
      <c r="F53" s="896">
        <f>'RATIO ANALYSIS'!F47</f>
        <v>7.062960502083441</v>
      </c>
      <c r="G53" s="896">
        <f>'RATIO ANALYSIS'!G47</f>
        <v>6.5408450967859757</v>
      </c>
      <c r="I53" s="1117"/>
      <c r="J53" s="1036"/>
      <c r="K53" s="889">
        <f>AVERAGE(C53:G53)</f>
        <v>9.6237436575367781</v>
      </c>
      <c r="L53" s="826">
        <f>MEDIAN(C53:G53)</f>
        <v>7.062960502083441</v>
      </c>
    </row>
    <row r="54" spans="2:12" x14ac:dyDescent="0.25">
      <c r="B54" s="792" t="s">
        <v>530</v>
      </c>
      <c r="C54" s="896">
        <f>'RATIO ANALYSIS'!C48</f>
        <v>13.007550853799579</v>
      </c>
      <c r="D54" s="896">
        <f>'RATIO ANALYSIS'!D48</f>
        <v>21.990312965004136</v>
      </c>
      <c r="E54" s="896">
        <f>'RATIO ANALYSIS'!E48</f>
        <v>6.5347879606879609</v>
      </c>
      <c r="F54" s="896">
        <f>'RATIO ANALYSIS'!F48</f>
        <v>8.5639277195608781</v>
      </c>
      <c r="G54" s="896">
        <f>'RATIO ANALYSIS'!G48</f>
        <v>7.5620537844399873</v>
      </c>
      <c r="I54" s="1117"/>
      <c r="J54" s="1036"/>
      <c r="K54" s="889">
        <f>AVERAGE(C54:G54)</f>
        <v>11.531726656698508</v>
      </c>
      <c r="L54" s="826">
        <f>MEDIAN(C54:G54)</f>
        <v>8.5639277195608781</v>
      </c>
    </row>
    <row r="55" spans="2:12" x14ac:dyDescent="0.25">
      <c r="B55" s="793" t="s">
        <v>531</v>
      </c>
      <c r="C55" s="897">
        <f>'RATIO ANALYSIS'!C49</f>
        <v>3.6391344389747693</v>
      </c>
      <c r="D55" s="897">
        <f>'RATIO ANALYSIS'!D49</f>
        <v>4.7978669773126574</v>
      </c>
      <c r="E55" s="897">
        <f>'RATIO ANALYSIS'!E49</f>
        <v>1.2945867973805756</v>
      </c>
      <c r="F55" s="897">
        <f>'RATIO ANALYSIS'!F49</f>
        <v>1.7805977098316526</v>
      </c>
      <c r="G55" s="897">
        <f>'RATIO ANALYSIS'!G49</f>
        <v>1.6886782314902273</v>
      </c>
      <c r="I55" s="1123"/>
      <c r="J55" s="1124"/>
      <c r="K55" s="890">
        <f>AVERAGE(C55:G55)</f>
        <v>2.6401728309979764</v>
      </c>
      <c r="L55" s="828">
        <f>MEDIAN(C55:G55)</f>
        <v>1.7805977098316526</v>
      </c>
    </row>
    <row r="57" spans="2:12" x14ac:dyDescent="0.25">
      <c r="B57" s="1076" t="s">
        <v>3710</v>
      </c>
      <c r="C57" s="1076"/>
      <c r="D57" s="1076"/>
      <c r="E57" s="1076"/>
      <c r="F57" s="1076"/>
      <c r="G57" s="1076"/>
      <c r="H57" s="1076"/>
      <c r="I57" s="1076"/>
      <c r="J57" s="1076"/>
      <c r="K57" s="1076"/>
      <c r="L57" s="1076"/>
    </row>
    <row r="58" spans="2:12" x14ac:dyDescent="0.25">
      <c r="B58" s="1076"/>
      <c r="C58" s="1076"/>
      <c r="D58" s="1076"/>
      <c r="E58" s="1076"/>
      <c r="F58" s="1076"/>
      <c r="G58" s="1076"/>
      <c r="H58" s="1076"/>
      <c r="I58" s="1076"/>
      <c r="J58" s="1076"/>
      <c r="K58" s="1076"/>
      <c r="L58" s="1076"/>
    </row>
    <row r="60" spans="2:12" x14ac:dyDescent="0.25">
      <c r="B60" s="867" t="s">
        <v>3720</v>
      </c>
      <c r="C60" s="867">
        <v>2026</v>
      </c>
      <c r="D60" s="867">
        <f>C60+1</f>
        <v>2027</v>
      </c>
      <c r="E60" s="867">
        <f t="shared" ref="E60:G60" si="5">D60+1</f>
        <v>2028</v>
      </c>
      <c r="F60" s="867">
        <f t="shared" si="5"/>
        <v>2029</v>
      </c>
      <c r="G60" s="867">
        <f t="shared" si="5"/>
        <v>2030</v>
      </c>
      <c r="I60" s="1116" t="s">
        <v>3731</v>
      </c>
      <c r="J60" s="1116"/>
      <c r="K60" s="1116"/>
      <c r="L60" s="1116"/>
    </row>
    <row r="61" spans="2:12" x14ac:dyDescent="0.25">
      <c r="I61" s="1116"/>
      <c r="J61" s="1116"/>
      <c r="K61" s="1116"/>
      <c r="L61" s="1116"/>
    </row>
    <row r="62" spans="2:12" x14ac:dyDescent="0.25">
      <c r="B62" s="791" t="s">
        <v>441</v>
      </c>
      <c r="C62" s="798">
        <f>'P &amp; L ASSUMPTIONS'!R96+'P &amp; L ASSUMPTIONS'!R82</f>
        <v>19694.213439999996</v>
      </c>
      <c r="D62" s="798">
        <f>'P &amp; L ASSUMPTIONS'!S96+'P &amp; L ASSUMPTIONS'!S82</f>
        <v>19635.884883631999</v>
      </c>
      <c r="E62" s="798">
        <f>'P &amp; L ASSUMPTIONS'!T96+'P &amp; L ASSUMPTIONS'!T82</f>
        <v>19976.102328614888</v>
      </c>
      <c r="F62" s="798">
        <f>'P &amp; L ASSUMPTIONS'!U96+'P &amp; L ASSUMPTIONS'!U82</f>
        <v>20326.835385626484</v>
      </c>
      <c r="G62" s="809">
        <f>'P &amp; L ASSUMPTIONS'!V96+'P &amp; L ASSUMPTIONS'!V82</f>
        <v>20881.94806777795</v>
      </c>
    </row>
    <row r="63" spans="2:12" x14ac:dyDescent="0.25">
      <c r="B63" s="792" t="s">
        <v>180</v>
      </c>
      <c r="C63" s="900">
        <v>0.25</v>
      </c>
      <c r="D63" s="900">
        <v>0.25</v>
      </c>
      <c r="E63" s="900">
        <v>0.25</v>
      </c>
      <c r="F63" s="900">
        <v>0.25</v>
      </c>
      <c r="G63" s="901">
        <v>0.25</v>
      </c>
      <c r="I63" s="925">
        <f>$C$83</f>
        <v>142747.7086659855</v>
      </c>
      <c r="J63" s="926">
        <v>0.11</v>
      </c>
      <c r="K63" s="926">
        <v>0.1303</v>
      </c>
      <c r="L63" s="927">
        <v>0.14000000000000001</v>
      </c>
    </row>
    <row r="64" spans="2:12" x14ac:dyDescent="0.25">
      <c r="B64" s="792" t="s">
        <v>429</v>
      </c>
      <c r="C64" s="799">
        <f>C62*(1-C63)</f>
        <v>14770.660079999998</v>
      </c>
      <c r="D64" s="799">
        <f t="shared" ref="D64:G64" si="6">D62*(1-D63)</f>
        <v>14726.913662724</v>
      </c>
      <c r="E64" s="799">
        <f t="shared" si="6"/>
        <v>14982.076746461167</v>
      </c>
      <c r="F64" s="799">
        <f t="shared" si="6"/>
        <v>15245.126539219862</v>
      </c>
      <c r="G64" s="810">
        <f t="shared" si="6"/>
        <v>15661.461050833463</v>
      </c>
      <c r="I64" s="802">
        <v>0.03</v>
      </c>
      <c r="J64" s="799">
        <f>'PV OF FCFF'!F20</f>
        <v>136490.67385699393</v>
      </c>
      <c r="K64" s="799">
        <f>'PV OF FCFF'!G20</f>
        <v>108865.94126180971</v>
      </c>
      <c r="L64" s="810">
        <f>'PV OF FCFF'!H20</f>
        <v>99265.944623268297</v>
      </c>
    </row>
    <row r="65" spans="2:12" x14ac:dyDescent="0.25">
      <c r="B65" s="792" t="s">
        <v>431</v>
      </c>
      <c r="C65" s="802">
        <f>'PV OF FCFF'!D9</f>
        <v>0.77296526971392376</v>
      </c>
      <c r="D65" s="802">
        <f>'PV OF FCFF'!E9</f>
        <v>0.64864351314261581</v>
      </c>
      <c r="E65" s="802">
        <f>'PV OF FCFF'!F9</f>
        <v>0.52432175657130786</v>
      </c>
      <c r="F65" s="802">
        <f>'PV OF FCFF'!G9</f>
        <v>0.39999999999999991</v>
      </c>
      <c r="G65" s="902">
        <f>'PV OF FCFF'!H9</f>
        <v>0.4</v>
      </c>
      <c r="I65" s="802">
        <v>0.04</v>
      </c>
      <c r="J65" s="799">
        <f>'PV OF FCFF'!F21</f>
        <v>155989.34155085019</v>
      </c>
      <c r="K65" s="799">
        <f>'PV OF FCFF'!G21</f>
        <v>120921.97019445754</v>
      </c>
      <c r="L65" s="810">
        <f>'PV OF FCFF'!H21</f>
        <v>109192.53908559514</v>
      </c>
    </row>
    <row r="66" spans="2:12" x14ac:dyDescent="0.25">
      <c r="B66" s="792" t="s">
        <v>3721</v>
      </c>
      <c r="C66" s="799">
        <f>C64*(1-C65)</f>
        <v>3353.4528274101126</v>
      </c>
      <c r="D66" s="799">
        <f t="shared" ref="D66:G66" si="7">D64*(1-D65)</f>
        <v>5174.3966467867167</v>
      </c>
      <c r="E66" s="799">
        <f t="shared" si="7"/>
        <v>7126.6479496705033</v>
      </c>
      <c r="F66" s="799">
        <f t="shared" si="7"/>
        <v>9147.0759235319183</v>
      </c>
      <c r="G66" s="810">
        <f t="shared" si="7"/>
        <v>9396.8766305000772</v>
      </c>
      <c r="I66" s="802">
        <v>5.3800000000000001E-2</v>
      </c>
      <c r="J66" s="799">
        <f>'PV OF FCFF'!F22</f>
        <v>194292.77417365683</v>
      </c>
      <c r="K66" s="928">
        <f>'PV OF FCFF'!G22</f>
        <v>142735.34520992829</v>
      </c>
      <c r="L66" s="810">
        <f>'PV OF FCFF'!H22</f>
        <v>126673.47921762776</v>
      </c>
    </row>
    <row r="67" spans="2:12" x14ac:dyDescent="0.25">
      <c r="B67" s="792" t="s">
        <v>439</v>
      </c>
      <c r="C67" s="821">
        <f>'PV OF FCFF'!D11</f>
        <v>0.5</v>
      </c>
      <c r="D67" s="821">
        <f>C67+1</f>
        <v>1.5</v>
      </c>
      <c r="E67" s="821">
        <f t="shared" ref="E67:G67" si="8">D67+1</f>
        <v>2.5</v>
      </c>
      <c r="F67" s="821">
        <f t="shared" si="8"/>
        <v>3.5</v>
      </c>
      <c r="G67" s="903">
        <f t="shared" si="8"/>
        <v>4.5</v>
      </c>
      <c r="I67" s="803">
        <v>0.06</v>
      </c>
      <c r="J67" s="800">
        <f>'PV OF FCFF'!F23</f>
        <v>218385.07817119028</v>
      </c>
      <c r="K67" s="800">
        <f>'PV OF FCFF'!G23</f>
        <v>155323.66868505711</v>
      </c>
      <c r="L67" s="811">
        <f>'PV OF FCFF'!H23</f>
        <v>136490.6738569939</v>
      </c>
    </row>
    <row r="68" spans="2:12" x14ac:dyDescent="0.25">
      <c r="B68" s="793" t="s">
        <v>440</v>
      </c>
      <c r="C68" s="822">
        <f>1/(1+$C$74)^C67</f>
        <v>0.94059601879092403</v>
      </c>
      <c r="D68" s="822">
        <f t="shared" ref="D68:G68" si="9">1/(1+$C$74)^D67</f>
        <v>0.83216492859499602</v>
      </c>
      <c r="E68" s="822">
        <f t="shared" si="9"/>
        <v>0.73623368008050616</v>
      </c>
      <c r="F68" s="822">
        <f t="shared" si="9"/>
        <v>0.65136130238034684</v>
      </c>
      <c r="G68" s="822">
        <f t="shared" si="9"/>
        <v>0.57627293849451189</v>
      </c>
    </row>
    <row r="69" spans="2:12" x14ac:dyDescent="0.25">
      <c r="I69" s="1116" t="s">
        <v>3732</v>
      </c>
      <c r="J69" s="1116"/>
      <c r="K69" s="1116"/>
      <c r="L69" s="1116"/>
    </row>
    <row r="70" spans="2:12" x14ac:dyDescent="0.25">
      <c r="B70" s="867" t="s">
        <v>442</v>
      </c>
      <c r="C70" s="905">
        <f>C66*C68</f>
        <v>3154.2443786651197</v>
      </c>
      <c r="D70" s="905">
        <f t="shared" ref="D70:G70" si="10">D66*D68</f>
        <v>4305.951416095455</v>
      </c>
      <c r="E70" s="905">
        <f t="shared" si="10"/>
        <v>5246.8782466241082</v>
      </c>
      <c r="F70" s="905">
        <f t="shared" si="10"/>
        <v>5958.0512865236642</v>
      </c>
      <c r="G70" s="905">
        <f t="shared" si="10"/>
        <v>5415.165708528687</v>
      </c>
      <c r="I70" s="1116"/>
      <c r="J70" s="1116"/>
      <c r="K70" s="1116"/>
      <c r="L70" s="1116"/>
    </row>
    <row r="72" spans="2:12" x14ac:dyDescent="0.25">
      <c r="B72" s="912" t="s">
        <v>443</v>
      </c>
      <c r="C72" s="914">
        <v>0.16200000000000001</v>
      </c>
      <c r="E72" s="1076" t="s">
        <v>3728</v>
      </c>
      <c r="F72" s="1076"/>
      <c r="I72" s="925">
        <f>$F$78</f>
        <v>106344.49163751886</v>
      </c>
      <c r="J72" s="926">
        <v>0.11</v>
      </c>
      <c r="K72" s="926">
        <v>0.1303</v>
      </c>
      <c r="L72" s="927">
        <v>0.14000000000000001</v>
      </c>
    </row>
    <row r="73" spans="2:12" x14ac:dyDescent="0.25">
      <c r="B73" s="917" t="s">
        <v>444</v>
      </c>
      <c r="C73" s="915">
        <v>5.3800000000000001E-2</v>
      </c>
      <c r="E73" s="1076"/>
      <c r="F73" s="1076"/>
      <c r="I73" s="802">
        <v>0.03</v>
      </c>
      <c r="J73" s="799">
        <f>'PV OF FCFF'!F30</f>
        <v>102738.63668561939</v>
      </c>
      <c r="K73" s="799">
        <f>'PV OF FCFF'!G30</f>
        <v>86818.830920738576</v>
      </c>
      <c r="L73" s="810">
        <f>'PV OF FCFF'!H30</f>
        <v>81286.466714044655</v>
      </c>
    </row>
    <row r="74" spans="2:12" x14ac:dyDescent="0.25">
      <c r="B74" s="913" t="s">
        <v>260</v>
      </c>
      <c r="C74" s="916">
        <v>0.1303</v>
      </c>
      <c r="I74" s="802">
        <v>0.04</v>
      </c>
      <c r="J74" s="799">
        <f>'PV OF FCFF'!F31</f>
        <v>113975.48762311088</v>
      </c>
      <c r="K74" s="799">
        <f>'PV OF FCFF'!G31</f>
        <v>93766.577409947873</v>
      </c>
      <c r="L74" s="810">
        <f>'PV OF FCFF'!H31</f>
        <v>87007.045373131259</v>
      </c>
    </row>
    <row r="75" spans="2:12" x14ac:dyDescent="0.25">
      <c r="E75" s="791" t="s">
        <v>442</v>
      </c>
      <c r="F75" s="809">
        <f>'PV OF FCFF'!C32</f>
        <v>24080.680123178776</v>
      </c>
      <c r="I75" s="802">
        <v>5.3800000000000001E-2</v>
      </c>
      <c r="J75" s="799">
        <f>'PV OF FCFF'!F32</f>
        <v>136049.30156437538</v>
      </c>
      <c r="K75" s="928">
        <f>'PV OF FCFF'!G32</f>
        <v>106337.36672442386</v>
      </c>
      <c r="L75" s="810">
        <f>'PV OF FCFF'!H32</f>
        <v>97081.103847021557</v>
      </c>
    </row>
    <row r="76" spans="2:12" ht="15" customHeight="1" x14ac:dyDescent="0.25">
      <c r="B76" s="1076" t="s">
        <v>3729</v>
      </c>
      <c r="C76" s="1076"/>
      <c r="E76" s="793" t="s">
        <v>3722</v>
      </c>
      <c r="F76" s="811">
        <f>'PV OF FCFF'!C33</f>
        <v>82263.811514340079</v>
      </c>
      <c r="I76" s="803">
        <v>0.06</v>
      </c>
      <c r="J76" s="800">
        <f>'PV OF FCFF'!F33</f>
        <v>149933.41062308374</v>
      </c>
      <c r="K76" s="800">
        <f>'PV OF FCFF'!G33</f>
        <v>113591.86824544406</v>
      </c>
      <c r="L76" s="811">
        <f>'PV OF FCFF'!H33</f>
        <v>102738.63668561936</v>
      </c>
    </row>
    <row r="77" spans="2:12" ht="15" customHeight="1" x14ac:dyDescent="0.25">
      <c r="B77" s="1076"/>
      <c r="C77" s="1076"/>
    </row>
    <row r="78" spans="2:12" x14ac:dyDescent="0.25">
      <c r="E78" s="867" t="s">
        <v>3725</v>
      </c>
      <c r="F78" s="909">
        <f>'PV OF FCFF'!C35</f>
        <v>106344.49163751886</v>
      </c>
      <c r="I78" s="1116" t="s">
        <v>3733</v>
      </c>
      <c r="J78" s="1116"/>
      <c r="K78" s="1116"/>
      <c r="L78" s="1116"/>
    </row>
    <row r="79" spans="2:12" x14ac:dyDescent="0.25">
      <c r="B79" s="791" t="s">
        <v>446</v>
      </c>
      <c r="C79" s="809">
        <f>G66*(1+C72)</f>
        <v>10919.17064464109</v>
      </c>
      <c r="I79" s="1116"/>
      <c r="J79" s="1116"/>
      <c r="K79" s="1116"/>
      <c r="L79" s="1116"/>
    </row>
    <row r="80" spans="2:12" x14ac:dyDescent="0.25">
      <c r="B80" s="792" t="s">
        <v>260</v>
      </c>
      <c r="C80" s="902">
        <f>C74</f>
        <v>0.1303</v>
      </c>
      <c r="E80" s="912" t="s">
        <v>452</v>
      </c>
      <c r="F80" s="910">
        <f>'PV OF FCFF'!C37</f>
        <v>12358</v>
      </c>
    </row>
    <row r="81" spans="2:12" x14ac:dyDescent="0.25">
      <c r="B81" s="793" t="s">
        <v>3724</v>
      </c>
      <c r="C81" s="918">
        <f>C73</f>
        <v>5.3800000000000001E-2</v>
      </c>
      <c r="E81" s="913" t="s">
        <v>458</v>
      </c>
      <c r="F81" s="911">
        <f>'PV OF FCFF'!C38</f>
        <v>16181</v>
      </c>
      <c r="I81" s="929">
        <f>$F$86</f>
        <v>181.07898976900731</v>
      </c>
      <c r="J81" s="926">
        <v>0.11</v>
      </c>
      <c r="K81" s="926">
        <v>0.1303</v>
      </c>
      <c r="L81" s="927">
        <v>0.14000000000000001</v>
      </c>
    </row>
    <row r="82" spans="2:12" x14ac:dyDescent="0.25">
      <c r="I82" s="802">
        <v>0.03</v>
      </c>
      <c r="J82" s="821">
        <f>'PV OF FCFF'!F40</f>
        <v>174.71013420990056</v>
      </c>
      <c r="K82" s="821">
        <f>'PV OF FCFF'!G40</f>
        <v>146.59171436271541</v>
      </c>
      <c r="L82" s="903">
        <f>'PV OF FCFF'!H40</f>
        <v>136.82015421877645</v>
      </c>
    </row>
    <row r="83" spans="2:12" x14ac:dyDescent="0.25">
      <c r="B83" s="867" t="s">
        <v>448</v>
      </c>
      <c r="C83" s="909">
        <f>'PV OF FCFF'!C27</f>
        <v>142747.7086659855</v>
      </c>
      <c r="E83" s="874" t="s">
        <v>3726</v>
      </c>
      <c r="F83" s="909">
        <f>'PV OF FCFF'!C40</f>
        <v>102521.49163751886</v>
      </c>
      <c r="I83" s="802">
        <v>0.04</v>
      </c>
      <c r="J83" s="821">
        <f>'PV OF FCFF'!F41</f>
        <v>194.55726658620358</v>
      </c>
      <c r="K83" s="821">
        <f>'PV OF FCFF'!G41</f>
        <v>158.86319905672832</v>
      </c>
      <c r="L83" s="903">
        <f>'PV OF FCFF'!H41</f>
        <v>146.92414888307621</v>
      </c>
    </row>
    <row r="84" spans="2:12" x14ac:dyDescent="0.25">
      <c r="B84" s="1"/>
      <c r="C84" s="1"/>
      <c r="I84" s="802">
        <v>5.3800000000000001E-2</v>
      </c>
      <c r="J84" s="821">
        <f>'PV OF FCFF'!F42</f>
        <v>233.545227695525</v>
      </c>
      <c r="K84" s="930">
        <f>'PV OF FCFF'!G42</f>
        <v>181.06640536309567</v>
      </c>
      <c r="L84" s="903">
        <f>'PV OF FCFF'!H42</f>
        <v>164.71749447519574</v>
      </c>
    </row>
    <row r="85" spans="2:12" ht="15.6" customHeight="1" x14ac:dyDescent="0.25">
      <c r="B85" s="921" t="s">
        <v>456</v>
      </c>
      <c r="C85" s="919">
        <f>COVER!$E$8</f>
        <v>246.3</v>
      </c>
      <c r="E85" s="791" t="s">
        <v>3727</v>
      </c>
      <c r="F85" s="906">
        <f>'PV OF FCFF'!C42</f>
        <v>566.16999999999996</v>
      </c>
      <c r="I85" s="803">
        <v>0.06</v>
      </c>
      <c r="J85" s="822">
        <f>'PV OF FCFF'!F43</f>
        <v>258.06809019037348</v>
      </c>
      <c r="K85" s="822">
        <f>'PV OF FCFF'!G43</f>
        <v>193.87969734433838</v>
      </c>
      <c r="L85" s="904">
        <f>'PV OF FCFF'!H43</f>
        <v>174.7101342099005</v>
      </c>
    </row>
    <row r="86" spans="2:12" ht="15.6" customHeight="1" x14ac:dyDescent="0.3">
      <c r="B86" s="922" t="s">
        <v>457</v>
      </c>
      <c r="C86" s="920">
        <f>C85/F86-1</f>
        <v>0.36017988787209188</v>
      </c>
      <c r="E86" s="908" t="s">
        <v>3723</v>
      </c>
      <c r="F86" s="907">
        <f>'PV OF FCFF'!C43</f>
        <v>181.07898976900731</v>
      </c>
    </row>
    <row r="87" spans="2:12" x14ac:dyDescent="0.25">
      <c r="E87" s="1"/>
      <c r="F87" s="1"/>
    </row>
    <row r="88" spans="2:12" x14ac:dyDescent="0.25">
      <c r="B88" s="1126" t="s">
        <v>3730</v>
      </c>
      <c r="C88" s="1126"/>
      <c r="D88" s="1126"/>
      <c r="E88" s="1126"/>
      <c r="F88" s="1126"/>
      <c r="G88" s="1126"/>
      <c r="H88" s="1126"/>
      <c r="I88" s="1126"/>
      <c r="J88" s="1126"/>
      <c r="K88" s="1126"/>
      <c r="L88" s="1126"/>
    </row>
    <row r="90" spans="2:12" x14ac:dyDescent="0.25">
      <c r="B90" s="937" t="s">
        <v>3835</v>
      </c>
      <c r="C90" s="937"/>
      <c r="D90" s="937"/>
      <c r="E90" s="937"/>
      <c r="F90" s="937"/>
      <c r="G90" s="937"/>
      <c r="H90" s="937"/>
      <c r="I90" s="937"/>
      <c r="J90" s="937"/>
      <c r="K90" s="937"/>
      <c r="L90" s="937"/>
    </row>
  </sheetData>
  <mergeCells count="45">
    <mergeCell ref="B57:L58"/>
    <mergeCell ref="I16:J16"/>
    <mergeCell ref="I17:J17"/>
    <mergeCell ref="B1:C5"/>
    <mergeCell ref="D1:L5"/>
    <mergeCell ref="B7:L8"/>
    <mergeCell ref="B12:G13"/>
    <mergeCell ref="B19:G20"/>
    <mergeCell ref="B29:G30"/>
    <mergeCell ref="I22:J22"/>
    <mergeCell ref="I23:J23"/>
    <mergeCell ref="I24:J24"/>
    <mergeCell ref="I25:J25"/>
    <mergeCell ref="I15:J15"/>
    <mergeCell ref="B88:L88"/>
    <mergeCell ref="I60:L61"/>
    <mergeCell ref="I69:L70"/>
    <mergeCell ref="I36:J36"/>
    <mergeCell ref="I37:J37"/>
    <mergeCell ref="I38:J38"/>
    <mergeCell ref="I39:J39"/>
    <mergeCell ref="I55:J55"/>
    <mergeCell ref="I54:J54"/>
    <mergeCell ref="I53:J53"/>
    <mergeCell ref="I52:J52"/>
    <mergeCell ref="I47:J47"/>
    <mergeCell ref="I46:J46"/>
    <mergeCell ref="B41:G42"/>
    <mergeCell ref="B49:G50"/>
    <mergeCell ref="B90:L90"/>
    <mergeCell ref="I78:L79"/>
    <mergeCell ref="I45:J45"/>
    <mergeCell ref="I44:J44"/>
    <mergeCell ref="I10:L10"/>
    <mergeCell ref="B76:C77"/>
    <mergeCell ref="E72:F73"/>
    <mergeCell ref="I26:J26"/>
    <mergeCell ref="I27:J27"/>
    <mergeCell ref="I32:J32"/>
    <mergeCell ref="I33:J33"/>
    <mergeCell ref="I34:J34"/>
    <mergeCell ref="I35:J35"/>
    <mergeCell ref="I12:J13"/>
    <mergeCell ref="K12:K13"/>
    <mergeCell ref="L12:L13"/>
  </mergeCells>
  <printOptions horizontalCentered="1"/>
  <pageMargins left="0" right="0" top="0" bottom="0" header="0" footer="0"/>
  <pageSetup scale="57" orientation="portrait" horizontalDpi="1200" verticalDpi="1200" r:id="rId1"/>
  <rowBreaks count="1" manualBreakCount="1">
    <brk id="90" min="1" max="11" man="1"/>
  </rowBreaks>
  <ignoredErrors>
    <ignoredError sqref="K25:L25 K26 C65:G65" formula="1"/>
  </ignoredErrors>
  <extLst>
    <ext xmlns:x14="http://schemas.microsoft.com/office/spreadsheetml/2009/9/main" uri="{05C60535-1F16-4fd2-B633-F4F36F0B64E0}">
      <x14:sparklineGroups xmlns:xm="http://schemas.microsoft.com/office/excel/2006/main">
        <x14:sparklineGroup displayEmptyCellsAs="gap" markers="1" high="1" low="1" first="1" last="1" negative="1" xr2:uid="{85D46930-BC8C-4759-9301-61406EBFAE96}">
          <x14:colorSeries theme="1"/>
          <x14:colorNegative rgb="FFD00000"/>
          <x14:colorAxis rgb="FF000000"/>
          <x14:colorMarkers rgb="FFD00000"/>
          <x14:colorFirst rgb="FFD00000"/>
          <x14:colorLast rgb="FFD00000"/>
          <x14:colorHigh rgb="FFD00000"/>
          <x14:colorLow rgb="FFD00000"/>
          <x14:sparklines>
            <x14:sparkline>
              <xm:f>'RATIO ANALYSIS &amp; DCF'!C52:G52</xm:f>
              <xm:sqref>I52</xm:sqref>
            </x14:sparkline>
            <x14:sparkline>
              <xm:f>'RATIO ANALYSIS &amp; DCF'!C53:G53</xm:f>
              <xm:sqref>I53</xm:sqref>
            </x14:sparkline>
            <x14:sparkline>
              <xm:f>'RATIO ANALYSIS &amp; DCF'!C54:G54</xm:f>
              <xm:sqref>I54</xm:sqref>
            </x14:sparkline>
            <x14:sparkline>
              <xm:f>'RATIO ANALYSIS &amp; DCF'!C55:G55</xm:f>
              <xm:sqref>I55</xm:sqref>
            </x14:sparkline>
          </x14:sparklines>
        </x14:sparklineGroup>
        <x14:sparklineGroup displayEmptyCellsAs="gap" markers="1" high="1" low="1" first="1" last="1" negative="1" xr2:uid="{6EC69F47-7C7D-4C7B-9887-B981EBE088E8}">
          <x14:colorSeries theme="1"/>
          <x14:colorNegative rgb="FFD00000"/>
          <x14:colorAxis rgb="FF000000"/>
          <x14:colorMarkers rgb="FFD00000"/>
          <x14:colorFirst rgb="FFD00000"/>
          <x14:colorLast rgb="FFD00000"/>
          <x14:colorHigh rgb="FFD00000"/>
          <x14:colorLow rgb="FFD00000"/>
          <x14:sparklines>
            <x14:sparkline>
              <xm:f>'RATIO ANALYSIS &amp; DCF'!D44:G44</xm:f>
              <xm:sqref>I44</xm:sqref>
            </x14:sparkline>
            <x14:sparkline>
              <xm:f>'RATIO ANALYSIS &amp; DCF'!D45:G45</xm:f>
              <xm:sqref>I45</xm:sqref>
            </x14:sparkline>
            <x14:sparkline>
              <xm:f>'RATIO ANALYSIS &amp; DCF'!D46:G46</xm:f>
              <xm:sqref>I46</xm:sqref>
            </x14:sparkline>
            <x14:sparkline>
              <xm:f>'RATIO ANALYSIS &amp; DCF'!D47:G47</xm:f>
              <xm:sqref>I47</xm:sqref>
            </x14:sparkline>
          </x14:sparklines>
        </x14:sparklineGroup>
        <x14:sparklineGroup displayEmptyCellsAs="gap" markers="1" high="1" low="1" first="1" last="1" negative="1" xr2:uid="{ADFBEB73-EA60-4846-9008-68EDF538C24B}">
          <x14:colorSeries theme="1"/>
          <x14:colorNegative rgb="FFD00000"/>
          <x14:colorAxis rgb="FF000000"/>
          <x14:colorMarkers rgb="FFD00000"/>
          <x14:colorFirst rgb="FFD00000"/>
          <x14:colorLast rgb="FFD00000"/>
          <x14:colorHigh rgb="FFD00000"/>
          <x14:colorLow rgb="FFD00000"/>
          <x14:sparklines>
            <x14:sparkline>
              <xm:f>'RATIO ANALYSIS &amp; DCF'!D32:G32</xm:f>
              <xm:sqref>I32</xm:sqref>
            </x14:sparkline>
            <x14:sparkline>
              <xm:f>'RATIO ANALYSIS &amp; DCF'!D33:G33</xm:f>
              <xm:sqref>I33</xm:sqref>
            </x14:sparkline>
            <x14:sparkline>
              <xm:f>'RATIO ANALYSIS &amp; DCF'!D34:G34</xm:f>
              <xm:sqref>I34</xm:sqref>
            </x14:sparkline>
            <x14:sparkline>
              <xm:f>'RATIO ANALYSIS &amp; DCF'!D35:G35</xm:f>
              <xm:sqref>I35</xm:sqref>
            </x14:sparkline>
            <x14:sparkline>
              <xm:f>'RATIO ANALYSIS &amp; DCF'!D36:G36</xm:f>
              <xm:sqref>I36</xm:sqref>
            </x14:sparkline>
            <x14:sparkline>
              <xm:f>'RATIO ANALYSIS &amp; DCF'!D37:G37</xm:f>
              <xm:sqref>I37</xm:sqref>
            </x14:sparkline>
            <x14:sparkline>
              <xm:f>'RATIO ANALYSIS &amp; DCF'!D38:G38</xm:f>
              <xm:sqref>I38</xm:sqref>
            </x14:sparkline>
            <x14:sparkline>
              <xm:f>'RATIO ANALYSIS &amp; DCF'!D39:G39</xm:f>
              <xm:sqref>I39</xm:sqref>
            </x14:sparkline>
          </x14:sparklines>
        </x14:sparklineGroup>
        <x14:sparklineGroup displayEmptyCellsAs="gap" markers="1" high="1" low="1" first="1" last="1" negative="1" xr2:uid="{33C858B4-A0A7-4E9F-958C-B26649D8BC2B}">
          <x14:colorSeries theme="1"/>
          <x14:colorNegative rgb="FFD00000"/>
          <x14:colorAxis rgb="FF000000"/>
          <x14:colorMarkers rgb="FFD00000"/>
          <x14:colorFirst rgb="FFD00000"/>
          <x14:colorLast rgb="FFD00000"/>
          <x14:colorHigh rgb="FFD00000"/>
          <x14:colorLow rgb="FFD00000"/>
          <x14:sparklines>
            <x14:sparkline>
              <xm:f>'RATIO ANALYSIS &amp; DCF'!C22:G22</xm:f>
              <xm:sqref>I22</xm:sqref>
            </x14:sparkline>
            <x14:sparkline>
              <xm:f>'RATIO ANALYSIS &amp; DCF'!C23:G23</xm:f>
              <xm:sqref>I23</xm:sqref>
            </x14:sparkline>
            <x14:sparkline>
              <xm:f>'RATIO ANALYSIS &amp; DCF'!C24:G24</xm:f>
              <xm:sqref>I24</xm:sqref>
            </x14:sparkline>
            <x14:sparkline>
              <xm:f>'RATIO ANALYSIS &amp; DCF'!C25:G25</xm:f>
              <xm:sqref>I25</xm:sqref>
            </x14:sparkline>
            <x14:sparkline>
              <xm:f>'RATIO ANALYSIS &amp; DCF'!C26:G26</xm:f>
              <xm:sqref>I26</xm:sqref>
            </x14:sparkline>
            <x14:sparkline>
              <xm:f>'RATIO ANALYSIS &amp; DCF'!C27:G27</xm:f>
              <xm:sqref>I27</xm:sqref>
            </x14:sparkline>
          </x14:sparklines>
        </x14:sparklineGroup>
        <x14:sparklineGroup displayEmptyCellsAs="gap" markers="1" high="1" low="1" first="1" last="1" negative="1" xr2:uid="{F4348A62-3087-4743-822C-828CDAAAF0BA}">
          <x14:colorSeries theme="1"/>
          <x14:colorNegative rgb="FFD00000"/>
          <x14:colorAxis rgb="FF000000"/>
          <x14:colorMarkers rgb="FFD00000"/>
          <x14:colorFirst rgb="FFD00000"/>
          <x14:colorLast rgb="FFD00000"/>
          <x14:colorHigh rgb="FFD00000"/>
          <x14:colorLow rgb="FFD00000"/>
          <x14:sparklines>
            <x14:sparkline>
              <xm:f>'RATIO ANALYSIS &amp; DCF'!C15:G15</xm:f>
              <xm:sqref>I15</xm:sqref>
            </x14:sparkline>
            <x14:sparkline>
              <xm:f>'RATIO ANALYSIS &amp; DCF'!C16:G16</xm:f>
              <xm:sqref>I16</xm:sqref>
            </x14:sparkline>
            <x14:sparkline>
              <xm:f>'RATIO ANALYSIS &amp; DCF'!C17:G17</xm:f>
              <xm:sqref>I17</xm:sqref>
            </x14:sparkline>
          </x14:sparklines>
        </x14:sparklineGroup>
      </x14:sparklineGroup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313C2-700A-465C-AFEB-919075746DAE}">
  <sheetPr>
    <pageSetUpPr fitToPage="1"/>
  </sheetPr>
  <dimension ref="B1:L90"/>
  <sheetViews>
    <sheetView zoomScaleNormal="100" workbookViewId="0"/>
  </sheetViews>
  <sheetFormatPr defaultColWidth="15.77734375" defaultRowHeight="15" x14ac:dyDescent="0.25"/>
  <cols>
    <col min="1" max="1" width="2" style="720" customWidth="1"/>
    <col min="2" max="2" width="25.77734375" style="720" customWidth="1"/>
    <col min="3" max="6" width="15.77734375" style="720"/>
    <col min="7" max="7" width="15.77734375" style="720" customWidth="1"/>
    <col min="8" max="8" width="2" style="720" customWidth="1"/>
    <col min="9" max="16384" width="15.77734375" style="720"/>
  </cols>
  <sheetData>
    <row r="1" spans="2:12" x14ac:dyDescent="0.25">
      <c r="B1" s="938" t="s">
        <v>378</v>
      </c>
      <c r="C1" s="938"/>
      <c r="D1" s="939" t="s">
        <v>3623</v>
      </c>
      <c r="E1" s="939"/>
      <c r="F1" s="939"/>
      <c r="G1" s="939"/>
      <c r="H1" s="939"/>
      <c r="I1" s="939"/>
      <c r="J1" s="939"/>
      <c r="K1" s="939"/>
      <c r="L1" s="939"/>
    </row>
    <row r="2" spans="2:12" x14ac:dyDescent="0.25">
      <c r="B2" s="938"/>
      <c r="C2" s="938"/>
      <c r="D2" s="939"/>
      <c r="E2" s="939"/>
      <c r="F2" s="939"/>
      <c r="G2" s="939"/>
      <c r="H2" s="939"/>
      <c r="I2" s="939"/>
      <c r="J2" s="939"/>
      <c r="K2" s="939"/>
      <c r="L2" s="939"/>
    </row>
    <row r="3" spans="2:12" x14ac:dyDescent="0.25">
      <c r="B3" s="938"/>
      <c r="C3" s="938"/>
      <c r="D3" s="939"/>
      <c r="E3" s="939"/>
      <c r="F3" s="939"/>
      <c r="G3" s="939"/>
      <c r="H3" s="939"/>
      <c r="I3" s="939"/>
      <c r="J3" s="939"/>
      <c r="K3" s="939"/>
      <c r="L3" s="939"/>
    </row>
    <row r="4" spans="2:12" x14ac:dyDescent="0.25">
      <c r="B4" s="938"/>
      <c r="C4" s="938"/>
      <c r="D4" s="939"/>
      <c r="E4" s="939"/>
      <c r="F4" s="939"/>
      <c r="G4" s="939"/>
      <c r="H4" s="939"/>
      <c r="I4" s="939"/>
      <c r="J4" s="939"/>
      <c r="K4" s="939"/>
      <c r="L4" s="939"/>
    </row>
    <row r="5" spans="2:12" x14ac:dyDescent="0.25">
      <c r="B5" s="938"/>
      <c r="C5" s="938"/>
      <c r="D5" s="939"/>
      <c r="E5" s="939"/>
      <c r="F5" s="939"/>
      <c r="G5" s="939"/>
      <c r="H5" s="939"/>
      <c r="I5" s="939"/>
      <c r="J5" s="939"/>
      <c r="K5" s="939"/>
      <c r="L5" s="939"/>
    </row>
    <row r="7" spans="2:12" x14ac:dyDescent="0.25">
      <c r="B7" s="1076" t="s">
        <v>3624</v>
      </c>
      <c r="C7" s="1076"/>
      <c r="D7" s="1076"/>
      <c r="E7" s="1076"/>
      <c r="F7" s="1076"/>
      <c r="G7" s="1076"/>
      <c r="H7" s="1076"/>
      <c r="I7" s="1076"/>
      <c r="J7" s="1076"/>
      <c r="K7" s="1076"/>
      <c r="L7" s="1076"/>
    </row>
    <row r="8" spans="2:12" x14ac:dyDescent="0.25">
      <c r="B8" s="1076"/>
      <c r="C8" s="1076"/>
      <c r="D8" s="1076"/>
      <c r="E8" s="1076"/>
      <c r="F8" s="1076"/>
      <c r="G8" s="1076"/>
      <c r="H8" s="1076"/>
      <c r="I8" s="1076"/>
      <c r="J8" s="1076"/>
      <c r="K8" s="1076"/>
      <c r="L8" s="1076"/>
    </row>
    <row r="10" spans="2:12" x14ac:dyDescent="0.25">
      <c r="B10" s="794" t="s">
        <v>3655</v>
      </c>
      <c r="C10" s="785">
        <v>2022</v>
      </c>
      <c r="D10" s="785">
        <f>C10+1</f>
        <v>2023</v>
      </c>
      <c r="E10" s="785">
        <f t="shared" ref="E10:F10" si="0">D10+1</f>
        <v>2024</v>
      </c>
      <c r="F10" s="785">
        <f t="shared" si="0"/>
        <v>2025</v>
      </c>
      <c r="G10" s="875">
        <v>2026</v>
      </c>
      <c r="I10" s="1129" t="s">
        <v>3657</v>
      </c>
      <c r="J10" s="1130"/>
      <c r="K10" s="1130"/>
      <c r="L10" s="1131"/>
    </row>
    <row r="12" spans="2:12" x14ac:dyDescent="0.25">
      <c r="B12" s="795" t="s">
        <v>3625</v>
      </c>
      <c r="C12" s="791">
        <f>CALCULATION!C19</f>
        <v>39</v>
      </c>
      <c r="D12" s="791">
        <f>CALCULATION!D19</f>
        <v>43</v>
      </c>
      <c r="E12" s="791">
        <f>CALCULATION!E19</f>
        <v>46</v>
      </c>
      <c r="F12" s="795">
        <f>CALCULATION!F19</f>
        <v>50</v>
      </c>
      <c r="G12" s="883">
        <f>G13*$G$33</f>
        <v>54.699702590186206</v>
      </c>
      <c r="I12" s="1132" t="s">
        <v>3659</v>
      </c>
      <c r="J12" s="1133"/>
      <c r="K12" s="1133"/>
      <c r="L12" s="801">
        <f>CALCULATION!D48</f>
        <v>6.5000000000000002E-2</v>
      </c>
    </row>
    <row r="13" spans="2:12" x14ac:dyDescent="0.25">
      <c r="B13" s="876" t="s">
        <v>3656</v>
      </c>
      <c r="C13" s="878">
        <f>C12/C33</f>
        <v>0.14285714285714285</v>
      </c>
      <c r="D13" s="878">
        <f t="shared" ref="D13:F13" si="1">D12/D33</f>
        <v>0.14006514657980457</v>
      </c>
      <c r="E13" s="878">
        <f t="shared" si="1"/>
        <v>0.13529411764705881</v>
      </c>
      <c r="F13" s="881">
        <f t="shared" si="1"/>
        <v>0.13440860215053763</v>
      </c>
      <c r="G13" s="879">
        <f>AVERAGE(C13:F13)</f>
        <v>0.13815625230863596</v>
      </c>
      <c r="I13" s="1127" t="s">
        <v>3660</v>
      </c>
      <c r="J13" s="1128"/>
      <c r="K13" s="1128"/>
      <c r="L13" s="802">
        <f>CALCULATION!D49</f>
        <v>6.7000000000000004E-2</v>
      </c>
    </row>
    <row r="14" spans="2:12" x14ac:dyDescent="0.25">
      <c r="B14" s="796" t="s">
        <v>3651</v>
      </c>
      <c r="C14" s="792">
        <f>CALCULATION!C20</f>
        <v>9</v>
      </c>
      <c r="D14" s="792">
        <f>CALCULATION!D20</f>
        <v>10</v>
      </c>
      <c r="E14" s="792">
        <f>CALCULATION!E20</f>
        <v>11</v>
      </c>
      <c r="F14" s="796">
        <f>CALCULATION!F20</f>
        <v>12</v>
      </c>
      <c r="G14" s="882">
        <f>G15*$G$33</f>
        <v>12.882585559989925</v>
      </c>
      <c r="I14" s="1127" t="s">
        <v>3661</v>
      </c>
      <c r="J14" s="1128"/>
      <c r="K14" s="1128"/>
      <c r="L14" s="802">
        <f>CALCULATION!D50</f>
        <v>6.5000000000000002E-2</v>
      </c>
    </row>
    <row r="15" spans="2:12" x14ac:dyDescent="0.25">
      <c r="B15" s="876" t="s">
        <v>3656</v>
      </c>
      <c r="C15" s="878">
        <f>C14/C33</f>
        <v>3.2967032967032968E-2</v>
      </c>
      <c r="D15" s="878">
        <f t="shared" ref="D15:F15" si="2">D14/D33</f>
        <v>3.2573289902280131E-2</v>
      </c>
      <c r="E15" s="878">
        <f t="shared" si="2"/>
        <v>3.2352941176470591E-2</v>
      </c>
      <c r="F15" s="881">
        <f t="shared" si="2"/>
        <v>3.2258064516129031E-2</v>
      </c>
      <c r="G15" s="879">
        <f>AVERAGE(C15:F15)</f>
        <v>3.253783214047818E-2</v>
      </c>
      <c r="I15" s="1127" t="s">
        <v>3662</v>
      </c>
      <c r="J15" s="1128"/>
      <c r="K15" s="1128"/>
      <c r="L15" s="802">
        <f>CALCULATION!D51</f>
        <v>6.3E-2</v>
      </c>
    </row>
    <row r="16" spans="2:12" x14ac:dyDescent="0.25">
      <c r="B16" s="796" t="s">
        <v>3638</v>
      </c>
      <c r="C16" s="792">
        <f>CALCULATION!C21</f>
        <v>36</v>
      </c>
      <c r="D16" s="792">
        <f>CALCULATION!D21</f>
        <v>39</v>
      </c>
      <c r="E16" s="792">
        <f>CALCULATION!E21</f>
        <v>43</v>
      </c>
      <c r="F16" s="796">
        <f>CALCULATION!F21</f>
        <v>46</v>
      </c>
      <c r="G16" s="882">
        <f>G17*$G$33</f>
        <v>50.38464521728033</v>
      </c>
      <c r="I16" s="1127" t="s">
        <v>3663</v>
      </c>
      <c r="J16" s="1128"/>
      <c r="K16" s="1128"/>
      <c r="L16" s="802">
        <f>CALCULATION!D52</f>
        <v>6.5000000000000002E-2</v>
      </c>
    </row>
    <row r="17" spans="2:12" x14ac:dyDescent="0.25">
      <c r="B17" s="876" t="s">
        <v>3656</v>
      </c>
      <c r="C17" s="878">
        <f>C16/C33</f>
        <v>0.13186813186813187</v>
      </c>
      <c r="D17" s="878">
        <f t="shared" ref="D17:F17" si="3">D16/D33</f>
        <v>0.12703583061889251</v>
      </c>
      <c r="E17" s="878">
        <f t="shared" si="3"/>
        <v>0.12647058823529411</v>
      </c>
      <c r="F17" s="881">
        <f t="shared" si="3"/>
        <v>0.12365591397849462</v>
      </c>
      <c r="G17" s="879">
        <f>AVERAGE(C17:F17)</f>
        <v>0.12725761617520329</v>
      </c>
      <c r="I17" s="1127" t="s">
        <v>3664</v>
      </c>
      <c r="J17" s="1128"/>
      <c r="K17" s="1128"/>
      <c r="L17" s="802">
        <f>CALCULATION!D53</f>
        <v>6.5000000000000002E-2</v>
      </c>
    </row>
    <row r="18" spans="2:12" x14ac:dyDescent="0.25">
      <c r="B18" s="796" t="s">
        <v>3652</v>
      </c>
      <c r="C18" s="792">
        <f>CALCULATION!C22</f>
        <v>8</v>
      </c>
      <c r="D18" s="792">
        <f>CALCULATION!D22</f>
        <v>9</v>
      </c>
      <c r="E18" s="792">
        <f>CALCULATION!E22</f>
        <v>10</v>
      </c>
      <c r="F18" s="796">
        <f>CALCULATION!F22</f>
        <v>11</v>
      </c>
      <c r="G18" s="882">
        <f>G19*$G$33</f>
        <v>11.640398152695168</v>
      </c>
      <c r="I18" s="1127" t="s">
        <v>3665</v>
      </c>
      <c r="J18" s="1128"/>
      <c r="K18" s="1128"/>
      <c r="L18" s="802">
        <f>CALCULATION!D54</f>
        <v>6.3E-2</v>
      </c>
    </row>
    <row r="19" spans="2:12" x14ac:dyDescent="0.25">
      <c r="B19" s="876" t="s">
        <v>3656</v>
      </c>
      <c r="C19" s="878">
        <f>C18/C33</f>
        <v>2.9304029304029304E-2</v>
      </c>
      <c r="D19" s="878">
        <f t="shared" ref="D19:F19" si="4">D18/D33</f>
        <v>2.9315960912052116E-2</v>
      </c>
      <c r="E19" s="878">
        <f t="shared" si="4"/>
        <v>2.9411764705882353E-2</v>
      </c>
      <c r="F19" s="881">
        <f t="shared" si="4"/>
        <v>2.9569892473118281E-2</v>
      </c>
      <c r="G19" s="879">
        <f>AVERAGE(C19:F19)</f>
        <v>2.9400411848770514E-2</v>
      </c>
      <c r="I19" s="1127" t="s">
        <v>3666</v>
      </c>
      <c r="J19" s="1128"/>
      <c r="K19" s="1128"/>
      <c r="L19" s="802">
        <f>CALCULATION!D55</f>
        <v>6.5000000000000002E-2</v>
      </c>
    </row>
    <row r="20" spans="2:12" x14ac:dyDescent="0.25">
      <c r="B20" s="796" t="s">
        <v>3653</v>
      </c>
      <c r="C20" s="792">
        <f>CALCULATION!C23</f>
        <v>18</v>
      </c>
      <c r="D20" s="792">
        <f>CALCULATION!D23</f>
        <v>21</v>
      </c>
      <c r="E20" s="792">
        <f>CALCULATION!E23</f>
        <v>24</v>
      </c>
      <c r="F20" s="796">
        <f>CALCULATION!F23</f>
        <v>27</v>
      </c>
      <c r="G20" s="882">
        <f>G21*$G$33</f>
        <v>27.468070014316975</v>
      </c>
      <c r="I20" s="1127" t="s">
        <v>3667</v>
      </c>
      <c r="J20" s="1128"/>
      <c r="K20" s="1128"/>
      <c r="L20" s="802">
        <f>CALCULATION!D56</f>
        <v>6.4000000000000001E-2</v>
      </c>
    </row>
    <row r="21" spans="2:12" x14ac:dyDescent="0.25">
      <c r="B21" s="876" t="s">
        <v>3656</v>
      </c>
      <c r="C21" s="878">
        <f>C20/C33</f>
        <v>6.5934065934065936E-2</v>
      </c>
      <c r="D21" s="878">
        <f t="shared" ref="D21:F21" si="5">D20/D33</f>
        <v>6.8403908794788276E-2</v>
      </c>
      <c r="E21" s="878">
        <f t="shared" si="5"/>
        <v>7.0588235294117646E-2</v>
      </c>
      <c r="F21" s="881">
        <f t="shared" si="5"/>
        <v>7.2580645161290328E-2</v>
      </c>
      <c r="G21" s="879">
        <f>AVERAGE(C21:F21)</f>
        <v>6.9376713796065553E-2</v>
      </c>
      <c r="I21" s="1127" t="s">
        <v>3668</v>
      </c>
      <c r="J21" s="1128"/>
      <c r="K21" s="1128"/>
      <c r="L21" s="802">
        <f>CALCULATION!D57</f>
        <v>0.06</v>
      </c>
    </row>
    <row r="22" spans="2:12" x14ac:dyDescent="0.25">
      <c r="B22" s="796" t="s">
        <v>3626</v>
      </c>
      <c r="C22" s="792">
        <f>CALCULATION!C24</f>
        <v>47</v>
      </c>
      <c r="D22" s="792">
        <f>CALCULATION!D24</f>
        <v>55</v>
      </c>
      <c r="E22" s="792">
        <f>CALCULATION!E24</f>
        <v>62</v>
      </c>
      <c r="F22" s="796">
        <f>CALCULATION!F24</f>
        <v>68</v>
      </c>
      <c r="G22" s="882">
        <f>G23*$G$33</f>
        <v>70.916638334983659</v>
      </c>
      <c r="I22" s="1127" t="s">
        <v>3669</v>
      </c>
      <c r="J22" s="1128"/>
      <c r="K22" s="1128"/>
      <c r="L22" s="802">
        <f>CALCULATION!D58</f>
        <v>6.5000000000000002E-2</v>
      </c>
    </row>
    <row r="23" spans="2:12" x14ac:dyDescent="0.25">
      <c r="B23" s="876" t="s">
        <v>3656</v>
      </c>
      <c r="C23" s="878">
        <f>C22/C33</f>
        <v>0.17216117216117216</v>
      </c>
      <c r="D23" s="878">
        <f t="shared" ref="D23:F23" si="6">D22/D33</f>
        <v>0.17915309446254071</v>
      </c>
      <c r="E23" s="878">
        <f t="shared" si="6"/>
        <v>0.18235294117647058</v>
      </c>
      <c r="F23" s="881">
        <f t="shared" si="6"/>
        <v>0.18279569892473119</v>
      </c>
      <c r="G23" s="879">
        <f>AVERAGE(C23:F23)</f>
        <v>0.17911572668122866</v>
      </c>
      <c r="I23" s="1127" t="s">
        <v>3670</v>
      </c>
      <c r="J23" s="1128"/>
      <c r="K23" s="1128"/>
      <c r="L23" s="802">
        <f>CALCULATION!D59</f>
        <v>6.4000000000000001E-2</v>
      </c>
    </row>
    <row r="24" spans="2:12" x14ac:dyDescent="0.25">
      <c r="B24" s="796" t="s">
        <v>3628</v>
      </c>
      <c r="C24" s="792">
        <f>CALCULATION!C25</f>
        <v>61</v>
      </c>
      <c r="D24" s="792">
        <f>CALCULATION!D25</f>
        <v>69</v>
      </c>
      <c r="E24" s="792">
        <f>CALCULATION!E25</f>
        <v>78</v>
      </c>
      <c r="F24" s="796">
        <f>CALCULATION!F25</f>
        <v>86</v>
      </c>
      <c r="G24" s="882">
        <f>G25*$G$33</f>
        <v>89.953824871334831</v>
      </c>
      <c r="I24" s="1127" t="s">
        <v>3671</v>
      </c>
      <c r="J24" s="1128"/>
      <c r="K24" s="1128"/>
      <c r="L24" s="802">
        <f>CALCULATION!D60</f>
        <v>6.2E-2</v>
      </c>
    </row>
    <row r="25" spans="2:12" x14ac:dyDescent="0.25">
      <c r="B25" s="876" t="s">
        <v>3656</v>
      </c>
      <c r="C25" s="878">
        <f>C24/C33</f>
        <v>0.22344322344322345</v>
      </c>
      <c r="D25" s="878">
        <f t="shared" ref="D25:F25" si="7">D24/D33</f>
        <v>0.22475570032573289</v>
      </c>
      <c r="E25" s="878">
        <f t="shared" si="7"/>
        <v>0.22941176470588234</v>
      </c>
      <c r="F25" s="881">
        <f t="shared" si="7"/>
        <v>0.23118279569892472</v>
      </c>
      <c r="G25" s="879">
        <f>AVERAGE(C25:F25)</f>
        <v>0.22719837104344084</v>
      </c>
      <c r="I25" s="1127" t="s">
        <v>3672</v>
      </c>
      <c r="J25" s="1128"/>
      <c r="K25" s="1128"/>
      <c r="L25" s="802">
        <f>CALCULATION!D61</f>
        <v>6.3E-2</v>
      </c>
    </row>
    <row r="26" spans="2:12" x14ac:dyDescent="0.25">
      <c r="B26" s="796" t="s">
        <v>3627</v>
      </c>
      <c r="C26" s="792">
        <f>CALCULATION!C26</f>
        <v>33</v>
      </c>
      <c r="D26" s="792">
        <f>CALCULATION!D26</f>
        <v>36</v>
      </c>
      <c r="E26" s="792">
        <f>CALCULATION!E26</f>
        <v>39</v>
      </c>
      <c r="F26" s="796">
        <f>CALCULATION!F26</f>
        <v>42</v>
      </c>
      <c r="G26" s="882">
        <f>G27*$G$33</f>
        <v>46.100881123738304</v>
      </c>
      <c r="I26" s="1127" t="s">
        <v>3673</v>
      </c>
      <c r="J26" s="1128"/>
      <c r="K26" s="1128"/>
      <c r="L26" s="802">
        <f>CALCULATION!D62</f>
        <v>6.4000000000000001E-2</v>
      </c>
    </row>
    <row r="27" spans="2:12" x14ac:dyDescent="0.25">
      <c r="B27" s="876" t="s">
        <v>3656</v>
      </c>
      <c r="C27" s="878">
        <f>C26/C33</f>
        <v>0.12087912087912088</v>
      </c>
      <c r="D27" s="878">
        <f t="shared" ref="D27:F27" si="8">D26/D33</f>
        <v>0.11726384364820847</v>
      </c>
      <c r="E27" s="878">
        <f t="shared" si="8"/>
        <v>0.11470588235294117</v>
      </c>
      <c r="F27" s="881">
        <f t="shared" si="8"/>
        <v>0.11290322580645161</v>
      </c>
      <c r="G27" s="879">
        <f>AVERAGE(C27:F27)</f>
        <v>0.11643801817168054</v>
      </c>
      <c r="I27" s="1127" t="s">
        <v>3674</v>
      </c>
      <c r="J27" s="1128"/>
      <c r="K27" s="1128"/>
      <c r="L27" s="802">
        <f>CALCULATION!D63</f>
        <v>6.6000000000000003E-2</v>
      </c>
    </row>
    <row r="28" spans="2:12" x14ac:dyDescent="0.25">
      <c r="B28" s="872" t="s">
        <v>3629</v>
      </c>
      <c r="C28" s="873">
        <f>C12+C14+C16+C18+C20+C22+C24+C26</f>
        <v>251</v>
      </c>
      <c r="D28" s="873">
        <f t="shared" ref="D28:F28" si="9">D12+D14+D16+D18+D20+D22+D24+D26</f>
        <v>282</v>
      </c>
      <c r="E28" s="873">
        <f t="shared" si="9"/>
        <v>313</v>
      </c>
      <c r="F28" s="872">
        <f t="shared" si="9"/>
        <v>342</v>
      </c>
      <c r="G28" s="884">
        <f>G12+G14+G16+G18+G20+G22+G24+G26</f>
        <v>364.04674586452541</v>
      </c>
      <c r="I28" s="1127" t="s">
        <v>3675</v>
      </c>
      <c r="J28" s="1128"/>
      <c r="K28" s="1128"/>
      <c r="L28" s="802">
        <f>CALCULATION!D64</f>
        <v>6.5000000000000002E-2</v>
      </c>
    </row>
    <row r="29" spans="2:12" x14ac:dyDescent="0.25">
      <c r="B29" s="796" t="s">
        <v>3630</v>
      </c>
      <c r="C29" s="792">
        <f>CALCULATION!C28</f>
        <v>28</v>
      </c>
      <c r="D29" s="792">
        <f>CALCULATION!D28</f>
        <v>32</v>
      </c>
      <c r="E29" s="792">
        <f>CALCULATION!E28</f>
        <v>35</v>
      </c>
      <c r="F29" s="796">
        <f>CALCULATION!F28</f>
        <v>39</v>
      </c>
      <c r="G29" s="882">
        <f>G30*$G$33</f>
        <v>41.035641109943896</v>
      </c>
      <c r="I29" s="1127" t="s">
        <v>3676</v>
      </c>
      <c r="J29" s="1128"/>
      <c r="K29" s="1128"/>
      <c r="L29" s="802">
        <f>CALCULATION!D65</f>
        <v>6.5000000000000002E-2</v>
      </c>
    </row>
    <row r="30" spans="2:12" x14ac:dyDescent="0.25">
      <c r="B30" s="876" t="s">
        <v>3656</v>
      </c>
      <c r="C30" s="878">
        <f>C29/C33</f>
        <v>0.10256410256410256</v>
      </c>
      <c r="D30" s="878">
        <f t="shared" ref="D30:F30" si="10">D29/D33</f>
        <v>0.10423452768729642</v>
      </c>
      <c r="E30" s="878">
        <f t="shared" si="10"/>
        <v>0.10294117647058823</v>
      </c>
      <c r="F30" s="881">
        <f t="shared" si="10"/>
        <v>0.10483870967741936</v>
      </c>
      <c r="G30" s="879">
        <f>AVERAGE(C30:F30)</f>
        <v>0.10364462909985164</v>
      </c>
      <c r="I30" s="1127" t="s">
        <v>3677</v>
      </c>
      <c r="J30" s="1128"/>
      <c r="K30" s="1128"/>
      <c r="L30" s="802">
        <f>CALCULATION!D66</f>
        <v>6.4000000000000001E-2</v>
      </c>
    </row>
    <row r="31" spans="2:12" x14ac:dyDescent="0.25">
      <c r="B31" s="797" t="s">
        <v>3631</v>
      </c>
      <c r="C31" s="793">
        <f>CALCULATION!C29</f>
        <v>-6</v>
      </c>
      <c r="D31" s="793">
        <f>CALCULATION!D29</f>
        <v>-7</v>
      </c>
      <c r="E31" s="793">
        <f>CALCULATION!E29</f>
        <v>-8</v>
      </c>
      <c r="F31" s="797">
        <f>CALCULATION!F29</f>
        <v>-9</v>
      </c>
      <c r="G31" s="885">
        <v>-10</v>
      </c>
      <c r="I31" s="1127" t="s">
        <v>3678</v>
      </c>
      <c r="J31" s="1128"/>
      <c r="K31" s="1128"/>
      <c r="L31" s="802">
        <f>CALCULATION!D67</f>
        <v>6.3E-2</v>
      </c>
    </row>
    <row r="32" spans="2:12" x14ac:dyDescent="0.25">
      <c r="C32" s="877"/>
      <c r="D32" s="877"/>
      <c r="E32" s="877"/>
      <c r="F32" s="877"/>
      <c r="I32" s="1127" t="s">
        <v>3679</v>
      </c>
      <c r="J32" s="1128"/>
      <c r="K32" s="1128"/>
      <c r="L32" s="802">
        <f>CALCULATION!D68</f>
        <v>6.5000000000000002E-2</v>
      </c>
    </row>
    <row r="33" spans="2:12" x14ac:dyDescent="0.25">
      <c r="B33" s="874" t="s">
        <v>3650</v>
      </c>
      <c r="C33" s="867">
        <f>C28+C29+C31</f>
        <v>273</v>
      </c>
      <c r="D33" s="867">
        <f>D28+D29+D31</f>
        <v>307</v>
      </c>
      <c r="E33" s="867">
        <f>E28+E29+E31</f>
        <v>340</v>
      </c>
      <c r="F33" s="867">
        <f>F28+F29+F31</f>
        <v>372</v>
      </c>
      <c r="G33" s="886">
        <f>F33+(F33*C35)</f>
        <v>395.92636363636365</v>
      </c>
      <c r="I33" s="1134" t="s">
        <v>3680</v>
      </c>
      <c r="J33" s="1135"/>
      <c r="K33" s="1135"/>
      <c r="L33" s="803">
        <f>CALCULATION!D69</f>
        <v>6.7000000000000004E-2</v>
      </c>
    </row>
    <row r="34" spans="2:12" x14ac:dyDescent="0.25">
      <c r="D34" s="880"/>
      <c r="E34" s="880"/>
      <c r="F34" s="880"/>
      <c r="I34" s="722"/>
      <c r="J34" s="722"/>
      <c r="K34" s="722"/>
      <c r="L34" s="880"/>
    </row>
    <row r="35" spans="2:12" x14ac:dyDescent="0.25">
      <c r="B35" s="1136" t="s">
        <v>3688</v>
      </c>
      <c r="C35" s="1138">
        <f>AVERAGE(L12:L33)</f>
        <v>6.4318181818181816E-2</v>
      </c>
      <c r="E35" s="1140" t="s">
        <v>3701</v>
      </c>
      <c r="F35" s="1140"/>
      <c r="G35" s="1140"/>
      <c r="H35" s="1140"/>
      <c r="I35" s="1140"/>
      <c r="J35" s="1140"/>
      <c r="K35" s="1140"/>
      <c r="L35" s="1140"/>
    </row>
    <row r="36" spans="2:12" x14ac:dyDescent="0.25">
      <c r="B36" s="1137"/>
      <c r="C36" s="1139"/>
      <c r="E36" s="1140"/>
      <c r="F36" s="1140"/>
      <c r="G36" s="1140"/>
      <c r="H36" s="1140"/>
      <c r="I36" s="1140"/>
      <c r="J36" s="1140"/>
      <c r="K36" s="1140"/>
      <c r="L36" s="1140"/>
    </row>
    <row r="38" spans="2:12" x14ac:dyDescent="0.25">
      <c r="B38" s="1076" t="s">
        <v>3658</v>
      </c>
      <c r="C38" s="1076"/>
      <c r="D38" s="1076"/>
      <c r="E38" s="1076"/>
      <c r="F38" s="1076"/>
      <c r="G38" s="1076"/>
      <c r="H38" s="1076"/>
      <c r="I38" s="1076"/>
      <c r="J38" s="1076"/>
      <c r="K38" s="1076"/>
      <c r="L38" s="1076"/>
    </row>
    <row r="39" spans="2:12" x14ac:dyDescent="0.25">
      <c r="B39" s="1076"/>
      <c r="C39" s="1076"/>
      <c r="D39" s="1076"/>
      <c r="E39" s="1076"/>
      <c r="F39" s="1076"/>
      <c r="G39" s="1076"/>
      <c r="H39" s="1076"/>
      <c r="I39" s="1076"/>
      <c r="J39" s="1076"/>
      <c r="K39" s="1076"/>
      <c r="L39" s="1076"/>
    </row>
    <row r="41" spans="2:12" x14ac:dyDescent="0.25">
      <c r="B41" s="794" t="s">
        <v>3655</v>
      </c>
      <c r="C41" s="785">
        <f>C10</f>
        <v>2022</v>
      </c>
      <c r="D41" s="785">
        <f t="shared" ref="D41:G41" si="11">D10</f>
        <v>2023</v>
      </c>
      <c r="E41" s="785">
        <f t="shared" si="11"/>
        <v>2024</v>
      </c>
      <c r="F41" s="785">
        <f t="shared" si="11"/>
        <v>2025</v>
      </c>
      <c r="G41" s="785">
        <f t="shared" si="11"/>
        <v>2026</v>
      </c>
      <c r="I41" s="1129" t="s">
        <v>3657</v>
      </c>
      <c r="J41" s="1130"/>
      <c r="K41" s="1130"/>
      <c r="L41" s="1131"/>
    </row>
    <row r="43" spans="2:12" x14ac:dyDescent="0.25">
      <c r="B43" s="795" t="str">
        <f>B12</f>
        <v>Agriculture</v>
      </c>
      <c r="C43" s="791">
        <f>CALCULATION!C33</f>
        <v>20</v>
      </c>
      <c r="D43" s="791">
        <f>CALCULATION!D33</f>
        <v>21</v>
      </c>
      <c r="E43" s="791">
        <f>CALCULATION!E33</f>
        <v>22</v>
      </c>
      <c r="F43" s="795">
        <f>CALCULATION!F33</f>
        <v>23</v>
      </c>
      <c r="G43" s="883">
        <f>G44*$G$64</f>
        <v>23.897808616418637</v>
      </c>
      <c r="I43" s="1132" t="s">
        <v>3659</v>
      </c>
      <c r="J43" s="1133"/>
      <c r="K43" s="1133"/>
      <c r="L43" s="801">
        <f>CALCULATION!G48</f>
        <v>1.7999999999999999E-2</v>
      </c>
    </row>
    <row r="44" spans="2:12" x14ac:dyDescent="0.25">
      <c r="B44" s="876" t="str">
        <f t="shared" ref="B44:B62" si="12">B13</f>
        <v>% of GDP</v>
      </c>
      <c r="C44" s="878">
        <f>C43/C64</f>
        <v>1.1560693641618497E-2</v>
      </c>
      <c r="D44" s="878">
        <f t="shared" ref="D44:F44" si="13">D43/D64</f>
        <v>1.1431682090364725E-2</v>
      </c>
      <c r="E44" s="878">
        <f t="shared" si="13"/>
        <v>1.1195928753180661E-2</v>
      </c>
      <c r="F44" s="881">
        <f t="shared" si="13"/>
        <v>1.1100386100386101E-2</v>
      </c>
      <c r="G44" s="879">
        <f>AVERAGE(C44:F44)</f>
        <v>1.1322172646387496E-2</v>
      </c>
      <c r="I44" s="1127" t="s">
        <v>3662</v>
      </c>
      <c r="J44" s="1128"/>
      <c r="K44" s="1128"/>
      <c r="L44" s="802">
        <f>CALCULATION!G49</f>
        <v>1.7000000000000001E-2</v>
      </c>
    </row>
    <row r="45" spans="2:12" x14ac:dyDescent="0.25">
      <c r="B45" s="796" t="str">
        <f t="shared" si="12"/>
        <v>Mining</v>
      </c>
      <c r="C45" s="792">
        <f>CALCULATION!C34</f>
        <v>96</v>
      </c>
      <c r="D45" s="792">
        <f>CALCULATION!D34</f>
        <v>102</v>
      </c>
      <c r="E45" s="792">
        <f>CALCULATION!E34</f>
        <v>109</v>
      </c>
      <c r="F45" s="796">
        <f>CALCULATION!F34</f>
        <v>115</v>
      </c>
      <c r="G45" s="882">
        <f>G46*$G$64</f>
        <v>117.13869397238931</v>
      </c>
      <c r="I45" s="1127" t="s">
        <v>3665</v>
      </c>
      <c r="J45" s="1128"/>
      <c r="K45" s="1128"/>
      <c r="L45" s="802">
        <f>CALCULATION!G50</f>
        <v>2.5000000000000001E-2</v>
      </c>
    </row>
    <row r="46" spans="2:12" x14ac:dyDescent="0.25">
      <c r="B46" s="876" t="str">
        <f t="shared" si="12"/>
        <v>% of GDP</v>
      </c>
      <c r="C46" s="878">
        <f>C45/C64</f>
        <v>5.5491329479768786E-2</v>
      </c>
      <c r="D46" s="878">
        <f t="shared" ref="D46:F46" si="14">D45/D64</f>
        <v>5.5525313010342948E-2</v>
      </c>
      <c r="E46" s="878">
        <f t="shared" si="14"/>
        <v>5.5470737913486008E-2</v>
      </c>
      <c r="F46" s="881">
        <f t="shared" si="14"/>
        <v>5.5501930501930502E-2</v>
      </c>
      <c r="G46" s="879">
        <f>AVERAGE(C46:F46)</f>
        <v>5.5497327726382058E-2</v>
      </c>
      <c r="I46" s="1127" t="s">
        <v>3666</v>
      </c>
      <c r="J46" s="1128"/>
      <c r="K46" s="1128"/>
      <c r="L46" s="802">
        <f>CALCULATION!G51</f>
        <v>0.02</v>
      </c>
    </row>
    <row r="47" spans="2:12" x14ac:dyDescent="0.25">
      <c r="B47" s="796" t="str">
        <f t="shared" si="12"/>
        <v>Manufacturing</v>
      </c>
      <c r="C47" s="792">
        <f>CALCULATION!C35</f>
        <v>220</v>
      </c>
      <c r="D47" s="792">
        <f>CALCULATION!D35</f>
        <v>232</v>
      </c>
      <c r="E47" s="792">
        <f>CALCULATION!E35</f>
        <v>244</v>
      </c>
      <c r="F47" s="796">
        <f>CALCULATION!F35</f>
        <v>255</v>
      </c>
      <c r="G47" s="882">
        <f>G48*$G$64</f>
        <v>264.20956112024288</v>
      </c>
      <c r="I47" s="1127" t="s">
        <v>3667</v>
      </c>
      <c r="J47" s="1128"/>
      <c r="K47" s="1128"/>
      <c r="L47" s="802">
        <f>CALCULATION!G52</f>
        <v>2.1000000000000001E-2</v>
      </c>
    </row>
    <row r="48" spans="2:12" x14ac:dyDescent="0.25">
      <c r="B48" s="876" t="str">
        <f t="shared" si="12"/>
        <v>% of GDP</v>
      </c>
      <c r="C48" s="878">
        <f>C47/C64</f>
        <v>0.12716763005780346</v>
      </c>
      <c r="D48" s="878">
        <f t="shared" ref="D48:F48" si="15">D47/D64</f>
        <v>0.12629286880783885</v>
      </c>
      <c r="E48" s="878">
        <f t="shared" si="15"/>
        <v>0.12417302798982188</v>
      </c>
      <c r="F48" s="881">
        <f t="shared" si="15"/>
        <v>0.12306949806949807</v>
      </c>
      <c r="G48" s="879">
        <f>AVERAGE(C48:F48)</f>
        <v>0.12517575623124055</v>
      </c>
      <c r="I48" s="1127" t="s">
        <v>3663</v>
      </c>
      <c r="J48" s="1128"/>
      <c r="K48" s="1128"/>
      <c r="L48" s="802">
        <f>CALCULATION!G53</f>
        <v>1.9E-2</v>
      </c>
    </row>
    <row r="49" spans="2:12" x14ac:dyDescent="0.25">
      <c r="B49" s="796" t="str">
        <f t="shared" si="12"/>
        <v>Electricity, Gas…</v>
      </c>
      <c r="C49" s="792">
        <f>CALCULATION!C36</f>
        <v>54</v>
      </c>
      <c r="D49" s="792">
        <f>CALCULATION!D36</f>
        <v>57</v>
      </c>
      <c r="E49" s="792">
        <f>CALCULATION!E36</f>
        <v>60</v>
      </c>
      <c r="F49" s="796">
        <f>CALCULATION!F36</f>
        <v>63</v>
      </c>
      <c r="G49" s="882">
        <f>G50*$G$64</f>
        <v>65.000584302585338</v>
      </c>
      <c r="I49" s="1127" t="s">
        <v>3664</v>
      </c>
      <c r="J49" s="1128"/>
      <c r="K49" s="1128"/>
      <c r="L49" s="802">
        <f>CALCULATION!G54</f>
        <v>1.7999999999999999E-2</v>
      </c>
    </row>
    <row r="50" spans="2:12" x14ac:dyDescent="0.25">
      <c r="B50" s="876" t="str">
        <f t="shared" si="12"/>
        <v>% of GDP</v>
      </c>
      <c r="C50" s="878">
        <f>C49/C64</f>
        <v>3.121387283236994E-2</v>
      </c>
      <c r="D50" s="878">
        <f t="shared" ref="D50:F50" si="16">D49/D64</f>
        <v>3.1028851388132824E-2</v>
      </c>
      <c r="E50" s="878">
        <f t="shared" si="16"/>
        <v>3.0534351145038167E-2</v>
      </c>
      <c r="F50" s="881">
        <f t="shared" si="16"/>
        <v>3.0405405405405407E-2</v>
      </c>
      <c r="G50" s="879">
        <f>AVERAGE(C50:F50)</f>
        <v>3.0795620192736586E-2</v>
      </c>
      <c r="I50" s="1127" t="s">
        <v>3674</v>
      </c>
      <c r="J50" s="1128"/>
      <c r="K50" s="1128"/>
      <c r="L50" s="802">
        <f>CALCULATION!G55</f>
        <v>0.02</v>
      </c>
    </row>
    <row r="51" spans="2:12" x14ac:dyDescent="0.25">
      <c r="B51" s="796" t="str">
        <f t="shared" si="12"/>
        <v>Construction</v>
      </c>
      <c r="C51" s="792">
        <f>CALCULATION!C37</f>
        <v>99</v>
      </c>
      <c r="D51" s="792">
        <f>CALCULATION!D37</f>
        <v>106</v>
      </c>
      <c r="E51" s="792">
        <f>CALCULATION!E37</f>
        <v>113</v>
      </c>
      <c r="F51" s="796">
        <f>CALCULATION!F37</f>
        <v>120</v>
      </c>
      <c r="G51" s="882">
        <f>G52*$G$64</f>
        <v>121.55024307934819</v>
      </c>
      <c r="I51" s="1127" t="s">
        <v>3670</v>
      </c>
      <c r="J51" s="1128"/>
      <c r="K51" s="1128"/>
      <c r="L51" s="802">
        <f>CALCULATION!G56</f>
        <v>1.9E-2</v>
      </c>
    </row>
    <row r="52" spans="2:12" x14ac:dyDescent="0.25">
      <c r="B52" s="876" t="str">
        <f t="shared" si="12"/>
        <v>% of GDP</v>
      </c>
      <c r="C52" s="878">
        <f>C51/C64</f>
        <v>5.722543352601156E-2</v>
      </c>
      <c r="D52" s="878">
        <f t="shared" ref="D52:F52" si="17">D51/D64</f>
        <v>5.770277626565052E-2</v>
      </c>
      <c r="E52" s="878">
        <f t="shared" si="17"/>
        <v>5.7506361323155217E-2</v>
      </c>
      <c r="F52" s="881">
        <f t="shared" si="17"/>
        <v>5.7915057915057917E-2</v>
      </c>
      <c r="G52" s="879">
        <f>AVERAGE(C52:F52)</f>
        <v>5.7587407257468803E-2</v>
      </c>
      <c r="I52" s="1127" t="s">
        <v>3671</v>
      </c>
      <c r="J52" s="1128"/>
      <c r="K52" s="1128"/>
      <c r="L52" s="802">
        <f>CALCULATION!G57</f>
        <v>1.7999999999999999E-2</v>
      </c>
    </row>
    <row r="53" spans="2:12" x14ac:dyDescent="0.25">
      <c r="B53" s="796" t="str">
        <f t="shared" si="12"/>
        <v>Hotel, Trading</v>
      </c>
      <c r="C53" s="792">
        <f>CALCULATION!C38</f>
        <v>311</v>
      </c>
      <c r="D53" s="792">
        <f>CALCULATION!D38</f>
        <v>333</v>
      </c>
      <c r="E53" s="792">
        <f>CALCULATION!E38</f>
        <v>360</v>
      </c>
      <c r="F53" s="796">
        <f>CALCULATION!F38</f>
        <v>381</v>
      </c>
      <c r="G53" s="882">
        <f>G54*$G$64</f>
        <v>384.2170681560462</v>
      </c>
      <c r="I53" s="1127" t="s">
        <v>3672</v>
      </c>
      <c r="J53" s="1128"/>
      <c r="K53" s="1128"/>
      <c r="L53" s="802">
        <f>CALCULATION!G58</f>
        <v>1.7000000000000001E-2</v>
      </c>
    </row>
    <row r="54" spans="2:12" x14ac:dyDescent="0.25">
      <c r="B54" s="876" t="str">
        <f t="shared" si="12"/>
        <v>% of GDP</v>
      </c>
      <c r="C54" s="878">
        <f>C53/C64</f>
        <v>0.17976878612716762</v>
      </c>
      <c r="D54" s="878">
        <f t="shared" ref="D54:F54" si="18">D53/D64</f>
        <v>0.18127381600435494</v>
      </c>
      <c r="E54" s="878">
        <f t="shared" si="18"/>
        <v>0.18320610687022901</v>
      </c>
      <c r="F54" s="881">
        <f t="shared" si="18"/>
        <v>0.18388030888030887</v>
      </c>
      <c r="G54" s="879">
        <f>AVERAGE(C54:F54)</f>
        <v>0.18203225447051513</v>
      </c>
      <c r="I54" s="1127" t="s">
        <v>3673</v>
      </c>
      <c r="J54" s="1128"/>
      <c r="K54" s="1128"/>
      <c r="L54" s="802">
        <f>CALCULATION!G59</f>
        <v>0.02</v>
      </c>
    </row>
    <row r="55" spans="2:12" x14ac:dyDescent="0.25">
      <c r="B55" s="796" t="str">
        <f t="shared" si="12"/>
        <v>Financial Assist.</v>
      </c>
      <c r="C55" s="792">
        <f>CALCULATION!C39</f>
        <v>440</v>
      </c>
      <c r="D55" s="792">
        <f>CALCULATION!D39</f>
        <v>466</v>
      </c>
      <c r="E55" s="792">
        <f>CALCULATION!E39</f>
        <v>501</v>
      </c>
      <c r="F55" s="796">
        <f>CALCULATION!F39</f>
        <v>532</v>
      </c>
      <c r="G55" s="882">
        <f>G56*$G$64</f>
        <v>538.08736515570899</v>
      </c>
      <c r="I55" s="1127" t="s">
        <v>3668</v>
      </c>
      <c r="J55" s="1128"/>
      <c r="K55" s="1128"/>
      <c r="L55" s="802">
        <f>CALCULATION!G60</f>
        <v>1.6E-2</v>
      </c>
    </row>
    <row r="56" spans="2:12" x14ac:dyDescent="0.25">
      <c r="B56" s="876" t="str">
        <f t="shared" si="12"/>
        <v>% of GDP</v>
      </c>
      <c r="C56" s="878">
        <f>C55/C64</f>
        <v>0.25433526011560692</v>
      </c>
      <c r="D56" s="878">
        <f t="shared" ref="D56:F56" si="19">D55/D64</f>
        <v>0.25367446924333154</v>
      </c>
      <c r="E56" s="878">
        <f t="shared" si="19"/>
        <v>0.25496183206106871</v>
      </c>
      <c r="F56" s="881">
        <f t="shared" si="19"/>
        <v>0.25675675675675674</v>
      </c>
      <c r="G56" s="879">
        <f>AVERAGE(C56:F56)</f>
        <v>0.254932079544191</v>
      </c>
      <c r="I56" s="1127" t="s">
        <v>3669</v>
      </c>
      <c r="J56" s="1128"/>
      <c r="K56" s="1128"/>
      <c r="L56" s="802">
        <f>CALCULATION!G61</f>
        <v>1.9E-2</v>
      </c>
    </row>
    <row r="57" spans="2:12" x14ac:dyDescent="0.25">
      <c r="B57" s="796" t="str">
        <f t="shared" si="12"/>
        <v>Public Admin</v>
      </c>
      <c r="C57" s="792">
        <f>CALCULATION!C40</f>
        <v>241</v>
      </c>
      <c r="D57" s="792">
        <f>CALCULATION!D40</f>
        <v>252</v>
      </c>
      <c r="E57" s="792">
        <f>CALCULATION!E40</f>
        <v>266</v>
      </c>
      <c r="F57" s="796">
        <f>CALCULATION!F40</f>
        <v>277</v>
      </c>
      <c r="G57" s="882">
        <f>G58*$G$64</f>
        <v>287.87046557563144</v>
      </c>
      <c r="I57" s="1127" t="s">
        <v>3677</v>
      </c>
      <c r="J57" s="1128"/>
      <c r="K57" s="1128"/>
      <c r="L57" s="802">
        <f>CALCULATION!G62</f>
        <v>1.7999999999999999E-2</v>
      </c>
    </row>
    <row r="58" spans="2:12" x14ac:dyDescent="0.25">
      <c r="B58" s="876" t="str">
        <f t="shared" si="12"/>
        <v>% of GDP</v>
      </c>
      <c r="C58" s="878">
        <f>C57/C64</f>
        <v>0.1393063583815029</v>
      </c>
      <c r="D58" s="878">
        <f t="shared" ref="D58:F58" si="20">D57/D64</f>
        <v>0.13718018508437671</v>
      </c>
      <c r="E58" s="878">
        <f t="shared" si="20"/>
        <v>0.13536895674300253</v>
      </c>
      <c r="F58" s="881">
        <f t="shared" si="20"/>
        <v>0.1336872586872587</v>
      </c>
      <c r="G58" s="879">
        <f>AVERAGE(C58:F58)</f>
        <v>0.13638568972403523</v>
      </c>
      <c r="I58" s="1127" t="s">
        <v>3679</v>
      </c>
      <c r="J58" s="1128"/>
      <c r="K58" s="1128"/>
      <c r="L58" s="802">
        <f>CALCULATION!G63</f>
        <v>1.9E-2</v>
      </c>
    </row>
    <row r="59" spans="2:12" x14ac:dyDescent="0.25">
      <c r="B59" s="872" t="str">
        <f t="shared" si="12"/>
        <v>GVA</v>
      </c>
      <c r="C59" s="873">
        <f>C57+C55+C53+C51+C49+C47+C45+C43</f>
        <v>1481</v>
      </c>
      <c r="D59" s="873">
        <f t="shared" ref="D59:G59" si="21">D57+D55+D53+D51+D49+D47+D45+D43</f>
        <v>1569</v>
      </c>
      <c r="E59" s="873">
        <f t="shared" si="21"/>
        <v>1675</v>
      </c>
      <c r="F59" s="872">
        <f t="shared" si="21"/>
        <v>1766</v>
      </c>
      <c r="G59" s="884">
        <f t="shared" si="21"/>
        <v>1801.9717899783709</v>
      </c>
      <c r="I59" s="1127" t="s">
        <v>3678</v>
      </c>
      <c r="J59" s="1128"/>
      <c r="K59" s="1128"/>
      <c r="L59" s="802">
        <f>CALCULATION!G64</f>
        <v>1.7999999999999999E-2</v>
      </c>
    </row>
    <row r="60" spans="2:12" x14ac:dyDescent="0.25">
      <c r="B60" s="796" t="str">
        <f t="shared" si="12"/>
        <v>Taxes</v>
      </c>
      <c r="C60" s="792">
        <f>CALCULATION!C42</f>
        <v>257</v>
      </c>
      <c r="D60" s="792">
        <f>CALCULATION!D42</f>
        <v>277</v>
      </c>
      <c r="E60" s="792">
        <f>CALCULATION!E42</f>
        <v>300</v>
      </c>
      <c r="F60" s="796">
        <f>CALCULATION!F42</f>
        <v>320</v>
      </c>
      <c r="G60" s="882">
        <f>G61*$G$64</f>
        <v>320.01307418107012</v>
      </c>
      <c r="I60" s="1127" t="s">
        <v>3689</v>
      </c>
      <c r="J60" s="1128"/>
      <c r="K60" s="1128"/>
      <c r="L60" s="802">
        <f>CALCULATION!G65</f>
        <v>1.7000000000000001E-2</v>
      </c>
    </row>
    <row r="61" spans="2:12" x14ac:dyDescent="0.25">
      <c r="B61" s="876" t="str">
        <f t="shared" si="12"/>
        <v>% of GDP</v>
      </c>
      <c r="C61" s="878">
        <f>C60/C64</f>
        <v>0.1485549132947977</v>
      </c>
      <c r="D61" s="878">
        <f t="shared" ref="D61:F61" si="22">D60/D64</f>
        <v>0.150789330430049</v>
      </c>
      <c r="E61" s="878">
        <f t="shared" si="22"/>
        <v>0.15267175572519084</v>
      </c>
      <c r="F61" s="881">
        <f t="shared" si="22"/>
        <v>0.15444015444015444</v>
      </c>
      <c r="G61" s="879">
        <f>AVERAGE(C61:F61)</f>
        <v>0.15161403847254801</v>
      </c>
      <c r="I61" s="1127" t="s">
        <v>3690</v>
      </c>
      <c r="J61" s="1128"/>
      <c r="K61" s="1128"/>
      <c r="L61" s="802">
        <f>CALCULATION!G66</f>
        <v>1.6E-2</v>
      </c>
    </row>
    <row r="62" spans="2:12" x14ac:dyDescent="0.25">
      <c r="B62" s="797" t="str">
        <f t="shared" si="12"/>
        <v>Subsidies</v>
      </c>
      <c r="C62" s="793">
        <f>CALCULATION!C43</f>
        <v>-8</v>
      </c>
      <c r="D62" s="793">
        <f>CALCULATION!D43</f>
        <v>-9</v>
      </c>
      <c r="E62" s="793">
        <f>CALCULATION!E43</f>
        <v>-10</v>
      </c>
      <c r="F62" s="797">
        <f>CALCULATION!F43</f>
        <v>-14</v>
      </c>
      <c r="G62" s="885">
        <v>-16</v>
      </c>
      <c r="I62" s="1127" t="s">
        <v>3691</v>
      </c>
      <c r="J62" s="1128"/>
      <c r="K62" s="1128"/>
      <c r="L62" s="802">
        <f>CALCULATION!G67</f>
        <v>1.9E-2</v>
      </c>
    </row>
    <row r="63" spans="2:12" x14ac:dyDescent="0.25">
      <c r="I63" s="1127" t="s">
        <v>3692</v>
      </c>
      <c r="J63" s="1128"/>
      <c r="K63" s="1128"/>
      <c r="L63" s="802">
        <f>CALCULATION!G68</f>
        <v>1.7999999999999999E-2</v>
      </c>
    </row>
    <row r="64" spans="2:12" x14ac:dyDescent="0.25">
      <c r="B64" s="874" t="s">
        <v>3650</v>
      </c>
      <c r="C64" s="867">
        <f>C59+C60+C62</f>
        <v>1730</v>
      </c>
      <c r="D64" s="867">
        <f t="shared" ref="D64:F64" si="23">D59+D60+D62</f>
        <v>1837</v>
      </c>
      <c r="E64" s="867">
        <f t="shared" si="23"/>
        <v>1965</v>
      </c>
      <c r="F64" s="867">
        <f t="shared" si="23"/>
        <v>2072</v>
      </c>
      <c r="G64" s="886">
        <f>F64+(F64*C66)</f>
        <v>2110.7087272727272</v>
      </c>
      <c r="I64" s="1134" t="s">
        <v>3680</v>
      </c>
      <c r="J64" s="1135"/>
      <c r="K64" s="1135"/>
      <c r="L64" s="803">
        <f>CALCULATION!G69</f>
        <v>1.9E-2</v>
      </c>
    </row>
    <row r="65" spans="2:12" x14ac:dyDescent="0.25">
      <c r="D65" s="880"/>
      <c r="E65" s="880"/>
      <c r="F65" s="880"/>
    </row>
    <row r="66" spans="2:12" x14ac:dyDescent="0.25">
      <c r="B66" s="1136" t="s">
        <v>3688</v>
      </c>
      <c r="C66" s="1138">
        <f>AVERAGE(L43:L64)</f>
        <v>1.8681818181818185E-2</v>
      </c>
      <c r="E66" s="1140" t="s">
        <v>3702</v>
      </c>
      <c r="F66" s="1140"/>
      <c r="G66" s="1140"/>
      <c r="H66" s="1140"/>
      <c r="I66" s="1140"/>
      <c r="J66" s="1140"/>
      <c r="K66" s="1140"/>
      <c r="L66" s="1140"/>
    </row>
    <row r="67" spans="2:12" x14ac:dyDescent="0.25">
      <c r="B67" s="1137"/>
      <c r="C67" s="1139"/>
      <c r="E67" s="1140"/>
      <c r="F67" s="1140"/>
      <c r="G67" s="1140"/>
      <c r="H67" s="1140"/>
      <c r="I67" s="1140"/>
      <c r="J67" s="1140"/>
      <c r="K67" s="1140"/>
      <c r="L67" s="1140"/>
    </row>
    <row r="69" spans="2:12" x14ac:dyDescent="0.25">
      <c r="B69" s="1063" t="s">
        <v>3699</v>
      </c>
      <c r="C69" s="1063"/>
      <c r="D69" s="1063"/>
      <c r="E69" s="1063"/>
      <c r="F69" s="1063"/>
      <c r="G69" s="1063" t="s">
        <v>3700</v>
      </c>
      <c r="H69" s="1063"/>
      <c r="I69" s="1063"/>
      <c r="J69" s="1063"/>
      <c r="K69" s="1063"/>
      <c r="L69" s="1063"/>
    </row>
    <row r="70" spans="2:12" x14ac:dyDescent="0.25">
      <c r="B70" s="1063"/>
      <c r="C70" s="1063"/>
      <c r="D70" s="1063"/>
      <c r="E70" s="1063"/>
      <c r="F70" s="1063"/>
      <c r="G70" s="1063"/>
      <c r="H70" s="1063"/>
      <c r="I70" s="1063"/>
      <c r="J70" s="1063"/>
      <c r="K70" s="1063"/>
      <c r="L70" s="1063"/>
    </row>
    <row r="87" spans="2:12" x14ac:dyDescent="0.25">
      <c r="B87" s="1108" t="s">
        <v>3703</v>
      </c>
      <c r="C87" s="1108"/>
      <c r="D87" s="1108"/>
      <c r="E87" s="1108"/>
      <c r="F87" s="1108"/>
      <c r="G87" s="1108"/>
      <c r="H87" s="1108"/>
      <c r="I87" s="1108"/>
      <c r="J87" s="1108"/>
      <c r="K87" s="1108"/>
      <c r="L87" s="1108"/>
    </row>
    <row r="88" spans="2:12" x14ac:dyDescent="0.25">
      <c r="B88" s="1108"/>
      <c r="C88" s="1108"/>
      <c r="D88" s="1108"/>
      <c r="E88" s="1108"/>
      <c r="F88" s="1108"/>
      <c r="G88" s="1108"/>
      <c r="H88" s="1108"/>
      <c r="I88" s="1108"/>
      <c r="J88" s="1108"/>
      <c r="K88" s="1108"/>
      <c r="L88" s="1108"/>
    </row>
    <row r="90" spans="2:12" x14ac:dyDescent="0.25">
      <c r="B90" s="937" t="s">
        <v>3835</v>
      </c>
      <c r="C90" s="937"/>
      <c r="D90" s="937"/>
      <c r="E90" s="937"/>
      <c r="F90" s="937"/>
      <c r="G90" s="937"/>
      <c r="H90" s="937"/>
      <c r="I90" s="937"/>
      <c r="J90" s="937"/>
      <c r="K90" s="937"/>
      <c r="L90" s="937"/>
    </row>
  </sheetData>
  <mergeCells count="60">
    <mergeCell ref="I49:K49"/>
    <mergeCell ref="I54:K54"/>
    <mergeCell ref="B87:L88"/>
    <mergeCell ref="E66:L67"/>
    <mergeCell ref="E35:L36"/>
    <mergeCell ref="I61:K61"/>
    <mergeCell ref="I62:K62"/>
    <mergeCell ref="I63:K63"/>
    <mergeCell ref="I64:K64"/>
    <mergeCell ref="B69:F70"/>
    <mergeCell ref="G69:L70"/>
    <mergeCell ref="I55:K55"/>
    <mergeCell ref="I56:K56"/>
    <mergeCell ref="I57:K57"/>
    <mergeCell ref="I58:K58"/>
    <mergeCell ref="I59:K59"/>
    <mergeCell ref="I60:K60"/>
    <mergeCell ref="B35:B36"/>
    <mergeCell ref="C35:C36"/>
    <mergeCell ref="B66:B67"/>
    <mergeCell ref="C66:C67"/>
    <mergeCell ref="I43:K43"/>
    <mergeCell ref="I44:K44"/>
    <mergeCell ref="I45:K45"/>
    <mergeCell ref="I46:K46"/>
    <mergeCell ref="I47:K47"/>
    <mergeCell ref="I48:K48"/>
    <mergeCell ref="B38:L39"/>
    <mergeCell ref="I41:L41"/>
    <mergeCell ref="I50:K50"/>
    <mergeCell ref="I51:K51"/>
    <mergeCell ref="I52:K52"/>
    <mergeCell ref="I33:K33"/>
    <mergeCell ref="I22:K22"/>
    <mergeCell ref="I23:K23"/>
    <mergeCell ref="I24:K24"/>
    <mergeCell ref="I25:K25"/>
    <mergeCell ref="I26:K26"/>
    <mergeCell ref="I27:K27"/>
    <mergeCell ref="I28:K28"/>
    <mergeCell ref="I29:K29"/>
    <mergeCell ref="I30:K30"/>
    <mergeCell ref="I31:K31"/>
    <mergeCell ref="I32:K32"/>
    <mergeCell ref="B90:L90"/>
    <mergeCell ref="I21:K21"/>
    <mergeCell ref="B1:C5"/>
    <mergeCell ref="D1:L5"/>
    <mergeCell ref="B7:L8"/>
    <mergeCell ref="I10:L10"/>
    <mergeCell ref="I12:K12"/>
    <mergeCell ref="I13:K13"/>
    <mergeCell ref="I14:K14"/>
    <mergeCell ref="I15:K15"/>
    <mergeCell ref="I16:K16"/>
    <mergeCell ref="I17:K17"/>
    <mergeCell ref="I18:K18"/>
    <mergeCell ref="I19:K19"/>
    <mergeCell ref="I20:K20"/>
    <mergeCell ref="I53:K53"/>
  </mergeCells>
  <printOptions horizontalCentered="1"/>
  <pageMargins left="0" right="0" top="0" bottom="0" header="0" footer="0"/>
  <pageSetup scale="57" orientation="portrait" horizontalDpi="1200" verticalDpi="1200" r:id="rId1"/>
  <ignoredErrors>
    <ignoredError sqref="G13:G26 G44:G57" formula="1"/>
  </ignoredError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4B81-4FF9-48CF-B930-BA2D93D79811}">
  <sheetPr>
    <pageSetUpPr fitToPage="1"/>
  </sheetPr>
  <dimension ref="B1:L90"/>
  <sheetViews>
    <sheetView zoomScaleNormal="100" workbookViewId="0"/>
  </sheetViews>
  <sheetFormatPr defaultColWidth="15.77734375" defaultRowHeight="15" x14ac:dyDescent="0.25"/>
  <cols>
    <col min="1" max="1" width="2" style="720" customWidth="1"/>
    <col min="2" max="2" width="25.77734375" style="720" customWidth="1"/>
    <col min="3" max="16384" width="15.77734375" style="720"/>
  </cols>
  <sheetData>
    <row r="1" spans="2:11" ht="15" customHeight="1" x14ac:dyDescent="0.25">
      <c r="B1" s="938" t="s">
        <v>378</v>
      </c>
      <c r="C1" s="938"/>
      <c r="D1" s="939" t="s">
        <v>3737</v>
      </c>
      <c r="E1" s="939"/>
      <c r="F1" s="939"/>
      <c r="G1" s="939"/>
      <c r="H1" s="939"/>
      <c r="I1" s="939"/>
      <c r="J1" s="939"/>
      <c r="K1" s="939"/>
    </row>
    <row r="2" spans="2:11" x14ac:dyDescent="0.25">
      <c r="B2" s="938"/>
      <c r="C2" s="938"/>
      <c r="D2" s="939"/>
      <c r="E2" s="939"/>
      <c r="F2" s="939"/>
      <c r="G2" s="939"/>
      <c r="H2" s="939"/>
      <c r="I2" s="939"/>
      <c r="J2" s="939"/>
      <c r="K2" s="939"/>
    </row>
    <row r="3" spans="2:11" x14ac:dyDescent="0.25">
      <c r="B3" s="938"/>
      <c r="C3" s="938"/>
      <c r="D3" s="939"/>
      <c r="E3" s="939"/>
      <c r="F3" s="939"/>
      <c r="G3" s="939"/>
      <c r="H3" s="939"/>
      <c r="I3" s="939"/>
      <c r="J3" s="939"/>
      <c r="K3" s="939"/>
    </row>
    <row r="4" spans="2:11" x14ac:dyDescent="0.25">
      <c r="B4" s="938"/>
      <c r="C4" s="938"/>
      <c r="D4" s="939"/>
      <c r="E4" s="939"/>
      <c r="F4" s="939"/>
      <c r="G4" s="939"/>
      <c r="H4" s="939"/>
      <c r="I4" s="939"/>
      <c r="J4" s="939"/>
      <c r="K4" s="939"/>
    </row>
    <row r="5" spans="2:11" x14ac:dyDescent="0.25">
      <c r="B5" s="938"/>
      <c r="C5" s="938"/>
      <c r="D5" s="939"/>
      <c r="E5" s="939"/>
      <c r="F5" s="939"/>
      <c r="G5" s="939"/>
      <c r="H5" s="939"/>
      <c r="I5" s="939"/>
      <c r="J5" s="939"/>
      <c r="K5" s="939"/>
    </row>
    <row r="7" spans="2:11" x14ac:dyDescent="0.25">
      <c r="B7" s="1076" t="s">
        <v>3734</v>
      </c>
      <c r="C7" s="1076"/>
      <c r="D7" s="1076"/>
      <c r="E7" s="1076"/>
      <c r="F7" s="1076"/>
      <c r="G7" s="1076"/>
      <c r="H7" s="1076"/>
      <c r="I7" s="1076"/>
      <c r="J7" s="1076"/>
      <c r="K7" s="1076"/>
    </row>
    <row r="8" spans="2:11" x14ac:dyDescent="0.25">
      <c r="B8" s="1076"/>
      <c r="C8" s="1076"/>
      <c r="D8" s="1076"/>
      <c r="E8" s="1076"/>
      <c r="F8" s="1076"/>
      <c r="G8" s="1076"/>
      <c r="H8" s="1076"/>
      <c r="I8" s="1076"/>
      <c r="J8" s="1076"/>
      <c r="K8" s="1076"/>
    </row>
    <row r="10" spans="2:11" ht="15" customHeight="1" x14ac:dyDescent="0.25">
      <c r="B10" s="1033" t="s">
        <v>3736</v>
      </c>
      <c r="C10" s="1033"/>
      <c r="D10" s="1033"/>
      <c r="E10" s="1033"/>
      <c r="F10" s="1033"/>
      <c r="G10" s="1033"/>
      <c r="H10" s="1033"/>
      <c r="I10" s="1033"/>
      <c r="J10" s="1033"/>
      <c r="K10" s="1033"/>
    </row>
    <row r="11" spans="2:11" x14ac:dyDescent="0.25">
      <c r="B11" s="1033"/>
      <c r="C11" s="1033"/>
      <c r="D11" s="1033"/>
      <c r="E11" s="1033"/>
      <c r="F11" s="1033"/>
      <c r="G11" s="1033"/>
      <c r="H11" s="1033"/>
      <c r="I11" s="1033"/>
      <c r="J11" s="1033"/>
      <c r="K11" s="1033"/>
    </row>
    <row r="12" spans="2:11" x14ac:dyDescent="0.25">
      <c r="B12" s="1033"/>
      <c r="C12" s="1033"/>
      <c r="D12" s="1033"/>
      <c r="E12" s="1033"/>
      <c r="F12" s="1033"/>
      <c r="G12" s="1033"/>
      <c r="H12" s="1033"/>
      <c r="I12" s="1033"/>
      <c r="J12" s="1033"/>
      <c r="K12" s="1033"/>
    </row>
    <row r="13" spans="2:11" x14ac:dyDescent="0.25">
      <c r="B13" s="1033"/>
      <c r="C13" s="1033"/>
      <c r="D13" s="1033"/>
      <c r="E13" s="1033"/>
      <c r="F13" s="1033"/>
      <c r="G13" s="1033"/>
      <c r="H13" s="1033"/>
      <c r="I13" s="1033"/>
      <c r="J13" s="1033"/>
      <c r="K13" s="1033"/>
    </row>
    <row r="14" spans="2:11" x14ac:dyDescent="0.25">
      <c r="B14" s="1033"/>
      <c r="C14" s="1033"/>
      <c r="D14" s="1033"/>
      <c r="E14" s="1033"/>
      <c r="F14" s="1033"/>
      <c r="G14" s="1033"/>
      <c r="H14" s="1033"/>
      <c r="I14" s="1033"/>
      <c r="J14" s="1033"/>
      <c r="K14" s="1033"/>
    </row>
    <row r="15" spans="2:11" x14ac:dyDescent="0.25">
      <c r="B15" s="1033"/>
      <c r="C15" s="1033"/>
      <c r="D15" s="1033"/>
      <c r="E15" s="1033"/>
      <c r="F15" s="1033"/>
      <c r="G15" s="1033"/>
      <c r="H15" s="1033"/>
      <c r="I15" s="1033"/>
      <c r="J15" s="1033"/>
      <c r="K15" s="1033"/>
    </row>
    <row r="16" spans="2:11" x14ac:dyDescent="0.25">
      <c r="B16" s="1033"/>
      <c r="C16" s="1033"/>
      <c r="D16" s="1033"/>
      <c r="E16" s="1033"/>
      <c r="F16" s="1033"/>
      <c r="G16" s="1033"/>
      <c r="H16" s="1033"/>
      <c r="I16" s="1033"/>
      <c r="J16" s="1033"/>
      <c r="K16" s="1033"/>
    </row>
    <row r="17" spans="2:11" x14ac:dyDescent="0.25">
      <c r="B17" s="1033"/>
      <c r="C17" s="1033"/>
      <c r="D17" s="1033"/>
      <c r="E17" s="1033"/>
      <c r="F17" s="1033"/>
      <c r="G17" s="1033"/>
      <c r="H17" s="1033"/>
      <c r="I17" s="1033"/>
      <c r="J17" s="1033"/>
      <c r="K17" s="1033"/>
    </row>
    <row r="18" spans="2:11" x14ac:dyDescent="0.25">
      <c r="B18" s="1033"/>
      <c r="C18" s="1033"/>
      <c r="D18" s="1033"/>
      <c r="E18" s="1033"/>
      <c r="F18" s="1033"/>
      <c r="G18" s="1033"/>
      <c r="H18" s="1033"/>
      <c r="I18" s="1033"/>
      <c r="J18" s="1033"/>
      <c r="K18" s="1033"/>
    </row>
    <row r="19" spans="2:11" x14ac:dyDescent="0.25">
      <c r="B19" s="1033"/>
      <c r="C19" s="1033"/>
      <c r="D19" s="1033"/>
      <c r="E19" s="1033"/>
      <c r="F19" s="1033"/>
      <c r="G19" s="1033"/>
      <c r="H19" s="1033"/>
      <c r="I19" s="1033"/>
      <c r="J19" s="1033"/>
      <c r="K19" s="1033"/>
    </row>
    <row r="20" spans="2:11" x14ac:dyDescent="0.25">
      <c r="B20" s="1033"/>
      <c r="C20" s="1033"/>
      <c r="D20" s="1033"/>
      <c r="E20" s="1033"/>
      <c r="F20" s="1033"/>
      <c r="G20" s="1033"/>
      <c r="H20" s="1033"/>
      <c r="I20" s="1033"/>
      <c r="J20" s="1033"/>
      <c r="K20" s="1033"/>
    </row>
    <row r="21" spans="2:11" x14ac:dyDescent="0.25">
      <c r="B21" s="1033"/>
      <c r="C21" s="1033"/>
      <c r="D21" s="1033"/>
      <c r="E21" s="1033"/>
      <c r="F21" s="1033"/>
      <c r="G21" s="1033"/>
      <c r="H21" s="1033"/>
      <c r="I21" s="1033"/>
      <c r="J21" s="1033"/>
      <c r="K21" s="1033"/>
    </row>
    <row r="22" spans="2:11" x14ac:dyDescent="0.25">
      <c r="B22" s="1033"/>
      <c r="C22" s="1033"/>
      <c r="D22" s="1033"/>
      <c r="E22" s="1033"/>
      <c r="F22" s="1033"/>
      <c r="G22" s="1033"/>
      <c r="H22" s="1033"/>
      <c r="I22" s="1033"/>
      <c r="J22" s="1033"/>
      <c r="K22" s="1033"/>
    </row>
    <row r="23" spans="2:11" x14ac:dyDescent="0.25">
      <c r="B23" s="1033"/>
      <c r="C23" s="1033"/>
      <c r="D23" s="1033"/>
      <c r="E23" s="1033"/>
      <c r="F23" s="1033"/>
      <c r="G23" s="1033"/>
      <c r="H23" s="1033"/>
      <c r="I23" s="1033"/>
      <c r="J23" s="1033"/>
      <c r="K23" s="1033"/>
    </row>
    <row r="24" spans="2:11" x14ac:dyDescent="0.25">
      <c r="B24" s="1033"/>
      <c r="C24" s="1033"/>
      <c r="D24" s="1033"/>
      <c r="E24" s="1033"/>
      <c r="F24" s="1033"/>
      <c r="G24" s="1033"/>
      <c r="H24" s="1033"/>
      <c r="I24" s="1033"/>
      <c r="J24" s="1033"/>
      <c r="K24" s="1033"/>
    </row>
    <row r="25" spans="2:11" x14ac:dyDescent="0.25">
      <c r="B25" s="1033"/>
      <c r="C25" s="1033"/>
      <c r="D25" s="1033"/>
      <c r="E25" s="1033"/>
      <c r="F25" s="1033"/>
      <c r="G25" s="1033"/>
      <c r="H25" s="1033"/>
      <c r="I25" s="1033"/>
      <c r="J25" s="1033"/>
      <c r="K25" s="1033"/>
    </row>
    <row r="26" spans="2:11" x14ac:dyDescent="0.25">
      <c r="B26" s="1033"/>
      <c r="C26" s="1033"/>
      <c r="D26" s="1033"/>
      <c r="E26" s="1033"/>
      <c r="F26" s="1033"/>
      <c r="G26" s="1033"/>
      <c r="H26" s="1033"/>
      <c r="I26" s="1033"/>
      <c r="J26" s="1033"/>
      <c r="K26" s="1033"/>
    </row>
    <row r="27" spans="2:11" x14ac:dyDescent="0.25">
      <c r="B27" s="1033"/>
      <c r="C27" s="1033"/>
      <c r="D27" s="1033"/>
      <c r="E27" s="1033"/>
      <c r="F27" s="1033"/>
      <c r="G27" s="1033"/>
      <c r="H27" s="1033"/>
      <c r="I27" s="1033"/>
      <c r="J27" s="1033"/>
      <c r="K27" s="1033"/>
    </row>
    <row r="28" spans="2:11" x14ac:dyDescent="0.25">
      <c r="B28" s="1033"/>
      <c r="C28" s="1033"/>
      <c r="D28" s="1033"/>
      <c r="E28" s="1033"/>
      <c r="F28" s="1033"/>
      <c r="G28" s="1033"/>
      <c r="H28" s="1033"/>
      <c r="I28" s="1033"/>
      <c r="J28" s="1033"/>
      <c r="K28" s="1033"/>
    </row>
    <row r="29" spans="2:11" x14ac:dyDescent="0.25">
      <c r="B29" s="1033"/>
      <c r="C29" s="1033"/>
      <c r="D29" s="1033"/>
      <c r="E29" s="1033"/>
      <c r="F29" s="1033"/>
      <c r="G29" s="1033"/>
      <c r="H29" s="1033"/>
      <c r="I29" s="1033"/>
      <c r="J29" s="1033"/>
      <c r="K29" s="1033"/>
    </row>
    <row r="30" spans="2:11" x14ac:dyDescent="0.25">
      <c r="B30" s="1033"/>
      <c r="C30" s="1033"/>
      <c r="D30" s="1033"/>
      <c r="E30" s="1033"/>
      <c r="F30" s="1033"/>
      <c r="G30" s="1033"/>
      <c r="H30" s="1033"/>
      <c r="I30" s="1033"/>
      <c r="J30" s="1033"/>
      <c r="K30" s="1033"/>
    </row>
    <row r="31" spans="2:11" x14ac:dyDescent="0.25">
      <c r="B31" s="1033"/>
      <c r="C31" s="1033"/>
      <c r="D31" s="1033"/>
      <c r="E31" s="1033"/>
      <c r="F31" s="1033"/>
      <c r="G31" s="1033"/>
      <c r="H31" s="1033"/>
      <c r="I31" s="1033"/>
      <c r="J31" s="1033"/>
      <c r="K31" s="1033"/>
    </row>
    <row r="32" spans="2:11" x14ac:dyDescent="0.25">
      <c r="B32" s="1033"/>
      <c r="C32" s="1033"/>
      <c r="D32" s="1033"/>
      <c r="E32" s="1033"/>
      <c r="F32" s="1033"/>
      <c r="G32" s="1033"/>
      <c r="H32" s="1033"/>
      <c r="I32" s="1033"/>
      <c r="J32" s="1033"/>
      <c r="K32" s="1033"/>
    </row>
    <row r="33" spans="2:11" x14ac:dyDescent="0.25">
      <c r="B33" s="1033"/>
      <c r="C33" s="1033"/>
      <c r="D33" s="1033"/>
      <c r="E33" s="1033"/>
      <c r="F33" s="1033"/>
      <c r="G33" s="1033"/>
      <c r="H33" s="1033"/>
      <c r="I33" s="1033"/>
      <c r="J33" s="1033"/>
      <c r="K33" s="1033"/>
    </row>
    <row r="34" spans="2:11" x14ac:dyDescent="0.25">
      <c r="B34" s="1033"/>
      <c r="C34" s="1033"/>
      <c r="D34" s="1033"/>
      <c r="E34" s="1033"/>
      <c r="F34" s="1033"/>
      <c r="G34" s="1033"/>
      <c r="H34" s="1033"/>
      <c r="I34" s="1033"/>
      <c r="J34" s="1033"/>
      <c r="K34" s="1033"/>
    </row>
    <row r="35" spans="2:11" x14ac:dyDescent="0.25">
      <c r="B35" s="1033"/>
      <c r="C35" s="1033"/>
      <c r="D35" s="1033"/>
      <c r="E35" s="1033"/>
      <c r="F35" s="1033"/>
      <c r="G35" s="1033"/>
      <c r="H35" s="1033"/>
      <c r="I35" s="1033"/>
      <c r="J35" s="1033"/>
      <c r="K35" s="1033"/>
    </row>
    <row r="36" spans="2:11" x14ac:dyDescent="0.25">
      <c r="B36" s="1033"/>
      <c r="C36" s="1033"/>
      <c r="D36" s="1033"/>
      <c r="E36" s="1033"/>
      <c r="F36" s="1033"/>
      <c r="G36" s="1033"/>
      <c r="H36" s="1033"/>
      <c r="I36" s="1033"/>
      <c r="J36" s="1033"/>
      <c r="K36" s="1033"/>
    </row>
    <row r="37" spans="2:11" x14ac:dyDescent="0.25">
      <c r="B37" s="1033"/>
      <c r="C37" s="1033"/>
      <c r="D37" s="1033"/>
      <c r="E37" s="1033"/>
      <c r="F37" s="1033"/>
      <c r="G37" s="1033"/>
      <c r="H37" s="1033"/>
      <c r="I37" s="1033"/>
      <c r="J37" s="1033"/>
      <c r="K37" s="1033"/>
    </row>
    <row r="38" spans="2:11" x14ac:dyDescent="0.25">
      <c r="B38" s="1033"/>
      <c r="C38" s="1033"/>
      <c r="D38" s="1033"/>
      <c r="E38" s="1033"/>
      <c r="F38" s="1033"/>
      <c r="G38" s="1033"/>
      <c r="H38" s="1033"/>
      <c r="I38" s="1033"/>
      <c r="J38" s="1033"/>
      <c r="K38" s="1033"/>
    </row>
    <row r="39" spans="2:11" x14ac:dyDescent="0.25">
      <c r="B39" s="1033"/>
      <c r="C39" s="1033"/>
      <c r="D39" s="1033"/>
      <c r="E39" s="1033"/>
      <c r="F39" s="1033"/>
      <c r="G39" s="1033"/>
      <c r="H39" s="1033"/>
      <c r="I39" s="1033"/>
      <c r="J39" s="1033"/>
      <c r="K39" s="1033"/>
    </row>
    <row r="40" spans="2:11" x14ac:dyDescent="0.25">
      <c r="B40" s="1033"/>
      <c r="C40" s="1033"/>
      <c r="D40" s="1033"/>
      <c r="E40" s="1033"/>
      <c r="F40" s="1033"/>
      <c r="G40" s="1033"/>
      <c r="H40" s="1033"/>
      <c r="I40" s="1033"/>
      <c r="J40" s="1033"/>
      <c r="K40" s="1033"/>
    </row>
    <row r="41" spans="2:11" x14ac:dyDescent="0.25">
      <c r="B41" s="1033"/>
      <c r="C41" s="1033"/>
      <c r="D41" s="1033"/>
      <c r="E41" s="1033"/>
      <c r="F41" s="1033"/>
      <c r="G41" s="1033"/>
      <c r="H41" s="1033"/>
      <c r="I41" s="1033"/>
      <c r="J41" s="1033"/>
      <c r="K41" s="1033"/>
    </row>
    <row r="42" spans="2:11" x14ac:dyDescent="0.25">
      <c r="B42" s="1033"/>
      <c r="C42" s="1033"/>
      <c r="D42" s="1033"/>
      <c r="E42" s="1033"/>
      <c r="F42" s="1033"/>
      <c r="G42" s="1033"/>
      <c r="H42" s="1033"/>
      <c r="I42" s="1033"/>
      <c r="J42" s="1033"/>
      <c r="K42" s="1033"/>
    </row>
    <row r="43" spans="2:11" x14ac:dyDescent="0.25">
      <c r="B43" s="1033"/>
      <c r="C43" s="1033"/>
      <c r="D43" s="1033"/>
      <c r="E43" s="1033"/>
      <c r="F43" s="1033"/>
      <c r="G43" s="1033"/>
      <c r="H43" s="1033"/>
      <c r="I43" s="1033"/>
      <c r="J43" s="1033"/>
      <c r="K43" s="1033"/>
    </row>
    <row r="44" spans="2:11" x14ac:dyDescent="0.25">
      <c r="B44" s="1033"/>
      <c r="C44" s="1033"/>
      <c r="D44" s="1033"/>
      <c r="E44" s="1033"/>
      <c r="F44" s="1033"/>
      <c r="G44" s="1033"/>
      <c r="H44" s="1033"/>
      <c r="I44" s="1033"/>
      <c r="J44" s="1033"/>
      <c r="K44" s="1033"/>
    </row>
    <row r="45" spans="2:11" x14ac:dyDescent="0.25">
      <c r="B45" s="1033"/>
      <c r="C45" s="1033"/>
      <c r="D45" s="1033"/>
      <c r="E45" s="1033"/>
      <c r="F45" s="1033"/>
      <c r="G45" s="1033"/>
      <c r="H45" s="1033"/>
      <c r="I45" s="1033"/>
      <c r="J45" s="1033"/>
      <c r="K45" s="1033"/>
    </row>
    <row r="46" spans="2:11" x14ac:dyDescent="0.25">
      <c r="B46" s="1033"/>
      <c r="C46" s="1033"/>
      <c r="D46" s="1033"/>
      <c r="E46" s="1033"/>
      <c r="F46" s="1033"/>
      <c r="G46" s="1033"/>
      <c r="H46" s="1033"/>
      <c r="I46" s="1033"/>
      <c r="J46" s="1033"/>
      <c r="K46" s="1033"/>
    </row>
    <row r="47" spans="2:11" x14ac:dyDescent="0.25">
      <c r="B47" s="1033"/>
      <c r="C47" s="1033"/>
      <c r="D47" s="1033"/>
      <c r="E47" s="1033"/>
      <c r="F47" s="1033"/>
      <c r="G47" s="1033"/>
      <c r="H47" s="1033"/>
      <c r="I47" s="1033"/>
      <c r="J47" s="1033"/>
      <c r="K47" s="1033"/>
    </row>
    <row r="48" spans="2:11" x14ac:dyDescent="0.25">
      <c r="B48" s="1033"/>
      <c r="C48" s="1033"/>
      <c r="D48" s="1033"/>
      <c r="E48" s="1033"/>
      <c r="F48" s="1033"/>
      <c r="G48" s="1033"/>
      <c r="H48" s="1033"/>
      <c r="I48" s="1033"/>
      <c r="J48" s="1033"/>
      <c r="K48" s="1033"/>
    </row>
    <row r="49" spans="2:11" x14ac:dyDescent="0.25">
      <c r="B49" s="1033"/>
      <c r="C49" s="1033"/>
      <c r="D49" s="1033"/>
      <c r="E49" s="1033"/>
      <c r="F49" s="1033"/>
      <c r="G49" s="1033"/>
      <c r="H49" s="1033"/>
      <c r="I49" s="1033"/>
      <c r="J49" s="1033"/>
      <c r="K49" s="1033"/>
    </row>
    <row r="50" spans="2:11" x14ac:dyDescent="0.25">
      <c r="B50" s="1033"/>
      <c r="C50" s="1033"/>
      <c r="D50" s="1033"/>
      <c r="E50" s="1033"/>
      <c r="F50" s="1033"/>
      <c r="G50" s="1033"/>
      <c r="H50" s="1033"/>
      <c r="I50" s="1033"/>
      <c r="J50" s="1033"/>
      <c r="K50" s="1033"/>
    </row>
    <row r="51" spans="2:11" x14ac:dyDescent="0.25">
      <c r="B51" s="1033"/>
      <c r="C51" s="1033"/>
      <c r="D51" s="1033"/>
      <c r="E51" s="1033"/>
      <c r="F51" s="1033"/>
      <c r="G51" s="1033"/>
      <c r="H51" s="1033"/>
      <c r="I51" s="1033"/>
      <c r="J51" s="1033"/>
      <c r="K51" s="1033"/>
    </row>
    <row r="52" spans="2:11" x14ac:dyDescent="0.25">
      <c r="B52" s="1033"/>
      <c r="C52" s="1033"/>
      <c r="D52" s="1033"/>
      <c r="E52" s="1033"/>
      <c r="F52" s="1033"/>
      <c r="G52" s="1033"/>
      <c r="H52" s="1033"/>
      <c r="I52" s="1033"/>
      <c r="J52" s="1033"/>
      <c r="K52" s="1033"/>
    </row>
    <row r="53" spans="2:11" x14ac:dyDescent="0.25">
      <c r="B53" s="1033"/>
      <c r="C53" s="1033"/>
      <c r="D53" s="1033"/>
      <c r="E53" s="1033"/>
      <c r="F53" s="1033"/>
      <c r="G53" s="1033"/>
      <c r="H53" s="1033"/>
      <c r="I53" s="1033"/>
      <c r="J53" s="1033"/>
      <c r="K53" s="1033"/>
    </row>
    <row r="54" spans="2:11" x14ac:dyDescent="0.25">
      <c r="B54" s="1033"/>
      <c r="C54" s="1033"/>
      <c r="D54" s="1033"/>
      <c r="E54" s="1033"/>
      <c r="F54" s="1033"/>
      <c r="G54" s="1033"/>
      <c r="H54" s="1033"/>
      <c r="I54" s="1033"/>
      <c r="J54" s="1033"/>
      <c r="K54" s="1033"/>
    </row>
    <row r="55" spans="2:11" x14ac:dyDescent="0.25">
      <c r="B55" s="1033"/>
      <c r="C55" s="1033"/>
      <c r="D55" s="1033"/>
      <c r="E55" s="1033"/>
      <c r="F55" s="1033"/>
      <c r="G55" s="1033"/>
      <c r="H55" s="1033"/>
      <c r="I55" s="1033"/>
      <c r="J55" s="1033"/>
      <c r="K55" s="1033"/>
    </row>
    <row r="56" spans="2:11" x14ac:dyDescent="0.25">
      <c r="B56" s="1033"/>
      <c r="C56" s="1033"/>
      <c r="D56" s="1033"/>
      <c r="E56" s="1033"/>
      <c r="F56" s="1033"/>
      <c r="G56" s="1033"/>
      <c r="H56" s="1033"/>
      <c r="I56" s="1033"/>
      <c r="J56" s="1033"/>
      <c r="K56" s="1033"/>
    </row>
    <row r="57" spans="2:11" x14ac:dyDescent="0.25">
      <c r="B57" s="1033"/>
      <c r="C57" s="1033"/>
      <c r="D57" s="1033"/>
      <c r="E57" s="1033"/>
      <c r="F57" s="1033"/>
      <c r="G57" s="1033"/>
      <c r="H57" s="1033"/>
      <c r="I57" s="1033"/>
      <c r="J57" s="1033"/>
      <c r="K57" s="1033"/>
    </row>
    <row r="58" spans="2:11" x14ac:dyDescent="0.25">
      <c r="B58" s="1033"/>
      <c r="C58" s="1033"/>
      <c r="D58" s="1033"/>
      <c r="E58" s="1033"/>
      <c r="F58" s="1033"/>
      <c r="G58" s="1033"/>
      <c r="H58" s="1033"/>
      <c r="I58" s="1033"/>
      <c r="J58" s="1033"/>
      <c r="K58" s="1033"/>
    </row>
    <row r="59" spans="2:11" x14ac:dyDescent="0.25">
      <c r="B59" s="1033"/>
      <c r="C59" s="1033"/>
      <c r="D59" s="1033"/>
      <c r="E59" s="1033"/>
      <c r="F59" s="1033"/>
      <c r="G59" s="1033"/>
      <c r="H59" s="1033"/>
      <c r="I59" s="1033"/>
      <c r="J59" s="1033"/>
      <c r="K59" s="1033"/>
    </row>
    <row r="60" spans="2:11" x14ac:dyDescent="0.25">
      <c r="B60" s="1033"/>
      <c r="C60" s="1033"/>
      <c r="D60" s="1033"/>
      <c r="E60" s="1033"/>
      <c r="F60" s="1033"/>
      <c r="G60" s="1033"/>
      <c r="H60" s="1033"/>
      <c r="I60" s="1033"/>
      <c r="J60" s="1033"/>
      <c r="K60" s="1033"/>
    </row>
    <row r="61" spans="2:11" x14ac:dyDescent="0.25">
      <c r="B61" s="1033"/>
      <c r="C61" s="1033"/>
      <c r="D61" s="1033"/>
      <c r="E61" s="1033"/>
      <c r="F61" s="1033"/>
      <c r="G61" s="1033"/>
      <c r="H61" s="1033"/>
      <c r="I61" s="1033"/>
      <c r="J61" s="1033"/>
      <c r="K61" s="1033"/>
    </row>
    <row r="62" spans="2:11" x14ac:dyDescent="0.25">
      <c r="B62" s="1033"/>
      <c r="C62" s="1033"/>
      <c r="D62" s="1033"/>
      <c r="E62" s="1033"/>
      <c r="F62" s="1033"/>
      <c r="G62" s="1033"/>
      <c r="H62" s="1033"/>
      <c r="I62" s="1033"/>
      <c r="J62" s="1033"/>
      <c r="K62" s="1033"/>
    </row>
    <row r="63" spans="2:11" x14ac:dyDescent="0.25">
      <c r="B63" s="1033"/>
      <c r="C63" s="1033"/>
      <c r="D63" s="1033"/>
      <c r="E63" s="1033"/>
      <c r="F63" s="1033"/>
      <c r="G63" s="1033"/>
      <c r="H63" s="1033"/>
      <c r="I63" s="1033"/>
      <c r="J63" s="1033"/>
      <c r="K63" s="1033"/>
    </row>
    <row r="64" spans="2:11" x14ac:dyDescent="0.25">
      <c r="B64" s="1033"/>
      <c r="C64" s="1033"/>
      <c r="D64" s="1033"/>
      <c r="E64" s="1033"/>
      <c r="F64" s="1033"/>
      <c r="G64" s="1033"/>
      <c r="H64" s="1033"/>
      <c r="I64" s="1033"/>
      <c r="J64" s="1033"/>
      <c r="K64" s="1033"/>
    </row>
    <row r="65" spans="2:11" x14ac:dyDescent="0.25">
      <c r="B65" s="1033"/>
      <c r="C65" s="1033"/>
      <c r="D65" s="1033"/>
      <c r="E65" s="1033"/>
      <c r="F65" s="1033"/>
      <c r="G65" s="1033"/>
      <c r="H65" s="1033"/>
      <c r="I65" s="1033"/>
      <c r="J65" s="1033"/>
      <c r="K65" s="1033"/>
    </row>
    <row r="66" spans="2:11" x14ac:dyDescent="0.25">
      <c r="B66" s="1033"/>
      <c r="C66" s="1033"/>
      <c r="D66" s="1033"/>
      <c r="E66" s="1033"/>
      <c r="F66" s="1033"/>
      <c r="G66" s="1033"/>
      <c r="H66" s="1033"/>
      <c r="I66" s="1033"/>
      <c r="J66" s="1033"/>
      <c r="K66" s="1033"/>
    </row>
    <row r="67" spans="2:11" x14ac:dyDescent="0.25">
      <c r="B67" s="1033"/>
      <c r="C67" s="1033"/>
      <c r="D67" s="1033"/>
      <c r="E67" s="1033"/>
      <c r="F67" s="1033"/>
      <c r="G67" s="1033"/>
      <c r="H67" s="1033"/>
      <c r="I67" s="1033"/>
      <c r="J67" s="1033"/>
      <c r="K67" s="1033"/>
    </row>
    <row r="68" spans="2:11" x14ac:dyDescent="0.25">
      <c r="B68" s="1033"/>
      <c r="C68" s="1033"/>
      <c r="D68" s="1033"/>
      <c r="E68" s="1033"/>
      <c r="F68" s="1033"/>
      <c r="G68" s="1033"/>
      <c r="H68" s="1033"/>
      <c r="I68" s="1033"/>
      <c r="J68" s="1033"/>
      <c r="K68" s="1033"/>
    </row>
    <row r="69" spans="2:11" x14ac:dyDescent="0.25">
      <c r="B69" s="1033"/>
      <c r="C69" s="1033"/>
      <c r="D69" s="1033"/>
      <c r="E69" s="1033"/>
      <c r="F69" s="1033"/>
      <c r="G69" s="1033"/>
      <c r="H69" s="1033"/>
      <c r="I69" s="1033"/>
      <c r="J69" s="1033"/>
      <c r="K69" s="1033"/>
    </row>
    <row r="70" spans="2:11" x14ac:dyDescent="0.25">
      <c r="B70" s="931"/>
      <c r="C70" s="931"/>
      <c r="D70" s="931"/>
      <c r="E70" s="931"/>
      <c r="F70" s="931"/>
      <c r="G70" s="931"/>
      <c r="H70" s="931"/>
      <c r="I70" s="931"/>
      <c r="J70" s="931"/>
      <c r="K70" s="931"/>
    </row>
    <row r="71" spans="2:11" x14ac:dyDescent="0.25">
      <c r="B71" s="1141" t="s">
        <v>3735</v>
      </c>
      <c r="C71" s="1142"/>
      <c r="D71" s="1142"/>
      <c r="E71" s="1142"/>
      <c r="F71" s="1142"/>
      <c r="G71" s="1142"/>
      <c r="H71" s="1142"/>
      <c r="I71" s="1142"/>
      <c r="J71" s="1142"/>
      <c r="K71" s="1142"/>
    </row>
    <row r="72" spans="2:11" x14ac:dyDescent="0.25">
      <c r="B72" s="1142"/>
      <c r="C72" s="1142"/>
      <c r="D72" s="1142"/>
      <c r="E72" s="1142"/>
      <c r="F72" s="1142"/>
      <c r="G72" s="1142"/>
      <c r="H72" s="1142"/>
      <c r="I72" s="1142"/>
      <c r="J72" s="1142"/>
      <c r="K72" s="1142"/>
    </row>
    <row r="73" spans="2:11" x14ac:dyDescent="0.25">
      <c r="B73" s="1142"/>
      <c r="C73" s="1142"/>
      <c r="D73" s="1142"/>
      <c r="E73" s="1142"/>
      <c r="F73" s="1142"/>
      <c r="G73" s="1142"/>
      <c r="H73" s="1142"/>
      <c r="I73" s="1142"/>
      <c r="J73" s="1142"/>
      <c r="K73" s="1142"/>
    </row>
    <row r="74" spans="2:11" x14ac:dyDescent="0.25">
      <c r="B74" s="1142"/>
      <c r="C74" s="1142"/>
      <c r="D74" s="1142"/>
      <c r="E74" s="1142"/>
      <c r="F74" s="1142"/>
      <c r="G74" s="1142"/>
      <c r="H74" s="1142"/>
      <c r="I74" s="1142"/>
      <c r="J74" s="1142"/>
      <c r="K74" s="1142"/>
    </row>
    <row r="75" spans="2:11" x14ac:dyDescent="0.25">
      <c r="B75" s="1142"/>
      <c r="C75" s="1142"/>
      <c r="D75" s="1142"/>
      <c r="E75" s="1142"/>
      <c r="F75" s="1142"/>
      <c r="G75" s="1142"/>
      <c r="H75" s="1142"/>
      <c r="I75" s="1142"/>
      <c r="J75" s="1142"/>
      <c r="K75" s="1142"/>
    </row>
    <row r="76" spans="2:11" x14ac:dyDescent="0.25">
      <c r="B76" s="1142"/>
      <c r="C76" s="1142"/>
      <c r="D76" s="1142"/>
      <c r="E76" s="1142"/>
      <c r="F76" s="1142"/>
      <c r="G76" s="1142"/>
      <c r="H76" s="1142"/>
      <c r="I76" s="1142"/>
      <c r="J76" s="1142"/>
      <c r="K76" s="1142"/>
    </row>
    <row r="77" spans="2:11" x14ac:dyDescent="0.25">
      <c r="B77" s="1142"/>
      <c r="C77" s="1142"/>
      <c r="D77" s="1142"/>
      <c r="E77" s="1142"/>
      <c r="F77" s="1142"/>
      <c r="G77" s="1142"/>
      <c r="H77" s="1142"/>
      <c r="I77" s="1142"/>
      <c r="J77" s="1142"/>
      <c r="K77" s="1142"/>
    </row>
    <row r="78" spans="2:11" x14ac:dyDescent="0.25">
      <c r="B78" s="1142"/>
      <c r="C78" s="1142"/>
      <c r="D78" s="1142"/>
      <c r="E78" s="1142"/>
      <c r="F78" s="1142"/>
      <c r="G78" s="1142"/>
      <c r="H78" s="1142"/>
      <c r="I78" s="1142"/>
      <c r="J78" s="1142"/>
      <c r="K78" s="1142"/>
    </row>
    <row r="79" spans="2:11" x14ac:dyDescent="0.25">
      <c r="B79" s="1142"/>
      <c r="C79" s="1142"/>
      <c r="D79" s="1142"/>
      <c r="E79" s="1142"/>
      <c r="F79" s="1142"/>
      <c r="G79" s="1142"/>
      <c r="H79" s="1142"/>
      <c r="I79" s="1142"/>
      <c r="J79" s="1142"/>
      <c r="K79" s="1142"/>
    </row>
    <row r="80" spans="2:11" x14ac:dyDescent="0.25">
      <c r="B80" s="1142"/>
      <c r="C80" s="1142"/>
      <c r="D80" s="1142"/>
      <c r="E80" s="1142"/>
      <c r="F80" s="1142"/>
      <c r="G80" s="1142"/>
      <c r="H80" s="1142"/>
      <c r="I80" s="1142"/>
      <c r="J80" s="1142"/>
      <c r="K80" s="1142"/>
    </row>
    <row r="81" spans="2:12" x14ac:dyDescent="0.25">
      <c r="B81" s="1142"/>
      <c r="C81" s="1142"/>
      <c r="D81" s="1142"/>
      <c r="E81" s="1142"/>
      <c r="F81" s="1142"/>
      <c r="G81" s="1142"/>
      <c r="H81" s="1142"/>
      <c r="I81" s="1142"/>
      <c r="J81" s="1142"/>
      <c r="K81" s="1142"/>
    </row>
    <row r="82" spans="2:12" x14ac:dyDescent="0.25">
      <c r="B82" s="1142"/>
      <c r="C82" s="1142"/>
      <c r="D82" s="1142"/>
      <c r="E82" s="1142"/>
      <c r="F82" s="1142"/>
      <c r="G82" s="1142"/>
      <c r="H82" s="1142"/>
      <c r="I82" s="1142"/>
      <c r="J82" s="1142"/>
      <c r="K82" s="1142"/>
    </row>
    <row r="83" spans="2:12" x14ac:dyDescent="0.25">
      <c r="B83" s="1142"/>
      <c r="C83" s="1142"/>
      <c r="D83" s="1142"/>
      <c r="E83" s="1142"/>
      <c r="F83" s="1142"/>
      <c r="G83" s="1142"/>
      <c r="H83" s="1142"/>
      <c r="I83" s="1142"/>
      <c r="J83" s="1142"/>
      <c r="K83" s="1142"/>
    </row>
    <row r="84" spans="2:12" x14ac:dyDescent="0.25">
      <c r="B84" s="1142"/>
      <c r="C84" s="1142"/>
      <c r="D84" s="1142"/>
      <c r="E84" s="1142"/>
      <c r="F84" s="1142"/>
      <c r="G84" s="1142"/>
      <c r="H84" s="1142"/>
      <c r="I84" s="1142"/>
      <c r="J84" s="1142"/>
      <c r="K84" s="1142"/>
    </row>
    <row r="85" spans="2:12" x14ac:dyDescent="0.25">
      <c r="B85" s="1142"/>
      <c r="C85" s="1142"/>
      <c r="D85" s="1142"/>
      <c r="E85" s="1142"/>
      <c r="F85" s="1142"/>
      <c r="G85" s="1142"/>
      <c r="H85" s="1142"/>
      <c r="I85" s="1142"/>
      <c r="J85" s="1142"/>
      <c r="K85" s="1142"/>
    </row>
    <row r="86" spans="2:12" x14ac:dyDescent="0.25">
      <c r="B86" s="1142"/>
      <c r="C86" s="1142"/>
      <c r="D86" s="1142"/>
      <c r="E86" s="1142"/>
      <c r="F86" s="1142"/>
      <c r="G86" s="1142"/>
      <c r="H86" s="1142"/>
      <c r="I86" s="1142"/>
      <c r="J86" s="1142"/>
      <c r="K86" s="1142"/>
    </row>
    <row r="87" spans="2:12" x14ac:dyDescent="0.25">
      <c r="B87" s="1142"/>
      <c r="C87" s="1142"/>
      <c r="D87" s="1142"/>
      <c r="E87" s="1142"/>
      <c r="F87" s="1142"/>
      <c r="G87" s="1142"/>
      <c r="H87" s="1142"/>
      <c r="I87" s="1142"/>
      <c r="J87" s="1142"/>
      <c r="K87" s="1142"/>
    </row>
    <row r="88" spans="2:12" x14ac:dyDescent="0.25">
      <c r="B88" s="1142"/>
      <c r="C88" s="1142"/>
      <c r="D88" s="1142"/>
      <c r="E88" s="1142"/>
      <c r="F88" s="1142"/>
      <c r="G88" s="1142"/>
      <c r="H88" s="1142"/>
      <c r="I88" s="1142"/>
      <c r="J88" s="1142"/>
      <c r="K88" s="1142"/>
    </row>
    <row r="90" spans="2:12" x14ac:dyDescent="0.25">
      <c r="B90" s="937" t="s">
        <v>3835</v>
      </c>
      <c r="C90" s="937"/>
      <c r="D90" s="937"/>
      <c r="E90" s="937"/>
      <c r="F90" s="937"/>
      <c r="G90" s="937"/>
      <c r="H90" s="937"/>
      <c r="I90" s="937"/>
      <c r="J90" s="937"/>
      <c r="K90" s="937"/>
      <c r="L90" s="936"/>
    </row>
  </sheetData>
  <mergeCells count="6">
    <mergeCell ref="B90:K90"/>
    <mergeCell ref="B1:C5"/>
    <mergeCell ref="D1:K5"/>
    <mergeCell ref="B7:K8"/>
    <mergeCell ref="B10:K69"/>
    <mergeCell ref="B71:K88"/>
  </mergeCells>
  <printOptions horizontalCentered="1"/>
  <pageMargins left="0" right="0" top="0" bottom="0" header="0" footer="0"/>
  <pageSetup scale="57" orientation="portrait" horizontalDpi="1200" verticalDpi="1200" r:id="rId1"/>
  <colBreaks count="1" manualBreakCount="1">
    <brk id="11"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58386-A1BF-4A17-9844-4548AA9D03C9}">
  <sheetPr>
    <pageSetUpPr fitToPage="1"/>
  </sheetPr>
  <dimension ref="B1:L90"/>
  <sheetViews>
    <sheetView zoomScaleNormal="100" workbookViewId="0"/>
  </sheetViews>
  <sheetFormatPr defaultColWidth="15.77734375" defaultRowHeight="15" x14ac:dyDescent="0.25"/>
  <cols>
    <col min="1" max="1" width="2" style="720" customWidth="1"/>
    <col min="2" max="2" width="25.77734375" style="720" customWidth="1"/>
    <col min="3" max="16384" width="15.77734375" style="720"/>
  </cols>
  <sheetData>
    <row r="1" spans="2:10" x14ac:dyDescent="0.25">
      <c r="B1" s="938" t="s">
        <v>378</v>
      </c>
      <c r="C1" s="938"/>
      <c r="D1" s="939" t="s">
        <v>3738</v>
      </c>
      <c r="E1" s="939"/>
      <c r="F1" s="939"/>
      <c r="G1" s="939"/>
      <c r="H1" s="939"/>
      <c r="I1" s="939"/>
      <c r="J1" s="939"/>
    </row>
    <row r="2" spans="2:10" x14ac:dyDescent="0.25">
      <c r="B2" s="938"/>
      <c r="C2" s="938"/>
      <c r="D2" s="939"/>
      <c r="E2" s="939"/>
      <c r="F2" s="939"/>
      <c r="G2" s="939"/>
      <c r="H2" s="939"/>
      <c r="I2" s="939"/>
      <c r="J2" s="939"/>
    </row>
    <row r="3" spans="2:10" x14ac:dyDescent="0.25">
      <c r="B3" s="938"/>
      <c r="C3" s="938"/>
      <c r="D3" s="939"/>
      <c r="E3" s="939"/>
      <c r="F3" s="939"/>
      <c r="G3" s="939"/>
      <c r="H3" s="939"/>
      <c r="I3" s="939"/>
      <c r="J3" s="939"/>
    </row>
    <row r="4" spans="2:10" x14ac:dyDescent="0.25">
      <c r="B4" s="938"/>
      <c r="C4" s="938"/>
      <c r="D4" s="939"/>
      <c r="E4" s="939"/>
      <c r="F4" s="939"/>
      <c r="G4" s="939"/>
      <c r="H4" s="939"/>
      <c r="I4" s="939"/>
      <c r="J4" s="939"/>
    </row>
    <row r="5" spans="2:10" x14ac:dyDescent="0.25">
      <c r="B5" s="938"/>
      <c r="C5" s="938"/>
      <c r="D5" s="939"/>
      <c r="E5" s="939"/>
      <c r="F5" s="939"/>
      <c r="G5" s="939"/>
      <c r="H5" s="939"/>
      <c r="I5" s="939"/>
      <c r="J5" s="939"/>
    </row>
    <row r="7" spans="2:10" ht="15" customHeight="1" x14ac:dyDescent="0.25">
      <c r="B7" s="1076" t="s">
        <v>3739</v>
      </c>
      <c r="C7" s="1125" t="s">
        <v>3740</v>
      </c>
      <c r="D7" s="1125"/>
      <c r="E7" s="1125" t="s">
        <v>3465</v>
      </c>
      <c r="F7" s="1125"/>
      <c r="G7" s="1125" t="s">
        <v>377</v>
      </c>
      <c r="H7" s="1125"/>
      <c r="I7" s="1125" t="s">
        <v>3741</v>
      </c>
      <c r="J7" s="1125"/>
    </row>
    <row r="8" spans="2:10" ht="15" customHeight="1" x14ac:dyDescent="0.25">
      <c r="B8" s="1076"/>
      <c r="C8" s="1125"/>
      <c r="D8" s="1125"/>
      <c r="E8" s="1125"/>
      <c r="F8" s="1125"/>
      <c r="G8" s="1125"/>
      <c r="H8" s="1125"/>
      <c r="I8" s="1125"/>
      <c r="J8" s="1125"/>
    </row>
    <row r="10" spans="2:10" x14ac:dyDescent="0.25">
      <c r="B10" s="795" t="str">
        <f>CALCULATION!B74</f>
        <v>Morgan Stanley</v>
      </c>
      <c r="C10" s="1159" t="str">
        <f>CALCULATION!C74</f>
        <v>Hold</v>
      </c>
      <c r="D10" s="1160"/>
      <c r="E10" s="1161">
        <f>CALCULATION!D74</f>
        <v>245</v>
      </c>
      <c r="F10" s="1162"/>
      <c r="G10" s="786"/>
      <c r="H10" s="923">
        <f>E10/COVER!$E$8-1</f>
        <v>-5.2781161185546654E-3</v>
      </c>
      <c r="I10" s="1163" t="str">
        <f>CALCULATION!F103</f>
        <v>Europe Weakness</v>
      </c>
      <c r="J10" s="1162"/>
    </row>
    <row r="11" spans="2:10" x14ac:dyDescent="0.25">
      <c r="B11" s="796" t="str">
        <f>CALCULATION!B75</f>
        <v>JP Morgan</v>
      </c>
      <c r="C11" s="1151" t="s">
        <v>3757</v>
      </c>
      <c r="D11" s="1152"/>
      <c r="E11" s="1147">
        <f>CALCULATION!D75</f>
        <v>275</v>
      </c>
      <c r="F11" s="1144"/>
      <c r="H11" s="880">
        <f>E11/COVER!$E$8-1</f>
        <v>0.11652456354039775</v>
      </c>
      <c r="I11" s="1143" t="str">
        <f>CALCULATION!F104</f>
        <v>AI Growth</v>
      </c>
      <c r="J11" s="1144"/>
    </row>
    <row r="12" spans="2:10" x14ac:dyDescent="0.25">
      <c r="B12" s="796" t="str">
        <f>CALCULATION!B76</f>
        <v>Goldman Sachs</v>
      </c>
      <c r="C12" s="1155" t="str">
        <f>CALCULATION!C76</f>
        <v>Neutral</v>
      </c>
      <c r="D12" s="1156"/>
      <c r="E12" s="1147">
        <f>CALCULATION!D76</f>
        <v>240</v>
      </c>
      <c r="F12" s="1144"/>
      <c r="H12" s="880">
        <f>E12/COVER!$E$8-1</f>
        <v>-2.5578562728380105E-2</v>
      </c>
      <c r="I12" s="1143" t="str">
        <f>CALCULATION!F105</f>
        <v>Slow Recovery</v>
      </c>
      <c r="J12" s="1144"/>
    </row>
    <row r="13" spans="2:10" x14ac:dyDescent="0.25">
      <c r="B13" s="796" t="str">
        <f>CALCULATION!B77</f>
        <v>Jefferies</v>
      </c>
      <c r="C13" s="1157" t="s">
        <v>3825</v>
      </c>
      <c r="D13" s="1158"/>
      <c r="E13" s="1147">
        <f>CALCULATION!D77</f>
        <v>205</v>
      </c>
      <c r="F13" s="1144"/>
      <c r="H13" s="880">
        <f>E13/COVER!$E$8-1</f>
        <v>-0.16768168899715796</v>
      </c>
      <c r="I13" s="1143" t="str">
        <f>CALCULATION!F106</f>
        <v>Spending Weakness</v>
      </c>
      <c r="J13" s="1144"/>
    </row>
    <row r="14" spans="2:10" x14ac:dyDescent="0.25">
      <c r="B14" s="796" t="str">
        <f>CALCULATION!B78</f>
        <v>Nomura</v>
      </c>
      <c r="C14" s="1151" t="s">
        <v>3757</v>
      </c>
      <c r="D14" s="1152"/>
      <c r="E14" s="1147">
        <f>CALCULATION!D78</f>
        <v>285</v>
      </c>
      <c r="F14" s="1144"/>
      <c r="H14" s="880">
        <f>E14/COVER!$E$8-1</f>
        <v>0.15712545676004863</v>
      </c>
      <c r="I14" s="1143" t="str">
        <f>CALCULATION!F107</f>
        <v>Deal Momentum</v>
      </c>
      <c r="J14" s="1144"/>
    </row>
    <row r="15" spans="2:10" x14ac:dyDescent="0.25">
      <c r="B15" s="796" t="str">
        <f>CALCULATION!B79</f>
        <v>CLSA</v>
      </c>
      <c r="C15" s="1151" t="s">
        <v>3757</v>
      </c>
      <c r="D15" s="1152"/>
      <c r="E15" s="1147">
        <f>CALCULATION!D79</f>
        <v>290</v>
      </c>
      <c r="F15" s="1144"/>
      <c r="H15" s="880">
        <f>E15/COVER!$E$8-1</f>
        <v>0.17742590336987418</v>
      </c>
      <c r="I15" s="1143" t="str">
        <f>CALCULATION!F108</f>
        <v>Margin Stability</v>
      </c>
      <c r="J15" s="1144"/>
    </row>
    <row r="16" spans="2:10" x14ac:dyDescent="0.25">
      <c r="B16" s="796" t="str">
        <f>CALCULATION!B80</f>
        <v>Citi Research</v>
      </c>
      <c r="C16" s="1155" t="str">
        <f>CALCULATION!C80</f>
        <v>Neutral</v>
      </c>
      <c r="D16" s="1156"/>
      <c r="E16" s="1147">
        <f>CALCULATION!D80</f>
        <v>235</v>
      </c>
      <c r="F16" s="1144"/>
      <c r="H16" s="880">
        <f>E16/COVER!$E$8-1</f>
        <v>-4.5879009338205434E-2</v>
      </c>
      <c r="I16" s="1143" t="str">
        <f>CALCULATION!F109</f>
        <v>Europe Pressure</v>
      </c>
      <c r="J16" s="1144"/>
    </row>
    <row r="17" spans="2:10" x14ac:dyDescent="0.25">
      <c r="B17" s="796" t="str">
        <f>CALCULATION!B81</f>
        <v>HSBC</v>
      </c>
      <c r="C17" s="1151" t="s">
        <v>3757</v>
      </c>
      <c r="D17" s="1152"/>
      <c r="E17" s="1147">
        <f>CALCULATION!D81</f>
        <v>280</v>
      </c>
      <c r="F17" s="1144"/>
      <c r="H17" s="880">
        <f>E17/COVER!$E$8-1</f>
        <v>0.1368250101502233</v>
      </c>
      <c r="I17" s="1143" t="str">
        <f>CALCULATION!F110</f>
        <v>BFSI Strength</v>
      </c>
      <c r="J17" s="1144"/>
    </row>
    <row r="18" spans="2:10" x14ac:dyDescent="0.25">
      <c r="B18" s="796" t="str">
        <f>CALCULATION!B82</f>
        <v>UBS</v>
      </c>
      <c r="C18" s="1155" t="str">
        <f>CALCULATION!C82</f>
        <v>Neutral</v>
      </c>
      <c r="D18" s="1156"/>
      <c r="E18" s="1147">
        <f>CALCULATION!D82</f>
        <v>238</v>
      </c>
      <c r="F18" s="1144"/>
      <c r="H18" s="880">
        <f>E18/COVER!$E$8-1</f>
        <v>-3.3698741372310215E-2</v>
      </c>
      <c r="I18" s="1143" t="str">
        <f>CALCULATION!F111</f>
        <v>Weak Visibility</v>
      </c>
      <c r="J18" s="1144"/>
    </row>
    <row r="19" spans="2:10" x14ac:dyDescent="0.25">
      <c r="B19" s="796" t="str">
        <f>CALCULATION!B83</f>
        <v>BNP Paribas</v>
      </c>
      <c r="C19" s="1149" t="str">
        <f>CALCULATION!C83</f>
        <v>Hold</v>
      </c>
      <c r="D19" s="1150"/>
      <c r="E19" s="1147">
        <f>CALCULATION!D83</f>
        <v>230</v>
      </c>
      <c r="F19" s="1144"/>
      <c r="H19" s="880">
        <f>E19/COVER!$E$8-1</f>
        <v>-6.6179455948030874E-2</v>
      </c>
      <c r="I19" s="1143" t="str">
        <f>CALCULATION!F112</f>
        <v>Slow Conversion</v>
      </c>
      <c r="J19" s="1144"/>
    </row>
    <row r="20" spans="2:10" x14ac:dyDescent="0.25">
      <c r="B20" s="796" t="str">
        <f>CALCULATION!B84</f>
        <v>Motilal Oswal</v>
      </c>
      <c r="C20" s="1151" t="s">
        <v>3757</v>
      </c>
      <c r="D20" s="1152"/>
      <c r="E20" s="1147">
        <f>CALCULATION!D84</f>
        <v>295</v>
      </c>
      <c r="F20" s="1144"/>
      <c r="H20" s="880">
        <f>E20/COVER!$E$8-1</f>
        <v>0.19772634997969951</v>
      </c>
      <c r="I20" s="1143" t="str">
        <f>CALCULATION!F113</f>
        <v>Pipeline Strength</v>
      </c>
      <c r="J20" s="1144"/>
    </row>
    <row r="21" spans="2:10" x14ac:dyDescent="0.25">
      <c r="B21" s="796" t="str">
        <f>CALCULATION!B85</f>
        <v>ICICI Securities</v>
      </c>
      <c r="C21" s="1151" t="s">
        <v>3757</v>
      </c>
      <c r="D21" s="1152"/>
      <c r="E21" s="1147">
        <f>CALCULATION!D85</f>
        <v>270</v>
      </c>
      <c r="F21" s="1144"/>
      <c r="H21" s="880">
        <f>E21/COVER!$E$8-1</f>
        <v>9.6224116930572423E-2</v>
      </c>
      <c r="I21" s="1143" t="str">
        <f>CALCULATION!F114</f>
        <v>AI Execution</v>
      </c>
      <c r="J21" s="1144"/>
    </row>
    <row r="22" spans="2:10" x14ac:dyDescent="0.25">
      <c r="B22" s="796" t="str">
        <f>CALCULATION!B86</f>
        <v>Kotak Institutional</v>
      </c>
      <c r="C22" s="1157" t="s">
        <v>3825</v>
      </c>
      <c r="D22" s="1158"/>
      <c r="E22" s="1147">
        <f>CALCULATION!D86</f>
        <v>210</v>
      </c>
      <c r="F22" s="1144"/>
      <c r="H22" s="880">
        <f>E22/COVER!$E$8-1</f>
        <v>-0.14738124238733252</v>
      </c>
      <c r="I22" s="1143" t="str">
        <f>CALCULATION!F115</f>
        <v>Europe Drag</v>
      </c>
      <c r="J22" s="1144"/>
    </row>
    <row r="23" spans="2:10" x14ac:dyDescent="0.25">
      <c r="B23" s="796" t="str">
        <f>CALCULATION!B87</f>
        <v>Axis Capital</v>
      </c>
      <c r="C23" s="1151" t="s">
        <v>3757</v>
      </c>
      <c r="D23" s="1152"/>
      <c r="E23" s="1147">
        <f>CALCULATION!D87</f>
        <v>288</v>
      </c>
      <c r="F23" s="1144"/>
      <c r="H23" s="880">
        <f>E23/COVER!$E$8-1</f>
        <v>0.16930572472594396</v>
      </c>
      <c r="I23" s="1143" t="str">
        <f>CALCULATION!F116</f>
        <v>Strong TCV</v>
      </c>
      <c r="J23" s="1144"/>
    </row>
    <row r="24" spans="2:10" x14ac:dyDescent="0.25">
      <c r="B24" s="796" t="str">
        <f>CALCULATION!B88</f>
        <v>Nuvama</v>
      </c>
      <c r="C24" s="1149" t="str">
        <f>CALCULATION!C88</f>
        <v>Hold</v>
      </c>
      <c r="D24" s="1150"/>
      <c r="E24" s="1147">
        <f>CALCULATION!D88</f>
        <v>232</v>
      </c>
      <c r="F24" s="1144"/>
      <c r="H24" s="880">
        <f>E24/COVER!$E$8-1</f>
        <v>-5.8059277304100765E-2</v>
      </c>
      <c r="I24" s="1143" t="str">
        <f>CALCULATION!F117</f>
        <v>Transition Year</v>
      </c>
      <c r="J24" s="1144"/>
    </row>
    <row r="25" spans="2:10" x14ac:dyDescent="0.25">
      <c r="B25" s="796" t="str">
        <f>CALCULATION!B89</f>
        <v>HDFC Securities</v>
      </c>
      <c r="C25" s="1151" t="s">
        <v>3757</v>
      </c>
      <c r="D25" s="1152"/>
      <c r="E25" s="1147">
        <f>CALCULATION!D89</f>
        <v>265</v>
      </c>
      <c r="F25" s="1144"/>
      <c r="H25" s="880">
        <f>E25/COVER!$E$8-1</f>
        <v>7.5923670320747094E-2</v>
      </c>
      <c r="I25" s="1143" t="str">
        <f>CALCULATION!F118</f>
        <v>Cost Control</v>
      </c>
      <c r="J25" s="1144"/>
    </row>
    <row r="26" spans="2:10" x14ac:dyDescent="0.25">
      <c r="B26" s="796" t="str">
        <f>CALCULATION!B90</f>
        <v>Emkay Global</v>
      </c>
      <c r="C26" s="1151" t="s">
        <v>3757</v>
      </c>
      <c r="D26" s="1152"/>
      <c r="E26" s="1147">
        <f>CALCULATION!D90</f>
        <v>278</v>
      </c>
      <c r="F26" s="1144"/>
      <c r="H26" s="880">
        <f>E26/COVER!$E$8-1</f>
        <v>0.12870483150629308</v>
      </c>
      <c r="I26" s="1143" t="str">
        <f>CALCULATION!F119</f>
        <v>Deal Wins</v>
      </c>
      <c r="J26" s="1144"/>
    </row>
    <row r="27" spans="2:10" x14ac:dyDescent="0.25">
      <c r="B27" s="796" t="str">
        <f>CALCULATION!B91</f>
        <v>Phillip Capital</v>
      </c>
      <c r="C27" s="1155" t="str">
        <f>CALCULATION!C91</f>
        <v>Neutral</v>
      </c>
      <c r="D27" s="1156"/>
      <c r="E27" s="1147">
        <f>CALCULATION!D91</f>
        <v>225</v>
      </c>
      <c r="F27" s="1144"/>
      <c r="H27" s="880">
        <f>E27/COVER!$E$8-1</f>
        <v>-8.6479902557856314E-2</v>
      </c>
      <c r="I27" s="1143" t="str">
        <f>CALCULATION!F120</f>
        <v>Slow Recovery</v>
      </c>
      <c r="J27" s="1144"/>
    </row>
    <row r="28" spans="2:10" x14ac:dyDescent="0.25">
      <c r="B28" s="796" t="str">
        <f>CALCULATION!B92</f>
        <v>Mirae Asset</v>
      </c>
      <c r="C28" s="1151" t="s">
        <v>3757</v>
      </c>
      <c r="D28" s="1152"/>
      <c r="E28" s="1147">
        <f>CALCULATION!D92</f>
        <v>300</v>
      </c>
      <c r="F28" s="1144"/>
      <c r="H28" s="880">
        <f>E28/COVER!$E$8-1</f>
        <v>0.21802679658952484</v>
      </c>
      <c r="I28" s="1143" t="str">
        <f>CALCULATION!F121</f>
        <v>Digital Growth</v>
      </c>
      <c r="J28" s="1144"/>
    </row>
    <row r="29" spans="2:10" x14ac:dyDescent="0.25">
      <c r="B29" s="796" t="str">
        <f>CALCULATION!B93</f>
        <v>Antique Stock B.</v>
      </c>
      <c r="C29" s="1149" t="str">
        <f>CALCULATION!C93</f>
        <v>Hold</v>
      </c>
      <c r="D29" s="1150"/>
      <c r="E29" s="1147">
        <f>CALCULATION!D93</f>
        <v>240</v>
      </c>
      <c r="F29" s="1144"/>
      <c r="H29" s="880">
        <f>E29/COVER!$E$8-1</f>
        <v>-2.5578562728380105E-2</v>
      </c>
      <c r="I29" s="1143" t="str">
        <f>CALCULATION!F122</f>
        <v>Europe Recovery</v>
      </c>
      <c r="J29" s="1144"/>
    </row>
    <row r="30" spans="2:10" x14ac:dyDescent="0.25">
      <c r="B30" s="796" t="str">
        <f>CALCULATION!B94</f>
        <v>Sharekhan</v>
      </c>
      <c r="C30" s="1151" t="s">
        <v>3757</v>
      </c>
      <c r="D30" s="1152"/>
      <c r="E30" s="1147">
        <f>CALCULATION!D94</f>
        <v>282</v>
      </c>
      <c r="F30" s="1144"/>
      <c r="H30" s="880">
        <f>E30/COVER!$E$8-1</f>
        <v>0.14494518879415352</v>
      </c>
      <c r="I30" s="1143" t="str">
        <f>CALCULATION!F123</f>
        <v>Margin Support</v>
      </c>
      <c r="J30" s="1144"/>
    </row>
    <row r="31" spans="2:10" x14ac:dyDescent="0.25">
      <c r="B31" s="796" t="str">
        <f>CALCULATION!B95</f>
        <v>Anand Rathi</v>
      </c>
      <c r="C31" s="1151" t="s">
        <v>3757</v>
      </c>
      <c r="D31" s="1152"/>
      <c r="E31" s="1147">
        <f>CALCULATION!D95</f>
        <v>272</v>
      </c>
      <c r="F31" s="1144"/>
      <c r="H31" s="880">
        <f>E31/COVER!$E$8-1</f>
        <v>0.10434429557450264</v>
      </c>
      <c r="I31" s="1143" t="str">
        <f>CALCULATION!F124</f>
        <v>Consulting Growth</v>
      </c>
      <c r="J31" s="1144"/>
    </row>
    <row r="32" spans="2:10" x14ac:dyDescent="0.25">
      <c r="B32" s="796" t="str">
        <f>CALCULATION!B96</f>
        <v>Prabhudas Lilla.</v>
      </c>
      <c r="C32" s="1149" t="str">
        <f>CALCULATION!C96</f>
        <v>Hold</v>
      </c>
      <c r="D32" s="1150"/>
      <c r="E32" s="1147">
        <f>CALCULATION!D96</f>
        <v>236</v>
      </c>
      <c r="F32" s="1144"/>
      <c r="H32" s="880">
        <f>E32/COVER!$E$8-1</f>
        <v>-4.1818920016240435E-2</v>
      </c>
      <c r="I32" s="1143" t="str">
        <f>CALCULATION!F125</f>
        <v>Weak Guidance</v>
      </c>
      <c r="J32" s="1144"/>
    </row>
    <row r="33" spans="2:10" x14ac:dyDescent="0.25">
      <c r="B33" s="796" t="str">
        <f>CALCULATION!B97</f>
        <v>Yes Securities</v>
      </c>
      <c r="C33" s="1151" t="s">
        <v>3757</v>
      </c>
      <c r="D33" s="1152"/>
      <c r="E33" s="1147">
        <f>CALCULATION!D97</f>
        <v>286</v>
      </c>
      <c r="F33" s="1144"/>
      <c r="H33" s="880">
        <f>E33/COVER!$E$8-1</f>
        <v>0.16118554608201374</v>
      </c>
      <c r="I33" s="1143" t="str">
        <f>CALCULATION!F126</f>
        <v>H2 Recovery</v>
      </c>
      <c r="J33" s="1144"/>
    </row>
    <row r="34" spans="2:10" x14ac:dyDescent="0.25">
      <c r="B34" s="797" t="str">
        <f>CALCULATION!B98</f>
        <v>Centrum Broking</v>
      </c>
      <c r="C34" s="1153" t="str">
        <f>CALCULATION!C98</f>
        <v>Hold</v>
      </c>
      <c r="D34" s="1154"/>
      <c r="E34" s="1148">
        <f>CALCULATION!D98</f>
        <v>228</v>
      </c>
      <c r="F34" s="1146"/>
      <c r="G34" s="787"/>
      <c r="H34" s="924">
        <f>E34/COVER!$E$8-1</f>
        <v>-7.4299634591961095E-2</v>
      </c>
      <c r="I34" s="1145" t="str">
        <f>CALCULATION!F127</f>
        <v>Client Caution</v>
      </c>
      <c r="J34" s="1146"/>
    </row>
    <row r="36" spans="2:10" ht="15" customHeight="1" x14ac:dyDescent="0.25">
      <c r="B36" s="1141" t="s">
        <v>3828</v>
      </c>
      <c r="C36" s="1141"/>
      <c r="D36" s="1141"/>
      <c r="E36" s="1141"/>
      <c r="F36" s="1141"/>
      <c r="G36" s="1141"/>
      <c r="H36" s="1141"/>
      <c r="I36" s="1141"/>
      <c r="J36" s="1141"/>
    </row>
    <row r="37" spans="2:10" x14ac:dyDescent="0.25">
      <c r="B37" s="1141"/>
      <c r="C37" s="1141"/>
      <c r="D37" s="1141"/>
      <c r="E37" s="1141"/>
      <c r="F37" s="1141"/>
      <c r="G37" s="1141"/>
      <c r="H37" s="1141"/>
      <c r="I37" s="1141"/>
      <c r="J37" s="1141"/>
    </row>
    <row r="38" spans="2:10" x14ac:dyDescent="0.25">
      <c r="B38" s="1141"/>
      <c r="C38" s="1141"/>
      <c r="D38" s="1141"/>
      <c r="E38" s="1141"/>
      <c r="F38" s="1141"/>
      <c r="G38" s="1141"/>
      <c r="H38" s="1141"/>
      <c r="I38" s="1141"/>
      <c r="J38" s="1141"/>
    </row>
    <row r="39" spans="2:10" x14ac:dyDescent="0.25">
      <c r="B39" s="1141"/>
      <c r="C39" s="1141"/>
      <c r="D39" s="1141"/>
      <c r="E39" s="1141"/>
      <c r="F39" s="1141"/>
      <c r="G39" s="1141"/>
      <c r="H39" s="1141"/>
      <c r="I39" s="1141"/>
      <c r="J39" s="1141"/>
    </row>
    <row r="40" spans="2:10" x14ac:dyDescent="0.25">
      <c r="B40" s="1141"/>
      <c r="C40" s="1141"/>
      <c r="D40" s="1141"/>
      <c r="E40" s="1141"/>
      <c r="F40" s="1141"/>
      <c r="G40" s="1141"/>
      <c r="H40" s="1141"/>
      <c r="I40" s="1141"/>
      <c r="J40" s="1141"/>
    </row>
    <row r="41" spans="2:10" x14ac:dyDescent="0.25">
      <c r="B41" s="1141"/>
      <c r="C41" s="1141"/>
      <c r="D41" s="1141"/>
      <c r="E41" s="1141"/>
      <c r="F41" s="1141"/>
      <c r="G41" s="1141"/>
      <c r="H41" s="1141"/>
      <c r="I41" s="1141"/>
      <c r="J41" s="1141"/>
    </row>
    <row r="42" spans="2:10" x14ac:dyDescent="0.25">
      <c r="B42" s="1141"/>
      <c r="C42" s="1141"/>
      <c r="D42" s="1141"/>
      <c r="E42" s="1141"/>
      <c r="F42" s="1141"/>
      <c r="G42" s="1141"/>
      <c r="H42" s="1141"/>
      <c r="I42" s="1141"/>
      <c r="J42" s="1141"/>
    </row>
    <row r="43" spans="2:10" x14ac:dyDescent="0.25">
      <c r="B43" s="1141"/>
      <c r="C43" s="1141"/>
      <c r="D43" s="1141"/>
      <c r="E43" s="1141"/>
      <c r="F43" s="1141"/>
      <c r="G43" s="1141"/>
      <c r="H43" s="1141"/>
      <c r="I43" s="1141"/>
      <c r="J43" s="1141"/>
    </row>
    <row r="44" spans="2:10" x14ac:dyDescent="0.25">
      <c r="B44" s="1141"/>
      <c r="C44" s="1141"/>
      <c r="D44" s="1141"/>
      <c r="E44" s="1141"/>
      <c r="F44" s="1141"/>
      <c r="G44" s="1141"/>
      <c r="H44" s="1141"/>
      <c r="I44" s="1141"/>
      <c r="J44" s="1141"/>
    </row>
    <row r="45" spans="2:10" x14ac:dyDescent="0.25">
      <c r="B45" s="1141"/>
      <c r="C45" s="1141"/>
      <c r="D45" s="1141"/>
      <c r="E45" s="1141"/>
      <c r="F45" s="1141"/>
      <c r="G45" s="1141"/>
      <c r="H45" s="1141"/>
      <c r="I45" s="1141"/>
      <c r="J45" s="1141"/>
    </row>
    <row r="46" spans="2:10" x14ac:dyDescent="0.25">
      <c r="B46" s="1141"/>
      <c r="C46" s="1141"/>
      <c r="D46" s="1141"/>
      <c r="E46" s="1141"/>
      <c r="F46" s="1141"/>
      <c r="G46" s="1141"/>
      <c r="H46" s="1141"/>
      <c r="I46" s="1141"/>
      <c r="J46" s="1141"/>
    </row>
    <row r="47" spans="2:10" x14ac:dyDescent="0.25">
      <c r="B47" s="1141"/>
      <c r="C47" s="1141"/>
      <c r="D47" s="1141"/>
      <c r="E47" s="1141"/>
      <c r="F47" s="1141"/>
      <c r="G47" s="1141"/>
      <c r="H47" s="1141"/>
      <c r="I47" s="1141"/>
      <c r="J47" s="1141"/>
    </row>
    <row r="48" spans="2:10" x14ac:dyDescent="0.25">
      <c r="B48" s="1141"/>
      <c r="C48" s="1141"/>
      <c r="D48" s="1141"/>
      <c r="E48" s="1141"/>
      <c r="F48" s="1141"/>
      <c r="G48" s="1141"/>
      <c r="H48" s="1141"/>
      <c r="I48" s="1141"/>
      <c r="J48" s="1141"/>
    </row>
    <row r="49" spans="2:10" x14ac:dyDescent="0.25">
      <c r="B49" s="1141"/>
      <c r="C49" s="1141"/>
      <c r="D49" s="1141"/>
      <c r="E49" s="1141"/>
      <c r="F49" s="1141"/>
      <c r="G49" s="1141"/>
      <c r="H49" s="1141"/>
      <c r="I49" s="1141"/>
      <c r="J49" s="1141"/>
    </row>
    <row r="50" spans="2:10" x14ac:dyDescent="0.25">
      <c r="B50" s="1141"/>
      <c r="C50" s="1141"/>
      <c r="D50" s="1141"/>
      <c r="E50" s="1141"/>
      <c r="F50" s="1141"/>
      <c r="G50" s="1141"/>
      <c r="H50" s="1141"/>
      <c r="I50" s="1141"/>
      <c r="J50" s="1141"/>
    </row>
    <row r="51" spans="2:10" x14ac:dyDescent="0.25">
      <c r="B51" s="1141"/>
      <c r="C51" s="1141"/>
      <c r="D51" s="1141"/>
      <c r="E51" s="1141"/>
      <c r="F51" s="1141"/>
      <c r="G51" s="1141"/>
      <c r="H51" s="1141"/>
      <c r="I51" s="1141"/>
      <c r="J51" s="1141"/>
    </row>
    <row r="52" spans="2:10" x14ac:dyDescent="0.25">
      <c r="B52" s="1141"/>
      <c r="C52" s="1141"/>
      <c r="D52" s="1141"/>
      <c r="E52" s="1141"/>
      <c r="F52" s="1141"/>
      <c r="G52" s="1141"/>
      <c r="H52" s="1141"/>
      <c r="I52" s="1141"/>
      <c r="J52" s="1141"/>
    </row>
    <row r="53" spans="2:10" x14ac:dyDescent="0.25">
      <c r="B53" s="1141"/>
      <c r="C53" s="1141"/>
      <c r="D53" s="1141"/>
      <c r="E53" s="1141"/>
      <c r="F53" s="1141"/>
      <c r="G53" s="1141"/>
      <c r="H53" s="1141"/>
      <c r="I53" s="1141"/>
      <c r="J53" s="1141"/>
    </row>
    <row r="54" spans="2:10" x14ac:dyDescent="0.25">
      <c r="B54" s="1141"/>
      <c r="C54" s="1141"/>
      <c r="D54" s="1141"/>
      <c r="E54" s="1141"/>
      <c r="F54" s="1141"/>
      <c r="G54" s="1141"/>
      <c r="H54" s="1141"/>
      <c r="I54" s="1141"/>
      <c r="J54" s="1141"/>
    </row>
    <row r="55" spans="2:10" x14ac:dyDescent="0.25">
      <c r="B55" s="1141"/>
      <c r="C55" s="1141"/>
      <c r="D55" s="1141"/>
      <c r="E55" s="1141"/>
      <c r="F55" s="1141"/>
      <c r="G55" s="1141"/>
      <c r="H55" s="1141"/>
      <c r="I55" s="1141"/>
      <c r="J55" s="1141"/>
    </row>
    <row r="56" spans="2:10" x14ac:dyDescent="0.25">
      <c r="B56" s="1141"/>
      <c r="C56" s="1141"/>
      <c r="D56" s="1141"/>
      <c r="E56" s="1141"/>
      <c r="F56" s="1141"/>
      <c r="G56" s="1141"/>
      <c r="H56" s="1141"/>
      <c r="I56" s="1141"/>
      <c r="J56" s="1141"/>
    </row>
    <row r="57" spans="2:10" x14ac:dyDescent="0.25">
      <c r="B57" s="1141"/>
      <c r="C57" s="1141"/>
      <c r="D57" s="1141"/>
      <c r="E57" s="1141"/>
      <c r="F57" s="1141"/>
      <c r="G57" s="1141"/>
      <c r="H57" s="1141"/>
      <c r="I57" s="1141"/>
      <c r="J57" s="1141"/>
    </row>
    <row r="58" spans="2:10" x14ac:dyDescent="0.25">
      <c r="B58" s="1141"/>
      <c r="C58" s="1141"/>
      <c r="D58" s="1141"/>
      <c r="E58" s="1141"/>
      <c r="F58" s="1141"/>
      <c r="G58" s="1141"/>
      <c r="H58" s="1141"/>
      <c r="I58" s="1141"/>
      <c r="J58" s="1141"/>
    </row>
    <row r="59" spans="2:10" x14ac:dyDescent="0.25">
      <c r="B59" s="1141"/>
      <c r="C59" s="1141"/>
      <c r="D59" s="1141"/>
      <c r="E59" s="1141"/>
      <c r="F59" s="1141"/>
      <c r="G59" s="1141"/>
      <c r="H59" s="1141"/>
      <c r="I59" s="1141"/>
      <c r="J59" s="1141"/>
    </row>
    <row r="60" spans="2:10" x14ac:dyDescent="0.25">
      <c r="B60" s="1141"/>
      <c r="C60" s="1141"/>
      <c r="D60" s="1141"/>
      <c r="E60" s="1141"/>
      <c r="F60" s="1141"/>
      <c r="G60" s="1141"/>
      <c r="H60" s="1141"/>
      <c r="I60" s="1141"/>
      <c r="J60" s="1141"/>
    </row>
    <row r="61" spans="2:10" x14ac:dyDescent="0.25">
      <c r="B61" s="1141"/>
      <c r="C61" s="1141"/>
      <c r="D61" s="1141"/>
      <c r="E61" s="1141"/>
      <c r="F61" s="1141"/>
      <c r="G61" s="1141"/>
      <c r="H61" s="1141"/>
      <c r="I61" s="1141"/>
      <c r="J61" s="1141"/>
    </row>
    <row r="62" spans="2:10" x14ac:dyDescent="0.25">
      <c r="B62" s="1141"/>
      <c r="C62" s="1141"/>
      <c r="D62" s="1141"/>
      <c r="E62" s="1141"/>
      <c r="F62" s="1141"/>
      <c r="G62" s="1141"/>
      <c r="H62" s="1141"/>
      <c r="I62" s="1141"/>
      <c r="J62" s="1141"/>
    </row>
    <row r="63" spans="2:10" x14ac:dyDescent="0.25">
      <c r="B63" s="1141"/>
      <c r="C63" s="1141"/>
      <c r="D63" s="1141"/>
      <c r="E63" s="1141"/>
      <c r="F63" s="1141"/>
      <c r="G63" s="1141"/>
      <c r="H63" s="1141"/>
      <c r="I63" s="1141"/>
      <c r="J63" s="1141"/>
    </row>
    <row r="64" spans="2:10" x14ac:dyDescent="0.25">
      <c r="B64" s="1141"/>
      <c r="C64" s="1141"/>
      <c r="D64" s="1141"/>
      <c r="E64" s="1141"/>
      <c r="F64" s="1141"/>
      <c r="G64" s="1141"/>
      <c r="H64" s="1141"/>
      <c r="I64" s="1141"/>
      <c r="J64" s="1141"/>
    </row>
    <row r="65" spans="2:10" x14ac:dyDescent="0.25">
      <c r="B65" s="1141"/>
      <c r="C65" s="1141"/>
      <c r="D65" s="1141"/>
      <c r="E65" s="1141"/>
      <c r="F65" s="1141"/>
      <c r="G65" s="1141"/>
      <c r="H65" s="1141"/>
      <c r="I65" s="1141"/>
      <c r="J65" s="1141"/>
    </row>
    <row r="66" spans="2:10" x14ac:dyDescent="0.25">
      <c r="B66" s="1141"/>
      <c r="C66" s="1141"/>
      <c r="D66" s="1141"/>
      <c r="E66" s="1141"/>
      <c r="F66" s="1141"/>
      <c r="G66" s="1141"/>
      <c r="H66" s="1141"/>
      <c r="I66" s="1141"/>
      <c r="J66" s="1141"/>
    </row>
    <row r="67" spans="2:10" x14ac:dyDescent="0.25">
      <c r="B67" s="1141"/>
      <c r="C67" s="1141"/>
      <c r="D67" s="1141"/>
      <c r="E67" s="1141"/>
      <c r="F67" s="1141"/>
      <c r="G67" s="1141"/>
      <c r="H67" s="1141"/>
      <c r="I67" s="1141"/>
      <c r="J67" s="1141"/>
    </row>
    <row r="68" spans="2:10" x14ac:dyDescent="0.25">
      <c r="B68" s="1141"/>
      <c r="C68" s="1141"/>
      <c r="D68" s="1141"/>
      <c r="E68" s="1141"/>
      <c r="F68" s="1141"/>
      <c r="G68" s="1141"/>
      <c r="H68" s="1141"/>
      <c r="I68" s="1141"/>
      <c r="J68" s="1141"/>
    </row>
    <row r="69" spans="2:10" x14ac:dyDescent="0.25">
      <c r="B69" s="1141"/>
      <c r="C69" s="1141"/>
      <c r="D69" s="1141"/>
      <c r="E69" s="1141"/>
      <c r="F69" s="1141"/>
      <c r="G69" s="1141"/>
      <c r="H69" s="1141"/>
      <c r="I69" s="1141"/>
      <c r="J69" s="1141"/>
    </row>
    <row r="70" spans="2:10" x14ac:dyDescent="0.25">
      <c r="B70" s="1141"/>
      <c r="C70" s="1141"/>
      <c r="D70" s="1141"/>
      <c r="E70" s="1141"/>
      <c r="F70" s="1141"/>
      <c r="G70" s="1141"/>
      <c r="H70" s="1141"/>
      <c r="I70" s="1141"/>
      <c r="J70" s="1141"/>
    </row>
    <row r="71" spans="2:10" x14ac:dyDescent="0.25">
      <c r="B71" s="1141"/>
      <c r="C71" s="1141"/>
      <c r="D71" s="1141"/>
      <c r="E71" s="1141"/>
      <c r="F71" s="1141"/>
      <c r="G71" s="1141"/>
      <c r="H71" s="1141"/>
      <c r="I71" s="1141"/>
      <c r="J71" s="1141"/>
    </row>
    <row r="72" spans="2:10" x14ac:dyDescent="0.25">
      <c r="B72" s="1141"/>
      <c r="C72" s="1141"/>
      <c r="D72" s="1141"/>
      <c r="E72" s="1141"/>
      <c r="F72" s="1141"/>
      <c r="G72" s="1141"/>
      <c r="H72" s="1141"/>
      <c r="I72" s="1141"/>
      <c r="J72" s="1141"/>
    </row>
    <row r="73" spans="2:10" x14ac:dyDescent="0.25">
      <c r="B73" s="1141"/>
      <c r="C73" s="1141"/>
      <c r="D73" s="1141"/>
      <c r="E73" s="1141"/>
      <c r="F73" s="1141"/>
      <c r="G73" s="1141"/>
      <c r="H73" s="1141"/>
      <c r="I73" s="1141"/>
      <c r="J73" s="1141"/>
    </row>
    <row r="74" spans="2:10" x14ac:dyDescent="0.25">
      <c r="B74" s="1141"/>
      <c r="C74" s="1141"/>
      <c r="D74" s="1141"/>
      <c r="E74" s="1141"/>
      <c r="F74" s="1141"/>
      <c r="G74" s="1141"/>
      <c r="H74" s="1141"/>
      <c r="I74" s="1141"/>
      <c r="J74" s="1141"/>
    </row>
    <row r="75" spans="2:10" x14ac:dyDescent="0.25">
      <c r="B75" s="1141"/>
      <c r="C75" s="1141"/>
      <c r="D75" s="1141"/>
      <c r="E75" s="1141"/>
      <c r="F75" s="1141"/>
      <c r="G75" s="1141"/>
      <c r="H75" s="1141"/>
      <c r="I75" s="1141"/>
      <c r="J75" s="1141"/>
    </row>
    <row r="76" spans="2:10" x14ac:dyDescent="0.25">
      <c r="B76" s="1141"/>
      <c r="C76" s="1141"/>
      <c r="D76" s="1141"/>
      <c r="E76" s="1141"/>
      <c r="F76" s="1141"/>
      <c r="G76" s="1141"/>
      <c r="H76" s="1141"/>
      <c r="I76" s="1141"/>
      <c r="J76" s="1141"/>
    </row>
    <row r="77" spans="2:10" x14ac:dyDescent="0.25">
      <c r="B77" s="1141"/>
      <c r="C77" s="1141"/>
      <c r="D77" s="1141"/>
      <c r="E77" s="1141"/>
      <c r="F77" s="1141"/>
      <c r="G77" s="1141"/>
      <c r="H77" s="1141"/>
      <c r="I77" s="1141"/>
      <c r="J77" s="1141"/>
    </row>
    <row r="78" spans="2:10" x14ac:dyDescent="0.25">
      <c r="B78" s="1141"/>
      <c r="C78" s="1141"/>
      <c r="D78" s="1141"/>
      <c r="E78" s="1141"/>
      <c r="F78" s="1141"/>
      <c r="G78" s="1141"/>
      <c r="H78" s="1141"/>
      <c r="I78" s="1141"/>
      <c r="J78" s="1141"/>
    </row>
    <row r="79" spans="2:10" x14ac:dyDescent="0.25">
      <c r="B79" s="1141"/>
      <c r="C79" s="1141"/>
      <c r="D79" s="1141"/>
      <c r="E79" s="1141"/>
      <c r="F79" s="1141"/>
      <c r="G79" s="1141"/>
      <c r="H79" s="1141"/>
      <c r="I79" s="1141"/>
      <c r="J79" s="1141"/>
    </row>
    <row r="80" spans="2:10" x14ac:dyDescent="0.25">
      <c r="B80" s="1141"/>
      <c r="C80" s="1141"/>
      <c r="D80" s="1141"/>
      <c r="E80" s="1141"/>
      <c r="F80" s="1141"/>
      <c r="G80" s="1141"/>
      <c r="H80" s="1141"/>
      <c r="I80" s="1141"/>
      <c r="J80" s="1141"/>
    </row>
    <row r="81" spans="2:12" x14ac:dyDescent="0.25">
      <c r="B81" s="1141"/>
      <c r="C81" s="1141"/>
      <c r="D81" s="1141"/>
      <c r="E81" s="1141"/>
      <c r="F81" s="1141"/>
      <c r="G81" s="1141"/>
      <c r="H81" s="1141"/>
      <c r="I81" s="1141"/>
      <c r="J81" s="1141"/>
    </row>
    <row r="82" spans="2:12" x14ac:dyDescent="0.25">
      <c r="B82" s="1141"/>
      <c r="C82" s="1141"/>
      <c r="D82" s="1141"/>
      <c r="E82" s="1141"/>
      <c r="F82" s="1141"/>
      <c r="G82" s="1141"/>
      <c r="H82" s="1141"/>
      <c r="I82" s="1141"/>
      <c r="J82" s="1141"/>
    </row>
    <row r="83" spans="2:12" x14ac:dyDescent="0.25">
      <c r="B83" s="1141"/>
      <c r="C83" s="1141"/>
      <c r="D83" s="1141"/>
      <c r="E83" s="1141"/>
      <c r="F83" s="1141"/>
      <c r="G83" s="1141"/>
      <c r="H83" s="1141"/>
      <c r="I83" s="1141"/>
      <c r="J83" s="1141"/>
    </row>
    <row r="84" spans="2:12" x14ac:dyDescent="0.25">
      <c r="B84" s="1141"/>
      <c r="C84" s="1141"/>
      <c r="D84" s="1141"/>
      <c r="E84" s="1141"/>
      <c r="F84" s="1141"/>
      <c r="G84" s="1141"/>
      <c r="H84" s="1141"/>
      <c r="I84" s="1141"/>
      <c r="J84" s="1141"/>
    </row>
    <row r="85" spans="2:12" x14ac:dyDescent="0.25">
      <c r="B85" s="1141"/>
      <c r="C85" s="1141"/>
      <c r="D85" s="1141"/>
      <c r="E85" s="1141"/>
      <c r="F85" s="1141"/>
      <c r="G85" s="1141"/>
      <c r="H85" s="1141"/>
      <c r="I85" s="1141"/>
      <c r="J85" s="1141"/>
    </row>
    <row r="86" spans="2:12" x14ac:dyDescent="0.25">
      <c r="B86" s="1141"/>
      <c r="C86" s="1141"/>
      <c r="D86" s="1141"/>
      <c r="E86" s="1141"/>
      <c r="F86" s="1141"/>
      <c r="G86" s="1141"/>
      <c r="H86" s="1141"/>
      <c r="I86" s="1141"/>
      <c r="J86" s="1141"/>
    </row>
    <row r="87" spans="2:12" x14ac:dyDescent="0.25">
      <c r="B87" s="1141"/>
      <c r="C87" s="1141"/>
      <c r="D87" s="1141"/>
      <c r="E87" s="1141"/>
      <c r="F87" s="1141"/>
      <c r="G87" s="1141"/>
      <c r="H87" s="1141"/>
      <c r="I87" s="1141"/>
      <c r="J87" s="1141"/>
    </row>
    <row r="88" spans="2:12" x14ac:dyDescent="0.25">
      <c r="B88" s="1141"/>
      <c r="C88" s="1141"/>
      <c r="D88" s="1141"/>
      <c r="E88" s="1141"/>
      <c r="F88" s="1141"/>
      <c r="G88" s="1141"/>
      <c r="H88" s="1141"/>
      <c r="I88" s="1141"/>
      <c r="J88" s="1141"/>
    </row>
    <row r="90" spans="2:12" x14ac:dyDescent="0.25">
      <c r="B90" s="937" t="s">
        <v>3835</v>
      </c>
      <c r="C90" s="937"/>
      <c r="D90" s="937"/>
      <c r="E90" s="937"/>
      <c r="F90" s="937"/>
      <c r="G90" s="937"/>
      <c r="H90" s="937"/>
      <c r="I90" s="937"/>
      <c r="J90" s="937"/>
      <c r="K90" s="936"/>
      <c r="L90" s="936"/>
    </row>
  </sheetData>
  <mergeCells count="84">
    <mergeCell ref="C16:D16"/>
    <mergeCell ref="C10:D10"/>
    <mergeCell ref="E10:F10"/>
    <mergeCell ref="I10:J10"/>
    <mergeCell ref="B1:C5"/>
    <mergeCell ref="D1:J5"/>
    <mergeCell ref="B7:B8"/>
    <mergeCell ref="C7:D8"/>
    <mergeCell ref="E7:F8"/>
    <mergeCell ref="G7:H8"/>
    <mergeCell ref="I7:J8"/>
    <mergeCell ref="C11:D11"/>
    <mergeCell ref="C12:D12"/>
    <mergeCell ref="C13:D13"/>
    <mergeCell ref="C14:D14"/>
    <mergeCell ref="C15:D15"/>
    <mergeCell ref="C28:D28"/>
    <mergeCell ref="C17:D17"/>
    <mergeCell ref="C18:D18"/>
    <mergeCell ref="C19:D19"/>
    <mergeCell ref="C20:D20"/>
    <mergeCell ref="C21:D21"/>
    <mergeCell ref="C22:D22"/>
    <mergeCell ref="C23:D23"/>
    <mergeCell ref="C24:D24"/>
    <mergeCell ref="C25:D25"/>
    <mergeCell ref="C26:D26"/>
    <mergeCell ref="C27:D27"/>
    <mergeCell ref="E22:F22"/>
    <mergeCell ref="E11:F11"/>
    <mergeCell ref="E12:F12"/>
    <mergeCell ref="E13:F13"/>
    <mergeCell ref="E14:F14"/>
    <mergeCell ref="E15:F15"/>
    <mergeCell ref="E16:F16"/>
    <mergeCell ref="I16:J16"/>
    <mergeCell ref="E29:F29"/>
    <mergeCell ref="E30:F30"/>
    <mergeCell ref="E31:F31"/>
    <mergeCell ref="E32:F32"/>
    <mergeCell ref="E23:F23"/>
    <mergeCell ref="E24:F24"/>
    <mergeCell ref="E25:F25"/>
    <mergeCell ref="E26:F26"/>
    <mergeCell ref="E27:F27"/>
    <mergeCell ref="E28:F28"/>
    <mergeCell ref="E17:F17"/>
    <mergeCell ref="E18:F18"/>
    <mergeCell ref="E19:F19"/>
    <mergeCell ref="E20:F20"/>
    <mergeCell ref="E21:F21"/>
    <mergeCell ref="I11:J11"/>
    <mergeCell ref="I12:J12"/>
    <mergeCell ref="I13:J13"/>
    <mergeCell ref="I14:J14"/>
    <mergeCell ref="I15:J15"/>
    <mergeCell ref="I28:J28"/>
    <mergeCell ref="I17:J17"/>
    <mergeCell ref="I18:J18"/>
    <mergeCell ref="I19:J19"/>
    <mergeCell ref="I20:J20"/>
    <mergeCell ref="I21:J21"/>
    <mergeCell ref="I22:J22"/>
    <mergeCell ref="I23:J23"/>
    <mergeCell ref="I24:J24"/>
    <mergeCell ref="I25:J25"/>
    <mergeCell ref="I26:J26"/>
    <mergeCell ref="I27:J27"/>
    <mergeCell ref="B90:J90"/>
    <mergeCell ref="B36:J88"/>
    <mergeCell ref="I29:J29"/>
    <mergeCell ref="I30:J30"/>
    <mergeCell ref="I31:J31"/>
    <mergeCell ref="I32:J32"/>
    <mergeCell ref="I33:J33"/>
    <mergeCell ref="I34:J34"/>
    <mergeCell ref="E33:F33"/>
    <mergeCell ref="E34:F34"/>
    <mergeCell ref="C29:D29"/>
    <mergeCell ref="C30:D30"/>
    <mergeCell ref="C31:D31"/>
    <mergeCell ref="C32:D32"/>
    <mergeCell ref="C33:D33"/>
    <mergeCell ref="C34:D34"/>
  </mergeCells>
  <printOptions horizontalCentered="1"/>
  <pageMargins left="0" right="0" top="0" bottom="0" header="0" footer="0"/>
  <pageSetup scale="57" orientation="portrait" horizontalDpi="1200" verticalDpi="1200" r:id="rId1"/>
  <colBreaks count="1" manualBreakCount="1">
    <brk id="10" max="89"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D5B7-CB4C-4AC2-BDB3-9BD50815F0DB}">
  <sheetPr>
    <pageSetUpPr fitToPage="1"/>
  </sheetPr>
  <dimension ref="B1:J90"/>
  <sheetViews>
    <sheetView zoomScaleNormal="100" workbookViewId="0"/>
  </sheetViews>
  <sheetFormatPr defaultColWidth="15.77734375" defaultRowHeight="13.8" x14ac:dyDescent="0.25"/>
  <cols>
    <col min="1" max="1" width="2" style="935" customWidth="1"/>
    <col min="2" max="2" width="25.77734375" style="935" customWidth="1"/>
    <col min="3" max="16384" width="15.77734375" style="935"/>
  </cols>
  <sheetData>
    <row r="1" spans="2:10" x14ac:dyDescent="0.25">
      <c r="B1" s="938" t="s">
        <v>378</v>
      </c>
      <c r="C1" s="938"/>
      <c r="D1" s="939" t="s">
        <v>3832</v>
      </c>
      <c r="E1" s="939"/>
      <c r="F1" s="939"/>
      <c r="G1" s="939"/>
      <c r="H1" s="939"/>
      <c r="I1" s="939"/>
      <c r="J1" s="939"/>
    </row>
    <row r="2" spans="2:10" x14ac:dyDescent="0.25">
      <c r="B2" s="938"/>
      <c r="C2" s="938"/>
      <c r="D2" s="939"/>
      <c r="E2" s="939"/>
      <c r="F2" s="939"/>
      <c r="G2" s="939"/>
      <c r="H2" s="939"/>
      <c r="I2" s="939"/>
      <c r="J2" s="939"/>
    </row>
    <row r="3" spans="2:10" x14ac:dyDescent="0.25">
      <c r="B3" s="938"/>
      <c r="C3" s="938"/>
      <c r="D3" s="939"/>
      <c r="E3" s="939"/>
      <c r="F3" s="939"/>
      <c r="G3" s="939"/>
      <c r="H3" s="939"/>
      <c r="I3" s="939"/>
      <c r="J3" s="939"/>
    </row>
    <row r="4" spans="2:10" x14ac:dyDescent="0.25">
      <c r="B4" s="938"/>
      <c r="C4" s="938"/>
      <c r="D4" s="939"/>
      <c r="E4" s="939"/>
      <c r="F4" s="939"/>
      <c r="G4" s="939"/>
      <c r="H4" s="939"/>
      <c r="I4" s="939"/>
      <c r="J4" s="939"/>
    </row>
    <row r="5" spans="2:10" x14ac:dyDescent="0.25">
      <c r="B5" s="938"/>
      <c r="C5" s="938"/>
      <c r="D5" s="939"/>
      <c r="E5" s="939"/>
      <c r="F5" s="939"/>
      <c r="G5" s="939"/>
      <c r="H5" s="939"/>
      <c r="I5" s="939"/>
      <c r="J5" s="939"/>
    </row>
    <row r="7" spans="2:10" x14ac:dyDescent="0.25">
      <c r="B7" s="942" t="s">
        <v>3833</v>
      </c>
      <c r="C7" s="943"/>
      <c r="D7" s="943"/>
      <c r="E7" s="943"/>
      <c r="F7" s="943"/>
      <c r="G7" s="943"/>
      <c r="H7" s="943"/>
      <c r="I7" s="943"/>
      <c r="J7" s="943"/>
    </row>
    <row r="8" spans="2:10" x14ac:dyDescent="0.25">
      <c r="B8" s="943"/>
      <c r="C8" s="943"/>
      <c r="D8" s="943"/>
      <c r="E8" s="943"/>
      <c r="F8" s="943"/>
      <c r="G8" s="943"/>
      <c r="H8" s="943"/>
      <c r="I8" s="943"/>
      <c r="J8" s="943"/>
    </row>
    <row r="9" spans="2:10" x14ac:dyDescent="0.25">
      <c r="B9" s="943"/>
      <c r="C9" s="943"/>
      <c r="D9" s="943"/>
      <c r="E9" s="943"/>
      <c r="F9" s="943"/>
      <c r="G9" s="943"/>
      <c r="H9" s="943"/>
      <c r="I9" s="943"/>
      <c r="J9" s="943"/>
    </row>
    <row r="10" spans="2:10" x14ac:dyDescent="0.25">
      <c r="B10" s="943"/>
      <c r="C10" s="943"/>
      <c r="D10" s="943"/>
      <c r="E10" s="943"/>
      <c r="F10" s="943"/>
      <c r="G10" s="943"/>
      <c r="H10" s="943"/>
      <c r="I10" s="943"/>
      <c r="J10" s="943"/>
    </row>
    <row r="11" spans="2:10" x14ac:dyDescent="0.25">
      <c r="B11" s="943"/>
      <c r="C11" s="943"/>
      <c r="D11" s="943"/>
      <c r="E11" s="943"/>
      <c r="F11" s="943"/>
      <c r="G11" s="943"/>
      <c r="H11" s="943"/>
      <c r="I11" s="943"/>
      <c r="J11" s="943"/>
    </row>
    <row r="12" spans="2:10" x14ac:dyDescent="0.25">
      <c r="B12" s="943"/>
      <c r="C12" s="943"/>
      <c r="D12" s="943"/>
      <c r="E12" s="943"/>
      <c r="F12" s="943"/>
      <c r="G12" s="943"/>
      <c r="H12" s="943"/>
      <c r="I12" s="943"/>
      <c r="J12" s="943"/>
    </row>
    <row r="13" spans="2:10" x14ac:dyDescent="0.25">
      <c r="B13" s="943"/>
      <c r="C13" s="943"/>
      <c r="D13" s="943"/>
      <c r="E13" s="943"/>
      <c r="F13" s="943"/>
      <c r="G13" s="943"/>
      <c r="H13" s="943"/>
      <c r="I13" s="943"/>
      <c r="J13" s="943"/>
    </row>
    <row r="14" spans="2:10" x14ac:dyDescent="0.25">
      <c r="B14" s="943"/>
      <c r="C14" s="943"/>
      <c r="D14" s="943"/>
      <c r="E14" s="943"/>
      <c r="F14" s="943"/>
      <c r="G14" s="943"/>
      <c r="H14" s="943"/>
      <c r="I14" s="943"/>
      <c r="J14" s="943"/>
    </row>
    <row r="15" spans="2:10" x14ac:dyDescent="0.25">
      <c r="B15" s="943"/>
      <c r="C15" s="943"/>
      <c r="D15" s="943"/>
      <c r="E15" s="943"/>
      <c r="F15" s="943"/>
      <c r="G15" s="943"/>
      <c r="H15" s="943"/>
      <c r="I15" s="943"/>
      <c r="J15" s="943"/>
    </row>
    <row r="16" spans="2:10" x14ac:dyDescent="0.25">
      <c r="B16" s="943"/>
      <c r="C16" s="943"/>
      <c r="D16" s="943"/>
      <c r="E16" s="943"/>
      <c r="F16" s="943"/>
      <c r="G16" s="943"/>
      <c r="H16" s="943"/>
      <c r="I16" s="943"/>
      <c r="J16" s="943"/>
    </row>
    <row r="17" spans="2:10" x14ac:dyDescent="0.25">
      <c r="B17" s="943"/>
      <c r="C17" s="943"/>
      <c r="D17" s="943"/>
      <c r="E17" s="943"/>
      <c r="F17" s="943"/>
      <c r="G17" s="943"/>
      <c r="H17" s="943"/>
      <c r="I17" s="943"/>
      <c r="J17" s="943"/>
    </row>
    <row r="18" spans="2:10" x14ac:dyDescent="0.25">
      <c r="B18" s="943"/>
      <c r="C18" s="943"/>
      <c r="D18" s="943"/>
      <c r="E18" s="943"/>
      <c r="F18" s="943"/>
      <c r="G18" s="943"/>
      <c r="H18" s="943"/>
      <c r="I18" s="943"/>
      <c r="J18" s="943"/>
    </row>
    <row r="19" spans="2:10" x14ac:dyDescent="0.25">
      <c r="B19" s="943"/>
      <c r="C19" s="943"/>
      <c r="D19" s="943"/>
      <c r="E19" s="943"/>
      <c r="F19" s="943"/>
      <c r="G19" s="943"/>
      <c r="H19" s="943"/>
      <c r="I19" s="943"/>
      <c r="J19" s="943"/>
    </row>
    <row r="20" spans="2:10" x14ac:dyDescent="0.25">
      <c r="B20" s="943"/>
      <c r="C20" s="943"/>
      <c r="D20" s="943"/>
      <c r="E20" s="943"/>
      <c r="F20" s="943"/>
      <c r="G20" s="943"/>
      <c r="H20" s="943"/>
      <c r="I20" s="943"/>
      <c r="J20" s="943"/>
    </row>
    <row r="21" spans="2:10" x14ac:dyDescent="0.25">
      <c r="B21" s="943"/>
      <c r="C21" s="943"/>
      <c r="D21" s="943"/>
      <c r="E21" s="943"/>
      <c r="F21" s="943"/>
      <c r="G21" s="943"/>
      <c r="H21" s="943"/>
      <c r="I21" s="943"/>
      <c r="J21" s="943"/>
    </row>
    <row r="22" spans="2:10" x14ac:dyDescent="0.25">
      <c r="B22" s="943"/>
      <c r="C22" s="943"/>
      <c r="D22" s="943"/>
      <c r="E22" s="943"/>
      <c r="F22" s="943"/>
      <c r="G22" s="943"/>
      <c r="H22" s="943"/>
      <c r="I22" s="943"/>
      <c r="J22" s="943"/>
    </row>
    <row r="23" spans="2:10" x14ac:dyDescent="0.25">
      <c r="B23" s="943"/>
      <c r="C23" s="943"/>
      <c r="D23" s="943"/>
      <c r="E23" s="943"/>
      <c r="F23" s="943"/>
      <c r="G23" s="943"/>
      <c r="H23" s="943"/>
      <c r="I23" s="943"/>
      <c r="J23" s="943"/>
    </row>
    <row r="24" spans="2:10" x14ac:dyDescent="0.25">
      <c r="B24" s="943"/>
      <c r="C24" s="943"/>
      <c r="D24" s="943"/>
      <c r="E24" s="943"/>
      <c r="F24" s="943"/>
      <c r="G24" s="943"/>
      <c r="H24" s="943"/>
      <c r="I24" s="943"/>
      <c r="J24" s="943"/>
    </row>
    <row r="25" spans="2:10" x14ac:dyDescent="0.25">
      <c r="B25" s="943"/>
      <c r="C25" s="943"/>
      <c r="D25" s="943"/>
      <c r="E25" s="943"/>
      <c r="F25" s="943"/>
      <c r="G25" s="943"/>
      <c r="H25" s="943"/>
      <c r="I25" s="943"/>
      <c r="J25" s="943"/>
    </row>
    <row r="26" spans="2:10" x14ac:dyDescent="0.25">
      <c r="B26" s="943"/>
      <c r="C26" s="943"/>
      <c r="D26" s="943"/>
      <c r="E26" s="943"/>
      <c r="F26" s="943"/>
      <c r="G26" s="943"/>
      <c r="H26" s="943"/>
      <c r="I26" s="943"/>
      <c r="J26" s="943"/>
    </row>
    <row r="27" spans="2:10" x14ac:dyDescent="0.25">
      <c r="B27" s="943"/>
      <c r="C27" s="943"/>
      <c r="D27" s="943"/>
      <c r="E27" s="943"/>
      <c r="F27" s="943"/>
      <c r="G27" s="943"/>
      <c r="H27" s="943"/>
      <c r="I27" s="943"/>
      <c r="J27" s="943"/>
    </row>
    <row r="28" spans="2:10" x14ac:dyDescent="0.25">
      <c r="B28" s="943"/>
      <c r="C28" s="943"/>
      <c r="D28" s="943"/>
      <c r="E28" s="943"/>
      <c r="F28" s="943"/>
      <c r="G28" s="943"/>
      <c r="H28" s="943"/>
      <c r="I28" s="943"/>
      <c r="J28" s="943"/>
    </row>
    <row r="29" spans="2:10" x14ac:dyDescent="0.25">
      <c r="B29" s="943"/>
      <c r="C29" s="943"/>
      <c r="D29" s="943"/>
      <c r="E29" s="943"/>
      <c r="F29" s="943"/>
      <c r="G29" s="943"/>
      <c r="H29" s="943"/>
      <c r="I29" s="943"/>
      <c r="J29" s="943"/>
    </row>
    <row r="30" spans="2:10" x14ac:dyDescent="0.25">
      <c r="B30" s="943"/>
      <c r="C30" s="943"/>
      <c r="D30" s="943"/>
      <c r="E30" s="943"/>
      <c r="F30" s="943"/>
      <c r="G30" s="943"/>
      <c r="H30" s="943"/>
      <c r="I30" s="943"/>
      <c r="J30" s="943"/>
    </row>
    <row r="31" spans="2:10" x14ac:dyDescent="0.25">
      <c r="B31" s="943"/>
      <c r="C31" s="943"/>
      <c r="D31" s="943"/>
      <c r="E31" s="943"/>
      <c r="F31" s="943"/>
      <c r="G31" s="943"/>
      <c r="H31" s="943"/>
      <c r="I31" s="943"/>
      <c r="J31" s="943"/>
    </row>
    <row r="32" spans="2:10" x14ac:dyDescent="0.25">
      <c r="B32" s="943"/>
      <c r="C32" s="943"/>
      <c r="D32" s="943"/>
      <c r="E32" s="943"/>
      <c r="F32" s="943"/>
      <c r="G32" s="943"/>
      <c r="H32" s="943"/>
      <c r="I32" s="943"/>
      <c r="J32" s="943"/>
    </row>
    <row r="33" spans="2:10" x14ac:dyDescent="0.25">
      <c r="B33" s="943"/>
      <c r="C33" s="943"/>
      <c r="D33" s="943"/>
      <c r="E33" s="943"/>
      <c r="F33" s="943"/>
      <c r="G33" s="943"/>
      <c r="H33" s="943"/>
      <c r="I33" s="943"/>
      <c r="J33" s="943"/>
    </row>
    <row r="34" spans="2:10" x14ac:dyDescent="0.25">
      <c r="B34" s="943"/>
      <c r="C34" s="943"/>
      <c r="D34" s="943"/>
      <c r="E34" s="943"/>
      <c r="F34" s="943"/>
      <c r="G34" s="943"/>
      <c r="H34" s="943"/>
      <c r="I34" s="943"/>
      <c r="J34" s="943"/>
    </row>
    <row r="35" spans="2:10" x14ac:dyDescent="0.25">
      <c r="B35" s="943"/>
      <c r="C35" s="943"/>
      <c r="D35" s="943"/>
      <c r="E35" s="943"/>
      <c r="F35" s="943"/>
      <c r="G35" s="943"/>
      <c r="H35" s="943"/>
      <c r="I35" s="943"/>
      <c r="J35" s="943"/>
    </row>
    <row r="36" spans="2:10" x14ac:dyDescent="0.25">
      <c r="B36" s="943"/>
      <c r="C36" s="943"/>
      <c r="D36" s="943"/>
      <c r="E36" s="943"/>
      <c r="F36" s="943"/>
      <c r="G36" s="943"/>
      <c r="H36" s="943"/>
      <c r="I36" s="943"/>
      <c r="J36" s="943"/>
    </row>
    <row r="37" spans="2:10" x14ac:dyDescent="0.25">
      <c r="B37" s="943"/>
      <c r="C37" s="943"/>
      <c r="D37" s="943"/>
      <c r="E37" s="943"/>
      <c r="F37" s="943"/>
      <c r="G37" s="943"/>
      <c r="H37" s="943"/>
      <c r="I37" s="943"/>
      <c r="J37" s="943"/>
    </row>
    <row r="38" spans="2:10" x14ac:dyDescent="0.25">
      <c r="B38" s="943"/>
      <c r="C38" s="943"/>
      <c r="D38" s="943"/>
      <c r="E38" s="943"/>
      <c r="F38" s="943"/>
      <c r="G38" s="943"/>
      <c r="H38" s="943"/>
      <c r="I38" s="943"/>
      <c r="J38" s="943"/>
    </row>
    <row r="39" spans="2:10" x14ac:dyDescent="0.25">
      <c r="B39" s="943"/>
      <c r="C39" s="943"/>
      <c r="D39" s="943"/>
      <c r="E39" s="943"/>
      <c r="F39" s="943"/>
      <c r="G39" s="943"/>
      <c r="H39" s="943"/>
      <c r="I39" s="943"/>
      <c r="J39" s="943"/>
    </row>
    <row r="40" spans="2:10" x14ac:dyDescent="0.25">
      <c r="B40" s="943"/>
      <c r="C40" s="943"/>
      <c r="D40" s="943"/>
      <c r="E40" s="943"/>
      <c r="F40" s="943"/>
      <c r="G40" s="943"/>
      <c r="H40" s="943"/>
      <c r="I40" s="943"/>
      <c r="J40" s="943"/>
    </row>
    <row r="41" spans="2:10" x14ac:dyDescent="0.25">
      <c r="B41" s="943"/>
      <c r="C41" s="943"/>
      <c r="D41" s="943"/>
      <c r="E41" s="943"/>
      <c r="F41" s="943"/>
      <c r="G41" s="943"/>
      <c r="H41" s="943"/>
      <c r="I41" s="943"/>
      <c r="J41" s="943"/>
    </row>
    <row r="42" spans="2:10" x14ac:dyDescent="0.25">
      <c r="B42" s="943"/>
      <c r="C42" s="943"/>
      <c r="D42" s="943"/>
      <c r="E42" s="943"/>
      <c r="F42" s="943"/>
      <c r="G42" s="943"/>
      <c r="H42" s="943"/>
      <c r="I42" s="943"/>
      <c r="J42" s="943"/>
    </row>
    <row r="43" spans="2:10" x14ac:dyDescent="0.25">
      <c r="B43" s="943"/>
      <c r="C43" s="943"/>
      <c r="D43" s="943"/>
      <c r="E43" s="943"/>
      <c r="F43" s="943"/>
      <c r="G43" s="943"/>
      <c r="H43" s="943"/>
      <c r="I43" s="943"/>
      <c r="J43" s="943"/>
    </row>
    <row r="44" spans="2:10" x14ac:dyDescent="0.25">
      <c r="B44" s="943"/>
      <c r="C44" s="943"/>
      <c r="D44" s="943"/>
      <c r="E44" s="943"/>
      <c r="F44" s="943"/>
      <c r="G44" s="943"/>
      <c r="H44" s="943"/>
      <c r="I44" s="943"/>
      <c r="J44" s="943"/>
    </row>
    <row r="45" spans="2:10" x14ac:dyDescent="0.25">
      <c r="B45" s="943"/>
      <c r="C45" s="943"/>
      <c r="D45" s="943"/>
      <c r="E45" s="943"/>
      <c r="F45" s="943"/>
      <c r="G45" s="943"/>
      <c r="H45" s="943"/>
      <c r="I45" s="943"/>
      <c r="J45" s="943"/>
    </row>
    <row r="46" spans="2:10" x14ac:dyDescent="0.25">
      <c r="B46" s="943"/>
      <c r="C46" s="943"/>
      <c r="D46" s="943"/>
      <c r="E46" s="943"/>
      <c r="F46" s="943"/>
      <c r="G46" s="943"/>
      <c r="H46" s="943"/>
      <c r="I46" s="943"/>
      <c r="J46" s="943"/>
    </row>
    <row r="47" spans="2:10" x14ac:dyDescent="0.25">
      <c r="B47" s="943"/>
      <c r="C47" s="943"/>
      <c r="D47" s="943"/>
      <c r="E47" s="943"/>
      <c r="F47" s="943"/>
      <c r="G47" s="943"/>
      <c r="H47" s="943"/>
      <c r="I47" s="943"/>
      <c r="J47" s="943"/>
    </row>
    <row r="48" spans="2:10" x14ac:dyDescent="0.25">
      <c r="B48" s="943"/>
      <c r="C48" s="943"/>
      <c r="D48" s="943"/>
      <c r="E48" s="943"/>
      <c r="F48" s="943"/>
      <c r="G48" s="943"/>
      <c r="H48" s="943"/>
      <c r="I48" s="943"/>
      <c r="J48" s="943"/>
    </row>
    <row r="49" spans="2:10" x14ac:dyDescent="0.25">
      <c r="B49" s="943"/>
      <c r="C49" s="943"/>
      <c r="D49" s="943"/>
      <c r="E49" s="943"/>
      <c r="F49" s="943"/>
      <c r="G49" s="943"/>
      <c r="H49" s="943"/>
      <c r="I49" s="943"/>
      <c r="J49" s="943"/>
    </row>
    <row r="50" spans="2:10" x14ac:dyDescent="0.25">
      <c r="B50" s="943"/>
      <c r="C50" s="943"/>
      <c r="D50" s="943"/>
      <c r="E50" s="943"/>
      <c r="F50" s="943"/>
      <c r="G50" s="943"/>
      <c r="H50" s="943"/>
      <c r="I50" s="943"/>
      <c r="J50" s="943"/>
    </row>
    <row r="51" spans="2:10" x14ac:dyDescent="0.25">
      <c r="B51" s="943"/>
      <c r="C51" s="943"/>
      <c r="D51" s="943"/>
      <c r="E51" s="943"/>
      <c r="F51" s="943"/>
      <c r="G51" s="943"/>
      <c r="H51" s="943"/>
      <c r="I51" s="943"/>
      <c r="J51" s="943"/>
    </row>
    <row r="52" spans="2:10" x14ac:dyDescent="0.25">
      <c r="B52" s="943"/>
      <c r="C52" s="943"/>
      <c r="D52" s="943"/>
      <c r="E52" s="943"/>
      <c r="F52" s="943"/>
      <c r="G52" s="943"/>
      <c r="H52" s="943"/>
      <c r="I52" s="943"/>
      <c r="J52" s="943"/>
    </row>
    <row r="53" spans="2:10" x14ac:dyDescent="0.25">
      <c r="B53" s="943"/>
      <c r="C53" s="943"/>
      <c r="D53" s="943"/>
      <c r="E53" s="943"/>
      <c r="F53" s="943"/>
      <c r="G53" s="943"/>
      <c r="H53" s="943"/>
      <c r="I53" s="943"/>
      <c r="J53" s="943"/>
    </row>
    <row r="54" spans="2:10" x14ac:dyDescent="0.25">
      <c r="B54" s="943"/>
      <c r="C54" s="943"/>
      <c r="D54" s="943"/>
      <c r="E54" s="943"/>
      <c r="F54" s="943"/>
      <c r="G54" s="943"/>
      <c r="H54" s="943"/>
      <c r="I54" s="943"/>
      <c r="J54" s="943"/>
    </row>
    <row r="55" spans="2:10" x14ac:dyDescent="0.25">
      <c r="B55" s="943"/>
      <c r="C55" s="943"/>
      <c r="D55" s="943"/>
      <c r="E55" s="943"/>
      <c r="F55" s="943"/>
      <c r="G55" s="943"/>
      <c r="H55" s="943"/>
      <c r="I55" s="943"/>
      <c r="J55" s="943"/>
    </row>
    <row r="56" spans="2:10" x14ac:dyDescent="0.25">
      <c r="B56" s="943"/>
      <c r="C56" s="943"/>
      <c r="D56" s="943"/>
      <c r="E56" s="943"/>
      <c r="F56" s="943"/>
      <c r="G56" s="943"/>
      <c r="H56" s="943"/>
      <c r="I56" s="943"/>
      <c r="J56" s="943"/>
    </row>
    <row r="57" spans="2:10" x14ac:dyDescent="0.25">
      <c r="B57" s="943"/>
      <c r="C57" s="943"/>
      <c r="D57" s="943"/>
      <c r="E57" s="943"/>
      <c r="F57" s="943"/>
      <c r="G57" s="943"/>
      <c r="H57" s="943"/>
      <c r="I57" s="943"/>
      <c r="J57" s="943"/>
    </row>
    <row r="58" spans="2:10" x14ac:dyDescent="0.25">
      <c r="B58" s="943"/>
      <c r="C58" s="943"/>
      <c r="D58" s="943"/>
      <c r="E58" s="943"/>
      <c r="F58" s="943"/>
      <c r="G58" s="943"/>
      <c r="H58" s="943"/>
      <c r="I58" s="943"/>
      <c r="J58" s="943"/>
    </row>
    <row r="59" spans="2:10" x14ac:dyDescent="0.25">
      <c r="B59" s="943"/>
      <c r="C59" s="943"/>
      <c r="D59" s="943"/>
      <c r="E59" s="943"/>
      <c r="F59" s="943"/>
      <c r="G59" s="943"/>
      <c r="H59" s="943"/>
      <c r="I59" s="943"/>
      <c r="J59" s="943"/>
    </row>
    <row r="60" spans="2:10" x14ac:dyDescent="0.25">
      <c r="B60" s="943"/>
      <c r="C60" s="943"/>
      <c r="D60" s="943"/>
      <c r="E60" s="943"/>
      <c r="F60" s="943"/>
      <c r="G60" s="943"/>
      <c r="H60" s="943"/>
      <c r="I60" s="943"/>
      <c r="J60" s="943"/>
    </row>
    <row r="61" spans="2:10" x14ac:dyDescent="0.25">
      <c r="B61" s="943"/>
      <c r="C61" s="943"/>
      <c r="D61" s="943"/>
      <c r="E61" s="943"/>
      <c r="F61" s="943"/>
      <c r="G61" s="943"/>
      <c r="H61" s="943"/>
      <c r="I61" s="943"/>
      <c r="J61" s="943"/>
    </row>
    <row r="62" spans="2:10" x14ac:dyDescent="0.25">
      <c r="B62" s="943"/>
      <c r="C62" s="943"/>
      <c r="D62" s="943"/>
      <c r="E62" s="943"/>
      <c r="F62" s="943"/>
      <c r="G62" s="943"/>
      <c r="H62" s="943"/>
      <c r="I62" s="943"/>
      <c r="J62" s="943"/>
    </row>
    <row r="63" spans="2:10" x14ac:dyDescent="0.25">
      <c r="B63" s="943"/>
      <c r="C63" s="943"/>
      <c r="D63" s="943"/>
      <c r="E63" s="943"/>
      <c r="F63" s="943"/>
      <c r="G63" s="943"/>
      <c r="H63" s="943"/>
      <c r="I63" s="943"/>
      <c r="J63" s="943"/>
    </row>
    <row r="64" spans="2:10" x14ac:dyDescent="0.25">
      <c r="B64" s="943"/>
      <c r="C64" s="943"/>
      <c r="D64" s="943"/>
      <c r="E64" s="943"/>
      <c r="F64" s="943"/>
      <c r="G64" s="943"/>
      <c r="H64" s="943"/>
      <c r="I64" s="943"/>
      <c r="J64" s="943"/>
    </row>
    <row r="65" spans="2:10" x14ac:dyDescent="0.25">
      <c r="B65" s="943"/>
      <c r="C65" s="943"/>
      <c r="D65" s="943"/>
      <c r="E65" s="943"/>
      <c r="F65" s="943"/>
      <c r="G65" s="943"/>
      <c r="H65" s="943"/>
      <c r="I65" s="943"/>
      <c r="J65" s="943"/>
    </row>
    <row r="66" spans="2:10" x14ac:dyDescent="0.25">
      <c r="B66" s="943"/>
      <c r="C66" s="943"/>
      <c r="D66" s="943"/>
      <c r="E66" s="943"/>
      <c r="F66" s="943"/>
      <c r="G66" s="943"/>
      <c r="H66" s="943"/>
      <c r="I66" s="943"/>
      <c r="J66" s="943"/>
    </row>
    <row r="67" spans="2:10" x14ac:dyDescent="0.25">
      <c r="B67" s="943"/>
      <c r="C67" s="943"/>
      <c r="D67" s="943"/>
      <c r="E67" s="943"/>
      <c r="F67" s="943"/>
      <c r="G67" s="943"/>
      <c r="H67" s="943"/>
      <c r="I67" s="943"/>
      <c r="J67" s="943"/>
    </row>
    <row r="68" spans="2:10" x14ac:dyDescent="0.25">
      <c r="B68" s="943"/>
      <c r="C68" s="943"/>
      <c r="D68" s="943"/>
      <c r="E68" s="943"/>
      <c r="F68" s="943"/>
      <c r="G68" s="943"/>
      <c r="H68" s="943"/>
      <c r="I68" s="943"/>
      <c r="J68" s="943"/>
    </row>
    <row r="69" spans="2:10" x14ac:dyDescent="0.25">
      <c r="B69" s="943"/>
      <c r="C69" s="943"/>
      <c r="D69" s="943"/>
      <c r="E69" s="943"/>
      <c r="F69" s="943"/>
      <c r="G69" s="943"/>
      <c r="H69" s="943"/>
      <c r="I69" s="943"/>
      <c r="J69" s="943"/>
    </row>
    <row r="70" spans="2:10" x14ac:dyDescent="0.25">
      <c r="B70" s="943"/>
      <c r="C70" s="943"/>
      <c r="D70" s="943"/>
      <c r="E70" s="943"/>
      <c r="F70" s="943"/>
      <c r="G70" s="943"/>
      <c r="H70" s="943"/>
      <c r="I70" s="943"/>
      <c r="J70" s="943"/>
    </row>
    <row r="71" spans="2:10" x14ac:dyDescent="0.25">
      <c r="B71" s="943"/>
      <c r="C71" s="943"/>
      <c r="D71" s="943"/>
      <c r="E71" s="943"/>
      <c r="F71" s="943"/>
      <c r="G71" s="943"/>
      <c r="H71" s="943"/>
      <c r="I71" s="943"/>
      <c r="J71" s="943"/>
    </row>
    <row r="72" spans="2:10" x14ac:dyDescent="0.25">
      <c r="B72" s="943"/>
      <c r="C72" s="943"/>
      <c r="D72" s="943"/>
      <c r="E72" s="943"/>
      <c r="F72" s="943"/>
      <c r="G72" s="943"/>
      <c r="H72" s="943"/>
      <c r="I72" s="943"/>
      <c r="J72" s="943"/>
    </row>
    <row r="73" spans="2:10" x14ac:dyDescent="0.25">
      <c r="B73" s="943"/>
      <c r="C73" s="943"/>
      <c r="D73" s="943"/>
      <c r="E73" s="943"/>
      <c r="F73" s="943"/>
      <c r="G73" s="943"/>
      <c r="H73" s="943"/>
      <c r="I73" s="943"/>
      <c r="J73" s="943"/>
    </row>
    <row r="74" spans="2:10" x14ac:dyDescent="0.25">
      <c r="B74" s="943"/>
      <c r="C74" s="943"/>
      <c r="D74" s="943"/>
      <c r="E74" s="943"/>
      <c r="F74" s="943"/>
      <c r="G74" s="943"/>
      <c r="H74" s="943"/>
      <c r="I74" s="943"/>
      <c r="J74" s="943"/>
    </row>
    <row r="75" spans="2:10" x14ac:dyDescent="0.25">
      <c r="B75" s="943"/>
      <c r="C75" s="943"/>
      <c r="D75" s="943"/>
      <c r="E75" s="943"/>
      <c r="F75" s="943"/>
      <c r="G75" s="943"/>
      <c r="H75" s="943"/>
      <c r="I75" s="943"/>
      <c r="J75" s="943"/>
    </row>
    <row r="76" spans="2:10" x14ac:dyDescent="0.25">
      <c r="B76" s="943"/>
      <c r="C76" s="943"/>
      <c r="D76" s="943"/>
      <c r="E76" s="943"/>
      <c r="F76" s="943"/>
      <c r="G76" s="943"/>
      <c r="H76" s="943"/>
      <c r="I76" s="943"/>
      <c r="J76" s="943"/>
    </row>
    <row r="77" spans="2:10" x14ac:dyDescent="0.25">
      <c r="B77" s="943"/>
      <c r="C77" s="943"/>
      <c r="D77" s="943"/>
      <c r="E77" s="943"/>
      <c r="F77" s="943"/>
      <c r="G77" s="943"/>
      <c r="H77" s="943"/>
      <c r="I77" s="943"/>
      <c r="J77" s="943"/>
    </row>
    <row r="78" spans="2:10" x14ac:dyDescent="0.25">
      <c r="B78" s="943"/>
      <c r="C78" s="943"/>
      <c r="D78" s="943"/>
      <c r="E78" s="943"/>
      <c r="F78" s="943"/>
      <c r="G78" s="943"/>
      <c r="H78" s="943"/>
      <c r="I78" s="943"/>
      <c r="J78" s="943"/>
    </row>
    <row r="80" spans="2:10" x14ac:dyDescent="0.25">
      <c r="B80" s="940" t="s">
        <v>3834</v>
      </c>
      <c r="C80" s="940"/>
      <c r="D80" s="940"/>
      <c r="E80" s="940"/>
      <c r="F80" s="941" t="s">
        <v>3831</v>
      </c>
      <c r="G80" s="941"/>
      <c r="H80" s="941"/>
      <c r="I80" s="941"/>
      <c r="J80" s="941"/>
    </row>
    <row r="81" spans="2:10" x14ac:dyDescent="0.25">
      <c r="B81" s="940"/>
      <c r="C81" s="940"/>
      <c r="D81" s="940"/>
      <c r="E81" s="940"/>
      <c r="F81" s="941"/>
      <c r="G81" s="941"/>
      <c r="H81" s="941"/>
      <c r="I81" s="941"/>
      <c r="J81" s="941"/>
    </row>
    <row r="82" spans="2:10" x14ac:dyDescent="0.25">
      <c r="B82" s="940"/>
      <c r="C82" s="940"/>
      <c r="D82" s="940"/>
      <c r="E82" s="940"/>
      <c r="F82" s="941"/>
      <c r="G82" s="941"/>
      <c r="H82" s="941"/>
      <c r="I82" s="941"/>
      <c r="J82" s="941"/>
    </row>
    <row r="83" spans="2:10" x14ac:dyDescent="0.25">
      <c r="B83" s="940"/>
      <c r="C83" s="940"/>
      <c r="D83" s="940"/>
      <c r="E83" s="940"/>
      <c r="F83" s="941"/>
      <c r="G83" s="941"/>
      <c r="H83" s="941"/>
      <c r="I83" s="941"/>
      <c r="J83" s="941"/>
    </row>
    <row r="84" spans="2:10" x14ac:dyDescent="0.25">
      <c r="B84" s="940"/>
      <c r="C84" s="940"/>
      <c r="D84" s="940"/>
      <c r="E84" s="940"/>
      <c r="F84" s="941"/>
      <c r="G84" s="941"/>
      <c r="H84" s="941"/>
      <c r="I84" s="941"/>
      <c r="J84" s="941"/>
    </row>
    <row r="85" spans="2:10" x14ac:dyDescent="0.25">
      <c r="B85" s="940"/>
      <c r="C85" s="940"/>
      <c r="D85" s="940"/>
      <c r="E85" s="940"/>
      <c r="F85" s="941"/>
      <c r="G85" s="941"/>
      <c r="H85" s="941"/>
      <c r="I85" s="941"/>
      <c r="J85" s="941"/>
    </row>
    <row r="86" spans="2:10" x14ac:dyDescent="0.25">
      <c r="B86" s="940"/>
      <c r="C86" s="940"/>
      <c r="D86" s="940"/>
      <c r="E86" s="940"/>
      <c r="F86" s="941"/>
      <c r="G86" s="941"/>
      <c r="H86" s="941"/>
      <c r="I86" s="941"/>
      <c r="J86" s="941"/>
    </row>
    <row r="87" spans="2:10" x14ac:dyDescent="0.25">
      <c r="B87" s="940"/>
      <c r="C87" s="940"/>
      <c r="D87" s="940"/>
      <c r="E87" s="940"/>
      <c r="F87" s="941"/>
      <c r="G87" s="941"/>
      <c r="H87" s="941"/>
      <c r="I87" s="941"/>
      <c r="J87" s="941"/>
    </row>
    <row r="88" spans="2:10" x14ac:dyDescent="0.25">
      <c r="B88" s="940"/>
      <c r="C88" s="940"/>
      <c r="D88" s="940"/>
      <c r="E88" s="940"/>
      <c r="F88" s="941"/>
      <c r="G88" s="941"/>
      <c r="H88" s="941"/>
      <c r="I88" s="941"/>
      <c r="J88" s="941"/>
    </row>
    <row r="90" spans="2:10" ht="15" x14ac:dyDescent="0.25">
      <c r="B90" s="937" t="s">
        <v>3835</v>
      </c>
      <c r="C90" s="937"/>
      <c r="D90" s="937"/>
      <c r="E90" s="937"/>
      <c r="F90" s="937"/>
      <c r="G90" s="937"/>
      <c r="H90" s="937"/>
      <c r="I90" s="937"/>
      <c r="J90" s="937"/>
    </row>
  </sheetData>
  <mergeCells count="6">
    <mergeCell ref="B90:J90"/>
    <mergeCell ref="B1:C5"/>
    <mergeCell ref="D1:J5"/>
    <mergeCell ref="B80:E88"/>
    <mergeCell ref="F80:J88"/>
    <mergeCell ref="B7:J78"/>
  </mergeCells>
  <printOptions horizontalCentered="1"/>
  <pageMargins left="0" right="0" top="0" bottom="0" header="0" footer="0"/>
  <pageSetup scale="62"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30</vt:i4>
      </vt:variant>
    </vt:vector>
  </HeadingPairs>
  <TitlesOfParts>
    <vt:vector size="65" baseType="lpstr">
      <vt:lpstr>DATA SHEET</vt:lpstr>
      <vt:lpstr>STATEMENTS</vt:lpstr>
      <vt:lpstr>ABOUT</vt:lpstr>
      <vt:lpstr>P &amp; L ASSUMPTIONS</vt:lpstr>
      <vt:lpstr>PROFIT &amp; LOSS</vt:lpstr>
      <vt:lpstr>BALANCE SHEET ASSUMPTION</vt:lpstr>
      <vt:lpstr>BALANCE SHEET</vt:lpstr>
      <vt:lpstr>CASH FLOW ASSUMPTION</vt:lpstr>
      <vt:lpstr>CASH FLOW STATEMENT</vt:lpstr>
      <vt:lpstr>COMMON SIZE STATEMENT</vt:lpstr>
      <vt:lpstr>FORECASTING SIMPLIFY</vt:lpstr>
      <vt:lpstr>REGRESSION BETA</vt:lpstr>
      <vt:lpstr>COMPS. REGRESSION BETA</vt:lpstr>
      <vt:lpstr>WACC</vt:lpstr>
      <vt:lpstr>INTRINSIC GROWTH</vt:lpstr>
      <vt:lpstr>PV OF FCFF</vt:lpstr>
      <vt:lpstr>RELATIVE VALUATION</vt:lpstr>
      <vt:lpstr>RATIO ANALYSIS</vt:lpstr>
      <vt:lpstr>VAR</vt:lpstr>
      <vt:lpstr>ALTMAN'S Z SCORE</vt:lpstr>
      <vt:lpstr>DUPONT ANALYSIS</vt:lpstr>
      <vt:lpstr>FOOTBALL FIELD ANALYSIS</vt:lpstr>
      <vt:lpstr>EQUITY RESEARCH REPORT</vt:lpstr>
      <vt:lpstr>CALCULATION</vt:lpstr>
      <vt:lpstr>COVER</vt:lpstr>
      <vt:lpstr>BUSINESS DESCRIPTION</vt:lpstr>
      <vt:lpstr>COMPETETIVE POSITION</vt:lpstr>
      <vt:lpstr>WIPRO'S PRESENSE</vt:lpstr>
      <vt:lpstr>YEARLY STATEMENT ANALYSIS</vt:lpstr>
      <vt:lpstr>PEER STOCK PERFORMANCE</vt:lpstr>
      <vt:lpstr>RATIO ANALYSIS &amp; DCF</vt:lpstr>
      <vt:lpstr>GDP ESTIMATION</vt:lpstr>
      <vt:lpstr>CONCALL</vt:lpstr>
      <vt:lpstr>ANALYST COVERAGE</vt:lpstr>
      <vt:lpstr>FINAL CONCLUSION</vt:lpstr>
      <vt:lpstr>ABOUT!Print_Area</vt:lpstr>
      <vt:lpstr>'ALTMAN''S Z SCORE'!Print_Area</vt:lpstr>
      <vt:lpstr>'ANALYST COVERAGE'!Print_Area</vt:lpstr>
      <vt:lpstr>'BALANCE SHEET'!Print_Area</vt:lpstr>
      <vt:lpstr>'BALANCE SHEET ASSUMPTION'!Print_Area</vt:lpstr>
      <vt:lpstr>'BUSINESS DESCRIPTION'!Print_Area</vt:lpstr>
      <vt:lpstr>'CASH FLOW ASSUMPTION'!Print_Area</vt:lpstr>
      <vt:lpstr>'CASH FLOW STATEMENT'!Print_Area</vt:lpstr>
      <vt:lpstr>'COMMON SIZE STATEMENT'!Print_Area</vt:lpstr>
      <vt:lpstr>'COMPETETIVE POSITION'!Print_Area</vt:lpstr>
      <vt:lpstr>CONCALL!Print_Area</vt:lpstr>
      <vt:lpstr>COVER!Print_Area</vt:lpstr>
      <vt:lpstr>'DUPONT ANALYSIS'!Print_Area</vt:lpstr>
      <vt:lpstr>'FINAL CONCLUSION'!Print_Area</vt:lpstr>
      <vt:lpstr>'FOOTBALL FIELD ANALYSIS'!Print_Area</vt:lpstr>
      <vt:lpstr>'FORECASTING SIMPLIFY'!Print_Area</vt:lpstr>
      <vt:lpstr>'GDP ESTIMATION'!Print_Area</vt:lpstr>
      <vt:lpstr>'INTRINSIC GROWTH'!Print_Area</vt:lpstr>
      <vt:lpstr>'P &amp; L ASSUMPTIONS'!Print_Area</vt:lpstr>
      <vt:lpstr>'PEER STOCK PERFORMANCE'!Print_Area</vt:lpstr>
      <vt:lpstr>'PROFIT &amp; LOSS'!Print_Area</vt:lpstr>
      <vt:lpstr>'PV OF FCFF'!Print_Area</vt:lpstr>
      <vt:lpstr>'RATIO ANALYSIS'!Print_Area</vt:lpstr>
      <vt:lpstr>'RATIO ANALYSIS &amp; DCF'!Print_Area</vt:lpstr>
      <vt:lpstr>'REGRESSION BETA'!Print_Area</vt:lpstr>
      <vt:lpstr>'RELATIVE VALUATION'!Print_Area</vt:lpstr>
      <vt:lpstr>VAR!Print_Area</vt:lpstr>
      <vt:lpstr>WACC!Print_Area</vt:lpstr>
      <vt:lpstr>'WIPRO''S PRESENSE'!Print_Area</vt:lpstr>
      <vt:lpstr>'YEARLY STATEMENT 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Wagh</dc:creator>
  <cp:lastModifiedBy>SHARWIN WAGH</cp:lastModifiedBy>
  <cp:lastPrinted>2026-05-26T11:12:48Z</cp:lastPrinted>
  <dcterms:created xsi:type="dcterms:W3CDTF">2026-02-08T09:01:53Z</dcterms:created>
  <dcterms:modified xsi:type="dcterms:W3CDTF">2026-05-29T20:28:14Z</dcterms:modified>
</cp:coreProperties>
</file>