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ashank/Desktop/BIG/"/>
    </mc:Choice>
  </mc:AlternateContent>
  <bookViews>
    <workbookView xWindow="0" yWindow="0" windowWidth="28800" windowHeight="18000" tabRatio="500" activeTab="1"/>
  </bookViews>
  <sheets>
    <sheet name="Revenue Build" sheetId="1" r:id="rId1"/>
    <sheet name="Income Statement" sheetId="2" r:id="rId2"/>
    <sheet name="Balance Sheet" sheetId="4" r:id="rId3"/>
    <sheet name="cash flow" sheetId="5" r:id="rId4"/>
    <sheet name="DCF" sheetId="6" r:id="rId5"/>
    <sheet name="Historical Multiples" sheetId="7" r:id="rId6"/>
    <sheet name="Multiple Pricing" sheetId="8" r:id="rId7"/>
    <sheet name="Comparables" sheetId="10" r:id="rId8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6" l="1"/>
  <c r="C34" i="6"/>
  <c r="C35" i="6"/>
  <c r="C36" i="6"/>
  <c r="C37" i="6"/>
  <c r="C39" i="6"/>
  <c r="J30" i="6"/>
  <c r="D30" i="6"/>
  <c r="D34" i="6"/>
  <c r="D35" i="6"/>
  <c r="D36" i="6"/>
  <c r="D37" i="6"/>
  <c r="D39" i="6"/>
  <c r="E30" i="6"/>
  <c r="E34" i="6"/>
  <c r="E35" i="6"/>
  <c r="E36" i="6"/>
  <c r="E37" i="6"/>
  <c r="E39" i="6"/>
  <c r="F30" i="6"/>
  <c r="F34" i="6"/>
  <c r="F35" i="6"/>
  <c r="F36" i="6"/>
  <c r="F37" i="6"/>
  <c r="F39" i="6"/>
  <c r="G30" i="6"/>
  <c r="G34" i="6"/>
  <c r="G35" i="6"/>
  <c r="G36" i="6"/>
  <c r="G37" i="6"/>
  <c r="G39" i="6"/>
  <c r="J23" i="6"/>
  <c r="J24" i="6"/>
  <c r="J25" i="6"/>
  <c r="J34" i="6"/>
  <c r="J35" i="6"/>
  <c r="J36" i="6"/>
  <c r="J28" i="6"/>
  <c r="J37" i="6"/>
  <c r="J39" i="6"/>
  <c r="C42" i="6"/>
  <c r="C45" i="6"/>
  <c r="C47" i="6"/>
  <c r="C49" i="6"/>
  <c r="C43" i="6"/>
  <c r="J33" i="6"/>
  <c r="C33" i="6"/>
  <c r="D32" i="6"/>
  <c r="D31" i="6"/>
  <c r="C28" i="6"/>
  <c r="C27" i="6"/>
  <c r="C24" i="6"/>
  <c r="C9" i="6"/>
  <c r="C72" i="4"/>
  <c r="D69" i="4"/>
  <c r="C20" i="2"/>
  <c r="I67" i="4"/>
  <c r="D67" i="4"/>
  <c r="I16" i="4"/>
  <c r="I17" i="4"/>
  <c r="I65" i="4"/>
  <c r="D66" i="4"/>
  <c r="I17" i="5"/>
  <c r="M11" i="10"/>
  <c r="E32" i="8"/>
  <c r="E19" i="8"/>
  <c r="E8" i="8"/>
  <c r="E35" i="8"/>
  <c r="E10" i="8"/>
  <c r="E21" i="8"/>
  <c r="E34" i="8"/>
  <c r="E38" i="8"/>
  <c r="G33" i="8"/>
  <c r="E39" i="8"/>
  <c r="E22" i="8"/>
  <c r="E23" i="8"/>
  <c r="E24" i="8"/>
  <c r="E25" i="8"/>
  <c r="E28" i="8"/>
  <c r="I25" i="5"/>
  <c r="I29" i="5"/>
  <c r="I32" i="5"/>
  <c r="I48" i="5"/>
  <c r="I50" i="5"/>
  <c r="I10" i="4"/>
  <c r="C44" i="6"/>
  <c r="E11" i="8"/>
  <c r="E14" i="8"/>
  <c r="G9" i="8"/>
  <c r="L11" i="10"/>
  <c r="J11" i="10"/>
  <c r="I11" i="10"/>
  <c r="K11" i="10"/>
  <c r="H11" i="10"/>
  <c r="C11" i="10"/>
  <c r="D11" i="10"/>
  <c r="E11" i="10"/>
  <c r="F11" i="10"/>
  <c r="G11" i="10"/>
  <c r="B11" i="10"/>
  <c r="C14" i="7"/>
  <c r="C16" i="7"/>
  <c r="C15" i="7"/>
  <c r="E14" i="7"/>
  <c r="F14" i="7"/>
  <c r="G14" i="7"/>
  <c r="D14" i="7"/>
  <c r="E16" i="7"/>
  <c r="F16" i="7"/>
  <c r="G16" i="7"/>
  <c r="D16" i="7"/>
  <c r="E15" i="7"/>
  <c r="F15" i="7"/>
  <c r="G15" i="7"/>
  <c r="D15" i="7"/>
  <c r="C25" i="6"/>
  <c r="C31" i="6"/>
  <c r="I72" i="4"/>
  <c r="J73" i="4"/>
  <c r="J75" i="4"/>
  <c r="J67" i="4"/>
  <c r="J29" i="5"/>
  <c r="D26" i="6"/>
  <c r="I18" i="4"/>
  <c r="J65" i="4"/>
  <c r="J11" i="5"/>
  <c r="D25" i="6"/>
  <c r="D28" i="6"/>
  <c r="J16" i="4"/>
  <c r="J17" i="4"/>
  <c r="J18" i="4"/>
  <c r="K65" i="4"/>
  <c r="K11" i="5"/>
  <c r="E25" i="6"/>
  <c r="J32" i="5"/>
  <c r="J25" i="5"/>
  <c r="J48" i="5"/>
  <c r="J49" i="5"/>
  <c r="J50" i="5"/>
  <c r="J10" i="4"/>
  <c r="J72" i="4"/>
  <c r="K73" i="4"/>
  <c r="K75" i="4"/>
  <c r="K67" i="4"/>
  <c r="K29" i="5"/>
  <c r="E26" i="6"/>
  <c r="E28" i="6"/>
  <c r="K16" i="4"/>
  <c r="K17" i="4"/>
  <c r="K18" i="4"/>
  <c r="L65" i="4"/>
  <c r="L11" i="5"/>
  <c r="F25" i="6"/>
  <c r="K25" i="5"/>
  <c r="K32" i="5"/>
  <c r="K48" i="5"/>
  <c r="K49" i="5"/>
  <c r="K50" i="5"/>
  <c r="K10" i="4"/>
  <c r="K72" i="4"/>
  <c r="L73" i="4"/>
  <c r="L75" i="4"/>
  <c r="L67" i="4"/>
  <c r="L29" i="5"/>
  <c r="F26" i="6"/>
  <c r="F28" i="6"/>
  <c r="L16" i="4"/>
  <c r="L17" i="4"/>
  <c r="L18" i="4"/>
  <c r="M65" i="4"/>
  <c r="M11" i="5"/>
  <c r="G25" i="6"/>
  <c r="L25" i="5"/>
  <c r="L32" i="5"/>
  <c r="L48" i="5"/>
  <c r="L49" i="5"/>
  <c r="L50" i="5"/>
  <c r="L10" i="4"/>
  <c r="L72" i="4"/>
  <c r="M73" i="4"/>
  <c r="M75" i="4"/>
  <c r="M67" i="4"/>
  <c r="M29" i="5"/>
  <c r="G26" i="6"/>
  <c r="G28" i="6"/>
  <c r="C26" i="6"/>
  <c r="L29" i="6"/>
  <c r="L19" i="6"/>
  <c r="L9" i="6"/>
  <c r="C46" i="6"/>
  <c r="I36" i="4"/>
  <c r="J36" i="4"/>
  <c r="K36" i="4"/>
  <c r="L36" i="4"/>
  <c r="D33" i="6"/>
  <c r="E33" i="6"/>
  <c r="F33" i="6"/>
  <c r="G33" i="6"/>
  <c r="E32" i="6"/>
  <c r="F32" i="6"/>
  <c r="G32" i="6"/>
  <c r="J32" i="6"/>
  <c r="C32" i="6"/>
  <c r="E31" i="6"/>
  <c r="F31" i="6"/>
  <c r="G31" i="6"/>
  <c r="J31" i="6"/>
  <c r="C7" i="6"/>
  <c r="G24" i="6"/>
  <c r="I70" i="4"/>
  <c r="I69" i="4"/>
  <c r="I73" i="4"/>
  <c r="I75" i="4"/>
  <c r="I27" i="2"/>
  <c r="I31" i="2"/>
  <c r="I36" i="2"/>
  <c r="I38" i="2"/>
  <c r="I39" i="2"/>
  <c r="I46" i="4"/>
  <c r="I48" i="4"/>
  <c r="I10" i="5"/>
  <c r="I12" i="4"/>
  <c r="I21" i="5"/>
  <c r="I44" i="5"/>
  <c r="I46" i="5"/>
  <c r="J70" i="4"/>
  <c r="J69" i="4"/>
  <c r="J27" i="2"/>
  <c r="J31" i="2"/>
  <c r="J36" i="2"/>
  <c r="J38" i="2"/>
  <c r="J39" i="2"/>
  <c r="J46" i="4"/>
  <c r="J48" i="4"/>
  <c r="J12" i="4"/>
  <c r="J21" i="5"/>
  <c r="J10" i="5"/>
  <c r="J44" i="5"/>
  <c r="J46" i="5"/>
  <c r="K70" i="4"/>
  <c r="K69" i="4"/>
  <c r="K27" i="2"/>
  <c r="K31" i="2"/>
  <c r="K36" i="2"/>
  <c r="K38" i="2"/>
  <c r="K39" i="2"/>
  <c r="K46" i="4"/>
  <c r="K48" i="4"/>
  <c r="K10" i="5"/>
  <c r="K12" i="4"/>
  <c r="K21" i="5"/>
  <c r="K44" i="5"/>
  <c r="K46" i="5"/>
  <c r="L70" i="4"/>
  <c r="L69" i="4"/>
  <c r="L27" i="2"/>
  <c r="L31" i="2"/>
  <c r="L36" i="2"/>
  <c r="L38" i="2"/>
  <c r="L39" i="2"/>
  <c r="L46" i="4"/>
  <c r="L48" i="4"/>
  <c r="L10" i="5"/>
  <c r="L12" i="4"/>
  <c r="L21" i="5"/>
  <c r="L44" i="5"/>
  <c r="L46" i="5"/>
  <c r="M70" i="4"/>
  <c r="M69" i="4"/>
  <c r="G27" i="6"/>
  <c r="I37" i="5"/>
  <c r="M36" i="4"/>
  <c r="M27" i="2"/>
  <c r="M31" i="2"/>
  <c r="M10" i="5"/>
  <c r="M12" i="5"/>
  <c r="M17" i="5"/>
  <c r="M18" i="5"/>
  <c r="M19" i="5"/>
  <c r="M20" i="5"/>
  <c r="M12" i="4"/>
  <c r="M21" i="5"/>
  <c r="M23" i="5"/>
  <c r="M25" i="5"/>
  <c r="M32" i="5"/>
  <c r="M36" i="2"/>
  <c r="M38" i="2"/>
  <c r="M39" i="2"/>
  <c r="M44" i="5"/>
  <c r="M46" i="5"/>
  <c r="M48" i="5"/>
  <c r="M49" i="5"/>
  <c r="M50" i="5"/>
  <c r="M29" i="4"/>
  <c r="M30" i="4"/>
  <c r="M31" i="4"/>
  <c r="M32" i="4"/>
  <c r="M34" i="4"/>
  <c r="M37" i="4"/>
  <c r="M38" i="4"/>
  <c r="M39" i="4"/>
  <c r="M41" i="4"/>
  <c r="M45" i="4"/>
  <c r="M46" i="4"/>
  <c r="M47" i="4"/>
  <c r="M48" i="4"/>
  <c r="M50" i="4"/>
  <c r="M10" i="4"/>
  <c r="M14" i="4"/>
  <c r="M16" i="4"/>
  <c r="M17" i="4"/>
  <c r="M18" i="4"/>
  <c r="M22" i="4"/>
  <c r="M24" i="4"/>
  <c r="M52" i="4"/>
  <c r="M11" i="4"/>
  <c r="M13" i="4"/>
  <c r="M19" i="4"/>
  <c r="M20" i="4"/>
  <c r="M21" i="4"/>
  <c r="M72" i="4"/>
  <c r="M55" i="4"/>
  <c r="M59" i="4"/>
  <c r="M60" i="4"/>
  <c r="M63" i="4"/>
  <c r="M66" i="4"/>
  <c r="M76" i="4"/>
  <c r="I34" i="4"/>
  <c r="I32" i="4"/>
  <c r="I31" i="4"/>
  <c r="I30" i="4"/>
  <c r="I19" i="4"/>
  <c r="I20" i="4"/>
  <c r="I21" i="4"/>
  <c r="I76" i="4"/>
  <c r="I19" i="5"/>
  <c r="I20" i="5"/>
  <c r="I22" i="4"/>
  <c r="H18" i="4"/>
  <c r="I13" i="4"/>
  <c r="I11" i="4"/>
  <c r="I18" i="5"/>
  <c r="I11" i="5"/>
  <c r="I12" i="5"/>
  <c r="H46" i="5"/>
  <c r="H50" i="4"/>
  <c r="H48" i="4"/>
  <c r="H41" i="4"/>
  <c r="H76" i="4"/>
  <c r="H75" i="4"/>
  <c r="H73" i="4"/>
  <c r="H70" i="4"/>
  <c r="H69" i="4"/>
  <c r="H67" i="4"/>
  <c r="H63" i="4"/>
  <c r="H62" i="4"/>
  <c r="H61" i="4"/>
  <c r="H60" i="4"/>
  <c r="H59" i="4"/>
  <c r="H58" i="4"/>
  <c r="H57" i="4"/>
  <c r="H56" i="4"/>
  <c r="H55" i="4"/>
  <c r="M35" i="2"/>
  <c r="M33" i="2"/>
  <c r="M32" i="2"/>
  <c r="M29" i="2"/>
  <c r="M26" i="2"/>
  <c r="M21" i="2"/>
  <c r="M20" i="2"/>
  <c r="M19" i="2"/>
  <c r="M17" i="2"/>
  <c r="M16" i="2"/>
  <c r="G40" i="2"/>
  <c r="H40" i="2"/>
  <c r="F40" i="2"/>
  <c r="H31" i="2"/>
  <c r="H26" i="2"/>
  <c r="H19" i="2"/>
  <c r="H29" i="2"/>
  <c r="H28" i="2"/>
  <c r="I21" i="2"/>
  <c r="H20" i="2"/>
  <c r="H17" i="2"/>
  <c r="M13" i="2"/>
  <c r="M12" i="2"/>
  <c r="M11" i="2"/>
  <c r="M9" i="2"/>
  <c r="M8" i="2"/>
  <c r="I13" i="2"/>
  <c r="H13" i="2"/>
  <c r="H12" i="2"/>
  <c r="I12" i="2"/>
  <c r="I11" i="2"/>
  <c r="M17" i="1"/>
  <c r="M14" i="1"/>
  <c r="M13" i="1"/>
  <c r="M12" i="1"/>
  <c r="M11" i="1"/>
  <c r="K11" i="1"/>
  <c r="I11" i="1"/>
  <c r="I12" i="1"/>
  <c r="J8" i="1"/>
  <c r="J11" i="1"/>
  <c r="J12" i="1"/>
  <c r="K8" i="1"/>
  <c r="K12" i="1"/>
  <c r="L8" i="1"/>
  <c r="L11" i="1"/>
  <c r="L12" i="1"/>
  <c r="M8" i="1"/>
  <c r="H15" i="1"/>
  <c r="H14" i="1"/>
  <c r="H13" i="1"/>
  <c r="H12" i="1"/>
  <c r="H11" i="1"/>
  <c r="G15" i="1"/>
  <c r="D9" i="7"/>
  <c r="E9" i="7"/>
  <c r="F9" i="7"/>
  <c r="G9" i="7"/>
  <c r="C9" i="7"/>
  <c r="H8" i="2"/>
  <c r="I8" i="1"/>
  <c r="I14" i="1"/>
  <c r="I17" i="1"/>
  <c r="I8" i="2"/>
  <c r="I17" i="2"/>
  <c r="I16" i="2"/>
  <c r="I19" i="2"/>
  <c r="H39" i="2"/>
  <c r="H32" i="5"/>
  <c r="I55" i="4"/>
  <c r="I59" i="4"/>
  <c r="J14" i="1"/>
  <c r="J17" i="1"/>
  <c r="J8" i="2"/>
  <c r="J13" i="2"/>
  <c r="J12" i="2"/>
  <c r="J17" i="2"/>
  <c r="J16" i="2"/>
  <c r="J19" i="2"/>
  <c r="D24" i="6"/>
  <c r="J76" i="4"/>
  <c r="I26" i="2"/>
  <c r="I43" i="5"/>
  <c r="I45" i="4"/>
  <c r="I47" i="4"/>
  <c r="I37" i="4"/>
  <c r="I60" i="4"/>
  <c r="I63" i="4"/>
  <c r="I38" i="4"/>
  <c r="I23" i="5"/>
  <c r="J11" i="2"/>
  <c r="J55" i="4"/>
  <c r="J11" i="4"/>
  <c r="J17" i="5"/>
  <c r="J13" i="4"/>
  <c r="J18" i="5"/>
  <c r="J30" i="4"/>
  <c r="J19" i="5"/>
  <c r="J59" i="4"/>
  <c r="J31" i="4"/>
  <c r="J20" i="5"/>
  <c r="D27" i="6"/>
  <c r="K14" i="1"/>
  <c r="K17" i="1"/>
  <c r="K8" i="2"/>
  <c r="K13" i="2"/>
  <c r="K12" i="2"/>
  <c r="K17" i="2"/>
  <c r="K16" i="2"/>
  <c r="K19" i="2"/>
  <c r="E24" i="6"/>
  <c r="K76" i="4"/>
  <c r="J26" i="2"/>
  <c r="J45" i="4"/>
  <c r="J47" i="4"/>
  <c r="J37" i="4"/>
  <c r="J12" i="5"/>
  <c r="J60" i="4"/>
  <c r="J32" i="4"/>
  <c r="J63" i="4"/>
  <c r="J38" i="4"/>
  <c r="J23" i="5"/>
  <c r="K11" i="2"/>
  <c r="K55" i="4"/>
  <c r="K11" i="4"/>
  <c r="K17" i="5"/>
  <c r="K13" i="4"/>
  <c r="K18" i="5"/>
  <c r="K30" i="4"/>
  <c r="K19" i="5"/>
  <c r="K59" i="4"/>
  <c r="K31" i="4"/>
  <c r="K20" i="5"/>
  <c r="E27" i="6"/>
  <c r="L14" i="1"/>
  <c r="L17" i="1"/>
  <c r="L8" i="2"/>
  <c r="L13" i="2"/>
  <c r="L12" i="2"/>
  <c r="L17" i="2"/>
  <c r="L16" i="2"/>
  <c r="L19" i="2"/>
  <c r="F24" i="6"/>
  <c r="L76" i="4"/>
  <c r="K26" i="2"/>
  <c r="K45" i="4"/>
  <c r="K47" i="4"/>
  <c r="K37" i="4"/>
  <c r="K12" i="5"/>
  <c r="K60" i="4"/>
  <c r="K32" i="4"/>
  <c r="K63" i="4"/>
  <c r="K38" i="4"/>
  <c r="K23" i="5"/>
  <c r="L11" i="2"/>
  <c r="L55" i="4"/>
  <c r="L11" i="4"/>
  <c r="L17" i="5"/>
  <c r="L13" i="4"/>
  <c r="L18" i="5"/>
  <c r="L30" i="4"/>
  <c r="L19" i="5"/>
  <c r="L59" i="4"/>
  <c r="L31" i="4"/>
  <c r="L20" i="5"/>
  <c r="F27" i="6"/>
  <c r="E26" i="8"/>
  <c r="E29" i="8"/>
  <c r="G20" i="8"/>
  <c r="E15" i="8"/>
  <c r="G25" i="5"/>
  <c r="G46" i="5"/>
  <c r="G48" i="5"/>
  <c r="G50" i="5"/>
  <c r="H49" i="5"/>
  <c r="G59" i="4"/>
  <c r="C52" i="4"/>
  <c r="J35" i="2"/>
  <c r="K35" i="2"/>
  <c r="L26" i="2"/>
  <c r="L35" i="2"/>
  <c r="G60" i="4"/>
  <c r="H34" i="4"/>
  <c r="C63" i="4"/>
  <c r="D63" i="4"/>
  <c r="E63" i="4"/>
  <c r="F63" i="4"/>
  <c r="G63" i="4"/>
  <c r="H39" i="4"/>
  <c r="C55" i="4"/>
  <c r="D55" i="4"/>
  <c r="E55" i="4"/>
  <c r="F55" i="4"/>
  <c r="G55" i="4"/>
  <c r="G65" i="4"/>
  <c r="G66" i="4"/>
  <c r="H22" i="4"/>
  <c r="G67" i="4"/>
  <c r="G75" i="4"/>
  <c r="G39" i="2"/>
  <c r="F39" i="2"/>
  <c r="E8" i="2"/>
  <c r="E12" i="2"/>
  <c r="E13" i="2"/>
  <c r="F8" i="2"/>
  <c r="F12" i="2"/>
  <c r="F13" i="2"/>
  <c r="G8" i="2"/>
  <c r="G12" i="2"/>
  <c r="G13" i="2"/>
  <c r="E17" i="2"/>
  <c r="F17" i="2"/>
  <c r="G17" i="2"/>
  <c r="G19" i="2"/>
  <c r="G48" i="4"/>
  <c r="G72" i="4"/>
  <c r="D8" i="2"/>
  <c r="D12" i="2"/>
  <c r="D19" i="2"/>
  <c r="D26" i="2"/>
  <c r="D28" i="2"/>
  <c r="D70" i="4"/>
  <c r="E19" i="2"/>
  <c r="E26" i="2"/>
  <c r="E28" i="2"/>
  <c r="E70" i="4"/>
  <c r="F19" i="2"/>
  <c r="F26" i="2"/>
  <c r="F28" i="2"/>
  <c r="F70" i="4"/>
  <c r="G26" i="2"/>
  <c r="G28" i="2"/>
  <c r="G70" i="4"/>
  <c r="C8" i="2"/>
  <c r="C12" i="2"/>
  <c r="C19" i="2"/>
  <c r="C26" i="2"/>
  <c r="C28" i="2"/>
  <c r="C70" i="4"/>
  <c r="F18" i="4"/>
  <c r="G18" i="4"/>
  <c r="H19" i="4"/>
  <c r="I39" i="4"/>
  <c r="I41" i="4"/>
  <c r="I50" i="4"/>
  <c r="J19" i="4"/>
  <c r="J20" i="4"/>
  <c r="J21" i="4"/>
  <c r="J29" i="4"/>
  <c r="J34" i="4"/>
  <c r="J39" i="4"/>
  <c r="J41" i="4"/>
  <c r="J50" i="4"/>
  <c r="K19" i="4"/>
  <c r="K20" i="4"/>
  <c r="K21" i="4"/>
  <c r="K29" i="4"/>
  <c r="K34" i="4"/>
  <c r="K39" i="4"/>
  <c r="K41" i="4"/>
  <c r="K50" i="4"/>
  <c r="L37" i="4"/>
  <c r="L12" i="5"/>
  <c r="L60" i="4"/>
  <c r="L32" i="4"/>
  <c r="L63" i="4"/>
  <c r="L38" i="4"/>
  <c r="L23" i="5"/>
  <c r="L19" i="4"/>
  <c r="L20" i="4"/>
  <c r="L21" i="4"/>
  <c r="L29" i="4"/>
  <c r="L34" i="4"/>
  <c r="L39" i="4"/>
  <c r="L41" i="4"/>
  <c r="L45" i="4"/>
  <c r="L47" i="4"/>
  <c r="L50" i="4"/>
  <c r="E67" i="4"/>
  <c r="E75" i="4"/>
  <c r="F67" i="4"/>
  <c r="F75" i="4"/>
  <c r="D75" i="4"/>
  <c r="E76" i="4"/>
  <c r="F76" i="4"/>
  <c r="G76" i="4"/>
  <c r="D76" i="4"/>
  <c r="E69" i="4"/>
  <c r="D48" i="4"/>
  <c r="D72" i="4"/>
  <c r="E73" i="4"/>
  <c r="F69" i="4"/>
  <c r="E48" i="4"/>
  <c r="E72" i="4"/>
  <c r="F73" i="4"/>
  <c r="G69" i="4"/>
  <c r="F48" i="4"/>
  <c r="F72" i="4"/>
  <c r="G73" i="4"/>
  <c r="C48" i="4"/>
  <c r="D73" i="4"/>
  <c r="E65" i="4"/>
  <c r="D18" i="4"/>
  <c r="E66" i="4"/>
  <c r="F65" i="4"/>
  <c r="E18" i="4"/>
  <c r="F66" i="4"/>
  <c r="D65" i="4"/>
  <c r="C18" i="4"/>
  <c r="C65" i="4"/>
  <c r="H36" i="2"/>
  <c r="E31" i="2"/>
  <c r="E36" i="2"/>
  <c r="C59" i="4"/>
  <c r="D58" i="4"/>
  <c r="E58" i="4"/>
  <c r="F58" i="4"/>
  <c r="G58" i="4"/>
  <c r="C58" i="4"/>
  <c r="D60" i="4"/>
  <c r="E60" i="4"/>
  <c r="F60" i="4"/>
  <c r="D62" i="4"/>
  <c r="E62" i="4"/>
  <c r="F62" i="4"/>
  <c r="G62" i="4"/>
  <c r="C62" i="4"/>
  <c r="D61" i="4"/>
  <c r="E61" i="4"/>
  <c r="F61" i="4"/>
  <c r="G61" i="4"/>
  <c r="C61" i="4"/>
  <c r="C60" i="4"/>
  <c r="D59" i="4"/>
  <c r="E59" i="4"/>
  <c r="F59" i="4"/>
  <c r="D57" i="4"/>
  <c r="E57" i="4"/>
  <c r="F57" i="4"/>
  <c r="G57" i="4"/>
  <c r="C57" i="4"/>
  <c r="F56" i="4"/>
  <c r="G56" i="4"/>
  <c r="F31" i="2"/>
  <c r="F36" i="2"/>
  <c r="G31" i="2"/>
  <c r="G36" i="2"/>
  <c r="C14" i="1"/>
  <c r="D25" i="5"/>
  <c r="D32" i="5"/>
  <c r="D46" i="5"/>
  <c r="D48" i="5"/>
  <c r="D50" i="5"/>
  <c r="C25" i="5"/>
  <c r="C32" i="5"/>
  <c r="C46" i="5"/>
  <c r="C48" i="5"/>
  <c r="C50" i="5"/>
  <c r="G32" i="5"/>
  <c r="F25" i="5"/>
  <c r="F32" i="5"/>
  <c r="F46" i="5"/>
  <c r="F48" i="5"/>
  <c r="F50" i="5"/>
  <c r="E25" i="5"/>
  <c r="E32" i="5"/>
  <c r="E46" i="5"/>
  <c r="E48" i="5"/>
  <c r="E50" i="5"/>
  <c r="D14" i="4"/>
  <c r="D22" i="4"/>
  <c r="D24" i="4"/>
  <c r="D34" i="4"/>
  <c r="D39" i="4"/>
  <c r="D41" i="4"/>
  <c r="D50" i="4"/>
  <c r="D52" i="4"/>
  <c r="E14" i="4"/>
  <c r="E22" i="4"/>
  <c r="E24" i="4"/>
  <c r="E34" i="4"/>
  <c r="E39" i="4"/>
  <c r="E41" i="4"/>
  <c r="E50" i="4"/>
  <c r="E52" i="4"/>
  <c r="F14" i="4"/>
  <c r="F22" i="4"/>
  <c r="F24" i="4"/>
  <c r="F34" i="4"/>
  <c r="F39" i="4"/>
  <c r="F41" i="4"/>
  <c r="F50" i="4"/>
  <c r="F52" i="4"/>
  <c r="G14" i="4"/>
  <c r="G22" i="4"/>
  <c r="G24" i="4"/>
  <c r="G34" i="4"/>
  <c r="G39" i="4"/>
  <c r="G41" i="4"/>
  <c r="G50" i="4"/>
  <c r="G52" i="4"/>
  <c r="C14" i="4"/>
  <c r="C22" i="4"/>
  <c r="C24" i="4"/>
  <c r="C34" i="4"/>
  <c r="C39" i="4"/>
  <c r="C41" i="4"/>
  <c r="C50" i="4"/>
  <c r="G14" i="1"/>
  <c r="F14" i="1"/>
  <c r="D14" i="1"/>
  <c r="E14" i="1"/>
  <c r="E15" i="1"/>
  <c r="F15" i="1"/>
  <c r="H33" i="2"/>
  <c r="I33" i="2"/>
  <c r="J33" i="2"/>
  <c r="K33" i="2"/>
  <c r="L33" i="2"/>
  <c r="H32" i="2"/>
  <c r="I32" i="2"/>
  <c r="J32" i="2"/>
  <c r="K32" i="2"/>
  <c r="L32" i="2"/>
  <c r="I29" i="2"/>
  <c r="J29" i="2"/>
  <c r="K29" i="2"/>
  <c r="L29" i="2"/>
  <c r="H21" i="2"/>
  <c r="J21" i="2"/>
  <c r="K21" i="2"/>
  <c r="L21" i="2"/>
  <c r="I20" i="2"/>
  <c r="J20" i="2"/>
  <c r="K20" i="2"/>
  <c r="L20" i="2"/>
  <c r="D17" i="2"/>
  <c r="D13" i="2"/>
  <c r="C13" i="2"/>
  <c r="D31" i="2"/>
  <c r="E33" i="2"/>
  <c r="F33" i="2"/>
  <c r="G33" i="2"/>
  <c r="C31" i="2"/>
  <c r="D33" i="2"/>
  <c r="D32" i="2"/>
  <c r="E32" i="2"/>
  <c r="F32" i="2"/>
  <c r="G32" i="2"/>
  <c r="C32" i="2"/>
  <c r="D29" i="2"/>
  <c r="E29" i="2"/>
  <c r="F29" i="2"/>
  <c r="G29" i="2"/>
  <c r="C29" i="2"/>
  <c r="E21" i="2"/>
  <c r="F21" i="2"/>
  <c r="G21" i="2"/>
  <c r="D21" i="2"/>
  <c r="D20" i="2"/>
  <c r="E20" i="2"/>
  <c r="F20" i="2"/>
  <c r="G20" i="2"/>
  <c r="C17" i="2"/>
  <c r="E9" i="2"/>
  <c r="F9" i="2"/>
  <c r="G9" i="2"/>
  <c r="H9" i="2"/>
  <c r="I9" i="2"/>
  <c r="J9" i="2"/>
  <c r="K9" i="2"/>
  <c r="L9" i="2"/>
  <c r="D9" i="2"/>
  <c r="C11" i="1"/>
  <c r="C12" i="1"/>
  <c r="D8" i="1"/>
  <c r="D11" i="1"/>
  <c r="D12" i="1"/>
  <c r="E8" i="1"/>
  <c r="E11" i="1"/>
  <c r="E12" i="1"/>
  <c r="F8" i="1"/>
  <c r="F11" i="1"/>
  <c r="F12" i="1"/>
  <c r="G8" i="1"/>
  <c r="G11" i="1"/>
  <c r="G12" i="1"/>
  <c r="H8" i="1"/>
  <c r="L13" i="1"/>
  <c r="E13" i="1"/>
  <c r="F13" i="1"/>
  <c r="G13" i="1"/>
  <c r="I13" i="1"/>
  <c r="J13" i="1"/>
  <c r="K13" i="1"/>
  <c r="D13" i="1"/>
  <c r="D15" i="1"/>
  <c r="H25" i="5"/>
  <c r="H48" i="5"/>
  <c r="H50" i="5"/>
  <c r="H65" i="4"/>
  <c r="H66" i="4"/>
  <c r="I66" i="4"/>
  <c r="H72" i="4"/>
  <c r="I49" i="5"/>
  <c r="J66" i="4"/>
  <c r="K66" i="4"/>
  <c r="L66" i="4"/>
  <c r="H14" i="4"/>
  <c r="I14" i="4"/>
  <c r="J14" i="4"/>
  <c r="K14" i="4"/>
  <c r="L14" i="4"/>
  <c r="J22" i="4"/>
  <c r="K22" i="4"/>
  <c r="L22" i="4"/>
  <c r="H24" i="4"/>
  <c r="I24" i="4"/>
  <c r="J24" i="4"/>
  <c r="K24" i="4"/>
  <c r="L24" i="4"/>
  <c r="H52" i="4"/>
  <c r="I52" i="4"/>
  <c r="J52" i="4"/>
  <c r="K52" i="4"/>
  <c r="L52" i="4"/>
</calcChain>
</file>

<file path=xl/sharedStrings.xml><?xml version="1.0" encoding="utf-8"?>
<sst xmlns="http://schemas.openxmlformats.org/spreadsheetml/2006/main" count="326" uniqueCount="219">
  <si>
    <t>Revenue Build</t>
  </si>
  <si>
    <t>Total stores at beginning of year</t>
  </si>
  <si>
    <t>stores opened</t>
  </si>
  <si>
    <t>stores closed</t>
  </si>
  <si>
    <t>net store increase</t>
  </si>
  <si>
    <t>stores at end of the year</t>
  </si>
  <si>
    <t>% change</t>
  </si>
  <si>
    <t>sales per store</t>
  </si>
  <si>
    <t>comparable sales growth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</si>
  <si>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</si>
  <si>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</si>
  <si>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</si>
  <si>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</si>
  <si>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</si>
  <si>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</si>
  <si>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</si>
  <si>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</si>
  <si>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</si>
  <si>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</si>
  <si>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DOLLAR GENERAL (DG)</t>
  </si>
  <si>
    <t>Total Revenue</t>
  </si>
  <si>
    <t>Income Statement</t>
  </si>
  <si>
    <t>Revenue</t>
  </si>
  <si>
    <t>% Growth</t>
  </si>
  <si>
    <t>Cost of goods sold</t>
  </si>
  <si>
    <t>Gross profit</t>
  </si>
  <si>
    <t>Selling, general and administrative expenses</t>
  </si>
  <si>
    <t>Interest expense</t>
  </si>
  <si>
    <t>Other (income) expense</t>
  </si>
  <si>
    <t>Income before income taxes</t>
  </si>
  <si>
    <t>Income tax expense</t>
  </si>
  <si>
    <t>Net income</t>
  </si>
  <si>
    <t>Operating Expenses</t>
  </si>
  <si>
    <t>% of Revenue</t>
  </si>
  <si>
    <t>Operating Income (EBIT)</t>
  </si>
  <si>
    <t>Operating Margin</t>
  </si>
  <si>
    <t>Net Margin</t>
  </si>
  <si>
    <t>Shares Outstanding - Diluted</t>
  </si>
  <si>
    <t>EPS</t>
  </si>
  <si>
    <t>Gross margin</t>
  </si>
  <si>
    <t>Tax rate as a % of revenue</t>
  </si>
  <si>
    <t>Tax rate as a % of Income before taxes</t>
  </si>
  <si>
    <t>Balance Sheet</t>
  </si>
  <si>
    <t>Accumulated Depreciation</t>
  </si>
  <si>
    <t>Deferred income taxes</t>
  </si>
  <si>
    <t>Total current liabilities</t>
  </si>
  <si>
    <t>Common stock</t>
  </si>
  <si>
    <t>Merchandise inventories</t>
  </si>
  <si>
    <t>Income taxes receivable</t>
  </si>
  <si>
    <t>Prepaid expenses and other current assets</t>
  </si>
  <si>
    <t>LIABILITIES AND SHAREHOLDERS’ EQUITY</t>
  </si>
  <si>
    <t>Long-term obligations</t>
  </si>
  <si>
    <t>Other liabilities</t>
  </si>
  <si>
    <t>Shareholders’ equity:</t>
  </si>
  <si>
    <t>Accumulated other comprehensive loss</t>
  </si>
  <si>
    <t>Total shareholders’ equity</t>
  </si>
  <si>
    <t>Retained Earnings</t>
  </si>
  <si>
    <t xml:space="preserve">   Cash &amp; Cash Equivalents</t>
  </si>
  <si>
    <t xml:space="preserve">   Total current assets</t>
  </si>
  <si>
    <t>Property, Plant, Equipment, at cost</t>
  </si>
  <si>
    <t>Property, Plant, Equipment, Net</t>
  </si>
  <si>
    <t>goodwill</t>
  </si>
  <si>
    <t>other assets(net)</t>
  </si>
  <si>
    <t xml:space="preserve">Total Assets </t>
  </si>
  <si>
    <t>total non current assets</t>
  </si>
  <si>
    <t>Other Intangible assets(net)</t>
  </si>
  <si>
    <t>Current Liabilities</t>
  </si>
  <si>
    <t xml:space="preserve">   Current Installments of long-term borrowings</t>
  </si>
  <si>
    <t xml:space="preserve">   Accounts Payable</t>
  </si>
  <si>
    <t>Additional Paid-in Capital</t>
  </si>
  <si>
    <t>TOTAL LIABILITIES &amp; EQUITY</t>
  </si>
  <si>
    <t>Income taxes payable</t>
  </si>
  <si>
    <t>Total liabilities</t>
  </si>
  <si>
    <t>Total non-current liabilities</t>
  </si>
  <si>
    <t>Accounts payable</t>
  </si>
  <si>
    <t>Cash flows from operating activities:</t>
  </si>
  <si>
    <t>Depreciation and amortization</t>
  </si>
  <si>
    <t>Loss on debt retirement, net</t>
  </si>
  <si>
    <t>Noncash share-based compensation</t>
  </si>
  <si>
    <t>Other noncash (gains) and losses</t>
  </si>
  <si>
    <t>Change in operating assets and liabilities:</t>
  </si>
  <si>
    <t>Accrued expenses and other liabilities</t>
  </si>
  <si>
    <t>Income taxes</t>
  </si>
  <si>
    <t>Other</t>
  </si>
  <si>
    <t>Cash flows from investing activities:</t>
  </si>
  <si>
    <t>Purchases of property and equipment</t>
  </si>
  <si>
    <t>Proceeds from sales of property and equipment</t>
  </si>
  <si>
    <t>Cash flows from financing activities:</t>
  </si>
  <si>
    <t>Issuance of long-term obligations</t>
  </si>
  <si>
    <t>Repayments of long-term obligations</t>
  </si>
  <si>
    <t>Net increase in commercial paper outstanding</t>
  </si>
  <si>
    <t>Borrowings under revolving credit facilities</t>
  </si>
  <si>
    <t>Debt issuance costs</t>
  </si>
  <si>
    <t>Repurchases of common stock</t>
  </si>
  <si>
    <t>Payments of cash dividends</t>
  </si>
  <si>
    <t>Other equity and related transactions</t>
  </si>
  <si>
    <t>Cash and cash equivalents, beginning of period</t>
  </si>
  <si>
    <t>Cash and cash equivalents, end of period</t>
  </si>
  <si>
    <t>Cash Flow Statement</t>
  </si>
  <si>
    <t>Net cash provided by (used in) operating activities</t>
  </si>
  <si>
    <t>Net cash provided by (used in) investing activities</t>
  </si>
  <si>
    <t>Net cash provided by (used in) financing activities</t>
  </si>
  <si>
    <t>Net increase (decrease) in cash and cash equivalents</t>
  </si>
  <si>
    <t>Repayments of borrowings under revolving credit facilities</t>
  </si>
  <si>
    <t>Payments for cash flow hedge related to debt issuance</t>
  </si>
  <si>
    <t>Drivers™</t>
  </si>
  <si>
    <t>Days Inventory</t>
  </si>
  <si>
    <t>Days Payable</t>
  </si>
  <si>
    <t>Other Liabilities as a % of Revenue</t>
  </si>
  <si>
    <t>D+A</t>
  </si>
  <si>
    <t>D+A as a % of Net PPE</t>
  </si>
  <si>
    <t>Capex</t>
  </si>
  <si>
    <t>Accrued Expenses and other as % Revenue</t>
  </si>
  <si>
    <t>Income Tax Payables as % income before tax</t>
  </si>
  <si>
    <t>USD In Thousands</t>
  </si>
  <si>
    <t>Income Tax Receiavables as % income tax expense</t>
  </si>
  <si>
    <t>-</t>
  </si>
  <si>
    <t>Prepaid Expenses as a % Operating expenses</t>
  </si>
  <si>
    <t>Defered income taxes as a % of income before tax</t>
  </si>
  <si>
    <t>Other assets as % of Operating Expenses</t>
  </si>
  <si>
    <t>NOPAT</t>
  </si>
  <si>
    <t>Effective Tax Rate</t>
  </si>
  <si>
    <t>Investment Capital</t>
  </si>
  <si>
    <t>ROIC</t>
  </si>
  <si>
    <t>Reinvestment Rate</t>
  </si>
  <si>
    <t>% Growth in EBIT</t>
  </si>
  <si>
    <t>Other Liabilities</t>
  </si>
  <si>
    <t>Dividends per share</t>
  </si>
  <si>
    <t>Dividend paid</t>
  </si>
  <si>
    <t>ASSETS</t>
  </si>
  <si>
    <t>Check</t>
  </si>
  <si>
    <t>Growth Period</t>
  </si>
  <si>
    <t>Unlevered Beta</t>
  </si>
  <si>
    <t>D/E</t>
  </si>
  <si>
    <t>Tax Rate</t>
  </si>
  <si>
    <t>Cost of Debt</t>
  </si>
  <si>
    <t>After Tax Cost of Debt</t>
  </si>
  <si>
    <t>Country Risk Premium</t>
  </si>
  <si>
    <t>Risk Free Rate</t>
  </si>
  <si>
    <t xml:space="preserve">Equity Risk Premium </t>
  </si>
  <si>
    <t>Stable Growth Period</t>
  </si>
  <si>
    <t>ROC</t>
  </si>
  <si>
    <t>EBIT Growth</t>
  </si>
  <si>
    <t>Plus: D&amp;A</t>
  </si>
  <si>
    <t>Less: CapEx</t>
  </si>
  <si>
    <t>Less: △ NWC</t>
  </si>
  <si>
    <t>Free Cash Flow to Firm</t>
  </si>
  <si>
    <t xml:space="preserve">Long Term Beta vs. Long Term Growth </t>
  </si>
  <si>
    <t>Beta</t>
  </si>
  <si>
    <t>Growth Rate</t>
  </si>
  <si>
    <t xml:space="preserve">Long Term ROC vs. Long Term Growth </t>
  </si>
  <si>
    <t>Terminal Period</t>
  </si>
  <si>
    <t>EBIT</t>
  </si>
  <si>
    <t>FCF</t>
  </si>
  <si>
    <t xml:space="preserve">Current Beta vs. Long Term Growth </t>
  </si>
  <si>
    <t>Terminal Value</t>
  </si>
  <si>
    <t>Levered Beta</t>
  </si>
  <si>
    <t>Cost of Equity</t>
  </si>
  <si>
    <t>WACC</t>
  </si>
  <si>
    <t>Accumulated WACC</t>
  </si>
  <si>
    <t>Discounted FCF</t>
  </si>
  <si>
    <t>Enterprise Value</t>
  </si>
  <si>
    <t>Less: Debt</t>
  </si>
  <si>
    <t>Plus: Cash</t>
  </si>
  <si>
    <t>Equity Value</t>
  </si>
  <si>
    <t>Shares</t>
  </si>
  <si>
    <t>Implied Share Value</t>
  </si>
  <si>
    <t>Current Share Price</t>
  </si>
  <si>
    <t>Margin of Safety</t>
  </si>
  <si>
    <t>Historical Multiples</t>
  </si>
  <si>
    <t>Comparable Valuation</t>
  </si>
  <si>
    <t>P/E</t>
  </si>
  <si>
    <t>Return Sensitivity - P/E Valuation</t>
  </si>
  <si>
    <t>Net Income</t>
  </si>
  <si>
    <t>P/E Multiple</t>
  </si>
  <si>
    <t>Shares Outstanding</t>
  </si>
  <si>
    <t>Implied Equity Value</t>
  </si>
  <si>
    <t>Implied Share Price</t>
  </si>
  <si>
    <t>Upside/Downside</t>
  </si>
  <si>
    <t>EV/EBITDA</t>
  </si>
  <si>
    <t>Return Sensitivity - EV/EBITDA Valuation</t>
  </si>
  <si>
    <t>EBITDA</t>
  </si>
  <si>
    <t>EV/EBITDA Multiple</t>
  </si>
  <si>
    <t>Implied Enterprise Value</t>
  </si>
  <si>
    <t>Share Price</t>
  </si>
  <si>
    <t>Dollar General</t>
  </si>
  <si>
    <t>Dollar Tree</t>
  </si>
  <si>
    <t>Big lots</t>
  </si>
  <si>
    <t>Target</t>
  </si>
  <si>
    <t>Historical PE</t>
  </si>
  <si>
    <t>Historical EV/EBIDTA</t>
  </si>
  <si>
    <t>P/E Ratio</t>
  </si>
  <si>
    <t>EV</t>
  </si>
  <si>
    <t>EBIDTA</t>
  </si>
  <si>
    <t>2022-23</t>
  </si>
  <si>
    <t>Payout ratio</t>
  </si>
  <si>
    <t>EV/EBIDTA</t>
  </si>
  <si>
    <t>P/S</t>
  </si>
  <si>
    <t>P/FCF</t>
  </si>
  <si>
    <t>P/B</t>
  </si>
  <si>
    <t>Average (Excl. DG)</t>
  </si>
  <si>
    <t>Market Cap (Mn)</t>
  </si>
  <si>
    <t>CVS</t>
  </si>
  <si>
    <t>ROE TTM</t>
  </si>
  <si>
    <t>Revenue Growth % TTM</t>
  </si>
  <si>
    <t>2018-19 Net Income</t>
  </si>
  <si>
    <t>in USD thousands except Share data</t>
  </si>
  <si>
    <t>2018-19 EBITDA</t>
  </si>
  <si>
    <t>2018-19 Revenue</t>
  </si>
  <si>
    <t>P/S Multiple</t>
  </si>
  <si>
    <t>Operating Margin %</t>
  </si>
  <si>
    <t>Leverage (D/EBITDA)</t>
  </si>
  <si>
    <t>Dollarama</t>
  </si>
  <si>
    <t>Dollar tree and Big lots are selected because they are discount retailers</t>
  </si>
  <si>
    <t>CVS (despite pharma business) and target are selected are they are larger bix box retailers to bettter show what might happen in terminal growth.</t>
  </si>
  <si>
    <t>Dollarama, though Canadian, is selected because it is a disocutn retailer growing organically</t>
  </si>
  <si>
    <t>P/E shows growth expectation</t>
  </si>
  <si>
    <t>EV/EBITDA makes comparing companies in the same sector easier</t>
  </si>
  <si>
    <t>P/S is useful in cyclical 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</si>
</sst>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  <numFmt numFmtId="166" formatCode="0.00_);\(0.00\)"/>
    <numFmt numFmtId="167" formatCode="0_);\(0\)"/>
    <numFmt numFmtId="168" formatCode="_(* #,##0_);_(* \(#,##0\);_(* &quot;-&quot;??_);_(@_)"/>
    <numFmt numFmtId="169" formatCode="_(* #,##0.0000_);_(* \(#,##0.0000\);_(* &quot;-&quot;??_);_(@_)"/>
    <numFmt numFmtId="170" formatCode="0.000%"/>
    <numFmt numFmtId="171" formatCode="0.000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sz val="12"/>
      <color theme="0"/>
      <name val="Garamond"/>
      <family val="1"/>
    </font>
    <font>
      <sz val="12"/>
      <color theme="4"/>
      <name val="Garamond"/>
      <family val="1"/>
    </font>
    <font>
      <b/>
      <sz val="12"/>
      <color rgb="FF000000"/>
      <name val="Garamond"/>
      <family val="1"/>
    </font>
    <font>
      <sz val="12"/>
      <color theme="9" tint="0.39997558519241921"/>
      <name val="Garamond"/>
      <family val="1"/>
    </font>
    <font>
      <sz val="12"/>
      <color theme="8" tint="-0.249977111117893"/>
      <name val="Garamond"/>
      <family val="1"/>
    </font>
    <font>
      <sz val="12"/>
      <color rgb="FF000000"/>
      <name val="Garamond"/>
      <family val="1"/>
    </font>
    <font>
      <b/>
      <sz val="12"/>
      <color theme="4" tint="-0.249977111117893"/>
      <name val="Garamond"/>
      <family val="1"/>
    </font>
    <font>
      <sz val="12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 tint="-0.249977111117893"/>
      <name val="Garamond"/>
      <family val="1"/>
    </font>
    <font>
      <sz val="12"/>
      <color theme="9"/>
      <name val="Garamond"/>
      <family val="1"/>
    </font>
    <font>
      <b/>
      <sz val="12"/>
      <name val="Garamond"/>
      <family val="1"/>
    </font>
    <font>
      <sz val="10"/>
      <color theme="1"/>
      <name val="Times"/>
      <family val="1"/>
    </font>
    <font>
      <b/>
      <sz val="12"/>
      <color theme="0"/>
      <name val="Garamond"/>
      <family val="1"/>
    </font>
    <font>
      <sz val="12"/>
      <color theme="6"/>
      <name val="Garamond"/>
      <family val="1"/>
    </font>
    <font>
      <sz val="12"/>
      <color rgb="FF92D050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9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04">
    <xf numFmtId="0" fontId="0" fillId="0" borderId="0" xfId="0"/>
    <xf numFmtId="9" fontId="5" fillId="0" borderId="0" xfId="1" applyFont="1"/>
    <xf numFmtId="0" fontId="5" fillId="0" borderId="0" xfId="0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5" fillId="0" borderId="0" xfId="0" applyFont="1"/>
    <xf numFmtId="0" fontId="6" fillId="0" borderId="3" xfId="0" applyFont="1" applyBorder="1"/>
    <xf numFmtId="0" fontId="5" fillId="0" borderId="3" xfId="0" applyFont="1" applyBorder="1"/>
    <xf numFmtId="0" fontId="6" fillId="0" borderId="0" xfId="0" applyFont="1" applyBorder="1"/>
    <xf numFmtId="0" fontId="5" fillId="0" borderId="0" xfId="0" applyFont="1" applyBorder="1"/>
    <xf numFmtId="0" fontId="6" fillId="0" borderId="1" xfId="0" applyFont="1" applyBorder="1"/>
    <xf numFmtId="0" fontId="5" fillId="0" borderId="1" xfId="0" applyFont="1" applyBorder="1"/>
    <xf numFmtId="0" fontId="5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3" fontId="5" fillId="0" borderId="0" xfId="0" applyNumberFormat="1" applyFont="1"/>
    <xf numFmtId="0" fontId="9" fillId="0" borderId="0" xfId="0" applyFont="1"/>
    <xf numFmtId="164" fontId="5" fillId="0" borderId="0" xfId="1" applyNumberFormat="1" applyFont="1"/>
    <xf numFmtId="164" fontId="9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7" fillId="0" borderId="0" xfId="0" applyFont="1" applyAlignment="1">
      <alignment horizontal="left"/>
    </xf>
    <xf numFmtId="4" fontId="5" fillId="0" borderId="0" xfId="0" applyNumberFormat="1" applyFont="1" applyFill="1" applyAlignment="1">
      <alignment horizontal="right"/>
    </xf>
    <xf numFmtId="9" fontId="5" fillId="0" borderId="0" xfId="1" applyFont="1" applyFill="1" applyAlignment="1">
      <alignment horizontal="right"/>
    </xf>
    <xf numFmtId="4" fontId="5" fillId="0" borderId="0" xfId="0" applyNumberFormat="1" applyFont="1" applyBorder="1"/>
    <xf numFmtId="164" fontId="5" fillId="0" borderId="0" xfId="1" applyNumberFormat="1" applyFont="1" applyBorder="1"/>
    <xf numFmtId="164" fontId="12" fillId="0" borderId="0" xfId="1" applyNumberFormat="1" applyFont="1" applyBorder="1"/>
    <xf numFmtId="9" fontId="5" fillId="0" borderId="0" xfId="1" applyFont="1" applyBorder="1"/>
    <xf numFmtId="9" fontId="12" fillId="0" borderId="0" xfId="1" applyFont="1" applyBorder="1"/>
    <xf numFmtId="164" fontId="9" fillId="0" borderId="0" xfId="0" applyNumberFormat="1" applyFont="1" applyBorder="1"/>
    <xf numFmtId="164" fontId="13" fillId="0" borderId="0" xfId="1" applyNumberFormat="1" applyFont="1" applyBorder="1"/>
    <xf numFmtId="165" fontId="5" fillId="0" borderId="0" xfId="0" applyNumberFormat="1" applyFont="1"/>
    <xf numFmtId="0" fontId="6" fillId="3" borderId="2" xfId="0" applyFont="1" applyFill="1" applyBorder="1"/>
    <xf numFmtId="0" fontId="14" fillId="0" borderId="0" xfId="0" applyFont="1" applyBorder="1" applyAlignment="1"/>
    <xf numFmtId="0" fontId="14" fillId="0" borderId="1" xfId="0" applyFont="1" applyBorder="1" applyAlignment="1"/>
    <xf numFmtId="0" fontId="15" fillId="0" borderId="0" xfId="0" applyFont="1" applyAlignment="1">
      <alignment vertical="top"/>
    </xf>
    <xf numFmtId="4" fontId="13" fillId="0" borderId="0" xfId="0" applyNumberFormat="1" applyFont="1"/>
    <xf numFmtId="0" fontId="13" fillId="0" borderId="0" xfId="0" applyFont="1"/>
    <xf numFmtId="0" fontId="12" fillId="0" borderId="0" xfId="0" applyFont="1"/>
    <xf numFmtId="0" fontId="6" fillId="3" borderId="2" xfId="0" applyFont="1" applyFill="1" applyBorder="1" applyAlignment="1">
      <alignment vertical="top"/>
    </xf>
    <xf numFmtId="164" fontId="13" fillId="0" borderId="0" xfId="1" applyNumberFormat="1" applyFont="1"/>
    <xf numFmtId="0" fontId="13" fillId="0" borderId="0" xfId="0" applyFont="1" applyBorder="1"/>
    <xf numFmtId="37" fontId="15" fillId="0" borderId="0" xfId="0" applyNumberFormat="1" applyFont="1" applyAlignment="1">
      <alignment vertical="top"/>
    </xf>
    <xf numFmtId="3" fontId="13" fillId="0" borderId="0" xfId="0" applyNumberFormat="1" applyFont="1"/>
    <xf numFmtId="3" fontId="12" fillId="0" borderId="0" xfId="0" applyNumberFormat="1" applyFont="1"/>
    <xf numFmtId="0" fontId="5" fillId="0" borderId="0" xfId="0" applyFont="1" applyBorder="1" applyAlignment="1">
      <alignment horizontal="right"/>
    </xf>
    <xf numFmtId="0" fontId="5" fillId="0" borderId="5" xfId="0" applyFont="1" applyBorder="1"/>
    <xf numFmtId="0" fontId="5" fillId="0" borderId="5" xfId="0" applyFont="1" applyFill="1" applyBorder="1"/>
    <xf numFmtId="0" fontId="5" fillId="0" borderId="4" xfId="0" applyFont="1" applyFill="1" applyBorder="1"/>
    <xf numFmtId="1" fontId="6" fillId="0" borderId="2" xfId="0" applyNumberFormat="1" applyFont="1" applyBorder="1"/>
    <xf numFmtId="3" fontId="10" fillId="0" borderId="2" xfId="0" applyNumberFormat="1" applyFont="1" applyBorder="1"/>
    <xf numFmtId="3" fontId="11" fillId="0" borderId="0" xfId="0" applyNumberFormat="1" applyFont="1" applyFill="1" applyAlignment="1">
      <alignment horizontal="right"/>
    </xf>
    <xf numFmtId="3" fontId="5" fillId="0" borderId="0" xfId="0" applyNumberFormat="1" applyFont="1" applyBorder="1"/>
    <xf numFmtId="3" fontId="5" fillId="0" borderId="0" xfId="0" applyNumberFormat="1" applyFont="1" applyFill="1" applyBorder="1"/>
    <xf numFmtId="3" fontId="6" fillId="3" borderId="2" xfId="0" applyNumberFormat="1" applyFont="1" applyFill="1" applyBorder="1"/>
    <xf numFmtId="1" fontId="13" fillId="0" borderId="0" xfId="0" applyNumberFormat="1" applyFont="1"/>
    <xf numFmtId="0" fontId="5" fillId="0" borderId="0" xfId="0" applyFont="1" applyFill="1" applyBorder="1"/>
    <xf numFmtId="37" fontId="5" fillId="0" borderId="0" xfId="0" applyNumberFormat="1" applyFont="1"/>
    <xf numFmtId="1" fontId="5" fillId="0" borderId="0" xfId="0" applyNumberFormat="1" applyFont="1"/>
    <xf numFmtId="42" fontId="5" fillId="0" borderId="0" xfId="0" applyNumberFormat="1" applyFont="1"/>
    <xf numFmtId="0" fontId="5" fillId="0" borderId="2" xfId="0" applyFont="1" applyBorder="1"/>
    <xf numFmtId="1" fontId="9" fillId="0" borderId="0" xfId="0" applyNumberFormat="1" applyFont="1"/>
    <xf numFmtId="164" fontId="9" fillId="0" borderId="0" xfId="1" applyNumberFormat="1" applyFont="1"/>
    <xf numFmtId="9" fontId="9" fillId="0" borderId="0" xfId="1" applyFont="1"/>
    <xf numFmtId="0" fontId="5" fillId="0" borderId="2" xfId="0" applyFont="1" applyBorder="1" applyAlignment="1">
      <alignment vertical="top"/>
    </xf>
    <xf numFmtId="0" fontId="5" fillId="0" borderId="0" xfId="0" applyFont="1" applyAlignment="1">
      <alignment vertical="top"/>
    </xf>
    <xf numFmtId="1" fontId="5" fillId="0" borderId="2" xfId="0" applyNumberFormat="1" applyFont="1" applyBorder="1"/>
    <xf numFmtId="166" fontId="5" fillId="0" borderId="0" xfId="0" applyNumberFormat="1" applyFont="1"/>
    <xf numFmtId="166" fontId="13" fillId="0" borderId="0" xfId="0" applyNumberFormat="1" applyFont="1"/>
    <xf numFmtId="166" fontId="5" fillId="0" borderId="2" xfId="0" applyNumberFormat="1" applyFont="1" applyBorder="1"/>
    <xf numFmtId="166" fontId="9" fillId="0" borderId="0" xfId="0" applyNumberFormat="1" applyFont="1"/>
    <xf numFmtId="166" fontId="5" fillId="0" borderId="0" xfId="0" applyNumberFormat="1" applyFont="1" applyFill="1" applyBorder="1" applyAlignment="1">
      <alignment vertical="top"/>
    </xf>
    <xf numFmtId="166" fontId="5" fillId="0" borderId="0" xfId="0" applyNumberFormat="1" applyFont="1" applyFill="1" applyBorder="1"/>
    <xf numFmtId="166" fontId="5" fillId="0" borderId="0" xfId="0" applyNumberFormat="1" applyFont="1" applyAlignment="1">
      <alignment vertical="top"/>
    </xf>
    <xf numFmtId="166" fontId="5" fillId="0" borderId="2" xfId="0" applyNumberFormat="1" applyFont="1" applyBorder="1" applyAlignment="1">
      <alignment vertical="top"/>
    </xf>
    <xf numFmtId="166" fontId="5" fillId="4" borderId="2" xfId="0" applyNumberFormat="1" applyFont="1" applyFill="1" applyBorder="1"/>
    <xf numFmtId="166" fontId="5" fillId="0" borderId="0" xfId="0" applyNumberFormat="1" applyFont="1" applyBorder="1"/>
    <xf numFmtId="0" fontId="5" fillId="0" borderId="1" xfId="0" applyFont="1" applyFill="1" applyBorder="1"/>
    <xf numFmtId="3" fontId="5" fillId="0" borderId="1" xfId="0" applyNumberFormat="1" applyFont="1" applyBorder="1"/>
    <xf numFmtId="1" fontId="5" fillId="0" borderId="1" xfId="0" applyNumberFormat="1" applyFont="1" applyBorder="1"/>
    <xf numFmtId="0" fontId="5" fillId="0" borderId="6" xfId="0" applyFont="1" applyBorder="1"/>
    <xf numFmtId="1" fontId="5" fillId="0" borderId="3" xfId="0" applyNumberFormat="1" applyFont="1" applyBorder="1"/>
    <xf numFmtId="1" fontId="9" fillId="0" borderId="3" xfId="0" applyNumberFormat="1" applyFont="1" applyBorder="1"/>
    <xf numFmtId="166" fontId="6" fillId="0" borderId="0" xfId="0" applyNumberFormat="1" applyFont="1"/>
    <xf numFmtId="166" fontId="6" fillId="0" borderId="2" xfId="0" applyNumberFormat="1" applyFont="1" applyBorder="1"/>
    <xf numFmtId="166" fontId="6" fillId="4" borderId="2" xfId="0" applyNumberFormat="1" applyFont="1" applyFill="1" applyBorder="1"/>
    <xf numFmtId="0" fontId="6" fillId="0" borderId="2" xfId="0" applyFont="1" applyBorder="1"/>
    <xf numFmtId="167" fontId="6" fillId="0" borderId="2" xfId="0" applyNumberFormat="1" applyFont="1" applyBorder="1"/>
    <xf numFmtId="166" fontId="5" fillId="4" borderId="2" xfId="0" applyNumberFormat="1" applyFont="1" applyFill="1" applyBorder="1" applyAlignment="1">
      <alignment vertical="top"/>
    </xf>
    <xf numFmtId="0" fontId="5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166" fontId="18" fillId="0" borderId="0" xfId="0" applyNumberFormat="1" applyFont="1"/>
    <xf numFmtId="43" fontId="9" fillId="0" borderId="0" xfId="11" applyFont="1"/>
    <xf numFmtId="43" fontId="5" fillId="0" borderId="0" xfId="11" applyFont="1"/>
    <xf numFmtId="0" fontId="6" fillId="0" borderId="0" xfId="0" applyFont="1" applyAlignment="1">
      <alignment horizontal="center"/>
    </xf>
    <xf numFmtId="0" fontId="6" fillId="0" borderId="7" xfId="0" applyFont="1" applyBorder="1"/>
    <xf numFmtId="0" fontId="15" fillId="0" borderId="6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41" fontId="19" fillId="0" borderId="20" xfId="0" applyNumberFormat="1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9" fillId="0" borderId="22" xfId="0" applyFont="1" applyBorder="1" applyAlignment="1">
      <alignment vertical="top"/>
    </xf>
    <xf numFmtId="2" fontId="8" fillId="0" borderId="0" xfId="0" applyNumberFormat="1" applyFont="1" applyAlignment="1">
      <alignment vertical="top"/>
    </xf>
    <xf numFmtId="168" fontId="15" fillId="0" borderId="0" xfId="11" applyNumberFormat="1" applyFont="1" applyAlignment="1">
      <alignment vertical="top"/>
    </xf>
    <xf numFmtId="168" fontId="19" fillId="0" borderId="22" xfId="0" applyNumberFormat="1" applyFont="1" applyBorder="1" applyAlignment="1">
      <alignment vertical="top"/>
    </xf>
    <xf numFmtId="2" fontId="15" fillId="5" borderId="6" xfId="0" applyNumberFormat="1" applyFont="1" applyFill="1" applyBorder="1" applyAlignment="1">
      <alignment vertical="top"/>
    </xf>
    <xf numFmtId="2" fontId="15" fillId="3" borderId="3" xfId="0" applyNumberFormat="1" applyFont="1" applyFill="1" applyBorder="1" applyAlignment="1">
      <alignment vertical="top"/>
    </xf>
    <xf numFmtId="168" fontId="15" fillId="0" borderId="22" xfId="0" applyNumberFormat="1" applyFont="1" applyBorder="1" applyAlignment="1">
      <alignment horizontal="left" vertical="top" indent="1"/>
    </xf>
    <xf numFmtId="2" fontId="15" fillId="5" borderId="5" xfId="0" applyNumberFormat="1" applyFont="1" applyFill="1" applyBorder="1" applyAlignment="1">
      <alignment vertical="top"/>
    </xf>
    <xf numFmtId="2" fontId="15" fillId="3" borderId="6" xfId="0" applyNumberFormat="1" applyFont="1" applyFill="1" applyBorder="1" applyAlignment="1">
      <alignment vertical="top"/>
    </xf>
    <xf numFmtId="2" fontId="15" fillId="3" borderId="20" xfId="0" applyNumberFormat="1" applyFont="1" applyFill="1" applyBorder="1" applyAlignment="1">
      <alignment vertical="top"/>
    </xf>
    <xf numFmtId="2" fontId="15" fillId="3" borderId="0" xfId="0" applyNumberFormat="1" applyFont="1" applyFill="1" applyAlignment="1">
      <alignment vertical="top"/>
    </xf>
    <xf numFmtId="2" fontId="15" fillId="0" borderId="22" xfId="0" applyNumberFormat="1" applyFont="1" applyBorder="1" applyAlignment="1">
      <alignment vertical="top"/>
    </xf>
    <xf numFmtId="2" fontId="15" fillId="3" borderId="5" xfId="0" applyNumberFormat="1" applyFont="1" applyFill="1" applyBorder="1" applyAlignment="1">
      <alignment vertical="top"/>
    </xf>
    <xf numFmtId="2" fontId="15" fillId="3" borderId="0" xfId="0" applyNumberFormat="1" applyFont="1" applyFill="1" applyBorder="1" applyAlignment="1">
      <alignment vertical="top"/>
    </xf>
    <xf numFmtId="2" fontId="15" fillId="3" borderId="22" xfId="0" applyNumberFormat="1" applyFont="1" applyFill="1" applyBorder="1" applyAlignment="1">
      <alignment vertical="top"/>
    </xf>
    <xf numFmtId="0" fontId="15" fillId="0" borderId="22" xfId="0" applyFont="1" applyBorder="1" applyAlignment="1">
      <alignment vertical="top"/>
    </xf>
    <xf numFmtId="2" fontId="15" fillId="3" borderId="4" xfId="0" applyNumberFormat="1" applyFont="1" applyFill="1" applyBorder="1" applyAlignment="1">
      <alignment vertical="top"/>
    </xf>
    <xf numFmtId="2" fontId="15" fillId="3" borderId="1" xfId="0" applyNumberFormat="1" applyFont="1" applyFill="1" applyBorder="1" applyAlignment="1">
      <alignment vertical="top"/>
    </xf>
    <xf numFmtId="2" fontId="15" fillId="3" borderId="21" xfId="0" applyNumberFormat="1" applyFont="1" applyFill="1" applyBorder="1" applyAlignment="1">
      <alignment vertical="top"/>
    </xf>
    <xf numFmtId="2" fontId="20" fillId="0" borderId="22" xfId="0" applyNumberFormat="1" applyFont="1" applyBorder="1" applyAlignment="1">
      <alignment vertical="top"/>
    </xf>
    <xf numFmtId="1" fontId="15" fillId="0" borderId="0" xfId="0" applyNumberFormat="1" applyFont="1" applyAlignment="1">
      <alignment vertical="top"/>
    </xf>
    <xf numFmtId="0" fontId="15" fillId="0" borderId="4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164" fontId="15" fillId="0" borderId="21" xfId="1" applyNumberFormat="1" applyFont="1" applyBorder="1" applyAlignment="1">
      <alignment vertical="top"/>
    </xf>
    <xf numFmtId="0" fontId="9" fillId="0" borderId="22" xfId="0" applyFont="1" applyBorder="1"/>
    <xf numFmtId="168" fontId="19" fillId="0" borderId="22" xfId="11" applyNumberFormat="1" applyFont="1" applyBorder="1"/>
    <xf numFmtId="2" fontId="15" fillId="5" borderId="3" xfId="0" applyNumberFormat="1" applyFont="1" applyFill="1" applyBorder="1" applyAlignment="1">
      <alignment vertical="top"/>
    </xf>
    <xf numFmtId="168" fontId="5" fillId="0" borderId="22" xfId="11" applyNumberFormat="1" applyFont="1" applyBorder="1"/>
    <xf numFmtId="168" fontId="5" fillId="0" borderId="22" xfId="0" applyNumberFormat="1" applyFont="1" applyBorder="1"/>
    <xf numFmtId="165" fontId="15" fillId="0" borderId="0" xfId="0" applyNumberFormat="1" applyFont="1" applyAlignment="1">
      <alignment vertical="top"/>
    </xf>
    <xf numFmtId="2" fontId="5" fillId="0" borderId="22" xfId="0" applyNumberFormat="1" applyFont="1" applyBorder="1"/>
    <xf numFmtId="0" fontId="5" fillId="0" borderId="22" xfId="0" applyFont="1" applyBorder="1"/>
    <xf numFmtId="2" fontId="6" fillId="0" borderId="22" xfId="0" applyNumberFormat="1" applyFont="1" applyBorder="1"/>
    <xf numFmtId="164" fontId="5" fillId="0" borderId="21" xfId="1" applyNumberFormat="1" applyFont="1" applyBorder="1"/>
    <xf numFmtId="0" fontId="5" fillId="0" borderId="0" xfId="0" applyFont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168" fontId="6" fillId="0" borderId="2" xfId="11" applyNumberFormat="1" applyFont="1" applyBorder="1"/>
    <xf numFmtId="0" fontId="14" fillId="0" borderId="0" xfId="0" applyFont="1" applyFill="1" applyBorder="1" applyAlignment="1"/>
    <xf numFmtId="0" fontId="14" fillId="0" borderId="1" xfId="0" applyFont="1" applyFill="1" applyBorder="1" applyAlignment="1"/>
    <xf numFmtId="0" fontId="5" fillId="0" borderId="3" xfId="0" applyFont="1" applyFill="1" applyBorder="1"/>
    <xf numFmtId="0" fontId="8" fillId="0" borderId="0" xfId="0" applyFont="1" applyFill="1" applyAlignment="1">
      <alignment horizontal="right"/>
    </xf>
    <xf numFmtId="3" fontId="13" fillId="0" borderId="0" xfId="0" applyNumberFormat="1" applyFont="1" applyFill="1"/>
    <xf numFmtId="164" fontId="5" fillId="0" borderId="0" xfId="1" applyNumberFormat="1" applyFont="1" applyFill="1" applyBorder="1"/>
    <xf numFmtId="9" fontId="5" fillId="0" borderId="0" xfId="1" applyFont="1" applyFill="1" applyBorder="1"/>
    <xf numFmtId="164" fontId="5" fillId="0" borderId="0" xfId="1" applyNumberFormat="1" applyFont="1" applyFill="1"/>
    <xf numFmtId="0" fontId="13" fillId="0" borderId="0" xfId="0" applyFont="1" applyFill="1"/>
    <xf numFmtId="168" fontId="5" fillId="0" borderId="0" xfId="11" applyNumberFormat="1" applyFont="1" applyFill="1" applyBorder="1"/>
    <xf numFmtId="164" fontId="13" fillId="0" borderId="0" xfId="1" applyNumberFormat="1" applyFont="1" applyFill="1"/>
    <xf numFmtId="164" fontId="13" fillId="0" borderId="0" xfId="1" applyNumberFormat="1" applyFont="1" applyFill="1" applyBorder="1"/>
    <xf numFmtId="0" fontId="5" fillId="0" borderId="0" xfId="0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2" fontId="5" fillId="0" borderId="0" xfId="0" applyNumberFormat="1" applyFont="1"/>
    <xf numFmtId="2" fontId="9" fillId="0" borderId="0" xfId="0" applyNumberFormat="1" applyFont="1"/>
    <xf numFmtId="166" fontId="6" fillId="0" borderId="0" xfId="0" applyNumberFormat="1" applyFont="1" applyFill="1"/>
    <xf numFmtId="166" fontId="5" fillId="0" borderId="0" xfId="0" applyNumberFormat="1" applyFont="1" applyFill="1"/>
    <xf numFmtId="166" fontId="6" fillId="0" borderId="2" xfId="0" applyNumberFormat="1" applyFont="1" applyFill="1" applyBorder="1"/>
    <xf numFmtId="0" fontId="6" fillId="0" borderId="0" xfId="0" applyFont="1" applyFill="1"/>
    <xf numFmtId="167" fontId="6" fillId="0" borderId="2" xfId="0" applyNumberFormat="1" applyFont="1" applyFill="1" applyBorder="1"/>
    <xf numFmtId="1" fontId="5" fillId="0" borderId="3" xfId="0" applyNumberFormat="1" applyFont="1" applyFill="1" applyBorder="1"/>
    <xf numFmtId="9" fontId="5" fillId="0" borderId="0" xfId="1" applyFont="1" applyFill="1"/>
    <xf numFmtId="3" fontId="5" fillId="0" borderId="0" xfId="0" applyNumberFormat="1" applyFont="1" applyFill="1"/>
    <xf numFmtId="3" fontId="5" fillId="0" borderId="1" xfId="0" applyNumberFormat="1" applyFont="1" applyFill="1" applyBorder="1"/>
    <xf numFmtId="0" fontId="5" fillId="0" borderId="0" xfId="0" applyFont="1" applyBorder="1" applyAlignment="1">
      <alignment horizontal="left"/>
    </xf>
    <xf numFmtId="166" fontId="13" fillId="0" borderId="0" xfId="0" applyNumberFormat="1" applyFont="1" applyFill="1"/>
    <xf numFmtId="0" fontId="5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6" fontId="10" fillId="0" borderId="2" xfId="0" applyNumberFormat="1" applyFont="1" applyBorder="1"/>
    <xf numFmtId="166" fontId="10" fillId="0" borderId="2" xfId="0" applyNumberFormat="1" applyFont="1" applyFill="1" applyBorder="1"/>
    <xf numFmtId="0" fontId="6" fillId="4" borderId="2" xfId="0" applyFont="1" applyFill="1" applyBorder="1" applyAlignment="1">
      <alignment horizontal="left"/>
    </xf>
    <xf numFmtId="0" fontId="10" fillId="0" borderId="0" xfId="0" applyFont="1"/>
    <xf numFmtId="166" fontId="15" fillId="0" borderId="0" xfId="0" applyNumberFormat="1" applyFont="1" applyAlignment="1">
      <alignment vertical="top"/>
    </xf>
    <xf numFmtId="0" fontId="10" fillId="0" borderId="2" xfId="0" applyFont="1" applyBorder="1"/>
    <xf numFmtId="0" fontId="10" fillId="4" borderId="2" xfId="0" applyFont="1" applyFill="1" applyBorder="1"/>
    <xf numFmtId="166" fontId="9" fillId="0" borderId="0" xfId="0" applyNumberFormat="1" applyFont="1" applyAlignment="1">
      <alignment vertical="top"/>
    </xf>
    <xf numFmtId="0" fontId="6" fillId="4" borderId="2" xfId="0" applyFont="1" applyFill="1" applyBorder="1"/>
    <xf numFmtId="0" fontId="20" fillId="0" borderId="2" xfId="0" applyFont="1" applyBorder="1" applyAlignment="1">
      <alignment vertical="top"/>
    </xf>
    <xf numFmtId="166" fontId="15" fillId="0" borderId="0" xfId="6" applyNumberFormat="1" applyFont="1" applyAlignment="1">
      <alignment vertical="top"/>
    </xf>
    <xf numFmtId="166" fontId="18" fillId="0" borderId="0" xfId="0" applyNumberFormat="1" applyFont="1" applyAlignment="1">
      <alignment vertical="top"/>
    </xf>
    <xf numFmtId="42" fontId="15" fillId="0" borderId="0" xfId="0" applyNumberFormat="1" applyFont="1" applyAlignment="1">
      <alignment vertical="top"/>
    </xf>
    <xf numFmtId="43" fontId="15" fillId="0" borderId="0" xfId="11" applyFont="1" applyAlignment="1">
      <alignment vertical="top"/>
    </xf>
    <xf numFmtId="0" fontId="20" fillId="4" borderId="2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/>
    </xf>
    <xf numFmtId="43" fontId="5" fillId="0" borderId="0" xfId="11" applyFont="1" applyAlignment="1">
      <alignment vertical="top"/>
    </xf>
    <xf numFmtId="43" fontId="9" fillId="0" borderId="0" xfId="11" applyFont="1" applyAlignment="1">
      <alignment vertical="top"/>
    </xf>
    <xf numFmtId="37" fontId="15" fillId="0" borderId="0" xfId="0" applyNumberFormat="1" applyFont="1" applyBorder="1" applyAlignment="1">
      <alignment vertical="top"/>
    </xf>
    <xf numFmtId="43" fontId="15" fillId="0" borderId="0" xfId="0" applyNumberFormat="1" applyFont="1" applyAlignment="1">
      <alignment vertical="top"/>
    </xf>
    <xf numFmtId="0" fontId="5" fillId="0" borderId="0" xfId="0" applyFont="1" applyFill="1" applyBorder="1" applyAlignment="1">
      <alignment horizontal="center" vertical="center" wrapText="1"/>
    </xf>
    <xf numFmtId="168" fontId="21" fillId="0" borderId="0" xfId="11" applyNumberFormat="1" applyFont="1"/>
    <xf numFmtId="0" fontId="5" fillId="0" borderId="1" xfId="0" applyFont="1" applyBorder="1" applyAlignment="1">
      <alignment horizontal="center" vertical="center" wrapText="1"/>
    </xf>
    <xf numFmtId="1" fontId="6" fillId="5" borderId="3" xfId="0" applyNumberFormat="1" applyFont="1" applyFill="1" applyBorder="1" applyAlignment="1">
      <alignment horizontal="center" vertical="center" wrapText="1"/>
    </xf>
    <xf numFmtId="2" fontId="6" fillId="5" borderId="3" xfId="0" applyNumberFormat="1" applyFont="1" applyFill="1" applyBorder="1" applyAlignment="1">
      <alignment horizontal="center" vertical="center" wrapText="1"/>
    </xf>
    <xf numFmtId="2" fontId="5" fillId="6" borderId="3" xfId="0" applyNumberFormat="1" applyFont="1" applyFill="1" applyBorder="1" applyAlignment="1">
      <alignment horizontal="center" vertical="center" wrapText="1"/>
    </xf>
    <xf numFmtId="2" fontId="5" fillId="6" borderId="3" xfId="11" applyNumberFormat="1" applyFont="1" applyFill="1" applyBorder="1" applyAlignment="1">
      <alignment horizontal="center" vertical="center"/>
    </xf>
    <xf numFmtId="2" fontId="5" fillId="6" borderId="3" xfId="12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5" fillId="0" borderId="0" xfId="11" applyNumberFormat="1" applyFont="1" applyBorder="1" applyAlignment="1">
      <alignment horizontal="center" vertical="center"/>
    </xf>
    <xf numFmtId="2" fontId="5" fillId="0" borderId="0" xfId="12" applyNumberFormat="1" applyFont="1" applyAlignment="1">
      <alignment horizontal="center" vertical="center"/>
    </xf>
    <xf numFmtId="2" fontId="5" fillId="0" borderId="0" xfId="11" applyNumberFormat="1" applyFont="1" applyBorder="1" applyAlignment="1">
      <alignment horizontal="center" vertical="center" wrapText="1"/>
    </xf>
    <xf numFmtId="2" fontId="5" fillId="0" borderId="1" xfId="11" applyNumberFormat="1" applyFont="1" applyBorder="1" applyAlignment="1">
      <alignment horizontal="center" vertical="center"/>
    </xf>
    <xf numFmtId="1" fontId="5" fillId="6" borderId="3" xfId="11" applyNumberFormat="1" applyFont="1" applyFill="1" applyBorder="1" applyAlignment="1">
      <alignment horizontal="center" vertical="center" wrapText="1"/>
    </xf>
    <xf numFmtId="1" fontId="5" fillId="0" borderId="0" xfId="11" applyNumberFormat="1" applyFont="1" applyBorder="1" applyAlignment="1">
      <alignment horizontal="center" vertical="center" wrapText="1"/>
    </xf>
    <xf numFmtId="1" fontId="5" fillId="0" borderId="1" xfId="11" applyNumberFormat="1" applyFont="1" applyBorder="1" applyAlignment="1">
      <alignment horizontal="center" vertical="center" wrapText="1"/>
    </xf>
    <xf numFmtId="2" fontId="6" fillId="5" borderId="3" xfId="11" applyNumberFormat="1" applyFont="1" applyFill="1" applyBorder="1" applyAlignment="1">
      <alignment horizontal="center" vertical="center" wrapText="1"/>
    </xf>
    <xf numFmtId="2" fontId="5" fillId="0" borderId="0" xfId="11" applyNumberFormat="1" applyFont="1" applyAlignment="1">
      <alignment horizontal="center" vertical="center"/>
    </xf>
    <xf numFmtId="2" fontId="6" fillId="5" borderId="3" xfId="11" applyNumberFormat="1" applyFont="1" applyFill="1" applyBorder="1" applyAlignment="1">
      <alignment horizontal="center" vertical="center"/>
    </xf>
    <xf numFmtId="9" fontId="5" fillId="6" borderId="3" xfId="1" applyFont="1" applyFill="1" applyBorder="1" applyAlignment="1">
      <alignment horizontal="center" vertical="center"/>
    </xf>
    <xf numFmtId="10" fontId="5" fillId="6" borderId="3" xfId="1" applyNumberFormat="1" applyFont="1" applyFill="1" applyBorder="1" applyAlignment="1">
      <alignment horizontal="center" vertical="center"/>
    </xf>
    <xf numFmtId="2" fontId="5" fillId="6" borderId="3" xfId="0" applyNumberFormat="1" applyFont="1" applyFill="1" applyBorder="1" applyAlignment="1">
      <alignment horizontal="center" vertical="center"/>
    </xf>
    <xf numFmtId="9" fontId="6" fillId="5" borderId="3" xfId="1" applyFont="1" applyFill="1" applyBorder="1" applyAlignment="1">
      <alignment horizontal="center" vertical="center"/>
    </xf>
    <xf numFmtId="2" fontId="6" fillId="5" borderId="3" xfId="0" applyNumberFormat="1" applyFont="1" applyFill="1" applyBorder="1" applyAlignment="1">
      <alignment horizontal="center" vertical="center"/>
    </xf>
    <xf numFmtId="10" fontId="6" fillId="5" borderId="3" xfId="0" applyNumberFormat="1" applyFont="1" applyFill="1" applyBorder="1" applyAlignment="1">
      <alignment horizontal="center" vertical="center"/>
    </xf>
    <xf numFmtId="1" fontId="5" fillId="0" borderId="0" xfId="11" applyNumberFormat="1" applyFont="1" applyBorder="1" applyAlignment="1">
      <alignment horizontal="center"/>
    </xf>
    <xf numFmtId="9" fontId="5" fillId="0" borderId="0" xfId="1" applyFont="1" applyAlignment="1">
      <alignment horizontal="center"/>
    </xf>
    <xf numFmtId="10" fontId="5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11" applyNumberFormat="1" applyFont="1" applyAlignment="1">
      <alignment horizontal="center"/>
    </xf>
    <xf numFmtId="2" fontId="5" fillId="6" borderId="0" xfId="11" applyNumberFormat="1" applyFont="1" applyFill="1" applyBorder="1" applyAlignment="1">
      <alignment horizontal="center" vertical="center"/>
    </xf>
    <xf numFmtId="0" fontId="6" fillId="7" borderId="8" xfId="0" applyFont="1" applyFill="1" applyBorder="1" applyAlignment="1">
      <alignment vertical="top"/>
    </xf>
    <xf numFmtId="0" fontId="5" fillId="7" borderId="2" xfId="0" applyFont="1" applyFill="1" applyBorder="1" applyAlignment="1">
      <alignment vertical="top"/>
    </xf>
    <xf numFmtId="0" fontId="5" fillId="7" borderId="9" xfId="0" applyFont="1" applyFill="1" applyBorder="1" applyAlignment="1">
      <alignment vertical="top"/>
    </xf>
    <xf numFmtId="0" fontId="6" fillId="7" borderId="2" xfId="0" applyFont="1" applyFill="1" applyBorder="1" applyAlignment="1">
      <alignment vertical="top"/>
    </xf>
    <xf numFmtId="0" fontId="6" fillId="7" borderId="8" xfId="0" applyFont="1" applyFill="1" applyBorder="1"/>
    <xf numFmtId="168" fontId="5" fillId="0" borderId="20" xfId="11" applyNumberFormat="1" applyFont="1" applyBorder="1"/>
    <xf numFmtId="0" fontId="6" fillId="0" borderId="7" xfId="0" applyFont="1" applyBorder="1" applyAlignment="1">
      <alignment horizontal="center"/>
    </xf>
    <xf numFmtId="0" fontId="5" fillId="0" borderId="7" xfId="0" applyFont="1" applyBorder="1"/>
    <xf numFmtId="10" fontId="5" fillId="0" borderId="0" xfId="0" applyNumberFormat="1" applyFont="1"/>
    <xf numFmtId="0" fontId="5" fillId="0" borderId="11" xfId="0" applyFont="1" applyBorder="1"/>
    <xf numFmtId="43" fontId="8" fillId="0" borderId="0" xfId="0" applyNumberFormat="1" applyFont="1"/>
    <xf numFmtId="9" fontId="5" fillId="0" borderId="0" xfId="0" applyNumberFormat="1" applyFont="1"/>
    <xf numFmtId="2" fontId="5" fillId="0" borderId="6" xfId="0" applyNumberFormat="1" applyFont="1" applyBorder="1"/>
    <xf numFmtId="2" fontId="5" fillId="0" borderId="3" xfId="0" applyNumberFormat="1" applyFont="1" applyBorder="1"/>
    <xf numFmtId="10" fontId="5" fillId="0" borderId="0" xfId="1" applyNumberFormat="1" applyFont="1"/>
    <xf numFmtId="2" fontId="5" fillId="0" borderId="5" xfId="0" applyNumberFormat="1" applyFont="1" applyBorder="1"/>
    <xf numFmtId="2" fontId="5" fillId="0" borderId="12" xfId="0" applyNumberFormat="1" applyFont="1" applyBorder="1"/>
    <xf numFmtId="2" fontId="5" fillId="0" borderId="13" xfId="0" applyNumberFormat="1" applyFont="1" applyBorder="1"/>
    <xf numFmtId="2" fontId="5" fillId="0" borderId="14" xfId="0" applyNumberFormat="1" applyFont="1" applyBorder="1"/>
    <xf numFmtId="2" fontId="5" fillId="0" borderId="0" xfId="0" applyNumberFormat="1" applyFont="1" applyBorder="1"/>
    <xf numFmtId="2" fontId="5" fillId="0" borderId="15" xfId="0" applyNumberFormat="1" applyFont="1" applyBorder="1"/>
    <xf numFmtId="2" fontId="5" fillId="0" borderId="16" xfId="0" applyNumberFormat="1" applyFont="1" applyBorder="1"/>
    <xf numFmtId="2" fontId="5" fillId="0" borderId="17" xfId="0" applyNumberFormat="1" applyFont="1" applyBorder="1"/>
    <xf numFmtId="2" fontId="5" fillId="0" borderId="7" xfId="0" applyNumberFormat="1" applyFont="1" applyBorder="1"/>
    <xf numFmtId="2" fontId="5" fillId="0" borderId="18" xfId="0" applyNumberFormat="1" applyFont="1" applyBorder="1"/>
    <xf numFmtId="9" fontId="9" fillId="0" borderId="0" xfId="0" applyNumberFormat="1" applyFont="1"/>
    <xf numFmtId="0" fontId="22" fillId="2" borderId="19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168" fontId="5" fillId="0" borderId="0" xfId="11" applyNumberFormat="1" applyFont="1"/>
    <xf numFmtId="168" fontId="23" fillId="0" borderId="0" xfId="11" applyNumberFormat="1" applyFont="1"/>
    <xf numFmtId="0" fontId="5" fillId="0" borderId="10" xfId="0" applyFont="1" applyBorder="1"/>
    <xf numFmtId="168" fontId="23" fillId="0" borderId="10" xfId="11" applyNumberFormat="1" applyFont="1" applyBorder="1" applyAlignment="1">
      <alignment horizontal="left"/>
    </xf>
    <xf numFmtId="168" fontId="5" fillId="0" borderId="0" xfId="0" applyNumberFormat="1" applyFont="1"/>
    <xf numFmtId="168" fontId="5" fillId="0" borderId="19" xfId="11" applyNumberFormat="1" applyFont="1" applyBorder="1"/>
    <xf numFmtId="43" fontId="5" fillId="0" borderId="3" xfId="0" applyNumberFormat="1" applyFont="1" applyBorder="1"/>
    <xf numFmtId="43" fontId="5" fillId="0" borderId="20" xfId="0" applyNumberFormat="1" applyFont="1" applyBorder="1"/>
    <xf numFmtId="43" fontId="5" fillId="0" borderId="0" xfId="0" applyNumberFormat="1" applyFont="1"/>
    <xf numFmtId="43" fontId="5" fillId="0" borderId="6" xfId="0" applyNumberFormat="1" applyFont="1" applyBorder="1"/>
    <xf numFmtId="9" fontId="5" fillId="0" borderId="3" xfId="1" applyNumberFormat="1" applyFont="1" applyBorder="1"/>
    <xf numFmtId="9" fontId="5" fillId="0" borderId="3" xfId="1" applyFont="1" applyBorder="1"/>
    <xf numFmtId="9" fontId="5" fillId="0" borderId="20" xfId="0" applyNumberFormat="1" applyFont="1" applyBorder="1"/>
    <xf numFmtId="43" fontId="5" fillId="0" borderId="5" xfId="0" applyNumberFormat="1" applyFont="1" applyBorder="1"/>
    <xf numFmtId="43" fontId="5" fillId="0" borderId="12" xfId="0" applyNumberFormat="1" applyFont="1" applyBorder="1"/>
    <xf numFmtId="43" fontId="5" fillId="0" borderId="13" xfId="0" applyNumberFormat="1" applyFont="1" applyBorder="1"/>
    <xf numFmtId="43" fontId="5" fillId="0" borderId="14" xfId="0" applyNumberFormat="1" applyFont="1" applyBorder="1"/>
    <xf numFmtId="43" fontId="5" fillId="0" borderId="0" xfId="0" applyNumberFormat="1" applyFont="1" applyBorder="1"/>
    <xf numFmtId="164" fontId="5" fillId="0" borderId="3" xfId="1" applyNumberFormat="1" applyFont="1" applyBorder="1"/>
    <xf numFmtId="164" fontId="5" fillId="0" borderId="20" xfId="0" applyNumberFormat="1" applyFont="1" applyBorder="1"/>
    <xf numFmtId="43" fontId="5" fillId="0" borderId="15" xfId="0" applyNumberFormat="1" applyFont="1" applyBorder="1"/>
    <xf numFmtId="43" fontId="5" fillId="0" borderId="16" xfId="0" applyNumberFormat="1" applyFont="1" applyBorder="1"/>
    <xf numFmtId="164" fontId="5" fillId="0" borderId="20" xfId="1" applyNumberFormat="1" applyFont="1" applyBorder="1"/>
    <xf numFmtId="43" fontId="5" fillId="0" borderId="17" xfId="0" applyNumberFormat="1" applyFont="1" applyBorder="1"/>
    <xf numFmtId="43" fontId="5" fillId="0" borderId="7" xfId="0" applyNumberFormat="1" applyFont="1" applyBorder="1"/>
    <xf numFmtId="43" fontId="5" fillId="0" borderId="18" xfId="0" applyNumberFormat="1" applyFont="1" applyBorder="1"/>
    <xf numFmtId="43" fontId="5" fillId="0" borderId="3" xfId="11" applyNumberFormat="1" applyFont="1" applyBorder="1"/>
    <xf numFmtId="43" fontId="5" fillId="0" borderId="20" xfId="11" applyNumberFormat="1" applyFont="1" applyBorder="1"/>
    <xf numFmtId="0" fontId="5" fillId="0" borderId="8" xfId="0" applyFont="1" applyBorder="1"/>
    <xf numFmtId="10" fontId="5" fillId="0" borderId="2" xfId="1" applyNumberFormat="1" applyFont="1" applyBorder="1"/>
    <xf numFmtId="10" fontId="5" fillId="0" borderId="9" xfId="1" applyNumberFormat="1" applyFont="1" applyBorder="1"/>
    <xf numFmtId="0" fontId="5" fillId="0" borderId="4" xfId="0" applyFont="1" applyBorder="1"/>
    <xf numFmtId="164" fontId="5" fillId="0" borderId="1" xfId="0" applyNumberFormat="1" applyFont="1" applyBorder="1"/>
    <xf numFmtId="164" fontId="5" fillId="0" borderId="21" xfId="0" applyNumberFormat="1" applyFont="1" applyBorder="1"/>
    <xf numFmtId="43" fontId="5" fillId="0" borderId="1" xfId="11" applyFont="1" applyBorder="1"/>
    <xf numFmtId="43" fontId="5" fillId="0" borderId="21" xfId="11" applyFont="1" applyBorder="1"/>
    <xf numFmtId="0" fontId="5" fillId="0" borderId="21" xfId="0" applyFont="1" applyBorder="1"/>
    <xf numFmtId="168" fontId="5" fillId="0" borderId="1" xfId="11" applyNumberFormat="1" applyFont="1" applyBorder="1"/>
    <xf numFmtId="168" fontId="5" fillId="0" borderId="21" xfId="11" applyNumberFormat="1" applyFont="1" applyBorder="1"/>
    <xf numFmtId="168" fontId="5" fillId="0" borderId="20" xfId="0" applyNumberFormat="1" applyFont="1" applyBorder="1"/>
    <xf numFmtId="41" fontId="24" fillId="0" borderId="22" xfId="0" applyNumberFormat="1" applyFont="1" applyBorder="1"/>
    <xf numFmtId="43" fontId="5" fillId="0" borderId="22" xfId="11" applyFont="1" applyBorder="1"/>
    <xf numFmtId="9" fontId="5" fillId="0" borderId="21" xfId="1" applyFont="1" applyBorder="1"/>
    <xf numFmtId="0" fontId="5" fillId="7" borderId="2" xfId="0" applyFont="1" applyFill="1" applyBorder="1"/>
    <xf numFmtId="0" fontId="5" fillId="7" borderId="9" xfId="0" applyFont="1" applyFill="1" applyBorder="1"/>
    <xf numFmtId="169" fontId="5" fillId="0" borderId="0" xfId="0" applyNumberFormat="1" applyFont="1"/>
    <xf numFmtId="2" fontId="5" fillId="6" borderId="3" xfId="1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center"/>
    </xf>
    <xf numFmtId="0" fontId="22" fillId="2" borderId="8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170" fontId="5" fillId="0" borderId="3" xfId="1" applyNumberFormat="1" applyFont="1" applyBorder="1"/>
    <xf numFmtId="171" fontId="5" fillId="0" borderId="3" xfId="1" applyNumberFormat="1" applyFont="1" applyBorder="1"/>
    <xf numFmtId="164" fontId="5" fillId="0" borderId="1" xfId="11" applyNumberFormat="1" applyFont="1" applyBorder="1"/>
  </cellXfs>
  <cellStyles count="21">
    <cellStyle name="Comma" xfId="11" builtinId="3"/>
    <cellStyle name="Comma 4" xfId="12"/>
    <cellStyle name="Currency" xfId="6" builtinId="4"/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zoomScale="125" workbookViewId="0">
      <selection activeCell="A3" sqref="A3"/>
    </sheetView>
  </sheetViews>
  <sheetFormatPr baseColWidth="10" defaultRowHeight="16" x14ac:dyDescent="0.2"/>
  <cols>
    <col min="1" max="1" width="34.6640625" style="4" customWidth="1"/>
    <col min="2" max="2" width="10.83203125" style="4"/>
    <col min="3" max="4" width="11.6640625" style="4" bestFit="1" customWidth="1"/>
    <col min="5" max="5" width="11.83203125" style="4" bestFit="1" customWidth="1"/>
    <col min="6" max="6" width="12" style="4" bestFit="1" customWidth="1"/>
    <col min="7" max="7" width="11.83203125" style="4" bestFit="1" customWidth="1"/>
    <col min="8" max="8" width="15.33203125" style="4" bestFit="1" customWidth="1"/>
    <col min="9" max="12" width="11.83203125" style="4" bestFit="1" customWidth="1"/>
    <col min="13" max="16384" width="10.83203125" style="4"/>
  </cols>
  <sheetData>
    <row r="1" spans="1:13" s="32" customFormat="1" ht="16" customHeight="1" x14ac:dyDescent="0.2">
      <c r="A1" s="32" t="s">
        <v>19</v>
      </c>
    </row>
    <row r="2" spans="1:13" s="33" customFormat="1" ht="16" customHeight="1" x14ac:dyDescent="0.2"/>
    <row r="3" spans="1:13" s="6" customFormat="1" x14ac:dyDescent="0.2">
      <c r="A3" s="5" t="s">
        <v>114</v>
      </c>
    </row>
    <row r="4" spans="1:13" s="8" customFormat="1" x14ac:dyDescent="0.2">
      <c r="A4" s="7"/>
    </row>
    <row r="5" spans="1:13" s="10" customFormat="1" x14ac:dyDescent="0.2">
      <c r="A5" s="9" t="s">
        <v>0</v>
      </c>
    </row>
    <row r="7" spans="1:13" s="11" customFormat="1" x14ac:dyDescent="0.2"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2" t="s">
        <v>15</v>
      </c>
      <c r="J7" s="12" t="s">
        <v>16</v>
      </c>
      <c r="K7" s="12" t="s">
        <v>17</v>
      </c>
      <c r="L7" s="12" t="s">
        <v>18</v>
      </c>
      <c r="M7" s="12" t="s">
        <v>194</v>
      </c>
    </row>
    <row r="8" spans="1:13" x14ac:dyDescent="0.2">
      <c r="A8" s="4" t="s">
        <v>1</v>
      </c>
      <c r="C8" s="4">
        <v>9937</v>
      </c>
      <c r="D8" s="13">
        <f>C12</f>
        <v>10506</v>
      </c>
      <c r="E8" s="13">
        <f t="shared" ref="E8:M8" si="0">D12</f>
        <v>11132</v>
      </c>
      <c r="F8" s="13">
        <f t="shared" si="0"/>
        <v>11789</v>
      </c>
      <c r="G8" s="13">
        <f t="shared" si="0"/>
        <v>12483</v>
      </c>
      <c r="H8" s="13">
        <f t="shared" si="0"/>
        <v>13320</v>
      </c>
      <c r="I8" s="13">
        <f t="shared" si="0"/>
        <v>14534</v>
      </c>
      <c r="J8" s="13">
        <f t="shared" si="0"/>
        <v>15354</v>
      </c>
      <c r="K8" s="13">
        <f t="shared" si="0"/>
        <v>16154</v>
      </c>
      <c r="L8" s="13">
        <f t="shared" si="0"/>
        <v>16934</v>
      </c>
      <c r="M8" s="13">
        <f t="shared" si="0"/>
        <v>17694</v>
      </c>
    </row>
    <row r="9" spans="1:13" x14ac:dyDescent="0.2">
      <c r="A9" s="4" t="s">
        <v>2</v>
      </c>
      <c r="C9" s="4">
        <v>625</v>
      </c>
      <c r="D9" s="4">
        <v>650</v>
      </c>
      <c r="E9" s="4">
        <v>700</v>
      </c>
      <c r="F9" s="4">
        <v>730</v>
      </c>
      <c r="G9" s="4">
        <v>900</v>
      </c>
      <c r="H9" s="4">
        <v>1315</v>
      </c>
      <c r="I9" s="14">
        <v>900</v>
      </c>
      <c r="J9" s="14">
        <v>880</v>
      </c>
      <c r="K9" s="14">
        <v>860</v>
      </c>
      <c r="L9" s="14">
        <v>840</v>
      </c>
      <c r="M9" s="14">
        <v>820</v>
      </c>
    </row>
    <row r="10" spans="1:13" x14ac:dyDescent="0.2">
      <c r="A10" s="4" t="s">
        <v>3</v>
      </c>
      <c r="C10" s="4">
        <v>56</v>
      </c>
      <c r="D10" s="4">
        <v>24</v>
      </c>
      <c r="E10" s="4">
        <v>43</v>
      </c>
      <c r="F10" s="4">
        <v>36</v>
      </c>
      <c r="G10" s="4">
        <v>63</v>
      </c>
      <c r="H10" s="4">
        <v>101</v>
      </c>
      <c r="I10" s="14">
        <v>80</v>
      </c>
      <c r="J10" s="14">
        <v>80</v>
      </c>
      <c r="K10" s="14">
        <v>80</v>
      </c>
      <c r="L10" s="14">
        <v>80</v>
      </c>
      <c r="M10" s="14">
        <v>80</v>
      </c>
    </row>
    <row r="11" spans="1:13" x14ac:dyDescent="0.2">
      <c r="A11" s="4" t="s">
        <v>4</v>
      </c>
      <c r="C11" s="10">
        <f t="shared" ref="C11:M11" si="1">C9-C10</f>
        <v>569</v>
      </c>
      <c r="D11" s="10">
        <f t="shared" si="1"/>
        <v>626</v>
      </c>
      <c r="E11" s="10">
        <f t="shared" si="1"/>
        <v>657</v>
      </c>
      <c r="F11" s="10">
        <f t="shared" si="1"/>
        <v>694</v>
      </c>
      <c r="G11" s="10">
        <f t="shared" si="1"/>
        <v>837</v>
      </c>
      <c r="H11" s="10">
        <f t="shared" si="1"/>
        <v>1214</v>
      </c>
      <c r="I11" s="10">
        <f t="shared" si="1"/>
        <v>820</v>
      </c>
      <c r="J11" s="10">
        <f t="shared" si="1"/>
        <v>800</v>
      </c>
      <c r="K11" s="10">
        <f t="shared" si="1"/>
        <v>780</v>
      </c>
      <c r="L11" s="10">
        <f t="shared" si="1"/>
        <v>760</v>
      </c>
      <c r="M11" s="10">
        <f t="shared" si="1"/>
        <v>740</v>
      </c>
    </row>
    <row r="12" spans="1:13" x14ac:dyDescent="0.2">
      <c r="A12" s="4" t="s">
        <v>5</v>
      </c>
      <c r="C12" s="42">
        <f t="shared" ref="C12:M12" si="2">C8+C11</f>
        <v>10506</v>
      </c>
      <c r="D12" s="42">
        <f t="shared" si="2"/>
        <v>11132</v>
      </c>
      <c r="E12" s="42">
        <f t="shared" si="2"/>
        <v>11789</v>
      </c>
      <c r="F12" s="42">
        <f t="shared" si="2"/>
        <v>12483</v>
      </c>
      <c r="G12" s="42">
        <f t="shared" si="2"/>
        <v>13320</v>
      </c>
      <c r="H12" s="42">
        <f t="shared" si="2"/>
        <v>14534</v>
      </c>
      <c r="I12" s="42">
        <f t="shared" si="2"/>
        <v>15354</v>
      </c>
      <c r="J12" s="42">
        <f t="shared" si="2"/>
        <v>16154</v>
      </c>
      <c r="K12" s="42">
        <f t="shared" si="2"/>
        <v>16934</v>
      </c>
      <c r="L12" s="42">
        <f t="shared" si="2"/>
        <v>17694</v>
      </c>
      <c r="M12" s="42">
        <f t="shared" si="2"/>
        <v>18434</v>
      </c>
    </row>
    <row r="13" spans="1:13" x14ac:dyDescent="0.2">
      <c r="A13" s="4" t="s">
        <v>6</v>
      </c>
      <c r="D13" s="15">
        <f>D12/C12-1</f>
        <v>5.9584999048162945E-2</v>
      </c>
      <c r="E13" s="15">
        <f t="shared" ref="E13:K13" si="3">E12/D12-1</f>
        <v>5.9019044196909842E-2</v>
      </c>
      <c r="F13" s="15">
        <f t="shared" si="3"/>
        <v>5.8868436678259473E-2</v>
      </c>
      <c r="G13" s="15">
        <f t="shared" si="3"/>
        <v>6.7051189617880258E-2</v>
      </c>
      <c r="H13" s="15">
        <f>H12/G12-1</f>
        <v>9.1141141141141135E-2</v>
      </c>
      <c r="I13" s="15">
        <f t="shared" si="3"/>
        <v>5.6419430301362317E-2</v>
      </c>
      <c r="J13" s="15">
        <f t="shared" si="3"/>
        <v>5.2103686335808197E-2</v>
      </c>
      <c r="K13" s="15">
        <f t="shared" si="3"/>
        <v>4.8285254426148283E-2</v>
      </c>
      <c r="L13" s="15">
        <f>L12/K12-1</f>
        <v>4.488012282980991E-2</v>
      </c>
      <c r="M13" s="15">
        <f>M12/L12-1</f>
        <v>4.1822086583022555E-2</v>
      </c>
    </row>
    <row r="14" spans="1:13" x14ac:dyDescent="0.2">
      <c r="A14" s="4" t="s">
        <v>7</v>
      </c>
      <c r="C14" s="35">
        <f t="shared" ref="C14:H14" si="4">C17/C12</f>
        <v>1525.0454978107748</v>
      </c>
      <c r="D14" s="35">
        <f t="shared" si="4"/>
        <v>1572.4188825008982</v>
      </c>
      <c r="E14" s="35">
        <f t="shared" si="4"/>
        <v>1604.0027143947748</v>
      </c>
      <c r="F14" s="35">
        <f t="shared" si="4"/>
        <v>1631.7040775454618</v>
      </c>
      <c r="G14" s="35">
        <f t="shared" si="4"/>
        <v>1650.6454954954954</v>
      </c>
      <c r="H14" s="35">
        <f t="shared" si="4"/>
        <v>1614.9007155635063</v>
      </c>
      <c r="I14" s="35">
        <f>H14*(1+I15)</f>
        <v>1631.0497227191413</v>
      </c>
      <c r="J14" s="35">
        <f>I14*(1+J15)</f>
        <v>1647.3602199463328</v>
      </c>
      <c r="K14" s="35">
        <f>J14*(1+K15)</f>
        <v>1663.8338221457961</v>
      </c>
      <c r="L14" s="35">
        <f>K14*(1+L15)</f>
        <v>1680.4721603672542</v>
      </c>
      <c r="M14" s="35">
        <f>L14*(1+M15)</f>
        <v>1697.2768819709268</v>
      </c>
    </row>
    <row r="15" spans="1:13" x14ac:dyDescent="0.2">
      <c r="A15" s="4" t="s">
        <v>8</v>
      </c>
      <c r="C15" s="39"/>
      <c r="D15" s="39">
        <f>D14/C14-1</f>
        <v>3.1063587780252311E-2</v>
      </c>
      <c r="E15" s="39">
        <f>E14/D14-1</f>
        <v>2.0086143867493522E-2</v>
      </c>
      <c r="F15" s="39">
        <f>F14/E14-1</f>
        <v>1.7270147302175465E-2</v>
      </c>
      <c r="G15" s="39">
        <f>G14/F14-1</f>
        <v>1.1608365886127237E-2</v>
      </c>
      <c r="H15" s="39">
        <f>H14/G14-1</f>
        <v>-2.1655031337458164E-2</v>
      </c>
      <c r="I15" s="16">
        <v>0.01</v>
      </c>
      <c r="J15" s="16">
        <v>0.01</v>
      </c>
      <c r="K15" s="16">
        <v>0.01</v>
      </c>
      <c r="L15" s="16">
        <v>0.01</v>
      </c>
      <c r="M15" s="16">
        <v>0.01</v>
      </c>
    </row>
    <row r="17" spans="1:14" x14ac:dyDescent="0.2">
      <c r="A17" s="17" t="s">
        <v>20</v>
      </c>
      <c r="C17" s="49">
        <v>16022128</v>
      </c>
      <c r="D17" s="49">
        <v>17504167</v>
      </c>
      <c r="E17" s="49">
        <v>18909588</v>
      </c>
      <c r="F17" s="49">
        <v>20368562</v>
      </c>
      <c r="G17" s="49">
        <v>21986598</v>
      </c>
      <c r="H17" s="138">
        <v>23470967</v>
      </c>
      <c r="I17" s="48">
        <f>I12*I14</f>
        <v>25043137.442629695</v>
      </c>
      <c r="J17" s="48">
        <f>J12*J14</f>
        <v>26611456.993013062</v>
      </c>
      <c r="K17" s="48">
        <f>K12*K14</f>
        <v>28175361.944216911</v>
      </c>
      <c r="L17" s="48">
        <f>L12*L14</f>
        <v>29734274.405538198</v>
      </c>
      <c r="M17" s="48">
        <f>M12*M14</f>
        <v>31287602.042252064</v>
      </c>
    </row>
    <row r="18" spans="1:14" x14ac:dyDescent="0.2">
      <c r="A18" s="35"/>
      <c r="B18" s="36"/>
      <c r="C18" s="36"/>
      <c r="D18" s="35"/>
      <c r="E18" s="36"/>
      <c r="F18" s="36"/>
      <c r="G18" s="35"/>
      <c r="H18" s="36"/>
      <c r="I18" s="36"/>
      <c r="J18" s="35"/>
      <c r="K18" s="36"/>
      <c r="L18" s="36"/>
      <c r="N18" s="36"/>
    </row>
    <row r="19" spans="1:14" x14ac:dyDescent="0.2">
      <c r="B19" s="4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tabSelected="1" workbookViewId="0">
      <pane xSplit="2" ySplit="9" topLeftCell="C25" activePane="bottomRight" state="frozen"/>
      <selection pane="topRight" activeCell="C1" sqref="C1"/>
      <selection pane="bottomLeft" activeCell="A10" sqref="A10"/>
      <selection pane="bottomRight" activeCell="N39" sqref="N39"/>
    </sheetView>
  </sheetViews>
  <sheetFormatPr baseColWidth="10" defaultRowHeight="16" x14ac:dyDescent="0.2"/>
  <cols>
    <col min="1" max="1" width="34.6640625" style="4" customWidth="1"/>
    <col min="2" max="2" width="10.83203125" style="4"/>
    <col min="3" max="3" width="11.83203125" style="4" bestFit="1" customWidth="1"/>
    <col min="4" max="4" width="12.83203125" style="4" bestFit="1" customWidth="1"/>
    <col min="5" max="5" width="13.33203125" style="4" bestFit="1" customWidth="1"/>
    <col min="6" max="6" width="13.6640625" style="4" bestFit="1" customWidth="1"/>
    <col min="7" max="7" width="13.83203125" style="4" bestFit="1" customWidth="1"/>
    <col min="8" max="8" width="12.83203125" style="151" bestFit="1" customWidth="1"/>
    <col min="9" max="9" width="12.83203125" style="4" bestFit="1" customWidth="1"/>
    <col min="10" max="11" width="14" style="4" bestFit="1" customWidth="1"/>
    <col min="12" max="12" width="12.83203125" style="4" bestFit="1" customWidth="1"/>
    <col min="13" max="16384" width="10.83203125" style="4"/>
  </cols>
  <sheetData>
    <row r="1" spans="1:13" s="32" customFormat="1" ht="16" customHeight="1" x14ac:dyDescent="0.2">
      <c r="A1" s="32" t="s">
        <v>19</v>
      </c>
      <c r="H1" s="139"/>
    </row>
    <row r="2" spans="1:13" s="33" customFormat="1" ht="16" customHeight="1" x14ac:dyDescent="0.2">
      <c r="H2" s="140"/>
    </row>
    <row r="3" spans="1:13" s="6" customFormat="1" x14ac:dyDescent="0.2">
      <c r="A3" s="5" t="s">
        <v>114</v>
      </c>
      <c r="H3" s="141"/>
    </row>
    <row r="4" spans="1:13" s="8" customFormat="1" x14ac:dyDescent="0.2">
      <c r="A4" s="7"/>
      <c r="H4" s="55"/>
    </row>
    <row r="5" spans="1:13" s="10" customFormat="1" x14ac:dyDescent="0.2">
      <c r="A5" s="9" t="s">
        <v>21</v>
      </c>
      <c r="H5" s="76"/>
    </row>
    <row r="7" spans="1:13" s="11" customFormat="1" x14ac:dyDescent="0.2"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2" t="s">
        <v>15</v>
      </c>
      <c r="J7" s="12" t="s">
        <v>16</v>
      </c>
      <c r="K7" s="12" t="s">
        <v>17</v>
      </c>
      <c r="L7" s="12" t="s">
        <v>18</v>
      </c>
      <c r="M7" s="12" t="s">
        <v>194</v>
      </c>
    </row>
    <row r="8" spans="1:13" s="11" customFormat="1" x14ac:dyDescent="0.2">
      <c r="A8" s="18" t="s">
        <v>22</v>
      </c>
      <c r="B8" s="19"/>
      <c r="C8" s="50">
        <f>'Revenue Build'!C17</f>
        <v>16022128</v>
      </c>
      <c r="D8" s="50">
        <f>'Revenue Build'!D17</f>
        <v>17504167</v>
      </c>
      <c r="E8" s="50">
        <f>'Revenue Build'!E17</f>
        <v>18909588</v>
      </c>
      <c r="F8" s="50">
        <f>'Revenue Build'!F17</f>
        <v>20368562</v>
      </c>
      <c r="G8" s="50">
        <f>'Revenue Build'!G17</f>
        <v>21986598</v>
      </c>
      <c r="H8" s="50">
        <f>'Revenue Build'!H17</f>
        <v>23470967</v>
      </c>
      <c r="I8" s="50">
        <f>'Revenue Build'!I17</f>
        <v>25043137.442629695</v>
      </c>
      <c r="J8" s="50">
        <f>'Revenue Build'!J17</f>
        <v>26611456.993013062</v>
      </c>
      <c r="K8" s="50">
        <f>'Revenue Build'!K17</f>
        <v>28175361.944216911</v>
      </c>
      <c r="L8" s="50">
        <f>'Revenue Build'!L17</f>
        <v>29734274.405538198</v>
      </c>
      <c r="M8" s="50">
        <f>'Revenue Build'!M17</f>
        <v>31287602.042252064</v>
      </c>
    </row>
    <row r="9" spans="1:13" s="11" customFormat="1" x14ac:dyDescent="0.2">
      <c r="A9" s="20" t="s">
        <v>23</v>
      </c>
      <c r="B9" s="19"/>
      <c r="C9" s="21"/>
      <c r="D9" s="22">
        <f>D8/C8-1</f>
        <v>9.249951067673412E-2</v>
      </c>
      <c r="E9" s="22">
        <f t="shared" ref="E9:M9" si="0">E8/D8-1</f>
        <v>8.02906530770644E-2</v>
      </c>
      <c r="F9" s="22">
        <f t="shared" si="0"/>
        <v>7.7155250553317289E-2</v>
      </c>
      <c r="G9" s="22">
        <f t="shared" si="0"/>
        <v>7.9437910246192178E-2</v>
      </c>
      <c r="H9" s="22">
        <f t="shared" si="0"/>
        <v>6.7512445536139776E-2</v>
      </c>
      <c r="I9" s="22">
        <f t="shared" si="0"/>
        <v>6.6983624604376013E-2</v>
      </c>
      <c r="J9" s="22">
        <f t="shared" si="0"/>
        <v>6.2624723199166565E-2</v>
      </c>
      <c r="K9" s="22">
        <f t="shared" si="0"/>
        <v>5.8768106970409795E-2</v>
      </c>
      <c r="L9" s="22">
        <f t="shared" si="0"/>
        <v>5.5328924058108075E-2</v>
      </c>
      <c r="M9" s="22">
        <f t="shared" si="0"/>
        <v>5.2240307448852663E-2</v>
      </c>
    </row>
    <row r="10" spans="1:13" s="11" customFormat="1" x14ac:dyDescent="0.2">
      <c r="A10" s="18"/>
      <c r="B10" s="19"/>
      <c r="C10" s="21"/>
      <c r="D10" s="22"/>
      <c r="E10" s="22"/>
      <c r="F10" s="22"/>
      <c r="G10" s="22"/>
      <c r="H10" s="22"/>
      <c r="I10" s="22"/>
      <c r="J10" s="22"/>
      <c r="K10" s="22"/>
      <c r="L10" s="22"/>
    </row>
    <row r="11" spans="1:13" x14ac:dyDescent="0.2">
      <c r="A11" s="34" t="s">
        <v>24</v>
      </c>
      <c r="C11" s="13">
        <v>10936727</v>
      </c>
      <c r="D11" s="42">
        <v>12068425</v>
      </c>
      <c r="E11" s="42">
        <v>13107081</v>
      </c>
      <c r="F11" s="42">
        <v>14062471</v>
      </c>
      <c r="G11" s="42">
        <v>15203960</v>
      </c>
      <c r="H11" s="143">
        <v>16249608</v>
      </c>
      <c r="I11" s="42">
        <f>I8-I12</f>
        <v>17315151.933900278</v>
      </c>
      <c r="J11" s="42">
        <f>J8-J12</f>
        <v>18408487.859765954</v>
      </c>
      <c r="K11" s="42">
        <f>K8-K12</f>
        <v>19492575.024930879</v>
      </c>
      <c r="L11" s="42">
        <f>L8-L12</f>
        <v>20566147.242504723</v>
      </c>
      <c r="M11" s="42">
        <f>M8-M12</f>
        <v>21643153.38942457</v>
      </c>
    </row>
    <row r="12" spans="1:13" x14ac:dyDescent="0.2">
      <c r="A12" s="34" t="s">
        <v>25</v>
      </c>
      <c r="C12" s="51">
        <f t="shared" ref="C12:H12" si="1">C8-C11</f>
        <v>5085401</v>
      </c>
      <c r="D12" s="51">
        <f t="shared" si="1"/>
        <v>5435742</v>
      </c>
      <c r="E12" s="51">
        <f t="shared" si="1"/>
        <v>5802507</v>
      </c>
      <c r="F12" s="51">
        <f t="shared" si="1"/>
        <v>6306091</v>
      </c>
      <c r="G12" s="51">
        <f t="shared" si="1"/>
        <v>6782638</v>
      </c>
      <c r="H12" s="52">
        <f t="shared" si="1"/>
        <v>7221359</v>
      </c>
      <c r="I12" s="52">
        <f>I13*I8</f>
        <v>7727985.5087294178</v>
      </c>
      <c r="J12" s="52">
        <f>J13*J8</f>
        <v>8202969.1332471054</v>
      </c>
      <c r="K12" s="52">
        <f>K13*K8</f>
        <v>8682786.9192860294</v>
      </c>
      <c r="L12" s="52">
        <f>L13*L8</f>
        <v>9168127.1630334724</v>
      </c>
      <c r="M12" s="52">
        <f>M13*M8</f>
        <v>9644448.652827492</v>
      </c>
    </row>
    <row r="13" spans="1:13" x14ac:dyDescent="0.2">
      <c r="A13" s="34" t="s">
        <v>39</v>
      </c>
      <c r="C13" s="24">
        <f t="shared" ref="C13:H13" si="2">C12/C8</f>
        <v>0.3173986002358738</v>
      </c>
      <c r="D13" s="24">
        <f t="shared" si="2"/>
        <v>0.31053988458862397</v>
      </c>
      <c r="E13" s="24">
        <f t="shared" si="2"/>
        <v>0.30685528420820168</v>
      </c>
      <c r="F13" s="24">
        <f t="shared" si="2"/>
        <v>0.30959922453043076</v>
      </c>
      <c r="G13" s="24">
        <f t="shared" si="2"/>
        <v>0.30848965356077368</v>
      </c>
      <c r="H13" s="144">
        <f t="shared" si="2"/>
        <v>0.30767198471200613</v>
      </c>
      <c r="I13" s="25">
        <f>AVERAGE(F13:H13)</f>
        <v>0.30858695426773686</v>
      </c>
      <c r="J13" s="25">
        <f>AVERAGE(G13:I13)</f>
        <v>0.30824953084683887</v>
      </c>
      <c r="K13" s="25">
        <f>AVERAGE(H13:J13)</f>
        <v>0.30816948994219401</v>
      </c>
      <c r="L13" s="25">
        <f>AVERAGE(I13:K13)</f>
        <v>0.3083353250189233</v>
      </c>
      <c r="M13" s="25">
        <f>AVERAGE(J13:L13)</f>
        <v>0.30825144860265202</v>
      </c>
    </row>
    <row r="14" spans="1:13" x14ac:dyDescent="0.2">
      <c r="A14" s="34"/>
      <c r="C14" s="23"/>
      <c r="D14" s="23"/>
      <c r="E14" s="23"/>
      <c r="F14" s="23"/>
      <c r="G14" s="23"/>
      <c r="H14" s="55"/>
      <c r="I14" s="8"/>
      <c r="J14" s="8"/>
      <c r="K14" s="8"/>
      <c r="L14" s="8"/>
    </row>
    <row r="15" spans="1:13" x14ac:dyDescent="0.2">
      <c r="A15" s="34" t="s">
        <v>32</v>
      </c>
      <c r="C15" s="23"/>
      <c r="D15" s="23"/>
      <c r="E15" s="23"/>
      <c r="F15" s="23"/>
      <c r="G15" s="23"/>
      <c r="H15" s="55"/>
      <c r="I15" s="8"/>
      <c r="J15" s="8"/>
      <c r="K15" s="8"/>
      <c r="L15" s="8"/>
    </row>
    <row r="16" spans="1:13" x14ac:dyDescent="0.2">
      <c r="A16" s="34" t="s">
        <v>26</v>
      </c>
      <c r="C16" s="42">
        <v>3430125</v>
      </c>
      <c r="D16" s="42">
        <v>3699557</v>
      </c>
      <c r="E16" s="42">
        <v>4033414</v>
      </c>
      <c r="F16" s="42">
        <v>4365797</v>
      </c>
      <c r="G16" s="42">
        <v>4719189</v>
      </c>
      <c r="H16" s="143">
        <v>5213541</v>
      </c>
      <c r="I16" s="42">
        <f>I17*I8</f>
        <v>5435250.2885049125</v>
      </c>
      <c r="J16" s="42">
        <f>J17*J8</f>
        <v>5799542.1326821744</v>
      </c>
      <c r="K16" s="42">
        <f>K17*K8</f>
        <v>6171313.2464279104</v>
      </c>
      <c r="L16" s="42">
        <f>L17*L8</f>
        <v>6482089.7727431692</v>
      </c>
      <c r="M16" s="42">
        <f>M17*M8</f>
        <v>6830781.2162252981</v>
      </c>
    </row>
    <row r="17" spans="1:13" x14ac:dyDescent="0.2">
      <c r="A17" s="1" t="s">
        <v>33</v>
      </c>
      <c r="C17" s="26">
        <f t="shared" ref="C17:H17" si="3">C16/C8</f>
        <v>0.21408673055164706</v>
      </c>
      <c r="D17" s="26">
        <f t="shared" si="3"/>
        <v>0.21135293099066069</v>
      </c>
      <c r="E17" s="26">
        <f t="shared" si="3"/>
        <v>0.21329994074963451</v>
      </c>
      <c r="F17" s="26">
        <f t="shared" si="3"/>
        <v>0.2143399715699125</v>
      </c>
      <c r="G17" s="26">
        <f t="shared" si="3"/>
        <v>0.21463934529571149</v>
      </c>
      <c r="H17" s="145">
        <f t="shared" si="3"/>
        <v>0.22212723489407146</v>
      </c>
      <c r="I17" s="27">
        <f>AVERAGE(F17:H17)</f>
        <v>0.21703551725323181</v>
      </c>
      <c r="J17" s="27">
        <f>AVERAGE(G17:I17)</f>
        <v>0.21793403248100493</v>
      </c>
      <c r="K17" s="27">
        <f>AVERAGE(H17:J17)</f>
        <v>0.21903226154276942</v>
      </c>
      <c r="L17" s="27">
        <f>AVERAGE(I17:K17)</f>
        <v>0.21800060375900207</v>
      </c>
      <c r="M17" s="27">
        <f>AVERAGE(J17:L17)</f>
        <v>0.21832229926092547</v>
      </c>
    </row>
    <row r="18" spans="1:13" x14ac:dyDescent="0.2">
      <c r="A18" s="1"/>
      <c r="C18" s="26"/>
      <c r="D18" s="26"/>
      <c r="E18" s="26"/>
      <c r="F18" s="26"/>
      <c r="G18" s="26"/>
      <c r="H18" s="55"/>
      <c r="I18" s="8"/>
      <c r="J18" s="8"/>
      <c r="K18" s="8"/>
      <c r="L18" s="8"/>
    </row>
    <row r="19" spans="1:13" s="31" customFormat="1" x14ac:dyDescent="0.2">
      <c r="A19" s="31" t="s">
        <v>34</v>
      </c>
      <c r="C19" s="53">
        <f t="shared" ref="C19:H19" si="4">C12-C16</f>
        <v>1655276</v>
      </c>
      <c r="D19" s="53">
        <f t="shared" si="4"/>
        <v>1736185</v>
      </c>
      <c r="E19" s="53">
        <f t="shared" si="4"/>
        <v>1769093</v>
      </c>
      <c r="F19" s="53">
        <f t="shared" si="4"/>
        <v>1940294</v>
      </c>
      <c r="G19" s="53">
        <f t="shared" si="4"/>
        <v>2063449</v>
      </c>
      <c r="H19" s="53">
        <f t="shared" si="4"/>
        <v>2007818</v>
      </c>
      <c r="I19" s="53">
        <f>I12-I16</f>
        <v>2292735.2202245053</v>
      </c>
      <c r="J19" s="53">
        <f>J12-J16</f>
        <v>2403427.000564931</v>
      </c>
      <c r="K19" s="53">
        <f>K12-K16</f>
        <v>2511473.672858119</v>
      </c>
      <c r="L19" s="53">
        <f>L12-L16</f>
        <v>2686037.3902903032</v>
      </c>
      <c r="M19" s="53">
        <f>M12-M16</f>
        <v>2813667.4366021939</v>
      </c>
    </row>
    <row r="20" spans="1:13" x14ac:dyDescent="0.2">
      <c r="A20" s="2" t="s">
        <v>35</v>
      </c>
      <c r="C20" s="15">
        <f>C19/C8</f>
        <v>0.10331186968422672</v>
      </c>
      <c r="D20" s="15">
        <f t="shared" ref="D20:M20" si="5">D19/D8</f>
        <v>9.918695359796327E-2</v>
      </c>
      <c r="E20" s="15">
        <f t="shared" si="5"/>
        <v>9.3555343458567156E-2</v>
      </c>
      <c r="F20" s="15">
        <f t="shared" si="5"/>
        <v>9.5259252960518279E-2</v>
      </c>
      <c r="G20" s="15">
        <f t="shared" si="5"/>
        <v>9.3850308265062202E-2</v>
      </c>
      <c r="H20" s="146">
        <f t="shared" si="5"/>
        <v>8.554474981793464E-2</v>
      </c>
      <c r="I20" s="15">
        <f t="shared" si="5"/>
        <v>9.1551437014505035E-2</v>
      </c>
      <c r="J20" s="15">
        <f t="shared" si="5"/>
        <v>9.0315498365833927E-2</v>
      </c>
      <c r="K20" s="15">
        <f t="shared" si="5"/>
        <v>8.9137228399424603E-2</v>
      </c>
      <c r="L20" s="15">
        <f t="shared" si="5"/>
        <v>9.033472125992123E-2</v>
      </c>
      <c r="M20" s="15">
        <f t="shared" si="5"/>
        <v>8.9929149341726536E-2</v>
      </c>
    </row>
    <row r="21" spans="1:13" x14ac:dyDescent="0.2">
      <c r="A21" s="3" t="s">
        <v>23</v>
      </c>
      <c r="C21" s="23"/>
      <c r="D21" s="24">
        <f>D19/C19-1</f>
        <v>4.8879461793682744E-2</v>
      </c>
      <c r="E21" s="24">
        <f t="shared" ref="E21:M21" si="6">E19/D19-1</f>
        <v>1.8954201309192342E-2</v>
      </c>
      <c r="F21" s="24">
        <f t="shared" si="6"/>
        <v>9.6773318304916645E-2</v>
      </c>
      <c r="G21" s="24">
        <f t="shared" si="6"/>
        <v>6.3472339758820162E-2</v>
      </c>
      <c r="H21" s="144">
        <f t="shared" si="6"/>
        <v>-2.6960201100196812E-2</v>
      </c>
      <c r="I21" s="24">
        <f>I19/H19-1</f>
        <v>0.14190390773690909</v>
      </c>
      <c r="J21" s="24">
        <f t="shared" si="6"/>
        <v>4.8279356187316935E-2</v>
      </c>
      <c r="K21" s="24">
        <f t="shared" si="6"/>
        <v>4.4955254421204183E-2</v>
      </c>
      <c r="L21" s="24">
        <f t="shared" si="6"/>
        <v>6.9506489085958245E-2</v>
      </c>
      <c r="M21" s="24">
        <f t="shared" si="6"/>
        <v>4.7516109333867629E-2</v>
      </c>
    </row>
    <row r="22" spans="1:13" x14ac:dyDescent="0.2">
      <c r="A22" s="3"/>
      <c r="C22" s="23"/>
      <c r="D22" s="23"/>
      <c r="E22" s="23"/>
      <c r="F22" s="23"/>
      <c r="G22" s="23"/>
      <c r="H22" s="55"/>
      <c r="I22" s="8"/>
      <c r="J22" s="8"/>
      <c r="K22" s="8"/>
      <c r="L22" s="8"/>
    </row>
    <row r="23" spans="1:13" x14ac:dyDescent="0.2">
      <c r="A23" s="34" t="s">
        <v>27</v>
      </c>
      <c r="C23" s="36">
        <v>127926</v>
      </c>
      <c r="D23" s="36">
        <v>88984</v>
      </c>
      <c r="E23" s="36">
        <v>88232</v>
      </c>
      <c r="F23" s="36">
        <v>86944</v>
      </c>
      <c r="G23" s="36">
        <v>97821</v>
      </c>
      <c r="H23" s="147">
        <v>97036</v>
      </c>
      <c r="I23" s="37">
        <v>97000</v>
      </c>
      <c r="J23" s="37">
        <v>97000</v>
      </c>
      <c r="K23" s="37">
        <v>97000</v>
      </c>
      <c r="L23" s="37">
        <v>97000</v>
      </c>
      <c r="M23" s="37">
        <v>97000</v>
      </c>
    </row>
    <row r="24" spans="1:13" x14ac:dyDescent="0.2">
      <c r="A24" s="34" t="s">
        <v>28</v>
      </c>
      <c r="C24" s="36">
        <v>29956</v>
      </c>
      <c r="D24" s="36">
        <v>18871</v>
      </c>
      <c r="F24" s="36">
        <v>326</v>
      </c>
      <c r="G24" s="24"/>
      <c r="H24" s="148">
        <v>3502</v>
      </c>
      <c r="I24" s="24"/>
      <c r="J24" s="24"/>
      <c r="K24" s="24"/>
      <c r="L24" s="24"/>
    </row>
    <row r="25" spans="1:13" x14ac:dyDescent="0.2">
      <c r="A25" s="34"/>
      <c r="C25" s="36"/>
      <c r="D25" s="36"/>
      <c r="F25" s="36"/>
      <c r="G25" s="24"/>
      <c r="H25" s="144"/>
      <c r="I25" s="24"/>
      <c r="J25" s="24"/>
      <c r="K25" s="24"/>
      <c r="L25" s="24"/>
    </row>
    <row r="26" spans="1:13" s="31" customFormat="1" x14ac:dyDescent="0.2">
      <c r="A26" s="38" t="s">
        <v>29</v>
      </c>
      <c r="C26" s="53">
        <f>C19-C23-C24</f>
        <v>1497394</v>
      </c>
      <c r="D26" s="53">
        <f t="shared" ref="D26:M26" si="7">D19-D23-D24</f>
        <v>1628330</v>
      </c>
      <c r="E26" s="53">
        <f t="shared" si="7"/>
        <v>1680861</v>
      </c>
      <c r="F26" s="53">
        <f t="shared" si="7"/>
        <v>1853024</v>
      </c>
      <c r="G26" s="53">
        <f t="shared" si="7"/>
        <v>1965628</v>
      </c>
      <c r="H26" s="53">
        <f t="shared" si="7"/>
        <v>1907280</v>
      </c>
      <c r="I26" s="53">
        <f t="shared" si="7"/>
        <v>2195735.2202245053</v>
      </c>
      <c r="J26" s="53">
        <f t="shared" si="7"/>
        <v>2306427.000564931</v>
      </c>
      <c r="K26" s="53">
        <f t="shared" si="7"/>
        <v>2414473.672858119</v>
      </c>
      <c r="L26" s="53">
        <f t="shared" si="7"/>
        <v>2589037.3902903032</v>
      </c>
      <c r="M26" s="53">
        <f t="shared" si="7"/>
        <v>2716667.4366021939</v>
      </c>
    </row>
    <row r="27" spans="1:13" x14ac:dyDescent="0.2">
      <c r="A27" s="34" t="s">
        <v>30</v>
      </c>
      <c r="C27" s="36">
        <v>544732</v>
      </c>
      <c r="D27" s="36">
        <v>603214</v>
      </c>
      <c r="E27" s="36">
        <v>615516</v>
      </c>
      <c r="F27" s="36">
        <v>687944</v>
      </c>
      <c r="G27" s="36">
        <v>714495</v>
      </c>
      <c r="H27" s="147">
        <v>368320</v>
      </c>
      <c r="I27" s="54">
        <f>I28*I26</f>
        <v>417189.691842656</v>
      </c>
      <c r="J27" s="54">
        <f>J28*J26</f>
        <v>438221.13010733691</v>
      </c>
      <c r="K27" s="54">
        <f>K28*K26</f>
        <v>458749.9978430426</v>
      </c>
      <c r="L27" s="54">
        <f>L28*L26</f>
        <v>491917.10415515758</v>
      </c>
      <c r="M27" s="54">
        <f>M28*M26</f>
        <v>516166.81295441685</v>
      </c>
    </row>
    <row r="28" spans="1:13" x14ac:dyDescent="0.2">
      <c r="A28" s="34" t="s">
        <v>41</v>
      </c>
      <c r="C28" s="39">
        <f t="shared" ref="C28:H28" si="8">C27/C26</f>
        <v>0.36378668540143744</v>
      </c>
      <c r="D28" s="39">
        <f t="shared" si="8"/>
        <v>0.37044947891397934</v>
      </c>
      <c r="E28" s="39">
        <f t="shared" si="8"/>
        <v>0.36619089859304249</v>
      </c>
      <c r="F28" s="39">
        <f t="shared" si="8"/>
        <v>0.3712547705804134</v>
      </c>
      <c r="G28" s="39">
        <f t="shared" si="8"/>
        <v>0.36349451676512545</v>
      </c>
      <c r="H28" s="149">
        <f t="shared" si="8"/>
        <v>0.19311270500398472</v>
      </c>
      <c r="I28" s="28">
        <v>0.19</v>
      </c>
      <c r="J28" s="28">
        <v>0.19</v>
      </c>
      <c r="K28" s="28">
        <v>0.19</v>
      </c>
      <c r="L28" s="28">
        <v>0.19</v>
      </c>
      <c r="M28" s="28">
        <v>0.19</v>
      </c>
    </row>
    <row r="29" spans="1:13" x14ac:dyDescent="0.2">
      <c r="A29" s="34" t="s">
        <v>40</v>
      </c>
      <c r="C29" s="39">
        <f>C27/C8</f>
        <v>3.3998729756746421E-2</v>
      </c>
      <c r="D29" s="39">
        <f t="shared" ref="D29:M29" si="9">D27/D8</f>
        <v>3.4461165732708104E-2</v>
      </c>
      <c r="E29" s="39">
        <f t="shared" si="9"/>
        <v>3.2550471221266163E-2</v>
      </c>
      <c r="F29" s="39">
        <f t="shared" si="9"/>
        <v>3.3774794705684182E-2</v>
      </c>
      <c r="G29" s="39">
        <f t="shared" si="9"/>
        <v>3.2496841939803511E-2</v>
      </c>
      <c r="H29" s="149">
        <f t="shared" si="9"/>
        <v>1.5692578835801694E-2</v>
      </c>
      <c r="I29" s="39">
        <f t="shared" si="9"/>
        <v>1.665884287854822E-2</v>
      </c>
      <c r="J29" s="39">
        <f t="shared" si="9"/>
        <v>1.6467385841458945E-2</v>
      </c>
      <c r="K29" s="39">
        <f t="shared" si="9"/>
        <v>1.628195580064953E-2</v>
      </c>
      <c r="L29" s="39">
        <f t="shared" si="9"/>
        <v>1.6543773607723716E-2</v>
      </c>
      <c r="M29" s="39">
        <f t="shared" si="9"/>
        <v>1.6497487159845742E-2</v>
      </c>
    </row>
    <row r="30" spans="1:13" x14ac:dyDescent="0.2">
      <c r="A30" s="34"/>
      <c r="C30" s="36"/>
      <c r="D30" s="36"/>
      <c r="E30" s="36"/>
      <c r="F30" s="36"/>
      <c r="G30" s="36"/>
      <c r="H30" s="147"/>
      <c r="I30" s="28"/>
      <c r="J30" s="28"/>
      <c r="K30" s="28"/>
      <c r="L30" s="28"/>
    </row>
    <row r="31" spans="1:13" s="31" customFormat="1" x14ac:dyDescent="0.2">
      <c r="A31" s="38" t="s">
        <v>31</v>
      </c>
      <c r="C31" s="53">
        <f>C26-C27</f>
        <v>952662</v>
      </c>
      <c r="D31" s="53">
        <f t="shared" ref="D31:M31" si="10">D26-D27</f>
        <v>1025116</v>
      </c>
      <c r="E31" s="53">
        <f t="shared" si="10"/>
        <v>1065345</v>
      </c>
      <c r="F31" s="53">
        <f t="shared" si="10"/>
        <v>1165080</v>
      </c>
      <c r="G31" s="53">
        <f t="shared" si="10"/>
        <v>1251133</v>
      </c>
      <c r="H31" s="53">
        <f t="shared" si="10"/>
        <v>1538960</v>
      </c>
      <c r="I31" s="53">
        <f t="shared" si="10"/>
        <v>1778545.5283818492</v>
      </c>
      <c r="J31" s="53">
        <f t="shared" si="10"/>
        <v>1868205.8704575941</v>
      </c>
      <c r="K31" s="53">
        <f t="shared" si="10"/>
        <v>1955723.6750150765</v>
      </c>
      <c r="L31" s="53">
        <f t="shared" si="10"/>
        <v>2097120.2861351455</v>
      </c>
      <c r="M31" s="53">
        <f t="shared" si="10"/>
        <v>2200500.6236477769</v>
      </c>
    </row>
    <row r="32" spans="1:13" x14ac:dyDescent="0.2">
      <c r="A32" s="2" t="s">
        <v>36</v>
      </c>
      <c r="C32" s="29">
        <f>C31/C8</f>
        <v>5.9459143005223779E-2</v>
      </c>
      <c r="D32" s="29">
        <f t="shared" ref="D32:M32" si="11">D31/D8</f>
        <v>5.8564112191114265E-2</v>
      </c>
      <c r="E32" s="29">
        <f t="shared" si="11"/>
        <v>5.633887951445584E-2</v>
      </c>
      <c r="F32" s="29">
        <f t="shared" si="11"/>
        <v>5.7199914260024839E-2</v>
      </c>
      <c r="G32" s="29">
        <f t="shared" si="11"/>
        <v>5.6904346911695936E-2</v>
      </c>
      <c r="H32" s="150">
        <f t="shared" si="11"/>
        <v>6.556866617383085E-2</v>
      </c>
      <c r="I32" s="29">
        <f t="shared" si="11"/>
        <v>7.1019277534863465E-2</v>
      </c>
      <c r="J32" s="29">
        <f t="shared" si="11"/>
        <v>7.0203065955693394E-2</v>
      </c>
      <c r="K32" s="29">
        <f t="shared" si="11"/>
        <v>6.9412548413295375E-2</v>
      </c>
      <c r="L32" s="29">
        <f t="shared" si="11"/>
        <v>7.0528719064506362E-2</v>
      </c>
      <c r="M32" s="29">
        <f t="shared" si="11"/>
        <v>7.0331392628816047E-2</v>
      </c>
    </row>
    <row r="33" spans="1:14" x14ac:dyDescent="0.2">
      <c r="A33" s="3" t="s">
        <v>23</v>
      </c>
      <c r="B33" s="36"/>
      <c r="C33" s="40"/>
      <c r="D33" s="29">
        <f t="shared" ref="D33:M33" si="12">D31/C31-1</f>
        <v>7.6054256388939701E-2</v>
      </c>
      <c r="E33" s="29">
        <f t="shared" si="12"/>
        <v>3.9243363677866627E-2</v>
      </c>
      <c r="F33" s="29">
        <f t="shared" si="12"/>
        <v>9.3617560508567621E-2</v>
      </c>
      <c r="G33" s="29">
        <f t="shared" si="12"/>
        <v>7.3860164108902282E-2</v>
      </c>
      <c r="H33" s="150">
        <f t="shared" si="12"/>
        <v>0.23005307988838908</v>
      </c>
      <c r="I33" s="29">
        <f t="shared" si="12"/>
        <v>0.1556801530786045</v>
      </c>
      <c r="J33" s="29">
        <f t="shared" si="12"/>
        <v>5.0412171431630126E-2</v>
      </c>
      <c r="K33" s="29">
        <f t="shared" si="12"/>
        <v>4.6845910261509971E-2</v>
      </c>
      <c r="L33" s="29">
        <f t="shared" si="12"/>
        <v>7.2298869685145428E-2</v>
      </c>
      <c r="M33" s="29">
        <f t="shared" si="12"/>
        <v>4.929633182994686E-2</v>
      </c>
      <c r="N33" s="36"/>
    </row>
    <row r="34" spans="1:14" x14ac:dyDescent="0.2">
      <c r="B34" s="41"/>
    </row>
    <row r="35" spans="1:14" x14ac:dyDescent="0.2">
      <c r="A35" s="4" t="s">
        <v>37</v>
      </c>
      <c r="D35" s="190">
        <v>323854000</v>
      </c>
      <c r="E35" s="42">
        <v>305681000</v>
      </c>
      <c r="F35" s="42">
        <v>295211000</v>
      </c>
      <c r="G35" s="42">
        <v>282261000</v>
      </c>
      <c r="H35" s="143">
        <v>272751000</v>
      </c>
      <c r="I35" s="43">
        <v>256361000</v>
      </c>
      <c r="J35" s="43">
        <f>I35</f>
        <v>256361000</v>
      </c>
      <c r="K35" s="43">
        <f>J35</f>
        <v>256361000</v>
      </c>
      <c r="L35" s="43">
        <f>K35</f>
        <v>256361000</v>
      </c>
      <c r="M35" s="43">
        <f>L35</f>
        <v>256361000</v>
      </c>
    </row>
    <row r="36" spans="1:14" x14ac:dyDescent="0.2">
      <c r="A36" s="4" t="s">
        <v>38</v>
      </c>
      <c r="D36" s="4">
        <v>3.17</v>
      </c>
      <c r="E36" s="30">
        <f>E31*1000/E35</f>
        <v>3.4851528227138751</v>
      </c>
      <c r="F36" s="30">
        <f t="shared" ref="F36:M36" si="13">F31*1000/F35</f>
        <v>3.9466009057928058</v>
      </c>
      <c r="G36" s="30">
        <f t="shared" si="13"/>
        <v>4.4325393873046579</v>
      </c>
      <c r="H36" s="152">
        <f>H31*1000/H35</f>
        <v>5.6423624478003749</v>
      </c>
      <c r="I36" s="30">
        <f t="shared" si="13"/>
        <v>6.9376602852300051</v>
      </c>
      <c r="J36" s="30">
        <f t="shared" si="13"/>
        <v>7.2874028048634312</v>
      </c>
      <c r="K36" s="30">
        <f t="shared" si="13"/>
        <v>7.6287878226995396</v>
      </c>
      <c r="L36" s="30">
        <f t="shared" si="13"/>
        <v>8.1803405593485188</v>
      </c>
      <c r="M36" s="30">
        <f t="shared" si="13"/>
        <v>8.5836013420441368</v>
      </c>
    </row>
    <row r="38" spans="1:14" x14ac:dyDescent="0.2">
      <c r="A38" s="4" t="s">
        <v>127</v>
      </c>
      <c r="F38" s="4">
        <v>0.88</v>
      </c>
      <c r="G38" s="4">
        <v>1</v>
      </c>
      <c r="H38" s="151">
        <v>1.04</v>
      </c>
      <c r="I38" s="155">
        <f>I36*I40</f>
        <v>1.1794022484891009</v>
      </c>
      <c r="J38" s="155">
        <f>J36*J40</f>
        <v>1.2388584768267834</v>
      </c>
      <c r="K38" s="155">
        <f>K36*K40</f>
        <v>1.2968939298589217</v>
      </c>
      <c r="L38" s="155">
        <f>L36*L40</f>
        <v>1.3906578950892483</v>
      </c>
      <c r="M38" s="155">
        <f>M36*M40</f>
        <v>1.4592122281475033</v>
      </c>
    </row>
    <row r="39" spans="1:14" x14ac:dyDescent="0.2">
      <c r="A39" s="4" t="s">
        <v>128</v>
      </c>
      <c r="F39" s="56">
        <f>'cash flow'!F44*-1</f>
        <v>258328</v>
      </c>
      <c r="G39" s="56">
        <f>'cash flow'!G44*-1</f>
        <v>281135</v>
      </c>
      <c r="H39" s="153">
        <f t="shared" ref="H39:M39" si="14">H35*H38/1000</f>
        <v>283661.03999999998</v>
      </c>
      <c r="I39" s="57">
        <f t="shared" si="14"/>
        <v>302352.73982491437</v>
      </c>
      <c r="J39" s="57">
        <f t="shared" si="14"/>
        <v>317594.997977791</v>
      </c>
      <c r="K39" s="57">
        <f t="shared" si="14"/>
        <v>332473.02475256298</v>
      </c>
      <c r="L39" s="57">
        <f t="shared" si="14"/>
        <v>356510.44864297478</v>
      </c>
      <c r="M39" s="57">
        <f t="shared" si="14"/>
        <v>374085.10602012213</v>
      </c>
    </row>
    <row r="40" spans="1:14" x14ac:dyDescent="0.2">
      <c r="A40" s="4" t="s">
        <v>195</v>
      </c>
      <c r="F40" s="154">
        <f>F38/F36</f>
        <v>0.22297668829608266</v>
      </c>
      <c r="G40" s="154">
        <f>G38/G36</f>
        <v>0.22560431225137534</v>
      </c>
      <c r="H40" s="154">
        <f>H38/H36</f>
        <v>0.18431995633414774</v>
      </c>
      <c r="I40" s="155">
        <v>0.17</v>
      </c>
      <c r="J40" s="155">
        <v>0.17</v>
      </c>
      <c r="K40" s="155">
        <v>0.17</v>
      </c>
      <c r="L40" s="155">
        <v>0.17</v>
      </c>
      <c r="M40" s="155">
        <v>0.17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showGridLines="0" workbookViewId="0">
      <pane xSplit="1" ySplit="8" topLeftCell="B61" activePane="bottomRight" state="frozen"/>
      <selection pane="topRight" activeCell="B1" sqref="B1"/>
      <selection pane="bottomLeft" activeCell="A9" sqref="A9"/>
      <selection pane="bottomRight" activeCell="E19" sqref="E19"/>
    </sheetView>
  </sheetViews>
  <sheetFormatPr baseColWidth="10" defaultRowHeight="16" x14ac:dyDescent="0.2"/>
  <cols>
    <col min="1" max="1" width="48.1640625" style="4" bestFit="1" customWidth="1"/>
    <col min="2" max="2" width="6.5" style="4" customWidth="1"/>
    <col min="3" max="7" width="14.33203125" style="4" bestFit="1" customWidth="1"/>
    <col min="8" max="8" width="14.33203125" style="151" bestFit="1" customWidth="1"/>
    <col min="9" max="9" width="12.33203125" style="4" bestFit="1" customWidth="1"/>
    <col min="10" max="11" width="12.1640625" style="4" bestFit="1" customWidth="1"/>
    <col min="12" max="12" width="15.5" style="4" bestFit="1" customWidth="1"/>
    <col min="13" max="13" width="11.6640625" style="4" bestFit="1" customWidth="1"/>
    <col min="14" max="16384" width="10.83203125" style="4"/>
  </cols>
  <sheetData>
    <row r="1" spans="1:14" x14ac:dyDescent="0.2">
      <c r="A1" s="32" t="s">
        <v>19</v>
      </c>
      <c r="B1" s="32"/>
      <c r="C1" s="32"/>
      <c r="D1" s="32"/>
      <c r="E1" s="32"/>
      <c r="F1" s="32"/>
      <c r="G1" s="32"/>
      <c r="H1" s="139"/>
      <c r="I1" s="32"/>
      <c r="J1" s="32"/>
      <c r="K1" s="32"/>
      <c r="L1" s="32"/>
    </row>
    <row r="2" spans="1:14" x14ac:dyDescent="0.2">
      <c r="A2" s="33"/>
      <c r="B2" s="33"/>
      <c r="C2" s="33"/>
      <c r="D2" s="33"/>
      <c r="E2" s="33"/>
      <c r="F2" s="33"/>
      <c r="G2" s="33"/>
      <c r="H2" s="140"/>
      <c r="I2" s="33"/>
      <c r="J2" s="33"/>
      <c r="K2" s="33"/>
      <c r="L2" s="33"/>
    </row>
    <row r="3" spans="1:14" x14ac:dyDescent="0.2">
      <c r="A3" s="5" t="s">
        <v>114</v>
      </c>
      <c r="B3" s="5"/>
      <c r="C3" s="6"/>
      <c r="D3" s="6"/>
      <c r="E3" s="6"/>
      <c r="F3" s="6"/>
      <c r="G3" s="6"/>
      <c r="H3" s="141"/>
      <c r="I3" s="6"/>
      <c r="J3" s="6"/>
      <c r="K3" s="6"/>
      <c r="L3" s="6"/>
    </row>
    <row r="4" spans="1:14" x14ac:dyDescent="0.2">
      <c r="A4" s="7"/>
      <c r="B4" s="7"/>
      <c r="C4" s="8"/>
      <c r="D4" s="8"/>
      <c r="E4" s="8"/>
      <c r="F4" s="8"/>
      <c r="G4" s="8"/>
      <c r="H4" s="55"/>
      <c r="I4" s="8"/>
      <c r="J4" s="8"/>
      <c r="K4" s="8"/>
      <c r="L4" s="8"/>
    </row>
    <row r="5" spans="1:14" x14ac:dyDescent="0.2">
      <c r="A5" s="9" t="s">
        <v>42</v>
      </c>
      <c r="B5" s="9"/>
      <c r="C5" s="10"/>
      <c r="D5" s="10"/>
      <c r="E5" s="10"/>
      <c r="F5" s="10"/>
      <c r="G5" s="10"/>
      <c r="H5" s="76"/>
      <c r="I5" s="10"/>
      <c r="J5" s="10"/>
      <c r="K5" s="10"/>
      <c r="L5" s="10"/>
    </row>
    <row r="7" spans="1:14" x14ac:dyDescent="0.2">
      <c r="A7" s="44"/>
      <c r="B7" s="44"/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2" t="s">
        <v>15</v>
      </c>
      <c r="J7" s="12" t="s">
        <v>16</v>
      </c>
      <c r="K7" s="12" t="s">
        <v>17</v>
      </c>
      <c r="L7" s="12" t="s">
        <v>18</v>
      </c>
      <c r="M7" s="12" t="s">
        <v>194</v>
      </c>
    </row>
    <row r="8" spans="1:14" x14ac:dyDescent="0.2">
      <c r="A8" s="44"/>
      <c r="B8" s="88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51"/>
      <c r="N8" s="151"/>
    </row>
    <row r="9" spans="1:14" s="17" customFormat="1" x14ac:dyDescent="0.2">
      <c r="A9" s="7" t="s">
        <v>129</v>
      </c>
      <c r="B9" s="7"/>
      <c r="C9" s="82"/>
      <c r="D9" s="82"/>
      <c r="E9" s="82"/>
      <c r="F9" s="82"/>
      <c r="G9" s="82"/>
      <c r="H9" s="156"/>
      <c r="I9" s="82"/>
      <c r="J9" s="82"/>
      <c r="K9" s="82"/>
      <c r="L9" s="82"/>
    </row>
    <row r="10" spans="1:14" x14ac:dyDescent="0.2">
      <c r="A10" s="165" t="s">
        <v>57</v>
      </c>
      <c r="B10" s="165"/>
      <c r="C10" s="67">
        <v>140809</v>
      </c>
      <c r="D10" s="67">
        <v>505566</v>
      </c>
      <c r="E10" s="67">
        <v>579823</v>
      </c>
      <c r="F10" s="67">
        <v>157947</v>
      </c>
      <c r="G10" s="67">
        <v>187915</v>
      </c>
      <c r="H10" s="157">
        <v>267441</v>
      </c>
      <c r="I10" s="90">
        <f>'cash flow'!I50</f>
        <v>278018.7902050761</v>
      </c>
      <c r="J10" s="90">
        <f>'cash flow'!J50</f>
        <v>1810483.9231738935</v>
      </c>
      <c r="K10" s="90">
        <f>'cash flow'!K50</f>
        <v>3445602.3556737388</v>
      </c>
      <c r="L10" s="90">
        <f>'cash flow'!L50</f>
        <v>4933971.5396531792</v>
      </c>
      <c r="M10" s="90">
        <f>'cash flow'!M50</f>
        <v>6825061.8171739234</v>
      </c>
    </row>
    <row r="11" spans="1:14" x14ac:dyDescent="0.2">
      <c r="A11" s="165" t="s">
        <v>47</v>
      </c>
      <c r="B11" s="165"/>
      <c r="C11" s="66">
        <v>2397175</v>
      </c>
      <c r="D11" s="67">
        <v>2552993</v>
      </c>
      <c r="E11" s="67">
        <v>2782521</v>
      </c>
      <c r="F11" s="67">
        <v>3074153</v>
      </c>
      <c r="G11" s="67">
        <v>3258785</v>
      </c>
      <c r="H11" s="157">
        <v>3609025</v>
      </c>
      <c r="I11" s="66">
        <f>I55*'Income Statement'!I11/365</f>
        <v>3736189.416299568</v>
      </c>
      <c r="J11" s="66">
        <f>J55*'Income Statement'!J11/365</f>
        <v>3987687.7070504148</v>
      </c>
      <c r="K11" s="66">
        <f>K55*'Income Statement'!K11/365</f>
        <v>4239408.7700460935</v>
      </c>
      <c r="L11" s="66">
        <f>L55*'Income Statement'!L11/365</f>
        <v>4468297.6338871475</v>
      </c>
      <c r="M11" s="66">
        <f>M55*'Income Statement'!M11/365</f>
        <v>4714962.000660127</v>
      </c>
    </row>
    <row r="12" spans="1:14" x14ac:dyDescent="0.2">
      <c r="A12" s="165" t="s">
        <v>48</v>
      </c>
      <c r="B12" s="165"/>
      <c r="C12" s="66"/>
      <c r="D12" s="66"/>
      <c r="E12" s="66"/>
      <c r="F12" s="67">
        <v>6843</v>
      </c>
      <c r="G12" s="67">
        <v>11050</v>
      </c>
      <c r="H12" s="166">
        <v>108265</v>
      </c>
      <c r="I12" s="67">
        <f>I56*'Income Statement'!I27</f>
        <v>6257.8453776398401</v>
      </c>
      <c r="J12" s="67">
        <f>J56*'Income Statement'!J27</f>
        <v>6573.3169516100534</v>
      </c>
      <c r="K12" s="67">
        <f>K56*'Income Statement'!K27</f>
        <v>6881.2499676456391</v>
      </c>
      <c r="L12" s="67">
        <f>L56*'Income Statement'!L27</f>
        <v>7378.7565623273631</v>
      </c>
      <c r="M12" s="67">
        <f>M56*'Income Statement'!M27</f>
        <v>7742.5021943162528</v>
      </c>
    </row>
    <row r="13" spans="1:14" x14ac:dyDescent="0.2">
      <c r="A13" s="167" t="s">
        <v>49</v>
      </c>
      <c r="B13" s="167"/>
      <c r="C13" s="66">
        <v>139129</v>
      </c>
      <c r="D13" s="67">
        <v>147048</v>
      </c>
      <c r="E13" s="67">
        <v>170265</v>
      </c>
      <c r="F13" s="67">
        <v>193467</v>
      </c>
      <c r="G13" s="67">
        <v>220021</v>
      </c>
      <c r="H13" s="166">
        <v>263121</v>
      </c>
      <c r="I13" s="67">
        <f>I57*'Income Statement'!I16</f>
        <v>271762.51442524564</v>
      </c>
      <c r="J13" s="67">
        <f>J57*'Income Statement'!J16</f>
        <v>289977.10663410876</v>
      </c>
      <c r="K13" s="67">
        <f>K57*'Income Statement'!K16</f>
        <v>308565.66232139553</v>
      </c>
      <c r="L13" s="67">
        <f>L57*'Income Statement'!L16</f>
        <v>324104.48863715847</v>
      </c>
      <c r="M13" s="67">
        <f>M57*'Income Statement'!M16</f>
        <v>341539.06081126491</v>
      </c>
    </row>
    <row r="14" spans="1:14" s="7" customFormat="1" x14ac:dyDescent="0.2">
      <c r="A14" s="168" t="s">
        <v>58</v>
      </c>
      <c r="B14" s="168"/>
      <c r="C14" s="83">
        <f t="shared" ref="C14:M14" si="0">C10+C11+C12+C13</f>
        <v>2677113</v>
      </c>
      <c r="D14" s="83">
        <f t="shared" si="0"/>
        <v>3205607</v>
      </c>
      <c r="E14" s="83">
        <f t="shared" si="0"/>
        <v>3532609</v>
      </c>
      <c r="F14" s="83">
        <f t="shared" si="0"/>
        <v>3432410</v>
      </c>
      <c r="G14" s="83">
        <f t="shared" si="0"/>
        <v>3677771</v>
      </c>
      <c r="H14" s="158">
        <f t="shared" si="0"/>
        <v>4247852</v>
      </c>
      <c r="I14" s="83">
        <f t="shared" si="0"/>
        <v>4292228.5663075298</v>
      </c>
      <c r="J14" s="83">
        <f t="shared" si="0"/>
        <v>6094722.0538100265</v>
      </c>
      <c r="K14" s="83">
        <f t="shared" si="0"/>
        <v>8000458.0380088734</v>
      </c>
      <c r="L14" s="83">
        <f t="shared" si="0"/>
        <v>9733752.4187398143</v>
      </c>
      <c r="M14" s="83">
        <f t="shared" si="0"/>
        <v>11889305.380839631</v>
      </c>
    </row>
    <row r="15" spans="1:14" x14ac:dyDescent="0.2">
      <c r="A15" s="167"/>
      <c r="B15" s="167"/>
      <c r="C15" s="66"/>
      <c r="D15" s="66"/>
      <c r="E15" s="66"/>
      <c r="F15" s="66"/>
      <c r="G15" s="66"/>
      <c r="H15" s="157"/>
      <c r="I15" s="66"/>
      <c r="J15" s="66"/>
      <c r="K15" s="66"/>
      <c r="L15" s="66"/>
      <c r="M15" s="66"/>
    </row>
    <row r="16" spans="1:14" x14ac:dyDescent="0.2">
      <c r="A16" s="167" t="s">
        <v>59</v>
      </c>
      <c r="B16" s="167"/>
      <c r="C16" s="66">
        <v>3226898</v>
      </c>
      <c r="D16" s="66">
        <v>3452916</v>
      </c>
      <c r="E16" s="67">
        <v>3753557</v>
      </c>
      <c r="F16" s="67">
        <v>4170486</v>
      </c>
      <c r="G16" s="67">
        <v>4595002</v>
      </c>
      <c r="H16" s="166">
        <v>5175292</v>
      </c>
      <c r="I16" s="67">
        <f>H16+I67</f>
        <v>6728227.2249593996</v>
      </c>
      <c r="J16" s="67">
        <f>I16+J67</f>
        <v>7318239.6405592691</v>
      </c>
      <c r="K16" s="67">
        <f>J16+K67</f>
        <v>7868635.9634412043</v>
      </c>
      <c r="L16" s="67">
        <f>K16+L67</f>
        <v>8718599.6654612236</v>
      </c>
      <c r="M16" s="67">
        <f>L16+M67</f>
        <v>9314449.7763996162</v>
      </c>
    </row>
    <row r="17" spans="1:13" x14ac:dyDescent="0.2">
      <c r="A17" s="167" t="s">
        <v>43</v>
      </c>
      <c r="B17" s="167"/>
      <c r="C17" s="66">
        <v>1138233</v>
      </c>
      <c r="D17" s="67">
        <v>1372611</v>
      </c>
      <c r="E17" s="66">
        <v>1637482</v>
      </c>
      <c r="F17" s="67">
        <v>1906424</v>
      </c>
      <c r="G17" s="67">
        <v>2160546</v>
      </c>
      <c r="H17" s="157">
        <v>2474010</v>
      </c>
      <c r="I17" s="66">
        <f>H17+I65</f>
        <v>2922546.3153583389</v>
      </c>
      <c r="J17" s="66">
        <f>I17+J65</f>
        <v>3554463.3431333108</v>
      </c>
      <c r="K17" s="66">
        <f>J17+K65</f>
        <v>4179422.2893967852</v>
      </c>
      <c r="L17" s="66">
        <f>K17+L65</f>
        <v>4792000.4311552104</v>
      </c>
      <c r="M17" s="66">
        <f>L17+M65</f>
        <v>5443995.4292503716</v>
      </c>
    </row>
    <row r="18" spans="1:13" x14ac:dyDescent="0.2">
      <c r="A18" s="167" t="s">
        <v>60</v>
      </c>
      <c r="B18" s="167"/>
      <c r="C18" s="66">
        <f t="shared" ref="C18:M18" si="1">C16-C17</f>
        <v>2088665</v>
      </c>
      <c r="D18" s="66">
        <f t="shared" si="1"/>
        <v>2080305</v>
      </c>
      <c r="E18" s="66">
        <f t="shared" si="1"/>
        <v>2116075</v>
      </c>
      <c r="F18" s="66">
        <f t="shared" si="1"/>
        <v>2264062</v>
      </c>
      <c r="G18" s="66">
        <f t="shared" si="1"/>
        <v>2434456</v>
      </c>
      <c r="H18" s="66">
        <f t="shared" si="1"/>
        <v>2701282</v>
      </c>
      <c r="I18" s="66">
        <f t="shared" si="1"/>
        <v>3805680.9096010607</v>
      </c>
      <c r="J18" s="66">
        <f t="shared" si="1"/>
        <v>3763776.2974259583</v>
      </c>
      <c r="K18" s="66">
        <f t="shared" si="1"/>
        <v>3689213.6740444191</v>
      </c>
      <c r="L18" s="66">
        <f t="shared" si="1"/>
        <v>3926599.2343060132</v>
      </c>
      <c r="M18" s="66">
        <f t="shared" si="1"/>
        <v>3870454.3471492445</v>
      </c>
    </row>
    <row r="19" spans="1:13" x14ac:dyDescent="0.2">
      <c r="A19" s="167" t="s">
        <v>61</v>
      </c>
      <c r="B19" s="167"/>
      <c r="C19" s="67">
        <v>4338589</v>
      </c>
      <c r="D19" s="67">
        <v>4338589</v>
      </c>
      <c r="E19" s="67">
        <v>4338589</v>
      </c>
      <c r="F19" s="67">
        <v>4338589</v>
      </c>
      <c r="G19" s="67">
        <v>4338589</v>
      </c>
      <c r="H19" s="157">
        <f t="shared" ref="H19:M19" si="2">G19</f>
        <v>4338589</v>
      </c>
      <c r="I19" s="69">
        <f t="shared" si="2"/>
        <v>4338589</v>
      </c>
      <c r="J19" s="69">
        <f t="shared" si="2"/>
        <v>4338589</v>
      </c>
      <c r="K19" s="69">
        <f t="shared" si="2"/>
        <v>4338589</v>
      </c>
      <c r="L19" s="69">
        <f t="shared" si="2"/>
        <v>4338589</v>
      </c>
      <c r="M19" s="69">
        <f t="shared" si="2"/>
        <v>4338589</v>
      </c>
    </row>
    <row r="20" spans="1:13" x14ac:dyDescent="0.2">
      <c r="A20" s="167" t="s">
        <v>65</v>
      </c>
      <c r="B20" s="167"/>
      <c r="C20" s="67">
        <v>1219543</v>
      </c>
      <c r="D20" s="67">
        <v>1207645</v>
      </c>
      <c r="E20" s="67">
        <v>1201870</v>
      </c>
      <c r="F20" s="67">
        <v>1200994</v>
      </c>
      <c r="G20" s="67">
        <v>1200659</v>
      </c>
      <c r="H20" s="157">
        <v>1200428</v>
      </c>
      <c r="I20" s="69">
        <f t="shared" ref="I20:M21" si="3">H20</f>
        <v>1200428</v>
      </c>
      <c r="J20" s="69">
        <f t="shared" si="3"/>
        <v>1200428</v>
      </c>
      <c r="K20" s="69">
        <f t="shared" si="3"/>
        <v>1200428</v>
      </c>
      <c r="L20" s="69">
        <f t="shared" si="3"/>
        <v>1200428</v>
      </c>
      <c r="M20" s="69">
        <f t="shared" si="3"/>
        <v>1200428</v>
      </c>
    </row>
    <row r="21" spans="1:13" x14ac:dyDescent="0.2">
      <c r="A21" s="167" t="s">
        <v>62</v>
      </c>
      <c r="B21" s="167"/>
      <c r="C21" s="67">
        <v>43772</v>
      </c>
      <c r="D21" s="67">
        <v>35378</v>
      </c>
      <c r="E21" s="66">
        <v>34961</v>
      </c>
      <c r="F21" s="67">
        <v>21830</v>
      </c>
      <c r="G21" s="67">
        <v>20823</v>
      </c>
      <c r="H21" s="157">
        <v>28760</v>
      </c>
      <c r="I21" s="69">
        <f t="shared" si="3"/>
        <v>28760</v>
      </c>
      <c r="J21" s="69">
        <f t="shared" si="3"/>
        <v>28760</v>
      </c>
      <c r="K21" s="69">
        <f t="shared" si="3"/>
        <v>28760</v>
      </c>
      <c r="L21" s="69">
        <f t="shared" si="3"/>
        <v>28760</v>
      </c>
      <c r="M21" s="69">
        <f t="shared" si="3"/>
        <v>28760</v>
      </c>
    </row>
    <row r="22" spans="1:13" s="7" customFormat="1" x14ac:dyDescent="0.2">
      <c r="A22" s="168" t="s">
        <v>64</v>
      </c>
      <c r="B22" s="168"/>
      <c r="C22" s="169">
        <f t="shared" ref="C22:M22" si="4">C18+C19+C20+C21</f>
        <v>7690569</v>
      </c>
      <c r="D22" s="169">
        <f t="shared" si="4"/>
        <v>7661917</v>
      </c>
      <c r="E22" s="169">
        <f t="shared" si="4"/>
        <v>7691495</v>
      </c>
      <c r="F22" s="169">
        <f t="shared" si="4"/>
        <v>7825475</v>
      </c>
      <c r="G22" s="169">
        <f t="shared" si="4"/>
        <v>7994527</v>
      </c>
      <c r="H22" s="170">
        <f t="shared" si="4"/>
        <v>8269059</v>
      </c>
      <c r="I22" s="169">
        <f t="shared" si="4"/>
        <v>9373457.9096010607</v>
      </c>
      <c r="J22" s="169">
        <f t="shared" si="4"/>
        <v>9331553.2974259593</v>
      </c>
      <c r="K22" s="169">
        <f t="shared" si="4"/>
        <v>9256990.6740444191</v>
      </c>
      <c r="L22" s="169">
        <f t="shared" si="4"/>
        <v>9494376.2343060132</v>
      </c>
      <c r="M22" s="169">
        <f t="shared" si="4"/>
        <v>9438231.3471492454</v>
      </c>
    </row>
    <row r="23" spans="1:13" x14ac:dyDescent="0.2">
      <c r="A23" s="167"/>
      <c r="B23" s="167"/>
      <c r="C23" s="67"/>
      <c r="D23" s="67"/>
      <c r="E23" s="67"/>
      <c r="F23" s="67"/>
      <c r="G23" s="67"/>
      <c r="H23" s="157"/>
      <c r="I23" s="66"/>
      <c r="J23" s="66"/>
      <c r="K23" s="66"/>
      <c r="L23" s="66"/>
      <c r="M23" s="66"/>
    </row>
    <row r="24" spans="1:13" s="7" customFormat="1" x14ac:dyDescent="0.2">
      <c r="A24" s="171" t="s">
        <v>63</v>
      </c>
      <c r="B24" s="171"/>
      <c r="C24" s="84">
        <f t="shared" ref="C24:M24" si="5">C14+C22</f>
        <v>10367682</v>
      </c>
      <c r="D24" s="84">
        <f t="shared" si="5"/>
        <v>10867524</v>
      </c>
      <c r="E24" s="84">
        <f t="shared" si="5"/>
        <v>11224104</v>
      </c>
      <c r="F24" s="84">
        <f t="shared" si="5"/>
        <v>11257885</v>
      </c>
      <c r="G24" s="84">
        <f t="shared" si="5"/>
        <v>11672298</v>
      </c>
      <c r="H24" s="84">
        <f t="shared" si="5"/>
        <v>12516911</v>
      </c>
      <c r="I24" s="84">
        <f t="shared" si="5"/>
        <v>13665686.47590859</v>
      </c>
      <c r="J24" s="84">
        <f t="shared" si="5"/>
        <v>15426275.351235986</v>
      </c>
      <c r="K24" s="84">
        <f t="shared" si="5"/>
        <v>17257448.712053291</v>
      </c>
      <c r="L24" s="84">
        <f t="shared" si="5"/>
        <v>19228128.653045826</v>
      </c>
      <c r="M24" s="84">
        <f t="shared" si="5"/>
        <v>21327536.727988876</v>
      </c>
    </row>
    <row r="25" spans="1:13" x14ac:dyDescent="0.2">
      <c r="A25" s="8"/>
      <c r="B25" s="8"/>
    </row>
    <row r="26" spans="1:13" s="17" customFormat="1" x14ac:dyDescent="0.2">
      <c r="A26" s="172" t="s">
        <v>50</v>
      </c>
      <c r="B26" s="172"/>
      <c r="G26" s="172"/>
      <c r="H26" s="159"/>
      <c r="I26" s="172"/>
      <c r="J26" s="172"/>
      <c r="L26" s="172"/>
    </row>
    <row r="28" spans="1:13" x14ac:dyDescent="0.2">
      <c r="A28" s="4" t="s">
        <v>66</v>
      </c>
    </row>
    <row r="29" spans="1:13" x14ac:dyDescent="0.2">
      <c r="A29" s="4" t="s">
        <v>67</v>
      </c>
      <c r="C29" s="66">
        <v>892</v>
      </c>
      <c r="D29" s="66">
        <v>75966</v>
      </c>
      <c r="E29" s="67">
        <v>101158</v>
      </c>
      <c r="F29" s="173">
        <v>1379</v>
      </c>
      <c r="G29" s="173">
        <v>500950</v>
      </c>
      <c r="H29" s="157">
        <v>401345</v>
      </c>
      <c r="I29" s="69">
        <v>0</v>
      </c>
      <c r="J29" s="69">
        <f>I29</f>
        <v>0</v>
      </c>
      <c r="K29" s="69">
        <f>J29</f>
        <v>0</v>
      </c>
      <c r="L29" s="69">
        <f>K29</f>
        <v>0</v>
      </c>
      <c r="M29" s="69">
        <f>L29</f>
        <v>0</v>
      </c>
    </row>
    <row r="30" spans="1:13" x14ac:dyDescent="0.2">
      <c r="A30" s="4" t="s">
        <v>68</v>
      </c>
      <c r="C30" s="67">
        <v>1261607</v>
      </c>
      <c r="D30" s="67">
        <v>1286484</v>
      </c>
      <c r="E30" s="67">
        <v>1388154</v>
      </c>
      <c r="F30" s="173">
        <v>1494225</v>
      </c>
      <c r="G30" s="173">
        <v>1557596</v>
      </c>
      <c r="H30" s="157">
        <v>2009771</v>
      </c>
      <c r="I30" s="66">
        <f>I58*'Income Statement'!I11/365</f>
        <v>1802673.3520224947</v>
      </c>
      <c r="J30" s="66">
        <f>J58*'Income Statement'!J11/365</f>
        <v>1916500.1059482363</v>
      </c>
      <c r="K30" s="66">
        <f>K58*'Income Statement'!K11/365</f>
        <v>2029363.9751982833</v>
      </c>
      <c r="L30" s="66">
        <f>L58*'Income Statement'!L11/365</f>
        <v>2141133.1375758341</v>
      </c>
      <c r="M30" s="66">
        <f>M58*'Income Statement'!M11/365</f>
        <v>2312556.1155823511</v>
      </c>
    </row>
    <row r="31" spans="1:13" x14ac:dyDescent="0.2">
      <c r="A31" s="36" t="s">
        <v>81</v>
      </c>
      <c r="B31" s="36"/>
      <c r="C31" s="67">
        <v>357438</v>
      </c>
      <c r="D31" s="66">
        <v>368578</v>
      </c>
      <c r="E31" s="67">
        <v>413760</v>
      </c>
      <c r="F31" s="173">
        <v>467122</v>
      </c>
      <c r="G31" s="173">
        <v>500866</v>
      </c>
      <c r="H31" s="157">
        <v>549658</v>
      </c>
      <c r="I31" s="66">
        <f>I59*'Income Statement'!I8</f>
        <v>586476.08513279213</v>
      </c>
      <c r="J31" s="66">
        <f>J59*'Income Statement'!J8</f>
        <v>623203.987627164</v>
      </c>
      <c r="K31" s="66">
        <f>K59*'Income Statement'!K8</f>
        <v>659828.50623642304</v>
      </c>
      <c r="L31" s="66">
        <f>L59*'Income Statement'!L8</f>
        <v>696336.10754935304</v>
      </c>
      <c r="M31" s="66">
        <f>M59*'Income Statement'!M8</f>
        <v>732712.91989546851</v>
      </c>
    </row>
    <row r="32" spans="1:13" x14ac:dyDescent="0.2">
      <c r="A32" s="36" t="s">
        <v>71</v>
      </c>
      <c r="B32" s="36"/>
      <c r="C32" s="67">
        <v>95387</v>
      </c>
      <c r="D32" s="66">
        <v>59148</v>
      </c>
      <c r="E32" s="66">
        <v>59400</v>
      </c>
      <c r="F32" s="173">
        <v>32870</v>
      </c>
      <c r="G32" s="173">
        <v>63393</v>
      </c>
      <c r="H32" s="157">
        <v>4104</v>
      </c>
      <c r="I32" s="66">
        <f>I60*'Income Statement'!I26</f>
        <v>4724.6850718307587</v>
      </c>
      <c r="J32" s="66">
        <f>J60*'Income Statement'!J26</f>
        <v>4962.8667056323548</v>
      </c>
      <c r="K32" s="66">
        <f>K60*'Income Statement'!K26</f>
        <v>5195.3567139642428</v>
      </c>
      <c r="L32" s="66">
        <f>L60*'Income Statement'!L26</f>
        <v>5570.9751319949901</v>
      </c>
      <c r="M32" s="66">
        <f>M60*'Income Statement'!M26</f>
        <v>5845.6037707181977</v>
      </c>
    </row>
    <row r="33" spans="1:13" x14ac:dyDescent="0.2">
      <c r="A33" s="36" t="s">
        <v>44</v>
      </c>
      <c r="B33" s="36"/>
      <c r="C33" s="66">
        <v>23223</v>
      </c>
      <c r="D33" s="66">
        <v>21795</v>
      </c>
      <c r="E33" s="66">
        <v>25268</v>
      </c>
      <c r="F33" s="66" t="s">
        <v>116</v>
      </c>
      <c r="G33" s="66" t="s">
        <v>116</v>
      </c>
      <c r="H33" s="157" t="s">
        <v>116</v>
      </c>
      <c r="I33" s="66" t="s">
        <v>116</v>
      </c>
      <c r="J33" s="66" t="s">
        <v>116</v>
      </c>
      <c r="K33" s="66" t="s">
        <v>116</v>
      </c>
      <c r="L33" s="66" t="s">
        <v>116</v>
      </c>
      <c r="M33" s="66" t="s">
        <v>116</v>
      </c>
    </row>
    <row r="34" spans="1:13" s="7" customFormat="1" x14ac:dyDescent="0.2">
      <c r="A34" s="174" t="s">
        <v>45</v>
      </c>
      <c r="B34" s="174"/>
      <c r="C34" s="83">
        <f>SUM(C29:C33)</f>
        <v>1738547</v>
      </c>
      <c r="D34" s="83">
        <f>SUM(D29:D33)</f>
        <v>1811971</v>
      </c>
      <c r="E34" s="83">
        <f t="shared" ref="E34:L34" si="6">SUM(E29:E33)</f>
        <v>1987740</v>
      </c>
      <c r="F34" s="83">
        <f t="shared" si="6"/>
        <v>1995596</v>
      </c>
      <c r="G34" s="83">
        <f t="shared" si="6"/>
        <v>2622805</v>
      </c>
      <c r="H34" s="158">
        <f t="shared" si="6"/>
        <v>2964878</v>
      </c>
      <c r="I34" s="83">
        <f t="shared" si="6"/>
        <v>2393874.1222271174</v>
      </c>
      <c r="J34" s="83">
        <f t="shared" si="6"/>
        <v>2544666.9602810326</v>
      </c>
      <c r="K34" s="83">
        <f t="shared" si="6"/>
        <v>2694387.8381486707</v>
      </c>
      <c r="L34" s="83">
        <f t="shared" si="6"/>
        <v>2843040.2202571821</v>
      </c>
      <c r="M34" s="83">
        <f>SUM(M29:M33)</f>
        <v>3051114.6392485378</v>
      </c>
    </row>
    <row r="35" spans="1:13" x14ac:dyDescent="0.2">
      <c r="A35" s="36"/>
      <c r="B35" s="36"/>
      <c r="C35" s="66"/>
      <c r="D35" s="66"/>
      <c r="E35" s="66"/>
      <c r="F35" s="66"/>
      <c r="G35" s="66"/>
      <c r="H35" s="157"/>
      <c r="I35" s="173"/>
      <c r="J35" s="173"/>
      <c r="K35" s="173"/>
      <c r="L35" s="66"/>
      <c r="M35" s="66"/>
    </row>
    <row r="36" spans="1:13" x14ac:dyDescent="0.2">
      <c r="A36" s="36" t="s">
        <v>51</v>
      </c>
      <c r="B36" s="36"/>
      <c r="C36" s="66">
        <v>2771336</v>
      </c>
      <c r="D36" s="67">
        <v>2742788</v>
      </c>
      <c r="E36" s="67">
        <v>2639427</v>
      </c>
      <c r="F36" s="173">
        <v>2969175</v>
      </c>
      <c r="G36" s="173">
        <v>2710576</v>
      </c>
      <c r="H36" s="157">
        <v>2604613</v>
      </c>
      <c r="I36" s="66">
        <f>H36+'cash flow'!I36</f>
        <v>3154613</v>
      </c>
      <c r="J36" s="66">
        <f>I36+'cash flow'!J36</f>
        <v>3154613</v>
      </c>
      <c r="K36" s="66">
        <f>J36+'cash flow'!K36</f>
        <v>3154613</v>
      </c>
      <c r="L36" s="66">
        <f>K36+'cash flow'!L36</f>
        <v>3154613</v>
      </c>
      <c r="M36" s="66">
        <f>L36+'cash flow'!M36</f>
        <v>3154613</v>
      </c>
    </row>
    <row r="37" spans="1:13" x14ac:dyDescent="0.2">
      <c r="A37" s="36" t="s">
        <v>44</v>
      </c>
      <c r="B37" s="36"/>
      <c r="C37" s="66">
        <v>647070</v>
      </c>
      <c r="D37" s="66">
        <v>614026</v>
      </c>
      <c r="E37" s="67">
        <v>601590</v>
      </c>
      <c r="F37" s="173">
        <v>639955</v>
      </c>
      <c r="G37" s="173">
        <v>652841</v>
      </c>
      <c r="H37" s="157">
        <v>515702</v>
      </c>
      <c r="I37" s="66">
        <f>I61*'Income Statement'!I26</f>
        <v>768507.32707857678</v>
      </c>
      <c r="J37" s="66">
        <f>J61*'Income Statement'!J26</f>
        <v>807249.45019772579</v>
      </c>
      <c r="K37" s="66">
        <f>K61*'Income Statement'!K26</f>
        <v>845065.78550034156</v>
      </c>
      <c r="L37" s="66">
        <f>L61*'Income Statement'!L26</f>
        <v>906163.0866016061</v>
      </c>
      <c r="M37" s="66">
        <f>M61*'Income Statement'!M26</f>
        <v>950833.60281076783</v>
      </c>
    </row>
    <row r="38" spans="1:13" x14ac:dyDescent="0.2">
      <c r="A38" s="36" t="s">
        <v>52</v>
      </c>
      <c r="B38" s="36"/>
      <c r="C38" s="66">
        <v>225399</v>
      </c>
      <c r="D38" s="67">
        <v>296546</v>
      </c>
      <c r="E38" s="67">
        <v>285309</v>
      </c>
      <c r="F38" s="173">
        <v>275283</v>
      </c>
      <c r="G38" s="173">
        <v>279782</v>
      </c>
      <c r="H38" s="157">
        <v>305944</v>
      </c>
      <c r="I38" s="66">
        <f>I63*'Income Statement'!I8</f>
        <v>326437.23804596119</v>
      </c>
      <c r="J38" s="66">
        <f>J63*'Income Statement'!J8</f>
        <v>346880.27972048993</v>
      </c>
      <c r="K38" s="66">
        <f>K63*'Income Statement'!K8</f>
        <v>367265.77710502932</v>
      </c>
      <c r="L38" s="66">
        <f>L63*'Income Statement'!L8</f>
        <v>387586.19739561557</v>
      </c>
      <c r="M38" s="66">
        <f>M63*'Income Statement'!M8</f>
        <v>407833.81951049418</v>
      </c>
    </row>
    <row r="39" spans="1:13" s="7" customFormat="1" x14ac:dyDescent="0.2">
      <c r="A39" s="174" t="s">
        <v>73</v>
      </c>
      <c r="B39" s="174"/>
      <c r="C39" s="83">
        <f t="shared" ref="C39:M39" si="7">SUM(C36:C38)</f>
        <v>3643805</v>
      </c>
      <c r="D39" s="83">
        <f t="shared" si="7"/>
        <v>3653360</v>
      </c>
      <c r="E39" s="83">
        <f t="shared" si="7"/>
        <v>3526326</v>
      </c>
      <c r="F39" s="83">
        <f t="shared" si="7"/>
        <v>3884413</v>
      </c>
      <c r="G39" s="83">
        <f t="shared" si="7"/>
        <v>3643199</v>
      </c>
      <c r="H39" s="158">
        <f t="shared" si="7"/>
        <v>3426259</v>
      </c>
      <c r="I39" s="83">
        <f t="shared" si="7"/>
        <v>4249557.5651245378</v>
      </c>
      <c r="J39" s="83">
        <f t="shared" si="7"/>
        <v>4308742.7299182154</v>
      </c>
      <c r="K39" s="83">
        <f t="shared" si="7"/>
        <v>4366944.5626053708</v>
      </c>
      <c r="L39" s="83">
        <f t="shared" si="7"/>
        <v>4448362.2839972218</v>
      </c>
      <c r="M39" s="83">
        <f t="shared" si="7"/>
        <v>4513280.4223212618</v>
      </c>
    </row>
    <row r="40" spans="1:13" x14ac:dyDescent="0.2">
      <c r="A40" s="36"/>
      <c r="B40" s="36"/>
      <c r="C40" s="66"/>
      <c r="D40" s="66"/>
      <c r="E40" s="66"/>
      <c r="F40" s="66"/>
      <c r="G40" s="66"/>
      <c r="H40" s="157"/>
      <c r="I40" s="66"/>
      <c r="J40" s="66"/>
      <c r="K40" s="66"/>
      <c r="L40" s="66"/>
      <c r="M40" s="66"/>
    </row>
    <row r="41" spans="1:13" s="7" customFormat="1" x14ac:dyDescent="0.2">
      <c r="A41" s="175" t="s">
        <v>72</v>
      </c>
      <c r="B41" s="175"/>
      <c r="C41" s="84">
        <f>C34+C39</f>
        <v>5382352</v>
      </c>
      <c r="D41" s="84">
        <f t="shared" ref="D41:L41" si="8">D34+D39</f>
        <v>5465331</v>
      </c>
      <c r="E41" s="84">
        <f t="shared" si="8"/>
        <v>5514066</v>
      </c>
      <c r="F41" s="84">
        <f t="shared" si="8"/>
        <v>5880009</v>
      </c>
      <c r="G41" s="84">
        <f t="shared" si="8"/>
        <v>6266004</v>
      </c>
      <c r="H41" s="84">
        <f t="shared" si="8"/>
        <v>6391137</v>
      </c>
      <c r="I41" s="84">
        <f t="shared" si="8"/>
        <v>6643431.6873516552</v>
      </c>
      <c r="J41" s="84">
        <f t="shared" si="8"/>
        <v>6853409.6901992485</v>
      </c>
      <c r="K41" s="84">
        <f t="shared" si="8"/>
        <v>7061332.400754042</v>
      </c>
      <c r="L41" s="84">
        <f t="shared" si="8"/>
        <v>7291402.5042544045</v>
      </c>
      <c r="M41" s="84">
        <f>M34+M39</f>
        <v>7564395.0615697997</v>
      </c>
    </row>
    <row r="43" spans="1:13" x14ac:dyDescent="0.2">
      <c r="A43" s="36" t="s">
        <v>53</v>
      </c>
      <c r="B43" s="36"/>
    </row>
    <row r="44" spans="1:13" x14ac:dyDescent="0.2">
      <c r="A44" s="36" t="s">
        <v>46</v>
      </c>
      <c r="B44" s="36"/>
      <c r="C44" s="67">
        <v>286185</v>
      </c>
      <c r="D44" s="67">
        <v>277424</v>
      </c>
      <c r="E44" s="67">
        <v>265514</v>
      </c>
      <c r="F44" s="173">
        <v>250855</v>
      </c>
      <c r="G44" s="173">
        <v>240811</v>
      </c>
      <c r="H44" s="157">
        <v>235141</v>
      </c>
      <c r="I44" s="176">
        <v>220811</v>
      </c>
      <c r="J44" s="176">
        <v>220811</v>
      </c>
      <c r="K44" s="176">
        <v>220811</v>
      </c>
      <c r="L44" s="176">
        <v>220811</v>
      </c>
      <c r="M44" s="176">
        <v>220812</v>
      </c>
    </row>
    <row r="45" spans="1:13" x14ac:dyDescent="0.2">
      <c r="A45" s="4" t="s">
        <v>69</v>
      </c>
      <c r="C45" s="67">
        <v>2991351</v>
      </c>
      <c r="D45" s="66">
        <v>3009226</v>
      </c>
      <c r="E45" s="66">
        <v>3048806</v>
      </c>
      <c r="F45" s="173">
        <v>3107283</v>
      </c>
      <c r="G45" s="173">
        <v>3154606</v>
      </c>
      <c r="H45" s="157">
        <v>3196462</v>
      </c>
      <c r="I45" s="69">
        <f>H45</f>
        <v>3196462</v>
      </c>
      <c r="J45" s="69">
        <f>I45</f>
        <v>3196462</v>
      </c>
      <c r="K45" s="69">
        <f>J45</f>
        <v>3196462</v>
      </c>
      <c r="L45" s="69">
        <f>K45</f>
        <v>3196462</v>
      </c>
      <c r="M45" s="69">
        <f>L45</f>
        <v>3196462</v>
      </c>
    </row>
    <row r="46" spans="1:13" x14ac:dyDescent="0.2">
      <c r="A46" s="4" t="s">
        <v>56</v>
      </c>
      <c r="C46" s="67">
        <v>1710732</v>
      </c>
      <c r="D46" s="66">
        <v>2125453</v>
      </c>
      <c r="E46" s="67">
        <v>2403045</v>
      </c>
      <c r="F46" s="173">
        <v>2025545</v>
      </c>
      <c r="G46" s="173">
        <v>2015867</v>
      </c>
      <c r="H46" s="157">
        <v>2698352</v>
      </c>
      <c r="I46" s="66">
        <f>H46+'Income Statement'!I31+-'Income Statement'!I39+'cash flow'!I43+H44-I44</f>
        <v>3609162.7885569343</v>
      </c>
      <c r="J46" s="66">
        <f>I46+'Income Statement'!J31+-'Income Statement'!J39+'cash flow'!J43+I44-J44</f>
        <v>5159773.6610367373</v>
      </c>
      <c r="K46" s="66">
        <f>J46+'Income Statement'!K31+-'Income Statement'!K39+'cash flow'!K43+J44-K44</f>
        <v>6783024.3112992514</v>
      </c>
      <c r="L46" s="66">
        <f>K46+'Income Statement'!L31+-'Income Statement'!L39+'cash flow'!L43+K44-L44</f>
        <v>8523634.1487914231</v>
      </c>
      <c r="M46" s="66">
        <f>L46+'Income Statement'!M31+-'Income Statement'!M39+'cash flow'!M43+L44-M44</f>
        <v>10350048.666419078</v>
      </c>
    </row>
    <row r="47" spans="1:13" x14ac:dyDescent="0.2">
      <c r="A47" s="4" t="s">
        <v>54</v>
      </c>
      <c r="C47" s="67">
        <v>-2938</v>
      </c>
      <c r="D47" s="66">
        <v>-9910</v>
      </c>
      <c r="E47" s="66">
        <v>-7327</v>
      </c>
      <c r="F47" s="173">
        <v>-5807</v>
      </c>
      <c r="G47" s="173">
        <v>-4990</v>
      </c>
      <c r="H47" s="157">
        <v>-4181</v>
      </c>
      <c r="I47" s="66">
        <f>H47</f>
        <v>-4181</v>
      </c>
      <c r="J47" s="66">
        <f>I47</f>
        <v>-4181</v>
      </c>
      <c r="K47" s="66">
        <f>J47</f>
        <v>-4181</v>
      </c>
      <c r="L47" s="66">
        <f>K47</f>
        <v>-4181</v>
      </c>
      <c r="M47" s="66">
        <f>L47</f>
        <v>-4181</v>
      </c>
    </row>
    <row r="48" spans="1:13" s="7" customFormat="1" x14ac:dyDescent="0.2">
      <c r="A48" s="175" t="s">
        <v>55</v>
      </c>
      <c r="B48" s="175"/>
      <c r="C48" s="84">
        <f t="shared" ref="C48:M48" si="9">C44+C45+C46+C47</f>
        <v>4985330</v>
      </c>
      <c r="D48" s="84">
        <f t="shared" si="9"/>
        <v>5402193</v>
      </c>
      <c r="E48" s="84">
        <f t="shared" si="9"/>
        <v>5710038</v>
      </c>
      <c r="F48" s="84">
        <f t="shared" si="9"/>
        <v>5377876</v>
      </c>
      <c r="G48" s="84">
        <f t="shared" si="9"/>
        <v>5406294</v>
      </c>
      <c r="H48" s="84">
        <f t="shared" si="9"/>
        <v>6125774</v>
      </c>
      <c r="I48" s="84">
        <f t="shared" si="9"/>
        <v>7022254.7885569343</v>
      </c>
      <c r="J48" s="84">
        <f t="shared" si="9"/>
        <v>8572865.6610367373</v>
      </c>
      <c r="K48" s="84">
        <f t="shared" si="9"/>
        <v>10196116.311299251</v>
      </c>
      <c r="L48" s="84">
        <f t="shared" si="9"/>
        <v>11936726.148791423</v>
      </c>
      <c r="M48" s="84">
        <f t="shared" si="9"/>
        <v>13763141.666419078</v>
      </c>
    </row>
    <row r="49" spans="1:13" x14ac:dyDescent="0.2">
      <c r="C49" s="66"/>
      <c r="D49" s="66"/>
      <c r="E49" s="66"/>
      <c r="F49" s="66"/>
      <c r="G49" s="66"/>
      <c r="H49" s="157"/>
      <c r="I49" s="66"/>
      <c r="J49" s="66"/>
      <c r="K49" s="66"/>
      <c r="L49" s="66"/>
      <c r="M49" s="66"/>
    </row>
    <row r="50" spans="1:13" s="7" customFormat="1" x14ac:dyDescent="0.2">
      <c r="A50" s="177" t="s">
        <v>70</v>
      </c>
      <c r="B50" s="177"/>
      <c r="C50" s="84">
        <f>C41+C48</f>
        <v>10367682</v>
      </c>
      <c r="D50" s="84">
        <f t="shared" ref="D50:L50" si="10">D41+D48</f>
        <v>10867524</v>
      </c>
      <c r="E50" s="84">
        <f t="shared" si="10"/>
        <v>11224104</v>
      </c>
      <c r="F50" s="84">
        <f t="shared" si="10"/>
        <v>11257885</v>
      </c>
      <c r="G50" s="84">
        <f t="shared" si="10"/>
        <v>11672298</v>
      </c>
      <c r="H50" s="84">
        <f t="shared" si="10"/>
        <v>12516911</v>
      </c>
      <c r="I50" s="84">
        <f t="shared" si="10"/>
        <v>13665686.475908589</v>
      </c>
      <c r="J50" s="84">
        <f t="shared" si="10"/>
        <v>15426275.351235986</v>
      </c>
      <c r="K50" s="84">
        <f t="shared" si="10"/>
        <v>17257448.712053291</v>
      </c>
      <c r="L50" s="84">
        <f t="shared" si="10"/>
        <v>19228128.653045826</v>
      </c>
      <c r="M50" s="84">
        <f>M41+M48</f>
        <v>21327536.727988876</v>
      </c>
    </row>
    <row r="51" spans="1:13" s="8" customFormat="1" x14ac:dyDescent="0.2">
      <c r="C51" s="75"/>
      <c r="D51" s="75"/>
      <c r="E51" s="75"/>
      <c r="F51" s="75"/>
      <c r="G51" s="75"/>
      <c r="H51" s="71"/>
      <c r="I51" s="75"/>
      <c r="J51" s="75"/>
      <c r="K51" s="75"/>
      <c r="L51" s="75"/>
      <c r="M51" s="75"/>
    </row>
    <row r="52" spans="1:13" s="17" customFormat="1" x14ac:dyDescent="0.2">
      <c r="A52" s="85" t="s">
        <v>130</v>
      </c>
      <c r="B52" s="85"/>
      <c r="C52" s="86">
        <f>C24-C50</f>
        <v>0</v>
      </c>
      <c r="D52" s="86">
        <f t="shared" ref="D52:L52" si="11">D24-D50</f>
        <v>0</v>
      </c>
      <c r="E52" s="86">
        <f t="shared" si="11"/>
        <v>0</v>
      </c>
      <c r="F52" s="86">
        <f t="shared" si="11"/>
        <v>0</v>
      </c>
      <c r="G52" s="86">
        <f t="shared" si="11"/>
        <v>0</v>
      </c>
      <c r="H52" s="160">
        <f t="shared" si="11"/>
        <v>0</v>
      </c>
      <c r="I52" s="86">
        <f t="shared" si="11"/>
        <v>0</v>
      </c>
      <c r="J52" s="86">
        <f t="shared" si="11"/>
        <v>0</v>
      </c>
      <c r="K52" s="86">
        <f t="shared" si="11"/>
        <v>0</v>
      </c>
      <c r="L52" s="86">
        <f t="shared" si="11"/>
        <v>0</v>
      </c>
      <c r="M52" s="86">
        <f>M24-M50</f>
        <v>0</v>
      </c>
    </row>
    <row r="54" spans="1:13" x14ac:dyDescent="0.2">
      <c r="A54" s="8" t="s">
        <v>105</v>
      </c>
      <c r="B54" s="8"/>
      <c r="C54" s="8"/>
      <c r="D54" s="8"/>
      <c r="E54" s="8"/>
      <c r="F54" s="8"/>
      <c r="G54" s="8"/>
      <c r="H54" s="55"/>
      <c r="I54" s="8"/>
      <c r="J54" s="8"/>
      <c r="K54" s="8"/>
      <c r="L54" s="8"/>
    </row>
    <row r="55" spans="1:13" x14ac:dyDescent="0.2">
      <c r="A55" s="79" t="s">
        <v>106</v>
      </c>
      <c r="B55" s="6"/>
      <c r="C55" s="80">
        <f>C11/'Income Statement'!C11*365</f>
        <v>80.002808427055001</v>
      </c>
      <c r="D55" s="80">
        <f>D11/'Income Statement'!D11*365</f>
        <v>77.213260636744224</v>
      </c>
      <c r="E55" s="80">
        <f>E11/'Income Statement'!E11*365</f>
        <v>77.486372823972019</v>
      </c>
      <c r="F55" s="80">
        <f>F11/'Income Statement'!F11*365</f>
        <v>79.791513525610114</v>
      </c>
      <c r="G55" s="80">
        <f>G11/'Income Statement'!G11*365</f>
        <v>78.233336906963714</v>
      </c>
      <c r="H55" s="161">
        <f>H11/'Income Statement'!H11*365</f>
        <v>81.06620941255936</v>
      </c>
      <c r="I55" s="81">
        <f>AVERAGE(D55:H55)</f>
        <v>78.758138661169895</v>
      </c>
      <c r="J55" s="81">
        <f>AVERAGE(E55:I55)</f>
        <v>79.067114266055029</v>
      </c>
      <c r="K55" s="81">
        <f>AVERAGE(F55:J55)</f>
        <v>79.383262554471614</v>
      </c>
      <c r="L55" s="81">
        <f>AVERAGE(G55:K55)</f>
        <v>79.301612360243922</v>
      </c>
      <c r="M55" s="81">
        <f>AVERAGE(H55:L55)</f>
        <v>79.515267450899955</v>
      </c>
    </row>
    <row r="56" spans="1:13" x14ac:dyDescent="0.2">
      <c r="A56" s="45" t="s">
        <v>115</v>
      </c>
      <c r="B56" s="8"/>
      <c r="C56" s="4" t="s">
        <v>116</v>
      </c>
      <c r="D56" s="4" t="s">
        <v>116</v>
      </c>
      <c r="E56" s="4" t="s">
        <v>116</v>
      </c>
      <c r="F56" s="15">
        <f>F12/'Income Statement'!F27</f>
        <v>9.9470305722558806E-3</v>
      </c>
      <c r="G56" s="15">
        <f>G12/'Income Statement'!G27</f>
        <v>1.5465468617695015E-2</v>
      </c>
      <c r="H56" s="146">
        <f>H12/'Income Statement'!H27</f>
        <v>0.2939427671589922</v>
      </c>
      <c r="I56" s="61">
        <v>1.4999999999999999E-2</v>
      </c>
      <c r="J56" s="61">
        <v>1.4999999999999999E-2</v>
      </c>
      <c r="K56" s="61">
        <v>1.4999999999999999E-2</v>
      </c>
      <c r="L56" s="61">
        <v>1.4999999999999999E-2</v>
      </c>
      <c r="M56" s="61">
        <v>1.4999999999999999E-2</v>
      </c>
    </row>
    <row r="57" spans="1:13" x14ac:dyDescent="0.2">
      <c r="A57" s="45" t="s">
        <v>117</v>
      </c>
      <c r="B57" s="8"/>
      <c r="C57" s="15">
        <f>C13/'Income Statement'!C16</f>
        <v>4.0560912503188662E-2</v>
      </c>
      <c r="D57" s="15">
        <f>D13/'Income Statement'!D16</f>
        <v>3.9747461655544165E-2</v>
      </c>
      <c r="E57" s="15">
        <f>E13/'Income Statement'!E16</f>
        <v>4.2213618537546606E-2</v>
      </c>
      <c r="F57" s="15">
        <f>F13/'Income Statement'!F16</f>
        <v>4.4314245485990299E-2</v>
      </c>
      <c r="G57" s="15">
        <f>G13/'Income Statement'!G16</f>
        <v>4.6622629439083706E-2</v>
      </c>
      <c r="H57" s="146">
        <f>H13/'Income Statement'!H16</f>
        <v>5.0468769690312207E-2</v>
      </c>
      <c r="I57" s="62">
        <v>0.05</v>
      </c>
      <c r="J57" s="62">
        <v>0.05</v>
      </c>
      <c r="K57" s="62">
        <v>0.05</v>
      </c>
      <c r="L57" s="62">
        <v>0.05</v>
      </c>
      <c r="M57" s="62">
        <v>0.05</v>
      </c>
    </row>
    <row r="58" spans="1:13" x14ac:dyDescent="0.2">
      <c r="A58" s="45" t="s">
        <v>107</v>
      </c>
      <c r="B58" s="8"/>
      <c r="C58" s="57">
        <f>C30/'Income Statement'!C11*365</f>
        <v>42.10460359849889</v>
      </c>
      <c r="D58" s="57">
        <f>D30/'Income Statement'!D11*365</f>
        <v>38.908694382241258</v>
      </c>
      <c r="E58" s="57">
        <f>E30/'Income Statement'!E11*365</f>
        <v>38.656678020071745</v>
      </c>
      <c r="F58" s="57">
        <f>F30/'Income Statement'!F11*365</f>
        <v>38.783519980236761</v>
      </c>
      <c r="G58" s="57">
        <f>G30/'Income Statement'!G11*365</f>
        <v>37.393056808883998</v>
      </c>
      <c r="H58" s="153">
        <f>H30/'Income Statement'!H11*365</f>
        <v>45.143637618827483</v>
      </c>
      <c r="I58" s="60">
        <v>38</v>
      </c>
      <c r="J58" s="60">
        <v>38</v>
      </c>
      <c r="K58" s="60">
        <v>38</v>
      </c>
      <c r="L58" s="60">
        <v>38</v>
      </c>
      <c r="M58" s="60">
        <v>39</v>
      </c>
    </row>
    <row r="59" spans="1:13" x14ac:dyDescent="0.2">
      <c r="A59" s="45" t="s">
        <v>112</v>
      </c>
      <c r="B59" s="8"/>
      <c r="C59" s="15">
        <f>C31/'Income Statement'!C8</f>
        <v>2.2309021623095258E-2</v>
      </c>
      <c r="D59" s="15">
        <f>D31/'Income Statement'!D8</f>
        <v>2.1056586126035018E-2</v>
      </c>
      <c r="E59" s="15">
        <f>E31/'Income Statement'!E8</f>
        <v>2.1880963244677778E-2</v>
      </c>
      <c r="F59" s="15">
        <f>F31/'Income Statement'!F8</f>
        <v>2.2933479545585986E-2</v>
      </c>
      <c r="G59" s="15">
        <f>G31/'Income Statement'!G8</f>
        <v>2.2780513838475604E-2</v>
      </c>
      <c r="H59" s="146">
        <f>H31/'Income Statement'!H8</f>
        <v>2.3418634605042052E-2</v>
      </c>
      <c r="I59" s="61">
        <f t="shared" ref="I59:M60" si="12">H59</f>
        <v>2.3418634605042052E-2</v>
      </c>
      <c r="J59" s="61">
        <f t="shared" si="12"/>
        <v>2.3418634605042052E-2</v>
      </c>
      <c r="K59" s="61">
        <f t="shared" si="12"/>
        <v>2.3418634605042052E-2</v>
      </c>
      <c r="L59" s="61">
        <f t="shared" si="12"/>
        <v>2.3418634605042052E-2</v>
      </c>
      <c r="M59" s="61">
        <f t="shared" si="12"/>
        <v>2.3418634605042052E-2</v>
      </c>
    </row>
    <row r="60" spans="1:13" x14ac:dyDescent="0.2">
      <c r="A60" s="45" t="s">
        <v>113</v>
      </c>
      <c r="B60" s="8"/>
      <c r="C60" s="15">
        <f>C32/'Income Statement'!C26</f>
        <v>6.3702004949933014E-2</v>
      </c>
      <c r="D60" s="15">
        <f>D32/'Income Statement'!D26</f>
        <v>3.6324332291366002E-2</v>
      </c>
      <c r="E60" s="15">
        <f>E32/'Income Statement'!E26</f>
        <v>3.5339031603446092E-2</v>
      </c>
      <c r="F60" s="15">
        <f>F32/'Income Statement'!F26</f>
        <v>1.7738572193344501E-2</v>
      </c>
      <c r="G60" s="15">
        <f>G32/'Income Statement'!G26</f>
        <v>3.225076158866276E-2</v>
      </c>
      <c r="H60" s="146">
        <f>H32/'Income Statement'!H26</f>
        <v>2.1517553793884486E-3</v>
      </c>
      <c r="I60" s="61">
        <f t="shared" si="12"/>
        <v>2.1517553793884486E-3</v>
      </c>
      <c r="J60" s="61">
        <f t="shared" si="12"/>
        <v>2.1517553793884486E-3</v>
      </c>
      <c r="K60" s="61">
        <f t="shared" si="12"/>
        <v>2.1517553793884486E-3</v>
      </c>
      <c r="L60" s="61">
        <f t="shared" si="12"/>
        <v>2.1517553793884486E-3</v>
      </c>
      <c r="M60" s="61">
        <f t="shared" si="12"/>
        <v>2.1517553793884486E-3</v>
      </c>
    </row>
    <row r="61" spans="1:13" x14ac:dyDescent="0.2">
      <c r="A61" s="45" t="s">
        <v>118</v>
      </c>
      <c r="B61" s="8"/>
      <c r="C61" s="1">
        <f>C37/'Income Statement'!C26</f>
        <v>0.43213075516530719</v>
      </c>
      <c r="D61" s="1">
        <f>D37/'Income Statement'!D26</f>
        <v>0.37708941062315376</v>
      </c>
      <c r="E61" s="1">
        <f>E37/'Income Statement'!E26</f>
        <v>0.3579058589615679</v>
      </c>
      <c r="F61" s="1">
        <f>F37/'Income Statement'!F26</f>
        <v>0.34535710276823184</v>
      </c>
      <c r="G61" s="1">
        <f>G37/'Income Statement'!G26</f>
        <v>0.33212845970855115</v>
      </c>
      <c r="H61" s="162">
        <f>H37/'Income Statement'!H26</f>
        <v>0.27038609957636006</v>
      </c>
      <c r="I61" s="62">
        <v>0.35</v>
      </c>
      <c r="J61" s="62">
        <v>0.35</v>
      </c>
      <c r="K61" s="62">
        <v>0.35</v>
      </c>
      <c r="L61" s="62">
        <v>0.35</v>
      </c>
      <c r="M61" s="62">
        <v>0.35</v>
      </c>
    </row>
    <row r="62" spans="1:13" x14ac:dyDescent="0.2">
      <c r="A62" s="45" t="s">
        <v>119</v>
      </c>
      <c r="B62" s="8"/>
      <c r="C62" s="15">
        <f>C21/'Income Statement'!C16</f>
        <v>1.2761050982107065E-2</v>
      </c>
      <c r="D62" s="15">
        <f>D21/'Income Statement'!D16</f>
        <v>9.5627665690784062E-3</v>
      </c>
      <c r="E62" s="15">
        <f>E21/'Income Statement'!E16</f>
        <v>8.6678431720621785E-3</v>
      </c>
      <c r="F62" s="15">
        <f>F21/'Income Statement'!F16</f>
        <v>5.0002324890506822E-3</v>
      </c>
      <c r="G62" s="15">
        <f>G21/'Income Statement'!G16</f>
        <v>4.4124106917523328E-3</v>
      </c>
      <c r="H62" s="146">
        <f>H21/'Income Statement'!H16</f>
        <v>5.5164043017979529E-3</v>
      </c>
      <c r="I62" s="61">
        <v>3.0000000000000001E-3</v>
      </c>
      <c r="J62" s="61">
        <v>3.0000000000000001E-3</v>
      </c>
      <c r="K62" s="61">
        <v>3.0000000000000001E-3</v>
      </c>
      <c r="L62" s="61">
        <v>3.0000000000000001E-3</v>
      </c>
      <c r="M62" s="61">
        <v>3.0000000000000001E-3</v>
      </c>
    </row>
    <row r="63" spans="1:13" x14ac:dyDescent="0.2">
      <c r="A63" s="46" t="s">
        <v>108</v>
      </c>
      <c r="B63" s="55"/>
      <c r="C63" s="15">
        <f>C38/'Income Statement'!C8</f>
        <v>1.4067981481610932E-2</v>
      </c>
      <c r="D63" s="15">
        <f>D38/'Income Statement'!D8</f>
        <v>1.6941451712612202E-2</v>
      </c>
      <c r="E63" s="15">
        <f>E38/'Income Statement'!E8</f>
        <v>1.5088060088881894E-2</v>
      </c>
      <c r="F63" s="15">
        <f>F38/'Income Statement'!F8</f>
        <v>1.3515092523468275E-2</v>
      </c>
      <c r="G63" s="15">
        <f>G38/'Income Statement'!G8</f>
        <v>1.272511554538815E-2</v>
      </c>
      <c r="H63" s="146">
        <f>H38/'Income Statement'!H8</f>
        <v>1.3034997663283324E-2</v>
      </c>
      <c r="I63" s="61">
        <f>H63</f>
        <v>1.3034997663283324E-2</v>
      </c>
      <c r="J63" s="61">
        <f>I63</f>
        <v>1.3034997663283324E-2</v>
      </c>
      <c r="K63" s="61">
        <f>J63</f>
        <v>1.3034997663283324E-2</v>
      </c>
      <c r="L63" s="61">
        <f>K63</f>
        <v>1.3034997663283324E-2</v>
      </c>
      <c r="M63" s="61">
        <f>L63</f>
        <v>1.3034997663283324E-2</v>
      </c>
    </row>
    <row r="64" spans="1:13" x14ac:dyDescent="0.2">
      <c r="A64" s="46"/>
      <c r="B64" s="55"/>
    </row>
    <row r="65" spans="1:13" x14ac:dyDescent="0.2">
      <c r="A65" s="46" t="s">
        <v>109</v>
      </c>
      <c r="B65" s="55"/>
      <c r="C65" s="13">
        <f>'cash flow'!C11</f>
        <v>302911</v>
      </c>
      <c r="D65" s="13">
        <f>'cash flow'!D11</f>
        <v>332837</v>
      </c>
      <c r="E65" s="13">
        <f>'cash flow'!E11</f>
        <v>342353</v>
      </c>
      <c r="F65" s="13">
        <f>'cash flow'!F11</f>
        <v>352431</v>
      </c>
      <c r="G65" s="13">
        <f>'cash flow'!G11</f>
        <v>379931</v>
      </c>
      <c r="H65" s="163">
        <f>'cash flow'!H11</f>
        <v>404231</v>
      </c>
      <c r="I65" s="57">
        <f>I66*H18</f>
        <v>448536.31535833876</v>
      </c>
      <c r="J65" s="57">
        <f>J66*I18</f>
        <v>631917.02777497168</v>
      </c>
      <c r="K65" s="57">
        <f>K66*J18</f>
        <v>624958.9462634743</v>
      </c>
      <c r="L65" s="57">
        <f>L66*K18</f>
        <v>612578.14175842551</v>
      </c>
      <c r="M65" s="57">
        <f>M66*L18</f>
        <v>651994.99809516128</v>
      </c>
    </row>
    <row r="66" spans="1:13" x14ac:dyDescent="0.2">
      <c r="A66" s="46" t="s">
        <v>110</v>
      </c>
      <c r="B66" s="55"/>
      <c r="D66" s="1">
        <f>D65/C18</f>
        <v>0.15935394139318657</v>
      </c>
      <c r="E66" s="1">
        <f>E65/D18</f>
        <v>0.16456865699981493</v>
      </c>
      <c r="F66" s="1">
        <f>F65/E18</f>
        <v>0.16654938979005943</v>
      </c>
      <c r="G66" s="1">
        <f>G65/F18</f>
        <v>0.16780945044791176</v>
      </c>
      <c r="H66" s="162">
        <f>H65/G18</f>
        <v>0.16604572027590558</v>
      </c>
      <c r="I66" s="1">
        <f>H66</f>
        <v>0.16604572027590558</v>
      </c>
      <c r="J66" s="1">
        <f>I66</f>
        <v>0.16604572027590558</v>
      </c>
      <c r="K66" s="1">
        <f>J66</f>
        <v>0.16604572027590558</v>
      </c>
      <c r="L66" s="1">
        <f>K66</f>
        <v>0.16604572027590558</v>
      </c>
      <c r="M66" s="1">
        <f>L66</f>
        <v>0.16604572027590558</v>
      </c>
    </row>
    <row r="67" spans="1:13" x14ac:dyDescent="0.2">
      <c r="A67" s="47" t="s">
        <v>111</v>
      </c>
      <c r="B67" s="76"/>
      <c r="C67" s="10"/>
      <c r="D67" s="77">
        <f>'cash flow'!C29*-1</f>
        <v>571596</v>
      </c>
      <c r="E67" s="77">
        <f>'cash flow'!D29*-1</f>
        <v>538444</v>
      </c>
      <c r="F67" s="77">
        <f>'cash flow'!E29*-1</f>
        <v>373967</v>
      </c>
      <c r="G67" s="77">
        <f>'cash flow'!F29*-1</f>
        <v>504806</v>
      </c>
      <c r="H67" s="164">
        <f>'cash flow'!G29*-1</f>
        <v>560296</v>
      </c>
      <c r="I67" s="78">
        <f>I75*'Income Statement'!I19</f>
        <v>1552935.2249593993</v>
      </c>
      <c r="J67" s="78">
        <f>J75*'Income Statement'!J19</f>
        <v>590012.41559987003</v>
      </c>
      <c r="K67" s="78">
        <f>K75*'Income Statement'!K19</f>
        <v>550396.32288193482</v>
      </c>
      <c r="L67" s="78">
        <f>L75*'Income Statement'!L19</f>
        <v>849963.70202001906</v>
      </c>
      <c r="M67" s="78">
        <f>M75*'Income Statement'!M19</f>
        <v>595850.11093839305</v>
      </c>
    </row>
    <row r="69" spans="1:13" x14ac:dyDescent="0.2">
      <c r="A69" s="8" t="s">
        <v>120</v>
      </c>
      <c r="B69" s="8"/>
      <c r="D69" s="13">
        <f>'Income Statement'!D19*(1-D70)</f>
        <v>1093016.1714517327</v>
      </c>
      <c r="E69" s="13">
        <f>'Income Statement'!E19*(1-E70)</f>
        <v>1121267.2446353389</v>
      </c>
      <c r="F69" s="13">
        <f>'Income Statement'!F19*(1-F70)</f>
        <v>1219950.5961714473</v>
      </c>
      <c r="G69" s="13">
        <f>'Income Statement'!G19*(1-G70)</f>
        <v>1313396.6028755186</v>
      </c>
      <c r="H69" s="163">
        <f>'Income Statement'!H19*(1-H70)</f>
        <v>1620082.8348643095</v>
      </c>
      <c r="I69" s="13">
        <f>'Income Statement'!I19*(1-I70)</f>
        <v>1857115.5283818494</v>
      </c>
      <c r="J69" s="13">
        <f>'Income Statement'!J19*(1-J70)</f>
        <v>1946775.8704575943</v>
      </c>
      <c r="K69" s="13">
        <f>'Income Statement'!K19*(1-K70)</f>
        <v>2034293.6750150765</v>
      </c>
      <c r="L69" s="13">
        <f>'Income Statement'!L19*(1-L70)</f>
        <v>2175690.2861351459</v>
      </c>
      <c r="M69" s="13">
        <f>'Income Statement'!M19*(1-M70)</f>
        <v>2279070.6236477774</v>
      </c>
    </row>
    <row r="70" spans="1:13" x14ac:dyDescent="0.2">
      <c r="A70" s="8" t="s">
        <v>121</v>
      </c>
      <c r="B70" s="8"/>
      <c r="C70" s="15">
        <f>'Income Statement'!C28</f>
        <v>0.36378668540143744</v>
      </c>
      <c r="D70" s="15">
        <f>'Income Statement'!D28</f>
        <v>0.37044947891397934</v>
      </c>
      <c r="E70" s="15">
        <f>'Income Statement'!E28</f>
        <v>0.36619089859304249</v>
      </c>
      <c r="F70" s="15">
        <f>'Income Statement'!F28</f>
        <v>0.3712547705804134</v>
      </c>
      <c r="G70" s="15">
        <f>'Income Statement'!G28</f>
        <v>0.36349451676512545</v>
      </c>
      <c r="H70" s="146">
        <f>'Income Statement'!H28</f>
        <v>0.19311270500398472</v>
      </c>
      <c r="I70" s="15">
        <f>'Income Statement'!I28</f>
        <v>0.19</v>
      </c>
      <c r="J70" s="15">
        <f>'Income Statement'!J28</f>
        <v>0.19</v>
      </c>
      <c r="K70" s="15">
        <f>'Income Statement'!K28</f>
        <v>0.19</v>
      </c>
      <c r="L70" s="15">
        <f>'Income Statement'!L28</f>
        <v>0.19</v>
      </c>
      <c r="M70" s="15">
        <f>'Income Statement'!M28</f>
        <v>0.19</v>
      </c>
    </row>
    <row r="72" spans="1:13" x14ac:dyDescent="0.2">
      <c r="A72" s="55" t="s">
        <v>122</v>
      </c>
      <c r="B72" s="55"/>
      <c r="C72" s="13">
        <f>C29+C36+C48-C10</f>
        <v>7616749</v>
      </c>
      <c r="D72" s="13">
        <f t="shared" ref="D72:L72" si="13">D29+D36+D48-D10</f>
        <v>7715381</v>
      </c>
      <c r="E72" s="13">
        <f t="shared" si="13"/>
        <v>7870800</v>
      </c>
      <c r="F72" s="13">
        <f t="shared" si="13"/>
        <v>8190483</v>
      </c>
      <c r="G72" s="13">
        <f t="shared" si="13"/>
        <v>8429905</v>
      </c>
      <c r="H72" s="163">
        <f t="shared" si="13"/>
        <v>8864291</v>
      </c>
      <c r="I72" s="13">
        <f t="shared" si="13"/>
        <v>9898848.9983518571</v>
      </c>
      <c r="J72" s="13">
        <f t="shared" si="13"/>
        <v>9916994.737862844</v>
      </c>
      <c r="K72" s="13">
        <f t="shared" si="13"/>
        <v>9905126.9556255117</v>
      </c>
      <c r="L72" s="13">
        <f t="shared" si="13"/>
        <v>10157367.609138243</v>
      </c>
      <c r="M72" s="13">
        <f>M29+M36+M48-M10</f>
        <v>10092692.849245153</v>
      </c>
    </row>
    <row r="73" spans="1:13" x14ac:dyDescent="0.2">
      <c r="A73" s="55" t="s">
        <v>123</v>
      </c>
      <c r="B73" s="55"/>
      <c r="D73" s="15">
        <f>D69/C72</f>
        <v>0.14350166605880446</v>
      </c>
      <c r="E73" s="15">
        <f t="shared" ref="E73:M73" si="14">E69/D72</f>
        <v>0.14532882363623248</v>
      </c>
      <c r="F73" s="15">
        <f t="shared" si="14"/>
        <v>0.15499702649939617</v>
      </c>
      <c r="G73" s="15">
        <f t="shared" si="14"/>
        <v>0.16035642865939878</v>
      </c>
      <c r="H73" s="146">
        <f t="shared" si="14"/>
        <v>0.19218281046634683</v>
      </c>
      <c r="I73" s="15">
        <f t="shared" si="14"/>
        <v>0.20950525297306344</v>
      </c>
      <c r="J73" s="15">
        <f t="shared" si="14"/>
        <v>0.19666689236109466</v>
      </c>
      <c r="K73" s="15">
        <f t="shared" si="14"/>
        <v>0.20513207163942448</v>
      </c>
      <c r="L73" s="15">
        <f t="shared" si="14"/>
        <v>0.21965294295389981</v>
      </c>
      <c r="M73" s="15">
        <f t="shared" si="14"/>
        <v>0.22437610917984044</v>
      </c>
    </row>
    <row r="75" spans="1:13" x14ac:dyDescent="0.2">
      <c r="A75" s="55" t="s">
        <v>124</v>
      </c>
      <c r="B75" s="55"/>
      <c r="D75" s="15">
        <f>D67/'Income Statement'!D19</f>
        <v>0.32922528417190566</v>
      </c>
      <c r="E75" s="15">
        <f>E67/'Income Statement'!E19</f>
        <v>0.30436161354999425</v>
      </c>
      <c r="F75" s="15">
        <f>F67/'Income Statement'!F19</f>
        <v>0.19273728620508027</v>
      </c>
      <c r="G75" s="15">
        <f>G67/'Income Statement'!G19</f>
        <v>0.2446418593335721</v>
      </c>
      <c r="H75" s="146">
        <f>H67/'Income Statement'!H19</f>
        <v>0.27905716553990451</v>
      </c>
      <c r="I75" s="15">
        <f>I76/I73</f>
        <v>0.67732863841439805</v>
      </c>
      <c r="J75" s="15">
        <f>J76/J73</f>
        <v>0.24548797007822007</v>
      </c>
      <c r="K75" s="15">
        <f>K76/K73</f>
        <v>0.21915273444040137</v>
      </c>
      <c r="L75" s="15">
        <f>L76/L73</f>
        <v>0.31643777748311841</v>
      </c>
      <c r="M75" s="15">
        <f>M76/M73</f>
        <v>0.21176991395185854</v>
      </c>
    </row>
    <row r="76" spans="1:13" x14ac:dyDescent="0.2">
      <c r="A76" s="55" t="s">
        <v>125</v>
      </c>
      <c r="B76" s="55"/>
      <c r="D76" s="15">
        <f>'Income Statement'!D19/'Income Statement'!C19-1</f>
        <v>4.8879461793682744E-2</v>
      </c>
      <c r="E76" s="15">
        <f>'Income Statement'!E19/'Income Statement'!D19-1</f>
        <v>1.8954201309192342E-2</v>
      </c>
      <c r="F76" s="15">
        <f>'Income Statement'!F19/'Income Statement'!E19-1</f>
        <v>9.6773318304916645E-2</v>
      </c>
      <c r="G76" s="15">
        <f>'Income Statement'!G19/'Income Statement'!F19-1</f>
        <v>6.3472339758820162E-2</v>
      </c>
      <c r="H76" s="146">
        <f>'Income Statement'!H19/'Income Statement'!G19-1</f>
        <v>-2.6960201100196812E-2</v>
      </c>
      <c r="I76" s="15">
        <f>'Income Statement'!I19/'Income Statement'!H19-1</f>
        <v>0.14190390773690909</v>
      </c>
      <c r="J76" s="15">
        <f>'Income Statement'!J19/'Income Statement'!I19-1</f>
        <v>4.8279356187316935E-2</v>
      </c>
      <c r="K76" s="15">
        <f>'Income Statement'!K19/'Income Statement'!J19-1</f>
        <v>4.4955254421204183E-2</v>
      </c>
      <c r="L76" s="15">
        <f>'Income Statement'!L19/'Income Statement'!K19-1</f>
        <v>6.9506489085958245E-2</v>
      </c>
      <c r="M76" s="15">
        <f>'Income Statement'!M19/'Income Statement'!L19-1</f>
        <v>4.7516109333867629E-2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zoomScale="11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34" sqref="D34"/>
    </sheetView>
  </sheetViews>
  <sheetFormatPr baseColWidth="10" defaultRowHeight="16" x14ac:dyDescent="0.2"/>
  <cols>
    <col min="1" max="1" width="44.33203125" style="4" bestFit="1" customWidth="1"/>
    <col min="2" max="2" width="11.5" style="4" customWidth="1"/>
    <col min="3" max="4" width="12.5" style="4" bestFit="1" customWidth="1"/>
    <col min="5" max="6" width="13" style="4" bestFit="1" customWidth="1"/>
    <col min="7" max="7" width="12.5" style="4" bestFit="1" customWidth="1"/>
    <col min="8" max="12" width="11.5" style="4" bestFit="1" customWidth="1"/>
    <col min="13" max="13" width="11.1640625" style="4" bestFit="1" customWidth="1"/>
    <col min="14" max="14" width="37.33203125" style="4" bestFit="1" customWidth="1"/>
    <col min="15" max="16384" width="10.83203125" style="4"/>
  </cols>
  <sheetData>
    <row r="1" spans="1:17" x14ac:dyDescent="0.2">
      <c r="A1" s="32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7" x14ac:dyDescent="0.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7" x14ac:dyDescent="0.2">
      <c r="A3" s="5" t="s">
        <v>114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7" x14ac:dyDescent="0.2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7" x14ac:dyDescent="0.2">
      <c r="A5" s="9" t="s">
        <v>98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7" x14ac:dyDescent="0.2">
      <c r="A7" s="44"/>
      <c r="B7" s="44"/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2" t="s">
        <v>15</v>
      </c>
      <c r="J7" s="12" t="s">
        <v>16</v>
      </c>
      <c r="K7" s="12" t="s">
        <v>17</v>
      </c>
      <c r="L7" s="12" t="s">
        <v>18</v>
      </c>
      <c r="M7" s="12" t="s">
        <v>194</v>
      </c>
    </row>
    <row r="8" spans="1:17" s="8" customFormat="1" x14ac:dyDescent="0.2">
      <c r="A8" s="44"/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</row>
    <row r="9" spans="1:17" x14ac:dyDescent="0.2">
      <c r="A9" s="178" t="s">
        <v>75</v>
      </c>
      <c r="B9" s="178"/>
      <c r="C9" s="63"/>
      <c r="D9" s="63"/>
      <c r="E9" s="63"/>
      <c r="F9" s="63"/>
      <c r="G9" s="63"/>
      <c r="H9" s="59"/>
      <c r="I9" s="59"/>
      <c r="J9" s="59"/>
      <c r="K9" s="59"/>
      <c r="L9" s="59"/>
      <c r="M9" s="59"/>
      <c r="N9" s="34"/>
      <c r="O9" s="34"/>
      <c r="P9" s="34"/>
      <c r="Q9" s="64"/>
    </row>
    <row r="10" spans="1:17" x14ac:dyDescent="0.2">
      <c r="A10" s="34" t="s">
        <v>31</v>
      </c>
      <c r="B10" s="34"/>
      <c r="C10" s="66">
        <v>952662</v>
      </c>
      <c r="D10" s="66">
        <v>1025116</v>
      </c>
      <c r="E10" s="179">
        <v>1065345</v>
      </c>
      <c r="F10" s="179">
        <v>1165080</v>
      </c>
      <c r="G10" s="173">
        <v>1251133</v>
      </c>
      <c r="H10" s="66">
        <v>1538960</v>
      </c>
      <c r="I10" s="90">
        <f>'Income Statement'!I31</f>
        <v>1778545.5283818492</v>
      </c>
      <c r="J10" s="90">
        <f>'Income Statement'!J31</f>
        <v>1868205.8704575941</v>
      </c>
      <c r="K10" s="90">
        <f>'Income Statement'!K31</f>
        <v>1955723.6750150765</v>
      </c>
      <c r="L10" s="90">
        <f>'Income Statement'!L31</f>
        <v>2097120.2861351455</v>
      </c>
      <c r="M10" s="90">
        <f>'Income Statement'!M31</f>
        <v>2200500.6236477769</v>
      </c>
      <c r="N10" s="34"/>
      <c r="O10" s="34"/>
      <c r="P10" s="34"/>
      <c r="Q10" s="34"/>
    </row>
    <row r="11" spans="1:17" x14ac:dyDescent="0.2">
      <c r="A11" s="34" t="s">
        <v>76</v>
      </c>
      <c r="B11" s="34"/>
      <c r="C11" s="67">
        <v>302911</v>
      </c>
      <c r="D11" s="66">
        <v>332837</v>
      </c>
      <c r="E11" s="173">
        <v>342353</v>
      </c>
      <c r="F11" s="173">
        <v>352431</v>
      </c>
      <c r="G11" s="173">
        <v>379931</v>
      </c>
      <c r="H11" s="72">
        <v>404231</v>
      </c>
      <c r="I11" s="180">
        <f>'Balance Sheet'!I65</f>
        <v>448536.31535833876</v>
      </c>
      <c r="J11" s="180">
        <f>'Balance Sheet'!J65</f>
        <v>631917.02777497168</v>
      </c>
      <c r="K11" s="180">
        <f>'Balance Sheet'!K65</f>
        <v>624958.9462634743</v>
      </c>
      <c r="L11" s="180">
        <f>'Balance Sheet'!L65</f>
        <v>612578.14175842551</v>
      </c>
      <c r="M11" s="180">
        <f>'Balance Sheet'!M65</f>
        <v>651994.99809516128</v>
      </c>
      <c r="N11" s="34"/>
      <c r="O11" s="181"/>
      <c r="P11" s="181"/>
      <c r="Q11" s="181"/>
    </row>
    <row r="12" spans="1:17" x14ac:dyDescent="0.2">
      <c r="A12" s="34" t="s">
        <v>44</v>
      </c>
      <c r="B12" s="34"/>
      <c r="C12" s="66">
        <v>-2605</v>
      </c>
      <c r="D12" s="67">
        <v>-36851</v>
      </c>
      <c r="E12" s="173">
        <v>-17734</v>
      </c>
      <c r="F12" s="173">
        <v>12126</v>
      </c>
      <c r="G12" s="173">
        <v>12359</v>
      </c>
      <c r="H12" s="66">
        <v>-137648</v>
      </c>
      <c r="I12" s="66">
        <f>'Balance Sheet'!I37-'Balance Sheet'!H37</f>
        <v>252805.32707857678</v>
      </c>
      <c r="J12" s="66">
        <f>'Balance Sheet'!J37-'Balance Sheet'!I37</f>
        <v>38742.123119149008</v>
      </c>
      <c r="K12" s="66">
        <f>'Balance Sheet'!K37-'Balance Sheet'!J37</f>
        <v>37816.335302615771</v>
      </c>
      <c r="L12" s="66">
        <f>'Balance Sheet'!L37-'Balance Sheet'!K37</f>
        <v>61097.301101264544</v>
      </c>
      <c r="M12" s="66">
        <f>'Balance Sheet'!M37-'Balance Sheet'!L37</f>
        <v>44670.516209161724</v>
      </c>
      <c r="N12" s="34"/>
      <c r="O12" s="64"/>
      <c r="P12" s="64"/>
      <c r="Q12" s="64"/>
    </row>
    <row r="13" spans="1:17" x14ac:dyDescent="0.2">
      <c r="A13" s="34" t="s">
        <v>77</v>
      </c>
      <c r="B13" s="34"/>
      <c r="C13" s="66">
        <v>30620</v>
      </c>
      <c r="D13" s="66">
        <v>18871</v>
      </c>
      <c r="E13" s="173">
        <v>0</v>
      </c>
      <c r="F13" s="173">
        <v>326</v>
      </c>
      <c r="G13" s="173">
        <v>0</v>
      </c>
      <c r="H13" s="92">
        <v>3502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34"/>
      <c r="O13" s="64"/>
      <c r="P13" s="64"/>
      <c r="Q13" s="64"/>
    </row>
    <row r="14" spans="1:17" x14ac:dyDescent="0.2">
      <c r="A14" s="34" t="s">
        <v>78</v>
      </c>
      <c r="B14" s="34"/>
      <c r="C14" s="66">
        <v>21664</v>
      </c>
      <c r="D14" s="66">
        <v>20961</v>
      </c>
      <c r="E14" s="173">
        <v>37338</v>
      </c>
      <c r="F14" s="173">
        <v>38547</v>
      </c>
      <c r="G14" s="173">
        <v>36967</v>
      </c>
      <c r="H14" s="92">
        <v>34323</v>
      </c>
      <c r="I14" s="92">
        <v>0</v>
      </c>
      <c r="J14" s="92">
        <v>0</v>
      </c>
      <c r="K14" s="92">
        <v>0</v>
      </c>
      <c r="L14" s="92">
        <v>0</v>
      </c>
      <c r="M14" s="92">
        <v>0</v>
      </c>
    </row>
    <row r="15" spans="1:17" x14ac:dyDescent="0.2">
      <c r="A15" s="34" t="s">
        <v>79</v>
      </c>
      <c r="B15" s="34"/>
      <c r="C15" s="66">
        <v>6774</v>
      </c>
      <c r="D15" s="66">
        <v>-12747</v>
      </c>
      <c r="E15" s="173">
        <v>8551</v>
      </c>
      <c r="F15" s="173">
        <v>7797</v>
      </c>
      <c r="G15" s="173">
        <v>-3625</v>
      </c>
      <c r="H15" s="92">
        <v>11088</v>
      </c>
      <c r="I15" s="92">
        <v>0</v>
      </c>
      <c r="J15" s="92">
        <v>0</v>
      </c>
      <c r="K15" s="92">
        <v>0</v>
      </c>
      <c r="L15" s="92">
        <v>0</v>
      </c>
      <c r="M15" s="92">
        <v>0</v>
      </c>
    </row>
    <row r="16" spans="1:17" x14ac:dyDescent="0.2">
      <c r="A16" s="178" t="s">
        <v>80</v>
      </c>
      <c r="B16" s="178"/>
      <c r="C16" s="63"/>
      <c r="D16" s="63"/>
      <c r="E16" s="63"/>
      <c r="F16" s="63"/>
      <c r="G16" s="63"/>
      <c r="H16" s="65"/>
      <c r="I16" s="65"/>
      <c r="J16" s="65"/>
      <c r="K16" s="65"/>
      <c r="L16" s="65"/>
      <c r="M16" s="65"/>
    </row>
    <row r="17" spans="1:17" x14ac:dyDescent="0.2">
      <c r="A17" s="34" t="s">
        <v>47</v>
      </c>
      <c r="B17" s="34"/>
      <c r="C17" s="66">
        <v>-391409</v>
      </c>
      <c r="D17" s="66">
        <v>-144943</v>
      </c>
      <c r="E17" s="173">
        <v>-233559</v>
      </c>
      <c r="F17" s="173">
        <v>-290001</v>
      </c>
      <c r="G17" s="173">
        <v>-171908</v>
      </c>
      <c r="H17" s="66">
        <v>-348363</v>
      </c>
      <c r="I17" s="66">
        <f>'Balance Sheet'!H11-'Balance Sheet'!I11</f>
        <v>-127164.41629956802</v>
      </c>
      <c r="J17" s="66">
        <f>'Balance Sheet'!I11-'Balance Sheet'!J11</f>
        <v>-251498.29075084673</v>
      </c>
      <c r="K17" s="66">
        <f>'Balance Sheet'!J11-'Balance Sheet'!K11</f>
        <v>-251721.06299567875</v>
      </c>
      <c r="L17" s="66">
        <f>'Balance Sheet'!K11-'Balance Sheet'!L11</f>
        <v>-228888.86384105403</v>
      </c>
      <c r="M17" s="66">
        <f>'Balance Sheet'!L11-'Balance Sheet'!M11</f>
        <v>-246664.3667729795</v>
      </c>
    </row>
    <row r="18" spans="1:17" x14ac:dyDescent="0.2">
      <c r="A18" s="34" t="s">
        <v>49</v>
      </c>
      <c r="B18" s="34"/>
      <c r="C18" s="66">
        <v>5553</v>
      </c>
      <c r="D18" s="66">
        <v>-4947</v>
      </c>
      <c r="E18" s="173">
        <v>-25048</v>
      </c>
      <c r="F18" s="173">
        <v>-24626</v>
      </c>
      <c r="G18" s="173">
        <v>-25046</v>
      </c>
      <c r="H18" s="66">
        <v>-49406</v>
      </c>
      <c r="I18" s="66">
        <f>'Balance Sheet'!H13-'Balance Sheet'!I13</f>
        <v>-8641.5144252456375</v>
      </c>
      <c r="J18" s="66">
        <f>'Balance Sheet'!I13-'Balance Sheet'!J13</f>
        <v>-18214.59220886312</v>
      </c>
      <c r="K18" s="66">
        <f>'Balance Sheet'!J13-'Balance Sheet'!K13</f>
        <v>-18588.555687286775</v>
      </c>
      <c r="L18" s="66">
        <f>'Balance Sheet'!K13-'Balance Sheet'!L13</f>
        <v>-15538.826315762941</v>
      </c>
      <c r="M18" s="66">
        <f>'Balance Sheet'!L13-'Balance Sheet'!M13</f>
        <v>-17434.572174106434</v>
      </c>
      <c r="N18" s="34"/>
      <c r="O18" s="41"/>
      <c r="P18" s="41"/>
      <c r="Q18" s="41"/>
    </row>
    <row r="19" spans="1:17" x14ac:dyDescent="0.2">
      <c r="A19" s="34" t="s">
        <v>74</v>
      </c>
      <c r="B19" s="34"/>
      <c r="C19" s="66">
        <v>194035</v>
      </c>
      <c r="D19" s="66">
        <v>36942</v>
      </c>
      <c r="E19" s="173">
        <v>97166</v>
      </c>
      <c r="F19" s="173">
        <v>105637</v>
      </c>
      <c r="G19" s="173">
        <v>56477</v>
      </c>
      <c r="H19" s="66">
        <v>427911</v>
      </c>
      <c r="I19" s="66">
        <f>'Balance Sheet'!I30-'Balance Sheet'!H30</f>
        <v>-207097.64797750534</v>
      </c>
      <c r="J19" s="66">
        <f>'Balance Sheet'!J30-'Balance Sheet'!I30</f>
        <v>113826.75392574165</v>
      </c>
      <c r="K19" s="66">
        <f>'Balance Sheet'!K30-'Balance Sheet'!J30</f>
        <v>112863.86925004702</v>
      </c>
      <c r="L19" s="66">
        <f>'Balance Sheet'!L30-'Balance Sheet'!K30</f>
        <v>111769.16237755073</v>
      </c>
      <c r="M19" s="66">
        <f>'Balance Sheet'!M30-'Balance Sheet'!L30</f>
        <v>171422.97800651705</v>
      </c>
    </row>
    <row r="20" spans="1:17" x14ac:dyDescent="0.2">
      <c r="A20" s="34" t="s">
        <v>81</v>
      </c>
      <c r="B20" s="34"/>
      <c r="C20" s="66">
        <v>-36741</v>
      </c>
      <c r="D20" s="66">
        <v>16265</v>
      </c>
      <c r="E20" s="173">
        <v>41635</v>
      </c>
      <c r="F20" s="173">
        <v>44949</v>
      </c>
      <c r="G20" s="173">
        <v>42937</v>
      </c>
      <c r="H20" s="66">
        <v>75647</v>
      </c>
      <c r="I20" s="66">
        <f>'Balance Sheet'!I31-'Balance Sheet'!H31</f>
        <v>36818.085132792126</v>
      </c>
      <c r="J20" s="66">
        <f>'Balance Sheet'!J31-'Balance Sheet'!I31</f>
        <v>36727.902494371869</v>
      </c>
      <c r="K20" s="66">
        <f>'Balance Sheet'!K31-'Balance Sheet'!J31</f>
        <v>36624.518609259045</v>
      </c>
      <c r="L20" s="66">
        <f>'Balance Sheet'!L31-'Balance Sheet'!K31</f>
        <v>36507.601312929997</v>
      </c>
      <c r="M20" s="66">
        <f>'Balance Sheet'!M31-'Balance Sheet'!L31</f>
        <v>36376.812346115476</v>
      </c>
    </row>
    <row r="21" spans="1:17" x14ac:dyDescent="0.2">
      <c r="A21" s="34" t="s">
        <v>82</v>
      </c>
      <c r="B21" s="34"/>
      <c r="C21" s="66">
        <v>138711</v>
      </c>
      <c r="D21" s="66">
        <v>-5249</v>
      </c>
      <c r="E21" s="173">
        <v>12399</v>
      </c>
      <c r="F21" s="173">
        <v>-19675</v>
      </c>
      <c r="G21" s="173">
        <v>26316</v>
      </c>
      <c r="H21" s="66">
        <v>-156504</v>
      </c>
      <c r="I21" s="66">
        <f>'Balance Sheet'!I32-'Balance Sheet'!H32+'Balance Sheet'!H12-'Balance Sheet'!I12</f>
        <v>102627.83969419092</v>
      </c>
      <c r="J21" s="66">
        <f>'Balance Sheet'!J32-'Balance Sheet'!I32+'Balance Sheet'!I12-'Balance Sheet'!J12</f>
        <v>-77.28994016861725</v>
      </c>
      <c r="K21" s="66">
        <f>'Balance Sheet'!K32-'Balance Sheet'!J32+'Balance Sheet'!J12-'Balance Sheet'!K12</f>
        <v>-75.443007703697731</v>
      </c>
      <c r="L21" s="66">
        <f>'Balance Sheet'!L32-'Balance Sheet'!K32+'Balance Sheet'!K12-'Balance Sheet'!L12</f>
        <v>-121.88817665097667</v>
      </c>
      <c r="M21" s="66">
        <f>'Balance Sheet'!M32-'Balance Sheet'!L32+'Balance Sheet'!L12-'Balance Sheet'!M12</f>
        <v>-89.11699326568214</v>
      </c>
    </row>
    <row r="22" spans="1:17" x14ac:dyDescent="0.2">
      <c r="A22" s="34" t="s">
        <v>83</v>
      </c>
      <c r="B22" s="34"/>
      <c r="C22" s="66">
        <v>-3071</v>
      </c>
      <c r="D22" s="66">
        <v>-2200</v>
      </c>
      <c r="E22" s="173">
        <v>-1555</v>
      </c>
      <c r="F22" s="173">
        <v>-905</v>
      </c>
      <c r="G22" s="173">
        <v>-500</v>
      </c>
      <c r="H22" s="92">
        <v>-1633</v>
      </c>
      <c r="I22" s="92">
        <v>0</v>
      </c>
      <c r="J22" s="92">
        <v>0</v>
      </c>
      <c r="K22" s="92">
        <v>0</v>
      </c>
      <c r="L22" s="92">
        <v>0</v>
      </c>
      <c r="M22" s="92">
        <v>0</v>
      </c>
    </row>
    <row r="23" spans="1:17" x14ac:dyDescent="0.2">
      <c r="A23" s="34" t="s">
        <v>126</v>
      </c>
      <c r="B23" s="182"/>
      <c r="C23" s="92">
        <v>0</v>
      </c>
      <c r="D23" s="92">
        <v>0</v>
      </c>
      <c r="E23" s="92">
        <v>0</v>
      </c>
      <c r="F23" s="92">
        <v>0</v>
      </c>
      <c r="G23" s="92">
        <v>0</v>
      </c>
      <c r="H23" s="92">
        <v>0</v>
      </c>
      <c r="I23" s="66">
        <f>'Balance Sheet'!I38-'Balance Sheet'!H38</f>
        <v>20493.238045961189</v>
      </c>
      <c r="J23" s="66">
        <f>'Balance Sheet'!J38-'Balance Sheet'!I38</f>
        <v>20443.041674528737</v>
      </c>
      <c r="K23" s="66">
        <f>'Balance Sheet'!K38-'Balance Sheet'!J38</f>
        <v>20385.497384539398</v>
      </c>
      <c r="L23" s="66">
        <f>'Balance Sheet'!L38-'Balance Sheet'!K38</f>
        <v>20320.420290586248</v>
      </c>
      <c r="M23" s="66">
        <f>'Balance Sheet'!M38-'Balance Sheet'!L38</f>
        <v>20247.622114878614</v>
      </c>
    </row>
    <row r="24" spans="1:17" x14ac:dyDescent="0.2">
      <c r="A24" s="34"/>
      <c r="B24" s="34"/>
      <c r="C24" s="173"/>
      <c r="D24" s="173"/>
      <c r="E24" s="173"/>
      <c r="F24" s="173"/>
      <c r="G24" s="173"/>
      <c r="H24" s="66"/>
      <c r="I24" s="66"/>
      <c r="J24" s="66"/>
      <c r="K24" s="66"/>
      <c r="L24" s="66"/>
      <c r="M24" s="66"/>
      <c r="N24" s="34"/>
      <c r="O24" s="41"/>
      <c r="P24" s="41"/>
      <c r="Q24" s="41"/>
    </row>
    <row r="25" spans="1:17" x14ac:dyDescent="0.2">
      <c r="A25" s="183" t="s">
        <v>99</v>
      </c>
      <c r="B25" s="183"/>
      <c r="C25" s="74">
        <f>SUM(C10:C22)</f>
        <v>1219104</v>
      </c>
      <c r="D25" s="74">
        <f>SUM(D10:D22)</f>
        <v>1244055</v>
      </c>
      <c r="E25" s="74">
        <f>SUM(E10:E22)</f>
        <v>1326891</v>
      </c>
      <c r="F25" s="74">
        <f>SUM(F10:F22)</f>
        <v>1391686</v>
      </c>
      <c r="G25" s="74">
        <f t="shared" ref="G25:M25" si="0">SUM(G10:G23)</f>
        <v>1605041</v>
      </c>
      <c r="H25" s="74">
        <f t="shared" si="0"/>
        <v>1802108</v>
      </c>
      <c r="I25" s="74">
        <f t="shared" si="0"/>
        <v>2296922.7549893898</v>
      </c>
      <c r="J25" s="74">
        <f t="shared" si="0"/>
        <v>2440072.5465464783</v>
      </c>
      <c r="K25" s="74">
        <f t="shared" si="0"/>
        <v>2517987.7801343431</v>
      </c>
      <c r="L25" s="74">
        <f t="shared" si="0"/>
        <v>2694843.3346424345</v>
      </c>
      <c r="M25" s="74">
        <f t="shared" si="0"/>
        <v>2861025.4944792595</v>
      </c>
      <c r="N25" s="34"/>
      <c r="O25" s="41"/>
      <c r="P25" s="41"/>
      <c r="Q25" s="41"/>
    </row>
    <row r="26" spans="1:17" x14ac:dyDescent="0.2">
      <c r="A26" s="184"/>
      <c r="B26" s="184"/>
      <c r="C26" s="70"/>
      <c r="D26" s="70"/>
      <c r="E26" s="70"/>
      <c r="F26" s="70"/>
      <c r="G26" s="70"/>
      <c r="H26" s="71"/>
      <c r="I26" s="71"/>
      <c r="J26" s="71"/>
      <c r="K26" s="71"/>
      <c r="L26" s="71"/>
      <c r="M26" s="71"/>
      <c r="N26" s="34"/>
      <c r="O26" s="41"/>
      <c r="P26" s="41"/>
      <c r="Q26" s="41"/>
    </row>
    <row r="27" spans="1:17" x14ac:dyDescent="0.2">
      <c r="A27" s="34"/>
      <c r="B27" s="34"/>
      <c r="C27" s="173"/>
      <c r="D27" s="173"/>
      <c r="E27" s="66"/>
      <c r="F27" s="66"/>
      <c r="G27" s="66"/>
      <c r="H27" s="66"/>
      <c r="I27" s="66"/>
      <c r="J27" s="66"/>
      <c r="K27" s="66"/>
      <c r="L27" s="66"/>
      <c r="M27" s="66"/>
      <c r="N27" s="34"/>
      <c r="O27" s="41"/>
      <c r="P27" s="41"/>
      <c r="Q27" s="41"/>
    </row>
    <row r="28" spans="1:17" x14ac:dyDescent="0.2">
      <c r="A28" s="178" t="s">
        <v>84</v>
      </c>
      <c r="B28" s="178"/>
      <c r="C28" s="73"/>
      <c r="D28" s="73"/>
      <c r="E28" s="73"/>
      <c r="F28" s="73"/>
      <c r="G28" s="73"/>
      <c r="H28" s="68"/>
      <c r="I28" s="68"/>
      <c r="J28" s="68"/>
      <c r="K28" s="68"/>
      <c r="L28" s="68"/>
      <c r="M28" s="68"/>
      <c r="N28" s="34"/>
      <c r="O28" s="41"/>
      <c r="P28" s="41"/>
      <c r="Q28" s="41"/>
    </row>
    <row r="29" spans="1:17" x14ac:dyDescent="0.2">
      <c r="A29" s="34" t="s">
        <v>85</v>
      </c>
      <c r="B29" s="34"/>
      <c r="C29" s="66">
        <v>-571596</v>
      </c>
      <c r="D29" s="66">
        <v>-538444</v>
      </c>
      <c r="E29" s="173">
        <v>-373967</v>
      </c>
      <c r="F29" s="173">
        <v>-504806</v>
      </c>
      <c r="G29" s="173">
        <v>-560296</v>
      </c>
      <c r="H29" s="66">
        <v>-646456</v>
      </c>
      <c r="I29" s="66">
        <f>'Balance Sheet'!I67*-1</f>
        <v>-1552935.2249593993</v>
      </c>
      <c r="J29" s="66">
        <f>'Balance Sheet'!J67*-1</f>
        <v>-590012.41559987003</v>
      </c>
      <c r="K29" s="66">
        <f>'Balance Sheet'!K67*-1</f>
        <v>-550396.32288193482</v>
      </c>
      <c r="L29" s="66">
        <f>'Balance Sheet'!L67*-1</f>
        <v>-849963.70202001906</v>
      </c>
      <c r="M29" s="66">
        <f>'Balance Sheet'!M67*-1</f>
        <v>-595850.11093839305</v>
      </c>
    </row>
    <row r="30" spans="1:17" x14ac:dyDescent="0.2">
      <c r="A30" s="34" t="s">
        <v>86</v>
      </c>
      <c r="B30" s="34"/>
      <c r="C30" s="66">
        <v>1760</v>
      </c>
      <c r="D30" s="66">
        <v>288466</v>
      </c>
      <c r="E30" s="173">
        <v>2268</v>
      </c>
      <c r="F30" s="173">
        <v>1423</v>
      </c>
      <c r="G30" s="173">
        <v>9360</v>
      </c>
      <c r="H30" s="92">
        <v>1428</v>
      </c>
      <c r="I30" s="92">
        <v>0</v>
      </c>
      <c r="J30" s="92">
        <v>0</v>
      </c>
      <c r="K30" s="92">
        <v>0</v>
      </c>
      <c r="L30" s="92">
        <v>0</v>
      </c>
      <c r="M30" s="92">
        <v>0</v>
      </c>
    </row>
    <row r="31" spans="1:17" x14ac:dyDescent="0.2">
      <c r="A31" s="34"/>
      <c r="B31" s="34"/>
      <c r="C31" s="173"/>
      <c r="D31" s="173"/>
      <c r="E31" s="173"/>
      <c r="F31" s="173"/>
      <c r="G31" s="173"/>
      <c r="H31" s="66"/>
      <c r="I31" s="66"/>
      <c r="J31" s="66"/>
      <c r="K31" s="66"/>
      <c r="L31" s="66"/>
      <c r="M31" s="66"/>
      <c r="N31" s="34"/>
      <c r="O31" s="41"/>
      <c r="P31" s="41"/>
      <c r="Q31" s="41"/>
    </row>
    <row r="32" spans="1:17" x14ac:dyDescent="0.2">
      <c r="A32" s="183" t="s">
        <v>100</v>
      </c>
      <c r="B32" s="183"/>
      <c r="C32" s="87">
        <f t="shared" ref="C32:M32" si="1">C29+C30</f>
        <v>-569836</v>
      </c>
      <c r="D32" s="87">
        <f t="shared" si="1"/>
        <v>-249978</v>
      </c>
      <c r="E32" s="87">
        <f t="shared" si="1"/>
        <v>-371699</v>
      </c>
      <c r="F32" s="87">
        <f t="shared" si="1"/>
        <v>-503383</v>
      </c>
      <c r="G32" s="87">
        <f t="shared" si="1"/>
        <v>-550936</v>
      </c>
      <c r="H32" s="87">
        <f t="shared" si="1"/>
        <v>-645028</v>
      </c>
      <c r="I32" s="87">
        <f t="shared" si="1"/>
        <v>-1552935.2249593993</v>
      </c>
      <c r="J32" s="87">
        <f t="shared" si="1"/>
        <v>-590012.41559987003</v>
      </c>
      <c r="K32" s="87">
        <f t="shared" si="1"/>
        <v>-550396.32288193482</v>
      </c>
      <c r="L32" s="87">
        <f t="shared" si="1"/>
        <v>-849963.70202001906</v>
      </c>
      <c r="M32" s="87">
        <f t="shared" si="1"/>
        <v>-595850.11093839305</v>
      </c>
      <c r="N32" s="34"/>
      <c r="O32" s="64"/>
      <c r="P32" s="64"/>
      <c r="Q32" s="64"/>
    </row>
    <row r="33" spans="1:17" x14ac:dyDescent="0.2">
      <c r="A33" s="34"/>
      <c r="B33" s="34"/>
      <c r="C33" s="173"/>
      <c r="D33" s="173"/>
      <c r="E33" s="66"/>
      <c r="F33" s="66"/>
      <c r="G33" s="66"/>
      <c r="H33" s="66"/>
      <c r="I33" s="66"/>
      <c r="J33" s="66"/>
      <c r="K33" s="66"/>
      <c r="L33" s="66"/>
      <c r="M33" s="66"/>
      <c r="N33" s="34"/>
      <c r="O33" s="41"/>
      <c r="P33" s="41"/>
      <c r="Q33" s="41"/>
    </row>
    <row r="34" spans="1:17" x14ac:dyDescent="0.2">
      <c r="A34" s="34"/>
      <c r="B34" s="34"/>
      <c r="C34" s="173"/>
      <c r="D34" s="173"/>
      <c r="E34" s="173"/>
      <c r="F34" s="173"/>
      <c r="G34" s="173"/>
      <c r="H34" s="66"/>
      <c r="I34" s="66"/>
      <c r="J34" s="66"/>
      <c r="K34" s="66"/>
      <c r="L34" s="66"/>
      <c r="M34" s="66"/>
      <c r="N34" s="34"/>
      <c r="O34" s="41"/>
      <c r="P34" s="41"/>
      <c r="Q34" s="41"/>
    </row>
    <row r="35" spans="1:17" x14ac:dyDescent="0.2">
      <c r="A35" s="178" t="s">
        <v>87</v>
      </c>
      <c r="B35" s="178"/>
      <c r="C35" s="73"/>
      <c r="D35" s="73"/>
      <c r="E35" s="73"/>
      <c r="F35" s="73"/>
      <c r="G35" s="73"/>
      <c r="H35" s="68"/>
      <c r="I35" s="68"/>
      <c r="J35" s="68"/>
      <c r="K35" s="68"/>
      <c r="L35" s="68"/>
      <c r="M35" s="68"/>
      <c r="N35" s="34"/>
      <c r="O35" s="41"/>
      <c r="P35" s="41"/>
      <c r="Q35" s="41"/>
    </row>
    <row r="36" spans="1:17" x14ac:dyDescent="0.2">
      <c r="A36" s="34" t="s">
        <v>88</v>
      </c>
      <c r="B36" s="34"/>
      <c r="C36" s="92">
        <v>500000</v>
      </c>
      <c r="D36" s="92">
        <v>2297177</v>
      </c>
      <c r="E36" s="182">
        <v>0</v>
      </c>
      <c r="F36" s="182">
        <v>499220</v>
      </c>
      <c r="G36" s="182">
        <v>0</v>
      </c>
      <c r="H36" s="185">
        <v>599556</v>
      </c>
      <c r="I36" s="186">
        <v>550000</v>
      </c>
      <c r="J36" s="182">
        <v>0</v>
      </c>
      <c r="K36" s="182">
        <v>0</v>
      </c>
      <c r="L36" s="182">
        <v>0</v>
      </c>
      <c r="M36" s="182">
        <v>0</v>
      </c>
    </row>
    <row r="37" spans="1:17" x14ac:dyDescent="0.2">
      <c r="A37" s="34" t="s">
        <v>89</v>
      </c>
      <c r="B37" s="34"/>
      <c r="C37" s="92">
        <v>-478255</v>
      </c>
      <c r="D37" s="92">
        <v>-2119991</v>
      </c>
      <c r="E37" s="182">
        <v>-78467</v>
      </c>
      <c r="F37" s="182">
        <v>-502401</v>
      </c>
      <c r="G37" s="182">
        <v>-3138</v>
      </c>
      <c r="H37" s="92">
        <v>-752676</v>
      </c>
      <c r="I37" s="182">
        <f>'Balance Sheet'!H29*-1</f>
        <v>-401345</v>
      </c>
      <c r="J37" s="182">
        <v>0</v>
      </c>
      <c r="K37" s="182">
        <v>0</v>
      </c>
      <c r="L37" s="182">
        <v>0</v>
      </c>
      <c r="M37" s="182">
        <v>0</v>
      </c>
    </row>
    <row r="38" spans="1:17" x14ac:dyDescent="0.2">
      <c r="A38" s="34" t="s">
        <v>90</v>
      </c>
      <c r="B38" s="34"/>
      <c r="C38" s="182">
        <v>0</v>
      </c>
      <c r="D38" s="182">
        <v>0</v>
      </c>
      <c r="E38" s="182">
        <v>0</v>
      </c>
      <c r="F38" s="182">
        <v>0</v>
      </c>
      <c r="G38" s="182">
        <v>490500</v>
      </c>
      <c r="H38" s="92">
        <v>-60300</v>
      </c>
      <c r="I38" s="182">
        <v>0</v>
      </c>
      <c r="J38" s="182">
        <v>0</v>
      </c>
      <c r="K38" s="182">
        <v>0</v>
      </c>
      <c r="L38" s="182">
        <v>0</v>
      </c>
      <c r="M38" s="182">
        <v>0</v>
      </c>
      <c r="N38" s="34"/>
      <c r="O38" s="64"/>
      <c r="P38" s="64"/>
      <c r="Q38" s="64"/>
    </row>
    <row r="39" spans="1:17" x14ac:dyDescent="0.2">
      <c r="A39" s="34" t="s">
        <v>91</v>
      </c>
      <c r="B39" s="34"/>
      <c r="C39" s="92">
        <v>2286700</v>
      </c>
      <c r="D39" s="92">
        <v>1172900</v>
      </c>
      <c r="E39" s="182">
        <v>1023000</v>
      </c>
      <c r="F39" s="182">
        <v>2034100</v>
      </c>
      <c r="G39" s="182">
        <v>1584000</v>
      </c>
      <c r="H39" s="92">
        <v>0</v>
      </c>
      <c r="I39" s="182">
        <v>0</v>
      </c>
      <c r="J39" s="182">
        <v>0</v>
      </c>
      <c r="K39" s="182">
        <v>0</v>
      </c>
      <c r="L39" s="182">
        <v>0</v>
      </c>
      <c r="M39" s="182">
        <v>0</v>
      </c>
    </row>
    <row r="40" spans="1:17" x14ac:dyDescent="0.2">
      <c r="A40" s="34" t="s">
        <v>103</v>
      </c>
      <c r="B40" s="34"/>
      <c r="C40" s="92">
        <v>-2184900</v>
      </c>
      <c r="D40" s="92">
        <v>-1303800</v>
      </c>
      <c r="E40" s="182">
        <v>-1023000</v>
      </c>
      <c r="F40" s="182">
        <v>-1783100</v>
      </c>
      <c r="G40" s="182">
        <v>-1835000</v>
      </c>
      <c r="H40" s="92">
        <v>0</v>
      </c>
      <c r="I40" s="182">
        <v>0</v>
      </c>
      <c r="J40" s="182">
        <v>0</v>
      </c>
      <c r="K40" s="182">
        <v>0</v>
      </c>
      <c r="L40" s="182">
        <v>0</v>
      </c>
      <c r="M40" s="182">
        <v>0</v>
      </c>
      <c r="N40" s="34"/>
      <c r="O40" s="41"/>
      <c r="P40" s="41"/>
      <c r="Q40" s="41"/>
    </row>
    <row r="41" spans="1:17" x14ac:dyDescent="0.2">
      <c r="A41" s="34" t="s">
        <v>92</v>
      </c>
      <c r="B41" s="34"/>
      <c r="C41" s="92">
        <v>-15278</v>
      </c>
      <c r="D41" s="92">
        <v>-15996</v>
      </c>
      <c r="E41" s="182">
        <v>0</v>
      </c>
      <c r="F41" s="182">
        <v>-6991</v>
      </c>
      <c r="G41" s="182">
        <v>0</v>
      </c>
      <c r="H41" s="185">
        <v>-9524</v>
      </c>
      <c r="I41" s="182">
        <v>0</v>
      </c>
      <c r="J41" s="182">
        <v>0</v>
      </c>
      <c r="K41" s="182">
        <v>0</v>
      </c>
      <c r="L41" s="182">
        <v>0</v>
      </c>
      <c r="M41" s="182">
        <v>0</v>
      </c>
      <c r="N41" s="34"/>
      <c r="O41" s="41"/>
      <c r="P41" s="41"/>
      <c r="Q41" s="41"/>
    </row>
    <row r="42" spans="1:17" x14ac:dyDescent="0.2">
      <c r="A42" s="36" t="s">
        <v>104</v>
      </c>
      <c r="B42" s="36"/>
      <c r="C42" s="92">
        <v>0</v>
      </c>
      <c r="D42" s="92">
        <v>-13217</v>
      </c>
      <c r="E42" s="92">
        <v>0</v>
      </c>
      <c r="F42" s="92">
        <v>0</v>
      </c>
      <c r="G42" s="92">
        <v>0</v>
      </c>
      <c r="H42" s="92">
        <v>0</v>
      </c>
      <c r="I42" s="92">
        <v>0</v>
      </c>
      <c r="J42" s="92">
        <v>0</v>
      </c>
      <c r="K42" s="92">
        <v>0</v>
      </c>
      <c r="L42" s="92">
        <v>0</v>
      </c>
      <c r="M42" s="92">
        <v>0</v>
      </c>
      <c r="N42" s="34"/>
      <c r="O42" s="41"/>
      <c r="P42" s="41"/>
      <c r="Q42" s="41"/>
    </row>
    <row r="43" spans="1:17" x14ac:dyDescent="0.2">
      <c r="A43" s="34" t="s">
        <v>93</v>
      </c>
      <c r="B43" s="34"/>
      <c r="C43" s="92">
        <v>-671459</v>
      </c>
      <c r="D43" s="92">
        <v>-620052</v>
      </c>
      <c r="E43" s="182">
        <v>-800095</v>
      </c>
      <c r="F43" s="182">
        <v>-1299613</v>
      </c>
      <c r="G43" s="182">
        <v>-990474</v>
      </c>
      <c r="H43" s="92">
        <v>-579712</v>
      </c>
      <c r="I43" s="91">
        <f>H43</f>
        <v>-579712</v>
      </c>
      <c r="J43" s="186">
        <v>0</v>
      </c>
      <c r="K43" s="186">
        <v>0</v>
      </c>
      <c r="L43" s="186">
        <v>0</v>
      </c>
      <c r="M43" s="186">
        <v>0</v>
      </c>
    </row>
    <row r="44" spans="1:17" x14ac:dyDescent="0.2">
      <c r="A44" s="34" t="s">
        <v>94</v>
      </c>
      <c r="B44" s="34"/>
      <c r="C44" s="182">
        <v>0</v>
      </c>
      <c r="D44" s="182">
        <v>0</v>
      </c>
      <c r="E44" s="182">
        <v>0</v>
      </c>
      <c r="F44" s="182">
        <v>-258328</v>
      </c>
      <c r="G44" s="182">
        <v>-281135</v>
      </c>
      <c r="H44" s="92">
        <v>-282931</v>
      </c>
      <c r="I44" s="92">
        <f>'Income Statement'!I39*-1</f>
        <v>-302352.73982491437</v>
      </c>
      <c r="J44" s="92">
        <f>'Income Statement'!J39*-1</f>
        <v>-317594.997977791</v>
      </c>
      <c r="K44" s="92">
        <f>'Income Statement'!K39*-1</f>
        <v>-332473.02475256298</v>
      </c>
      <c r="L44" s="92">
        <f>'Income Statement'!L39*-1</f>
        <v>-356510.44864297478</v>
      </c>
      <c r="M44" s="92">
        <f>'Income Statement'!M39*-1</f>
        <v>-374085.10602012213</v>
      </c>
      <c r="N44" s="34"/>
      <c r="O44" s="41"/>
      <c r="P44" s="41"/>
      <c r="Q44" s="41"/>
    </row>
    <row r="45" spans="1:17" x14ac:dyDescent="0.2">
      <c r="A45" s="34" t="s">
        <v>95</v>
      </c>
      <c r="B45" s="34"/>
      <c r="C45" s="92">
        <v>-71393</v>
      </c>
      <c r="D45" s="92">
        <v>-26341</v>
      </c>
      <c r="E45" s="182">
        <v>-2373</v>
      </c>
      <c r="F45" s="182">
        <v>6934</v>
      </c>
      <c r="G45" s="182">
        <v>11110</v>
      </c>
      <c r="H45" s="92">
        <v>8033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</row>
    <row r="46" spans="1:17" s="8" customFormat="1" x14ac:dyDescent="0.2">
      <c r="A46" s="183" t="s">
        <v>101</v>
      </c>
      <c r="B46" s="183"/>
      <c r="C46" s="87">
        <f t="shared" ref="C46:H46" si="2">SUM(C36:C45)</f>
        <v>-634585</v>
      </c>
      <c r="D46" s="87">
        <f t="shared" si="2"/>
        <v>-629320</v>
      </c>
      <c r="E46" s="87">
        <f t="shared" si="2"/>
        <v>-880935</v>
      </c>
      <c r="F46" s="87">
        <f t="shared" si="2"/>
        <v>-1310179</v>
      </c>
      <c r="G46" s="87">
        <f t="shared" si="2"/>
        <v>-1024137</v>
      </c>
      <c r="H46" s="87">
        <f t="shared" si="2"/>
        <v>-1077554</v>
      </c>
      <c r="I46" s="87">
        <f>SUM(I36:I45)</f>
        <v>-733409.73982491437</v>
      </c>
      <c r="J46" s="87">
        <f>SUM(J36:J45)</f>
        <v>-317594.997977791</v>
      </c>
      <c r="K46" s="87">
        <f>SUM(K36:K45)</f>
        <v>-332473.02475256298</v>
      </c>
      <c r="L46" s="87">
        <f>SUM(L36:L45)</f>
        <v>-356510.44864297478</v>
      </c>
      <c r="M46" s="87">
        <f>SUM(M36:M45)</f>
        <v>-374085.10602012213</v>
      </c>
      <c r="N46" s="100"/>
      <c r="O46" s="187"/>
      <c r="P46" s="187"/>
      <c r="Q46" s="187"/>
    </row>
    <row r="47" spans="1:17" x14ac:dyDescent="0.2">
      <c r="A47" s="34"/>
      <c r="B47" s="34"/>
      <c r="C47" s="173"/>
      <c r="D47" s="173"/>
      <c r="E47" s="66"/>
      <c r="F47" s="66"/>
      <c r="G47" s="66"/>
      <c r="H47" s="66"/>
      <c r="I47" s="66"/>
      <c r="J47" s="66"/>
      <c r="K47" s="66"/>
      <c r="L47" s="66"/>
      <c r="M47" s="66"/>
      <c r="N47" s="34"/>
      <c r="O47" s="41"/>
      <c r="P47" s="41"/>
      <c r="Q47" s="188"/>
    </row>
    <row r="48" spans="1:17" x14ac:dyDescent="0.2">
      <c r="A48" s="34" t="s">
        <v>102</v>
      </c>
      <c r="B48" s="34"/>
      <c r="C48" s="72">
        <f t="shared" ref="C48:M48" si="3">C25+C32+C46</f>
        <v>14683</v>
      </c>
      <c r="D48" s="72">
        <f t="shared" si="3"/>
        <v>364757</v>
      </c>
      <c r="E48" s="72">
        <f t="shared" si="3"/>
        <v>74257</v>
      </c>
      <c r="F48" s="72">
        <f t="shared" si="3"/>
        <v>-421876</v>
      </c>
      <c r="G48" s="72">
        <f t="shared" si="3"/>
        <v>29968</v>
      </c>
      <c r="H48" s="72">
        <f t="shared" si="3"/>
        <v>79526</v>
      </c>
      <c r="I48" s="72">
        <f t="shared" si="3"/>
        <v>10577.790205076104</v>
      </c>
      <c r="J48" s="72">
        <f t="shared" si="3"/>
        <v>1532465.1329688174</v>
      </c>
      <c r="K48" s="72">
        <f t="shared" si="3"/>
        <v>1635118.4324998455</v>
      </c>
      <c r="L48" s="72">
        <f t="shared" si="3"/>
        <v>1488369.1839794407</v>
      </c>
      <c r="M48" s="72">
        <f t="shared" si="3"/>
        <v>1891090.2775207444</v>
      </c>
      <c r="N48" s="34"/>
      <c r="O48" s="41"/>
      <c r="P48" s="41"/>
      <c r="Q48" s="41"/>
    </row>
    <row r="49" spans="1:17" x14ac:dyDescent="0.2">
      <c r="A49" s="34" t="s">
        <v>96</v>
      </c>
      <c r="B49" s="34"/>
      <c r="C49" s="66">
        <v>126126</v>
      </c>
      <c r="D49" s="66">
        <v>140809</v>
      </c>
      <c r="E49" s="173">
        <v>505566</v>
      </c>
      <c r="F49" s="173">
        <v>579823</v>
      </c>
      <c r="G49" s="173">
        <v>157947</v>
      </c>
      <c r="H49" s="66">
        <f t="shared" ref="H49:M49" si="4">G50</f>
        <v>187915</v>
      </c>
      <c r="I49" s="66">
        <f t="shared" si="4"/>
        <v>267441</v>
      </c>
      <c r="J49" s="66">
        <f t="shared" si="4"/>
        <v>278018.7902050761</v>
      </c>
      <c r="K49" s="66">
        <f t="shared" si="4"/>
        <v>1810483.9231738935</v>
      </c>
      <c r="L49" s="66">
        <f t="shared" si="4"/>
        <v>3445602.3556737388</v>
      </c>
      <c r="M49" s="66">
        <f t="shared" si="4"/>
        <v>4933971.5396531792</v>
      </c>
    </row>
    <row r="50" spans="1:17" x14ac:dyDescent="0.2">
      <c r="A50" s="34" t="s">
        <v>97</v>
      </c>
      <c r="B50" s="34"/>
      <c r="C50" s="173">
        <f t="shared" ref="C50:M50" si="5">C48+C49</f>
        <v>140809</v>
      </c>
      <c r="D50" s="173">
        <f t="shared" si="5"/>
        <v>505566</v>
      </c>
      <c r="E50" s="173">
        <f t="shared" si="5"/>
        <v>579823</v>
      </c>
      <c r="F50" s="173">
        <f t="shared" si="5"/>
        <v>157947</v>
      </c>
      <c r="G50" s="173">
        <f t="shared" si="5"/>
        <v>187915</v>
      </c>
      <c r="H50" s="173">
        <f t="shared" si="5"/>
        <v>267441</v>
      </c>
      <c r="I50" s="173">
        <f t="shared" si="5"/>
        <v>278018.7902050761</v>
      </c>
      <c r="J50" s="173">
        <f t="shared" si="5"/>
        <v>1810483.9231738935</v>
      </c>
      <c r="K50" s="173">
        <f t="shared" si="5"/>
        <v>3445602.3556737388</v>
      </c>
      <c r="L50" s="173">
        <f t="shared" si="5"/>
        <v>4933971.5396531792</v>
      </c>
      <c r="M50" s="173">
        <f t="shared" si="5"/>
        <v>6825061.8171739234</v>
      </c>
      <c r="N50" s="34"/>
      <c r="O50" s="41"/>
      <c r="P50" s="41"/>
      <c r="Q50" s="41"/>
    </row>
    <row r="51" spans="1:17" x14ac:dyDescent="0.2">
      <c r="A51" s="34"/>
      <c r="B51" s="34"/>
      <c r="C51" s="58"/>
      <c r="D51" s="58"/>
      <c r="N51" s="34"/>
      <c r="O51" s="64"/>
      <c r="P51" s="64"/>
      <c r="Q51" s="64"/>
    </row>
    <row r="52" spans="1:17" x14ac:dyDescent="0.2">
      <c r="C52" s="64"/>
      <c r="D52" s="64"/>
      <c r="E52" s="64"/>
      <c r="F52" s="64"/>
      <c r="G52" s="64"/>
      <c r="N52" s="34"/>
      <c r="O52" s="41"/>
      <c r="P52" s="41"/>
      <c r="Q52" s="41"/>
    </row>
    <row r="53" spans="1:17" x14ac:dyDescent="0.2">
      <c r="A53" s="34"/>
      <c r="B53" s="34"/>
      <c r="C53" s="64"/>
      <c r="D53" s="64"/>
      <c r="E53" s="64"/>
      <c r="F53" s="64"/>
      <c r="G53" s="64"/>
      <c r="N53" s="34"/>
      <c r="O53" s="41"/>
      <c r="P53" s="41"/>
      <c r="Q53" s="41"/>
    </row>
    <row r="54" spans="1:17" x14ac:dyDescent="0.2">
      <c r="A54" s="34"/>
      <c r="B54" s="34"/>
      <c r="C54" s="181"/>
      <c r="D54" s="181"/>
      <c r="E54" s="181"/>
      <c r="F54" s="181"/>
      <c r="G54" s="181"/>
      <c r="N54" s="34"/>
      <c r="O54" s="181"/>
      <c r="P54" s="181"/>
      <c r="Q54" s="181"/>
    </row>
    <row r="55" spans="1:17" x14ac:dyDescent="0.2">
      <c r="A55" s="34"/>
      <c r="B55" s="34"/>
      <c r="C55" s="181"/>
      <c r="D55" s="181"/>
      <c r="E55" s="181"/>
      <c r="F55" s="181"/>
      <c r="G55" s="181"/>
      <c r="N55" s="34"/>
      <c r="O55" s="64"/>
      <c r="P55" s="64"/>
      <c r="Q55" s="64"/>
    </row>
    <row r="56" spans="1:17" x14ac:dyDescent="0.2">
      <c r="A56" s="34"/>
      <c r="B56" s="34"/>
      <c r="C56" s="64"/>
      <c r="D56" s="64"/>
      <c r="E56" s="64"/>
      <c r="G56" s="64"/>
      <c r="N56" s="34"/>
      <c r="O56" s="64"/>
      <c r="P56" s="64"/>
      <c r="Q56" s="64"/>
    </row>
    <row r="57" spans="1:17" x14ac:dyDescent="0.2">
      <c r="A57" s="34"/>
      <c r="B57" s="34"/>
      <c r="C57" s="64"/>
      <c r="D57" s="64"/>
      <c r="E57" s="64"/>
      <c r="G57" s="64"/>
      <c r="N57" s="34"/>
      <c r="O57" s="181"/>
      <c r="P57" s="181"/>
      <c r="Q57" s="181"/>
    </row>
    <row r="58" spans="1:17" x14ac:dyDescent="0.2">
      <c r="A58" s="34"/>
      <c r="B58" s="34"/>
      <c r="C58" s="64"/>
      <c r="D58" s="64"/>
      <c r="E58" s="64"/>
      <c r="G58" s="64"/>
      <c r="N58" s="34"/>
      <c r="O58" s="181"/>
      <c r="P58" s="181"/>
      <c r="Q58" s="181"/>
    </row>
    <row r="59" spans="1:17" x14ac:dyDescent="0.2">
      <c r="A59" s="34"/>
      <c r="B59" s="34"/>
      <c r="C59" s="64"/>
      <c r="D59" s="64"/>
      <c r="E59" s="64"/>
      <c r="G59" s="64"/>
      <c r="N59" s="34"/>
      <c r="O59" s="64"/>
      <c r="P59" s="64"/>
      <c r="Q59" s="64"/>
    </row>
    <row r="60" spans="1:17" x14ac:dyDescent="0.2">
      <c r="A60" s="34"/>
      <c r="B60" s="34"/>
      <c r="C60" s="181"/>
      <c r="D60" s="181"/>
      <c r="E60" s="181"/>
      <c r="G60" s="181"/>
      <c r="N60" s="34"/>
      <c r="O60" s="64"/>
      <c r="P60" s="64"/>
      <c r="Q60" s="64"/>
    </row>
    <row r="61" spans="1:17" x14ac:dyDescent="0.2">
      <c r="N61" s="34"/>
      <c r="O61" s="64"/>
      <c r="P61" s="64"/>
      <c r="Q61" s="64"/>
    </row>
    <row r="62" spans="1:17" x14ac:dyDescent="0.2">
      <c r="N62" s="34"/>
      <c r="O62" s="64"/>
      <c r="P62" s="64"/>
      <c r="Q62" s="64"/>
    </row>
    <row r="63" spans="1:17" x14ac:dyDescent="0.2">
      <c r="N63" s="34"/>
      <c r="O63" s="181"/>
      <c r="P63" s="181"/>
      <c r="Q63" s="1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9"/>
  <sheetViews>
    <sheetView showGridLines="0" topLeftCell="A7" zoomScale="87" workbookViewId="0">
      <selection activeCell="F49" sqref="F49"/>
    </sheetView>
  </sheetViews>
  <sheetFormatPr baseColWidth="10" defaultRowHeight="16" x14ac:dyDescent="0.2"/>
  <cols>
    <col min="1" max="1" width="7" style="4" customWidth="1"/>
    <col min="2" max="2" width="20.1640625" style="4" customWidth="1"/>
    <col min="3" max="3" width="13" style="4" bestFit="1" customWidth="1"/>
    <col min="4" max="7" width="11.33203125" style="4" bestFit="1" customWidth="1"/>
    <col min="8" max="8" width="11.33203125" style="4" customWidth="1"/>
    <col min="9" max="9" width="13.33203125" style="4" bestFit="1" customWidth="1"/>
    <col min="10" max="10" width="17.5" style="4" customWidth="1"/>
    <col min="11" max="11" width="8.6640625" style="4" customWidth="1"/>
    <col min="12" max="16384" width="10.83203125" style="4"/>
  </cols>
  <sheetData>
    <row r="4" spans="2:17" ht="17" thickBot="1" x14ac:dyDescent="0.25">
      <c r="B4" s="226" t="s">
        <v>131</v>
      </c>
      <c r="C4" s="227"/>
    </row>
    <row r="5" spans="2:17" x14ac:dyDescent="0.2">
      <c r="B5" s="4" t="s">
        <v>132</v>
      </c>
      <c r="C5" s="4">
        <v>0.87</v>
      </c>
    </row>
    <row r="6" spans="2:17" x14ac:dyDescent="0.2">
      <c r="B6" s="4" t="s">
        <v>133</v>
      </c>
      <c r="C6" s="15">
        <v>0.13</v>
      </c>
    </row>
    <row r="7" spans="2:17" x14ac:dyDescent="0.2">
      <c r="B7" s="4" t="s">
        <v>134</v>
      </c>
      <c r="C7" s="1">
        <f>'Income Statement'!I28</f>
        <v>0.19</v>
      </c>
      <c r="L7" s="298" t="s">
        <v>147</v>
      </c>
      <c r="M7" s="299"/>
      <c r="N7" s="299"/>
      <c r="O7" s="299"/>
      <c r="P7" s="299"/>
      <c r="Q7" s="300"/>
    </row>
    <row r="8" spans="2:17" ht="17" thickBot="1" x14ac:dyDescent="0.25">
      <c r="B8" s="4" t="s">
        <v>135</v>
      </c>
      <c r="C8" s="228">
        <v>4.2799999999999998E-2</v>
      </c>
      <c r="L8" s="229" t="s">
        <v>148</v>
      </c>
      <c r="M8" s="297" t="s">
        <v>149</v>
      </c>
      <c r="N8" s="297"/>
      <c r="O8" s="297"/>
      <c r="P8" s="297"/>
      <c r="Q8" s="297"/>
    </row>
    <row r="9" spans="2:17" ht="17" thickTop="1" x14ac:dyDescent="0.2">
      <c r="B9" s="4" t="s">
        <v>136</v>
      </c>
      <c r="C9" s="15">
        <f>C8*(1-C7)</f>
        <v>3.4667999999999997E-2</v>
      </c>
      <c r="L9" s="230">
        <f>C47</f>
        <v>129.99424381149089</v>
      </c>
      <c r="M9" s="231">
        <v>0.02</v>
      </c>
      <c r="N9" s="228">
        <v>2.2499999999999999E-2</v>
      </c>
      <c r="O9" s="228">
        <v>2.5000000000000001E-2</v>
      </c>
      <c r="P9" s="228">
        <v>2.75E-2</v>
      </c>
      <c r="Q9" s="231">
        <v>0.03</v>
      </c>
    </row>
    <row r="10" spans="2:17" ht="17" thickBot="1" x14ac:dyDescent="0.25">
      <c r="B10" s="4" t="s">
        <v>137</v>
      </c>
      <c r="C10" s="231">
        <v>0</v>
      </c>
      <c r="L10" s="4">
        <v>0.6</v>
      </c>
      <c r="M10" s="232">
        <f t="dataTable" ref="M10:Q14" dt2D="1" dtr="1" r1="C18" r2="C19" ca="1"/>
        <v>156.02445814495789</v>
      </c>
      <c r="N10" s="233">
        <v>162.47040762102318</v>
      </c>
      <c r="O10" s="233">
        <v>169.866891257437</v>
      </c>
      <c r="P10" s="233">
        <v>178.44602059050109</v>
      </c>
      <c r="Q10" s="233">
        <v>188.52217621782827</v>
      </c>
    </row>
    <row r="11" spans="2:17" x14ac:dyDescent="0.2">
      <c r="B11" s="4" t="s">
        <v>138</v>
      </c>
      <c r="C11" s="228">
        <v>2.8899999999999999E-2</v>
      </c>
      <c r="E11" s="234"/>
      <c r="L11" s="4">
        <v>0.7</v>
      </c>
      <c r="M11" s="235">
        <v>137.57978880511581</v>
      </c>
      <c r="N11" s="236">
        <v>142.18190772653847</v>
      </c>
      <c r="O11" s="237">
        <v>147.37104788862152</v>
      </c>
      <c r="P11" s="238">
        <v>153.27088972956892</v>
      </c>
      <c r="Q11" s="239">
        <v>160.0424827042246</v>
      </c>
    </row>
    <row r="12" spans="2:17" x14ac:dyDescent="0.2">
      <c r="B12" s="4" t="s">
        <v>139</v>
      </c>
      <c r="C12" s="228">
        <v>4.9599999999999998E-2</v>
      </c>
      <c r="L12" s="4">
        <v>0.8</v>
      </c>
      <c r="M12" s="235">
        <v>122.89843467690872</v>
      </c>
      <c r="N12" s="240">
        <v>126.25829554145069</v>
      </c>
      <c r="O12" s="239">
        <v>129.99424381149089</v>
      </c>
      <c r="P12" s="241">
        <v>134.17595902431736</v>
      </c>
      <c r="Q12" s="239">
        <v>138.89146690032524</v>
      </c>
    </row>
    <row r="13" spans="2:17" ht="17" thickBot="1" x14ac:dyDescent="0.25">
      <c r="L13" s="4">
        <v>0.9</v>
      </c>
      <c r="M13" s="235">
        <v>110.93707991495474</v>
      </c>
      <c r="N13" s="242">
        <v>113.42950632006826</v>
      </c>
      <c r="O13" s="243">
        <v>116.16927752063636</v>
      </c>
      <c r="P13" s="244">
        <v>119.197287096925</v>
      </c>
      <c r="Q13" s="239">
        <v>122.5639689948009</v>
      </c>
    </row>
    <row r="14" spans="2:17" ht="17" thickBot="1" x14ac:dyDescent="0.25">
      <c r="B14" s="226" t="s">
        <v>140</v>
      </c>
      <c r="C14" s="227"/>
      <c r="L14" s="4">
        <v>1</v>
      </c>
      <c r="M14" s="235">
        <v>101.00533216364809</v>
      </c>
      <c r="N14" s="239">
        <v>102.87453852760321</v>
      </c>
      <c r="O14" s="239">
        <v>104.90932984871498</v>
      </c>
      <c r="P14" s="239">
        <v>107.13442173053792</v>
      </c>
      <c r="Q14" s="239">
        <v>109.57970613461686</v>
      </c>
    </row>
    <row r="15" spans="2:17" x14ac:dyDescent="0.2">
      <c r="B15" s="4" t="s">
        <v>134</v>
      </c>
      <c r="C15" s="245">
        <v>0.17</v>
      </c>
    </row>
    <row r="16" spans="2:17" x14ac:dyDescent="0.2">
      <c r="B16" s="4" t="s">
        <v>141</v>
      </c>
      <c r="C16" s="245">
        <v>0.12</v>
      </c>
    </row>
    <row r="17" spans="2:17" x14ac:dyDescent="0.2">
      <c r="B17" s="4" t="s">
        <v>135</v>
      </c>
      <c r="C17" s="16">
        <v>3.5000000000000003E-2</v>
      </c>
      <c r="L17" s="298" t="s">
        <v>150</v>
      </c>
      <c r="M17" s="299"/>
      <c r="N17" s="299"/>
      <c r="O17" s="299"/>
      <c r="P17" s="299"/>
      <c r="Q17" s="300"/>
    </row>
    <row r="18" spans="2:17" ht="17" thickBot="1" x14ac:dyDescent="0.25">
      <c r="B18" s="4" t="s">
        <v>142</v>
      </c>
      <c r="C18" s="16">
        <v>2.5000000000000001E-2</v>
      </c>
      <c r="L18" s="229" t="s">
        <v>141</v>
      </c>
      <c r="M18" s="297" t="s">
        <v>149</v>
      </c>
      <c r="N18" s="297"/>
      <c r="O18" s="297"/>
      <c r="P18" s="297"/>
      <c r="Q18" s="297"/>
    </row>
    <row r="19" spans="2:17" ht="17" thickTop="1" x14ac:dyDescent="0.2">
      <c r="B19" s="4" t="s">
        <v>132</v>
      </c>
      <c r="C19" s="91">
        <v>0.8</v>
      </c>
      <c r="L19" s="230">
        <f>C47</f>
        <v>129.99424381149089</v>
      </c>
      <c r="M19" s="228">
        <v>0.02</v>
      </c>
      <c r="N19" s="228">
        <v>2.2499999999999999E-2</v>
      </c>
      <c r="O19" s="228">
        <v>2.5000000000000001E-2</v>
      </c>
      <c r="P19" s="228">
        <v>2.75E-2</v>
      </c>
      <c r="Q19" s="228">
        <v>0.03</v>
      </c>
    </row>
    <row r="20" spans="2:17" ht="17" thickBot="1" x14ac:dyDescent="0.25">
      <c r="B20" s="4" t="s">
        <v>133</v>
      </c>
      <c r="C20" s="245">
        <v>0.1</v>
      </c>
      <c r="L20" s="231">
        <v>0.08</v>
      </c>
      <c r="M20" s="232">
        <f t="dataTable" ref="M20:Q24" dt2D="1" dtr="1" r1="C18" r2="C16"/>
        <v>112.10043310252384</v>
      </c>
      <c r="N20" s="233">
        <v>113.41138670202099</v>
      </c>
      <c r="O20" s="233">
        <v>114.85268790643418</v>
      </c>
      <c r="P20" s="233">
        <v>116.44848684858991</v>
      </c>
      <c r="Q20" s="233">
        <v>118.22929223911434</v>
      </c>
    </row>
    <row r="21" spans="2:17" x14ac:dyDescent="0.2">
      <c r="L21" s="231">
        <v>0.1</v>
      </c>
      <c r="M21" s="235">
        <v>118.57923404715477</v>
      </c>
      <c r="N21" s="236">
        <v>121.11953200567882</v>
      </c>
      <c r="O21" s="237">
        <v>123.93762144946821</v>
      </c>
      <c r="P21" s="238">
        <v>127.08497015402638</v>
      </c>
      <c r="Q21" s="239">
        <v>130.62659703584089</v>
      </c>
    </row>
    <row r="22" spans="2:17" x14ac:dyDescent="0.2">
      <c r="J22" s="246" t="s">
        <v>151</v>
      </c>
      <c r="L22" s="231">
        <v>0.12</v>
      </c>
      <c r="M22" s="235">
        <v>122.89843467690872</v>
      </c>
      <c r="N22" s="240">
        <v>126.25829554145069</v>
      </c>
      <c r="O22" s="239">
        <v>129.99424381149089</v>
      </c>
      <c r="P22" s="241">
        <v>134.17595902431736</v>
      </c>
      <c r="Q22" s="239">
        <v>138.89146690032524</v>
      </c>
    </row>
    <row r="23" spans="2:17" ht="17" thickBot="1" x14ac:dyDescent="0.25">
      <c r="C23" s="247">
        <v>2018</v>
      </c>
      <c r="D23" s="247">
        <v>2019</v>
      </c>
      <c r="E23" s="247">
        <v>2020</v>
      </c>
      <c r="F23" s="248">
        <v>2021</v>
      </c>
      <c r="G23" s="248">
        <v>2022</v>
      </c>
      <c r="I23" s="4" t="s">
        <v>152</v>
      </c>
      <c r="J23" s="249">
        <f>'Income Statement'!M19*(1+C18)</f>
        <v>2884009.1225172486</v>
      </c>
      <c r="L23" s="231">
        <v>0.14000000000000001</v>
      </c>
      <c r="M23" s="235">
        <v>125.98357798387586</v>
      </c>
      <c r="N23" s="242">
        <v>129.92884092414491</v>
      </c>
      <c r="O23" s="243">
        <v>134.32040264150709</v>
      </c>
      <c r="P23" s="244">
        <v>139.24095107452521</v>
      </c>
      <c r="Q23" s="239">
        <v>144.79494537495697</v>
      </c>
    </row>
    <row r="24" spans="2:17" x14ac:dyDescent="0.2">
      <c r="B24" s="4" t="s">
        <v>120</v>
      </c>
      <c r="C24" s="250">
        <f>'Income Statement'!I19*(1-'Income Statement'!I28)</f>
        <v>1857115.5283818494</v>
      </c>
      <c r="D24" s="250">
        <f>'Income Statement'!J19*(1-'Income Statement'!J28)</f>
        <v>1946775.8704575943</v>
      </c>
      <c r="E24" s="250">
        <f>'Income Statement'!K19*(1-'Income Statement'!K28)</f>
        <v>2034293.6750150765</v>
      </c>
      <c r="F24" s="250">
        <f>'Income Statement'!L19*(1-'Income Statement'!L28)</f>
        <v>2175690.2861351459</v>
      </c>
      <c r="G24" s="250">
        <f>'Income Statement'!M19*(1-'Income Statement'!M28)</f>
        <v>2279070.6236477774</v>
      </c>
      <c r="I24" s="4" t="s">
        <v>120</v>
      </c>
      <c r="J24" s="249">
        <f>J23*(1-C15)</f>
        <v>2393727.5716893161</v>
      </c>
      <c r="L24" s="231">
        <v>0.16</v>
      </c>
      <c r="M24" s="235">
        <v>128.29743546410117</v>
      </c>
      <c r="N24" s="239">
        <v>132.68174996116554</v>
      </c>
      <c r="O24" s="239">
        <v>137.56502176401924</v>
      </c>
      <c r="P24" s="239">
        <v>143.03969511218108</v>
      </c>
      <c r="Q24" s="239">
        <v>149.22255423093068</v>
      </c>
    </row>
    <row r="25" spans="2:17" x14ac:dyDescent="0.2">
      <c r="B25" s="4" t="s">
        <v>143</v>
      </c>
      <c r="C25" s="250">
        <f>'cash flow'!I11</f>
        <v>448536.31535833876</v>
      </c>
      <c r="D25" s="250">
        <f>'cash flow'!J11</f>
        <v>631917.02777497168</v>
      </c>
      <c r="E25" s="250">
        <f>'cash flow'!K11</f>
        <v>624958.9462634743</v>
      </c>
      <c r="F25" s="250">
        <f>'cash flow'!L11</f>
        <v>612578.14175842551</v>
      </c>
      <c r="G25" s="250">
        <f>'cash flow'!M11</f>
        <v>651994.99809516128</v>
      </c>
      <c r="I25" s="4" t="s">
        <v>153</v>
      </c>
      <c r="J25" s="249">
        <f>J24*(1-(C18/C16))</f>
        <v>1895034.3275873752</v>
      </c>
    </row>
    <row r="26" spans="2:17" x14ac:dyDescent="0.2">
      <c r="B26" s="4" t="s">
        <v>144</v>
      </c>
      <c r="C26" s="250">
        <f>'cash flow'!I29</f>
        <v>-1552935.2249593993</v>
      </c>
      <c r="D26" s="250">
        <f>'cash flow'!J29</f>
        <v>-590012.41559987003</v>
      </c>
      <c r="E26" s="250">
        <f>'cash flow'!K29</f>
        <v>-550396.32288193482</v>
      </c>
      <c r="F26" s="250">
        <f>'cash flow'!L29</f>
        <v>-849963.70202001906</v>
      </c>
      <c r="G26" s="250">
        <f>'cash flow'!M29</f>
        <v>-595850.11093839305</v>
      </c>
    </row>
    <row r="27" spans="2:17" ht="17" thickBot="1" x14ac:dyDescent="0.25">
      <c r="B27" s="251" t="s">
        <v>145</v>
      </c>
      <c r="C27" s="252">
        <f>SUM('cash flow'!I17:I18)+SUM('cash flow'!I19:I20)</f>
        <v>-306085.49356952688</v>
      </c>
      <c r="D27" s="252">
        <f>SUM('cash flow'!J17:J18)+SUM('cash flow'!J19:J20)</f>
        <v>-119158.22653959633</v>
      </c>
      <c r="E27" s="252">
        <f>SUM('cash flow'!K17:K18)+SUM('cash flow'!K19:K20)</f>
        <v>-120821.23082365945</v>
      </c>
      <c r="F27" s="252">
        <f>SUM('cash flow'!L17:L18)+SUM('cash flow'!L19:L20)</f>
        <v>-96150.926466336241</v>
      </c>
      <c r="G27" s="252">
        <f>SUM('cash flow'!M17:M18)+SUM('cash flow'!M19:M20)</f>
        <v>-56299.148594453407</v>
      </c>
      <c r="L27" s="298" t="s">
        <v>154</v>
      </c>
      <c r="M27" s="299"/>
      <c r="N27" s="299"/>
      <c r="O27" s="299"/>
      <c r="P27" s="299"/>
      <c r="Q27" s="300"/>
    </row>
    <row r="28" spans="2:17" ht="18" thickTop="1" thickBot="1" x14ac:dyDescent="0.25">
      <c r="B28" s="4" t="s">
        <v>146</v>
      </c>
      <c r="C28" s="253">
        <f>SUM(C24:C27)</f>
        <v>446631.12521126185</v>
      </c>
      <c r="D28" s="253">
        <f>SUM(D24:D27)</f>
        <v>1869522.2560930997</v>
      </c>
      <c r="E28" s="253">
        <f>SUM(E24:E27)</f>
        <v>1988035.0675729569</v>
      </c>
      <c r="F28" s="253">
        <f>SUM(F24:F27)</f>
        <v>1842153.7994072163</v>
      </c>
      <c r="G28" s="253">
        <f>SUM(G24:G27)</f>
        <v>2278916.3622100921</v>
      </c>
      <c r="I28" s="4" t="s">
        <v>155</v>
      </c>
      <c r="J28" s="254">
        <f>J25/(J36-C18)</f>
        <v>44090662.897213042</v>
      </c>
      <c r="L28" s="229" t="s">
        <v>148</v>
      </c>
      <c r="M28" s="297" t="s">
        <v>149</v>
      </c>
      <c r="N28" s="297"/>
      <c r="O28" s="297"/>
      <c r="P28" s="297"/>
      <c r="Q28" s="297"/>
    </row>
    <row r="29" spans="2:17" ht="17" thickTop="1" x14ac:dyDescent="0.2">
      <c r="L29" s="230">
        <f>C47</f>
        <v>129.99424381149089</v>
      </c>
      <c r="M29" s="234">
        <v>0.02</v>
      </c>
      <c r="N29" s="234">
        <v>2.2499999999999999E-2</v>
      </c>
      <c r="O29" s="234">
        <v>2.5000000000000001E-2</v>
      </c>
      <c r="P29" s="234">
        <v>2.75E-2</v>
      </c>
      <c r="Q29" s="234">
        <v>0.03</v>
      </c>
    </row>
    <row r="30" spans="2:17" ht="17" thickBot="1" x14ac:dyDescent="0.25">
      <c r="B30" s="79" t="s">
        <v>132</v>
      </c>
      <c r="C30" s="255">
        <f>C5</f>
        <v>0.87</v>
      </c>
      <c r="D30" s="255">
        <f>C30-(C30-$J30)/2</f>
        <v>0.83499999999999996</v>
      </c>
      <c r="E30" s="255">
        <f t="shared" ref="D30:G32" si="0">D30-(D30-$J30)/2</f>
        <v>0.8175</v>
      </c>
      <c r="F30" s="255">
        <f t="shared" si="0"/>
        <v>0.80875000000000008</v>
      </c>
      <c r="G30" s="255">
        <f t="shared" si="0"/>
        <v>0.80437500000000006</v>
      </c>
      <c r="H30" s="255"/>
      <c r="I30" s="255"/>
      <c r="J30" s="256">
        <f>C19</f>
        <v>0.8</v>
      </c>
      <c r="L30" s="257">
        <v>0.6</v>
      </c>
      <c r="M30" s="258">
        <f t="dataTable" ref="M30:Q34" dt2D="1" dtr="1" r1="C18" r2="C5" ca="1"/>
        <v>126.09470833693105</v>
      </c>
      <c r="N30" s="255">
        <v>129.53647785955459</v>
      </c>
      <c r="O30" s="255">
        <v>133.36350326695199</v>
      </c>
      <c r="P30" s="255">
        <v>137.6471627850253</v>
      </c>
      <c r="Q30" s="255">
        <v>142.47762807679194</v>
      </c>
    </row>
    <row r="31" spans="2:17" x14ac:dyDescent="0.2">
      <c r="B31" s="79" t="s">
        <v>133</v>
      </c>
      <c r="C31" s="259">
        <f>C6</f>
        <v>0.13</v>
      </c>
      <c r="D31" s="301">
        <f>C31-(C31-$J31)/2</f>
        <v>0.115</v>
      </c>
      <c r="E31" s="260">
        <f t="shared" si="0"/>
        <v>0.10750000000000001</v>
      </c>
      <c r="F31" s="260">
        <f t="shared" si="0"/>
        <v>0.10375000000000001</v>
      </c>
      <c r="G31" s="260">
        <f t="shared" si="0"/>
        <v>0.10187500000000001</v>
      </c>
      <c r="H31" s="259"/>
      <c r="I31" s="259"/>
      <c r="J31" s="261">
        <f>C20</f>
        <v>0.1</v>
      </c>
      <c r="L31" s="257">
        <v>0.8</v>
      </c>
      <c r="M31" s="262">
        <v>123.71717726376272</v>
      </c>
      <c r="N31" s="263">
        <v>127.09801735370243</v>
      </c>
      <c r="O31" s="264">
        <v>130.85729316734964</v>
      </c>
      <c r="P31" s="265">
        <v>135.06511932629434</v>
      </c>
      <c r="Q31" s="266">
        <v>139.81007119018852</v>
      </c>
    </row>
    <row r="32" spans="2:17" x14ac:dyDescent="0.2">
      <c r="B32" s="79" t="s">
        <v>135</v>
      </c>
      <c r="C32" s="267">
        <f>C8</f>
        <v>4.2799999999999998E-2</v>
      </c>
      <c r="D32" s="302">
        <f>C32-(C32-$J32)/2</f>
        <v>3.8900000000000004E-2</v>
      </c>
      <c r="E32" s="267">
        <f t="shared" si="0"/>
        <v>3.6950000000000004E-2</v>
      </c>
      <c r="F32" s="267">
        <f t="shared" si="0"/>
        <v>3.5975000000000007E-2</v>
      </c>
      <c r="G32" s="267">
        <f t="shared" si="0"/>
        <v>3.5487500000000005E-2</v>
      </c>
      <c r="H32" s="267"/>
      <c r="I32" s="267"/>
      <c r="J32" s="268">
        <f>C17</f>
        <v>3.5000000000000003E-2</v>
      </c>
      <c r="L32" s="257">
        <v>0.87</v>
      </c>
      <c r="M32" s="262">
        <v>122.89843467690872</v>
      </c>
      <c r="N32" s="269">
        <v>126.25829554145069</v>
      </c>
      <c r="O32" s="266">
        <v>129.99424381149089</v>
      </c>
      <c r="P32" s="270">
        <v>134.17595902431736</v>
      </c>
      <c r="Q32" s="266">
        <v>138.89146690032524</v>
      </c>
    </row>
    <row r="33" spans="2:17" ht="17" thickBot="1" x14ac:dyDescent="0.25">
      <c r="B33" s="79" t="s">
        <v>136</v>
      </c>
      <c r="C33" s="267">
        <f>C32*(1-'Income Statement'!I28)</f>
        <v>3.4667999999999997E-2</v>
      </c>
      <c r="D33" s="267">
        <f>D32*(1-'Income Statement'!J28)</f>
        <v>3.1509000000000002E-2</v>
      </c>
      <c r="E33" s="267">
        <f>E32*(1-'Income Statement'!K28)</f>
        <v>2.9929500000000005E-2</v>
      </c>
      <c r="F33" s="267">
        <f>F32*(1-'Income Statement'!L28)</f>
        <v>2.9139750000000006E-2</v>
      </c>
      <c r="G33" s="267">
        <f>G32*(1-'Income Statement'!M28)</f>
        <v>2.8744875000000007E-2</v>
      </c>
      <c r="H33" s="6"/>
      <c r="I33" s="6"/>
      <c r="J33" s="271">
        <f>J32*(1-C15)</f>
        <v>2.9050000000000003E-2</v>
      </c>
      <c r="L33" s="257">
        <v>0.95</v>
      </c>
      <c r="M33" s="262">
        <v>121.97107866439944</v>
      </c>
      <c r="N33" s="272">
        <v>125.30717901163693</v>
      </c>
      <c r="O33" s="273">
        <v>129.01670712111155</v>
      </c>
      <c r="P33" s="274">
        <v>133.16884976510769</v>
      </c>
      <c r="Q33" s="266">
        <v>137.85101015709625</v>
      </c>
    </row>
    <row r="34" spans="2:17" x14ac:dyDescent="0.2">
      <c r="B34" s="79" t="s">
        <v>156</v>
      </c>
      <c r="C34" s="275">
        <f>C30*(1+(1-'Income Statement'!H29)*C31)</f>
        <v>0.98132516933367087</v>
      </c>
      <c r="D34" s="275">
        <f>D30*(1+(1-'Income Statement'!J28)*D31)</f>
        <v>0.91278025000000007</v>
      </c>
      <c r="E34" s="275">
        <f>E30*(1+(1-'Income Statement'!K28)*E31)</f>
        <v>0.88868381250000006</v>
      </c>
      <c r="F34" s="275">
        <f>F30*(1+(1-'Income Statement'!L28)*F31)</f>
        <v>0.87671532812500008</v>
      </c>
      <c r="G34" s="275">
        <f>G30*(1+(1-'Income Statement'!M28)*G31)</f>
        <v>0.87075101953125</v>
      </c>
      <c r="H34" s="275"/>
      <c r="I34" s="275"/>
      <c r="J34" s="276">
        <f>J30*(1+(1-C15)*J31)</f>
        <v>0.86640000000000006</v>
      </c>
      <c r="L34" s="257">
        <v>1.05</v>
      </c>
      <c r="M34" s="262">
        <v>120.82424707619523</v>
      </c>
      <c r="N34" s="266">
        <v>124.13096620496998</v>
      </c>
      <c r="O34" s="266">
        <v>127.80782429722875</v>
      </c>
      <c r="P34" s="266">
        <v>131.92339879356331</v>
      </c>
      <c r="Q34" s="266">
        <v>136.56432314255676</v>
      </c>
    </row>
    <row r="35" spans="2:17" x14ac:dyDescent="0.2">
      <c r="B35" s="277" t="s">
        <v>157</v>
      </c>
      <c r="C35" s="278">
        <f>$C11+C34*$C12</f>
        <v>7.7573728398950076E-2</v>
      </c>
      <c r="D35" s="278">
        <f>$C11+D34*$C12</f>
        <v>7.4173900400000006E-2</v>
      </c>
      <c r="E35" s="278">
        <f t="shared" ref="D35:J35" si="1">$C11+E34*$C12</f>
        <v>7.2978717100000007E-2</v>
      </c>
      <c r="F35" s="278">
        <f t="shared" si="1"/>
        <v>7.2385080274999999E-2</v>
      </c>
      <c r="G35" s="278">
        <f t="shared" si="1"/>
        <v>7.2089250568749999E-2</v>
      </c>
      <c r="H35" s="278"/>
      <c r="I35" s="278"/>
      <c r="J35" s="279">
        <f>$C11+J34*$C12</f>
        <v>7.1873439999999997E-2</v>
      </c>
    </row>
    <row r="36" spans="2:17" x14ac:dyDescent="0.2">
      <c r="B36" s="280" t="s">
        <v>158</v>
      </c>
      <c r="C36" s="281">
        <f>(C33*C31+C35*(1))/(1+C31)</f>
        <v>7.2637671149513347E-2</v>
      </c>
      <c r="D36" s="281">
        <f>(D33*D31+D35*(1))/(1+D31)</f>
        <v>6.9773484663677138E-2</v>
      </c>
      <c r="E36" s="281">
        <f>(E33*E31+E35*(1))/(1+E31)</f>
        <v>6.8800124920993244E-2</v>
      </c>
      <c r="F36" s="281">
        <f>(F33*F31+F35*(1))/(1+F31)</f>
        <v>6.8320117180067946E-2</v>
      </c>
      <c r="G36" s="281">
        <f>(G33*G31+G35*(1))/(1+G31)</f>
        <v>6.8081801211003976E-2</v>
      </c>
      <c r="H36" s="281"/>
      <c r="I36" s="281"/>
      <c r="J36" s="282">
        <f>(J33*J31+J35*(1))/(1+J31)</f>
        <v>6.7980399999999996E-2</v>
      </c>
    </row>
    <row r="37" spans="2:17" x14ac:dyDescent="0.2">
      <c r="B37" s="280" t="s">
        <v>159</v>
      </c>
      <c r="C37" s="303">
        <f>1+C36</f>
        <v>1.0726376711495134</v>
      </c>
      <c r="D37" s="283">
        <f>C37*(1+D36)</f>
        <v>1.1474793392471463</v>
      </c>
      <c r="E37" s="283">
        <f t="shared" ref="E37:G37" si="2">D37*(1+E36)</f>
        <v>1.2264260611316089</v>
      </c>
      <c r="F37" s="283">
        <f t="shared" si="2"/>
        <v>1.3102156333408097</v>
      </c>
      <c r="G37" s="283">
        <f t="shared" si="2"/>
        <v>1.3994174736334686</v>
      </c>
      <c r="H37" s="283"/>
      <c r="I37" s="283"/>
      <c r="J37" s="284">
        <f>G37*(1+J36)</f>
        <v>1.4945504332580613</v>
      </c>
    </row>
    <row r="38" spans="2:17" x14ac:dyDescent="0.2">
      <c r="B38" s="280"/>
      <c r="C38" s="10"/>
      <c r="D38" s="10"/>
      <c r="E38" s="10"/>
      <c r="F38" s="10"/>
      <c r="G38" s="10"/>
      <c r="H38" s="10"/>
      <c r="I38" s="10"/>
      <c r="J38" s="285"/>
    </row>
    <row r="39" spans="2:17" x14ac:dyDescent="0.2">
      <c r="B39" s="280" t="s">
        <v>160</v>
      </c>
      <c r="C39" s="286">
        <f>C28/C37</f>
        <v>416385.8283409166</v>
      </c>
      <c r="D39" s="286">
        <f t="shared" ref="D39:J39" si="3">D28/D37</f>
        <v>1629242.629605585</v>
      </c>
      <c r="E39" s="286">
        <f t="shared" si="3"/>
        <v>1620998.7137248374</v>
      </c>
      <c r="F39" s="286">
        <f t="shared" si="3"/>
        <v>1405992.8400564583</v>
      </c>
      <c r="G39" s="286">
        <f t="shared" si="3"/>
        <v>1628474.9941653076</v>
      </c>
      <c r="H39" s="286"/>
      <c r="I39" s="286"/>
      <c r="J39" s="287">
        <f>J28/J37</f>
        <v>29500953.541659433</v>
      </c>
    </row>
    <row r="42" spans="2:17" x14ac:dyDescent="0.2">
      <c r="B42" s="79" t="s">
        <v>161</v>
      </c>
      <c r="C42" s="288">
        <f>SUM(C39:J39)</f>
        <v>36202048.547552541</v>
      </c>
    </row>
    <row r="43" spans="2:17" x14ac:dyDescent="0.2">
      <c r="B43" s="45" t="s">
        <v>162</v>
      </c>
      <c r="C43" s="126">
        <f>'Balance Sheet'!I36</f>
        <v>3154613</v>
      </c>
    </row>
    <row r="44" spans="2:17" x14ac:dyDescent="0.2">
      <c r="B44" s="45" t="s">
        <v>163</v>
      </c>
      <c r="C44" s="126">
        <f>'Balance Sheet'!I10</f>
        <v>278018.7902050761</v>
      </c>
    </row>
    <row r="45" spans="2:17" x14ac:dyDescent="0.2">
      <c r="B45" s="45" t="s">
        <v>164</v>
      </c>
      <c r="C45" s="129">
        <f>C42-C43+C44</f>
        <v>33325454.337757617</v>
      </c>
    </row>
    <row r="46" spans="2:17" x14ac:dyDescent="0.2">
      <c r="B46" s="45" t="s">
        <v>165</v>
      </c>
      <c r="C46" s="289">
        <f>'Income Statement'!I35</f>
        <v>256361000</v>
      </c>
    </row>
    <row r="47" spans="2:17" x14ac:dyDescent="0.2">
      <c r="B47" s="45" t="s">
        <v>166</v>
      </c>
      <c r="C47" s="290">
        <f>C45*1000/C46</f>
        <v>129.99424381149089</v>
      </c>
    </row>
    <row r="48" spans="2:17" x14ac:dyDescent="0.2">
      <c r="B48" s="45" t="s">
        <v>167</v>
      </c>
      <c r="C48" s="132">
        <v>96.34</v>
      </c>
    </row>
    <row r="49" spans="2:3" x14ac:dyDescent="0.2">
      <c r="B49" s="280" t="s">
        <v>168</v>
      </c>
      <c r="C49" s="291">
        <f>C47/C48-1</f>
        <v>0.34932783694717551</v>
      </c>
    </row>
  </sheetData>
  <mergeCells count="6">
    <mergeCell ref="M28:Q28"/>
    <mergeCell ref="L7:Q7"/>
    <mergeCell ref="M8:Q8"/>
    <mergeCell ref="L17:Q17"/>
    <mergeCell ref="M18:Q18"/>
    <mergeCell ref="L27:Q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zoomScale="99" workbookViewId="0">
      <selection activeCell="G38" sqref="G38"/>
    </sheetView>
  </sheetViews>
  <sheetFormatPr baseColWidth="10" defaultRowHeight="16" x14ac:dyDescent="0.2"/>
  <cols>
    <col min="1" max="1" width="24.83203125" style="4" bestFit="1" customWidth="1"/>
    <col min="2" max="2" width="10.83203125" style="4"/>
    <col min="3" max="3" width="14.1640625" style="4" bestFit="1" customWidth="1"/>
    <col min="4" max="7" width="14" style="4" bestFit="1" customWidth="1"/>
    <col min="8" max="16384" width="10.83203125" style="4"/>
  </cols>
  <sheetData>
    <row r="1" spans="1:7" x14ac:dyDescent="0.2">
      <c r="A1" s="32" t="s">
        <v>19</v>
      </c>
    </row>
    <row r="2" spans="1:7" x14ac:dyDescent="0.2">
      <c r="A2" s="33"/>
    </row>
    <row r="3" spans="1:7" x14ac:dyDescent="0.2">
      <c r="A3" s="5" t="s">
        <v>114</v>
      </c>
    </row>
    <row r="4" spans="1:7" x14ac:dyDescent="0.2">
      <c r="A4" s="7"/>
    </row>
    <row r="5" spans="1:7" x14ac:dyDescent="0.2">
      <c r="A5" s="9" t="s">
        <v>169</v>
      </c>
    </row>
    <row r="8" spans="1:7" x14ac:dyDescent="0.2">
      <c r="A8" s="4" t="s">
        <v>189</v>
      </c>
      <c r="C8" s="12" t="s">
        <v>10</v>
      </c>
      <c r="D8" s="12" t="s">
        <v>11</v>
      </c>
      <c r="E8" s="12" t="s">
        <v>12</v>
      </c>
      <c r="F8" s="12" t="s">
        <v>13</v>
      </c>
      <c r="G8" s="12" t="s">
        <v>14</v>
      </c>
    </row>
    <row r="9" spans="1:7" x14ac:dyDescent="0.2">
      <c r="A9" s="4" t="s">
        <v>191</v>
      </c>
      <c r="C9" s="154">
        <f>C10/C11</f>
        <v>17.350157728706623</v>
      </c>
      <c r="D9" s="154">
        <f>D10/D11</f>
        <v>17.421203438395413</v>
      </c>
      <c r="E9" s="154">
        <f>E10/E11</f>
        <v>18.443037974683541</v>
      </c>
      <c r="F9" s="154">
        <f>F10/F11</f>
        <v>18.054176072234764</v>
      </c>
      <c r="G9" s="154">
        <f>G10/G11</f>
        <v>14.031971580817052</v>
      </c>
    </row>
    <row r="10" spans="1:7" x14ac:dyDescent="0.2">
      <c r="A10" s="4" t="s">
        <v>184</v>
      </c>
      <c r="C10" s="4">
        <v>55</v>
      </c>
      <c r="D10" s="4">
        <v>60.8</v>
      </c>
      <c r="E10" s="4">
        <v>72.849999999999994</v>
      </c>
      <c r="F10" s="4">
        <v>79.98</v>
      </c>
      <c r="G10" s="4">
        <v>79</v>
      </c>
    </row>
    <row r="11" spans="1:7" x14ac:dyDescent="0.2">
      <c r="A11" s="4" t="s">
        <v>38</v>
      </c>
      <c r="C11" s="4">
        <v>3.17</v>
      </c>
      <c r="D11" s="4">
        <v>3.49</v>
      </c>
      <c r="E11" s="4">
        <v>3.95</v>
      </c>
      <c r="F11" s="4">
        <v>4.43</v>
      </c>
      <c r="G11" s="4">
        <v>5.63</v>
      </c>
    </row>
    <row r="13" spans="1:7" x14ac:dyDescent="0.2">
      <c r="A13" s="4" t="s">
        <v>190</v>
      </c>
      <c r="C13" s="12" t="s">
        <v>10</v>
      </c>
      <c r="D13" s="12" t="s">
        <v>11</v>
      </c>
      <c r="E13" s="12" t="s">
        <v>12</v>
      </c>
      <c r="F13" s="12" t="s">
        <v>13</v>
      </c>
      <c r="G13" s="12" t="s">
        <v>14</v>
      </c>
    </row>
    <row r="14" spans="1:7" x14ac:dyDescent="0.2">
      <c r="A14" s="45" t="s">
        <v>182</v>
      </c>
      <c r="C14" s="257">
        <f>C15/C16</f>
        <v>10.277444391163867</v>
      </c>
      <c r="D14" s="257">
        <f>D15/D16</f>
        <v>10.027040215135461</v>
      </c>
      <c r="E14" s="257">
        <f t="shared" ref="E14:G14" si="0">E15/E16</f>
        <v>11.517570589065503</v>
      </c>
      <c r="F14" s="257">
        <f t="shared" si="0"/>
        <v>11.165249116226326</v>
      </c>
      <c r="G14" s="257">
        <f t="shared" si="0"/>
        <v>9.9394469955553379</v>
      </c>
    </row>
    <row r="15" spans="1:7" x14ac:dyDescent="0.2">
      <c r="A15" s="4" t="s">
        <v>192</v>
      </c>
      <c r="C15" s="92">
        <f>(C10*'Income Statement'!D35)/1000+('Balance Sheet'!D36+'Balance Sheet'!D29)-'Balance Sheet'!D10</f>
        <v>20125158</v>
      </c>
      <c r="D15" s="92">
        <f>(D10*'Income Statement'!E35)/1000+('Balance Sheet'!E36+'Balance Sheet'!E29)-'Balance Sheet'!E10</f>
        <v>20746166.800000001</v>
      </c>
      <c r="E15" s="92">
        <f>(E10*'Income Statement'!F35)/1000+('Balance Sheet'!F36+'Balance Sheet'!F29)-'Balance Sheet'!F10</f>
        <v>24318728.350000001</v>
      </c>
      <c r="F15" s="92">
        <f>(F10*'Income Statement'!G35)/1000+('Balance Sheet'!G36+'Balance Sheet'!G29)-'Balance Sheet'!G10</f>
        <v>25598845.780000001</v>
      </c>
      <c r="G15" s="92">
        <f>(G10*'Income Statement'!H35)/1000+('Balance Sheet'!H36+'Balance Sheet'!H29)-'Balance Sheet'!H10</f>
        <v>24285846</v>
      </c>
    </row>
    <row r="16" spans="1:7" x14ac:dyDescent="0.2">
      <c r="A16" s="4" t="s">
        <v>193</v>
      </c>
      <c r="C16" s="13">
        <f>'Income Statement'!C19+'Balance Sheet'!C65</f>
        <v>1958187</v>
      </c>
      <c r="D16" s="13">
        <f>'Income Statement'!D19+'Balance Sheet'!D65</f>
        <v>2069022</v>
      </c>
      <c r="E16" s="13">
        <f>'Income Statement'!E19+'Balance Sheet'!E65</f>
        <v>2111446</v>
      </c>
      <c r="F16" s="13">
        <f>'Income Statement'!F19+'Balance Sheet'!F65</f>
        <v>2292725</v>
      </c>
      <c r="G16" s="13">
        <f>'Income Statement'!G19+'Balance Sheet'!G65</f>
        <v>2443380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9"/>
  <sheetViews>
    <sheetView showGridLines="0" topLeftCell="A5" workbookViewId="0">
      <selection activeCell="N36" sqref="N36"/>
    </sheetView>
  </sheetViews>
  <sheetFormatPr baseColWidth="10" defaultRowHeight="16" x14ac:dyDescent="0.2"/>
  <cols>
    <col min="1" max="4" width="10.83203125" style="4"/>
    <col min="5" max="5" width="11.5" style="4" bestFit="1" customWidth="1"/>
    <col min="6" max="16384" width="10.83203125" style="4"/>
  </cols>
  <sheetData>
    <row r="3" spans="3:14" x14ac:dyDescent="0.2">
      <c r="D3" s="93" t="s">
        <v>170</v>
      </c>
    </row>
    <row r="4" spans="3:14" x14ac:dyDescent="0.2">
      <c r="C4" s="4" t="s">
        <v>206</v>
      </c>
    </row>
    <row r="5" spans="3:14" ht="17" thickBot="1" x14ac:dyDescent="0.25">
      <c r="C5" s="94"/>
      <c r="D5" s="227"/>
      <c r="E5" s="227"/>
      <c r="F5" s="227"/>
      <c r="G5" s="227"/>
      <c r="H5" s="227"/>
      <c r="I5" s="227"/>
      <c r="J5" s="227"/>
      <c r="K5" s="227"/>
      <c r="L5" s="227"/>
    </row>
    <row r="7" spans="3:14" x14ac:dyDescent="0.2">
      <c r="C7" s="220" t="s">
        <v>171</v>
      </c>
      <c r="D7" s="221"/>
      <c r="E7" s="222"/>
      <c r="F7" s="34"/>
      <c r="G7" s="220" t="s">
        <v>172</v>
      </c>
      <c r="H7" s="223"/>
      <c r="I7" s="223"/>
      <c r="J7" s="221"/>
      <c r="K7" s="221"/>
      <c r="L7" s="221"/>
    </row>
    <row r="8" spans="3:14" x14ac:dyDescent="0.2">
      <c r="C8" s="95" t="s">
        <v>205</v>
      </c>
      <c r="D8" s="96"/>
      <c r="E8" s="97">
        <f>'Income Statement'!I31</f>
        <v>1778545.5283818492</v>
      </c>
      <c r="F8" s="34"/>
      <c r="G8" s="98" t="s">
        <v>171</v>
      </c>
      <c r="H8" s="98"/>
      <c r="I8" s="98"/>
      <c r="J8" s="98" t="s">
        <v>173</v>
      </c>
      <c r="K8" s="98"/>
      <c r="L8" s="98"/>
    </row>
    <row r="9" spans="3:14" x14ac:dyDescent="0.2">
      <c r="C9" s="99" t="s">
        <v>174</v>
      </c>
      <c r="D9" s="100"/>
      <c r="E9" s="101">
        <v>15</v>
      </c>
      <c r="F9" s="34"/>
      <c r="G9" s="102">
        <f>E14</f>
        <v>97.811494460983596</v>
      </c>
      <c r="H9" s="103">
        <v>1600000</v>
      </c>
      <c r="I9" s="103">
        <v>1700000</v>
      </c>
      <c r="J9" s="103">
        <v>1778546</v>
      </c>
      <c r="K9" s="103">
        <v>1850000</v>
      </c>
      <c r="L9" s="103">
        <v>1950000</v>
      </c>
    </row>
    <row r="10" spans="3:14" x14ac:dyDescent="0.2">
      <c r="C10" s="99" t="s">
        <v>175</v>
      </c>
      <c r="D10" s="100"/>
      <c r="E10" s="104">
        <f>'Income Statement'!H35</f>
        <v>272751000</v>
      </c>
      <c r="F10" s="34"/>
      <c r="G10" s="34">
        <v>13</v>
      </c>
      <c r="H10" s="105">
        <f t="dataTable" ref="H10:L14" dt2D="1" dtr="1" r1="E8" r2="E9"/>
        <v>76.260032043878851</v>
      </c>
      <c r="I10" s="106">
        <v>81.026284046621271</v>
      </c>
      <c r="J10" s="106">
        <v>84.769984344695345</v>
      </c>
      <c r="K10" s="106">
        <v>88.175662050734914</v>
      </c>
      <c r="L10" s="106">
        <v>92.941914053477348</v>
      </c>
    </row>
    <row r="11" spans="3:14" x14ac:dyDescent="0.2">
      <c r="C11" s="99" t="s">
        <v>176</v>
      </c>
      <c r="D11" s="100"/>
      <c r="E11" s="107">
        <f>E8*E9</f>
        <v>26678182.925727736</v>
      </c>
      <c r="F11" s="34"/>
      <c r="G11" s="34">
        <v>14</v>
      </c>
      <c r="H11" s="108">
        <v>82.12618835494645</v>
      </c>
      <c r="I11" s="109">
        <v>87.2590751271306</v>
      </c>
      <c r="J11" s="106">
        <v>91.290752371210374</v>
      </c>
      <c r="K11" s="110">
        <v>94.95840528540684</v>
      </c>
      <c r="L11" s="111">
        <v>100.09129205759099</v>
      </c>
      <c r="N11" s="4" t="s">
        <v>216</v>
      </c>
    </row>
    <row r="12" spans="3:14" x14ac:dyDescent="0.2">
      <c r="C12" s="99" t="s">
        <v>167</v>
      </c>
      <c r="D12" s="100"/>
      <c r="E12" s="112">
        <v>96.34</v>
      </c>
      <c r="F12" s="34"/>
      <c r="G12" s="34">
        <v>15</v>
      </c>
      <c r="H12" s="113">
        <v>87.992344666014063</v>
      </c>
      <c r="I12" s="113">
        <v>93.49186620763993</v>
      </c>
      <c r="J12" s="114">
        <v>97.811520397725403</v>
      </c>
      <c r="K12" s="115">
        <v>101.74114852007875</v>
      </c>
      <c r="L12" s="111">
        <v>107.24067006170463</v>
      </c>
    </row>
    <row r="13" spans="3:14" x14ac:dyDescent="0.2">
      <c r="C13" s="99"/>
      <c r="D13" s="100"/>
      <c r="E13" s="116"/>
      <c r="F13" s="34"/>
      <c r="G13" s="34">
        <v>16</v>
      </c>
      <c r="H13" s="113">
        <v>93.858500977081661</v>
      </c>
      <c r="I13" s="117">
        <v>99.72465728814926</v>
      </c>
      <c r="J13" s="118">
        <v>104.33228842424043</v>
      </c>
      <c r="K13" s="119">
        <v>108.52389175475066</v>
      </c>
      <c r="L13" s="111">
        <v>114.39004806581828</v>
      </c>
    </row>
    <row r="14" spans="3:14" x14ac:dyDescent="0.2">
      <c r="C14" s="99" t="s">
        <v>177</v>
      </c>
      <c r="D14" s="100"/>
      <c r="E14" s="120">
        <f>E11*1000/E10</f>
        <v>97.811494460983596</v>
      </c>
      <c r="F14" s="34"/>
      <c r="G14" s="121">
        <v>17</v>
      </c>
      <c r="H14" s="113">
        <v>99.72465728814926</v>
      </c>
      <c r="I14" s="111">
        <v>105.95744836865859</v>
      </c>
      <c r="J14" s="111">
        <v>110.85305645075545</v>
      </c>
      <c r="K14" s="111">
        <v>115.30663498942259</v>
      </c>
      <c r="L14" s="111">
        <v>121.53942606993192</v>
      </c>
    </row>
    <row r="15" spans="3:14" x14ac:dyDescent="0.2">
      <c r="C15" s="122" t="s">
        <v>178</v>
      </c>
      <c r="D15" s="123"/>
      <c r="E15" s="124">
        <f>(E14-E12)/E12</f>
        <v>1.5273971984467432E-2</v>
      </c>
      <c r="F15" s="34"/>
      <c r="G15" s="34"/>
      <c r="H15" s="34"/>
      <c r="I15" s="34"/>
      <c r="J15" s="34"/>
      <c r="K15" s="34"/>
      <c r="L15" s="34"/>
    </row>
    <row r="18" spans="3:14" x14ac:dyDescent="0.2">
      <c r="C18" s="224" t="s">
        <v>179</v>
      </c>
      <c r="D18" s="292"/>
      <c r="E18" s="293"/>
      <c r="G18" s="220" t="s">
        <v>180</v>
      </c>
      <c r="H18" s="223"/>
      <c r="I18" s="223"/>
      <c r="J18" s="221"/>
      <c r="K18" s="221"/>
      <c r="L18" s="221"/>
    </row>
    <row r="19" spans="3:14" x14ac:dyDescent="0.2">
      <c r="C19" s="79" t="s">
        <v>207</v>
      </c>
      <c r="D19" s="6"/>
      <c r="E19" s="225">
        <f>'Income Statement'!I19+'cash flow'!I11</f>
        <v>2741271.5355828442</v>
      </c>
      <c r="G19" s="98" t="s">
        <v>179</v>
      </c>
      <c r="H19" s="98"/>
      <c r="I19" s="98"/>
      <c r="J19" s="98" t="s">
        <v>181</v>
      </c>
      <c r="K19" s="98"/>
      <c r="L19" s="98"/>
    </row>
    <row r="20" spans="3:14" x14ac:dyDescent="0.2">
      <c r="C20" s="45" t="s">
        <v>182</v>
      </c>
      <c r="D20" s="8"/>
      <c r="E20" s="125">
        <v>10</v>
      </c>
      <c r="G20" s="102">
        <f>E28</f>
        <v>95.459403940628235</v>
      </c>
      <c r="H20" s="103">
        <v>2550000</v>
      </c>
      <c r="I20" s="103">
        <v>2650000</v>
      </c>
      <c r="J20" s="103">
        <v>2741272</v>
      </c>
      <c r="K20" s="103">
        <v>2850000</v>
      </c>
      <c r="L20" s="103">
        <v>2950000</v>
      </c>
    </row>
    <row r="21" spans="3:14" x14ac:dyDescent="0.2">
      <c r="C21" s="45" t="s">
        <v>175</v>
      </c>
      <c r="D21" s="8"/>
      <c r="E21" s="126">
        <f>E10</f>
        <v>272751000</v>
      </c>
      <c r="G21" s="34">
        <v>8</v>
      </c>
      <c r="H21" s="105">
        <f t="dataTable" ref="H21:L25" dt2D="1" dtr="1" r1="E19" r2="E20"/>
        <v>69.748351164182168</v>
      </c>
      <c r="I21" s="127">
        <v>72.681429319715974</v>
      </c>
      <c r="J21" s="106">
        <v>75.358508413834784</v>
      </c>
      <c r="K21" s="106">
        <v>78.547585630783573</v>
      </c>
      <c r="L21" s="106">
        <v>81.480663786317379</v>
      </c>
    </row>
    <row r="22" spans="3:14" x14ac:dyDescent="0.2">
      <c r="C22" s="45" t="s">
        <v>183</v>
      </c>
      <c r="D22" s="8"/>
      <c r="E22" s="128">
        <f>E19*E20</f>
        <v>27412715.355828442</v>
      </c>
      <c r="G22" s="34">
        <v>9</v>
      </c>
      <c r="H22" s="113">
        <v>79.097537784946169</v>
      </c>
      <c r="I22" s="109">
        <v>82.397250709921693</v>
      </c>
      <c r="J22" s="106">
        <v>85.408964690805348</v>
      </c>
      <c r="K22" s="110">
        <v>88.996676559872739</v>
      </c>
      <c r="L22" s="111">
        <v>92.296389484848277</v>
      </c>
      <c r="N22" s="4" t="s">
        <v>217</v>
      </c>
    </row>
    <row r="23" spans="3:14" x14ac:dyDescent="0.2">
      <c r="C23" s="46" t="s">
        <v>163</v>
      </c>
      <c r="D23" s="8"/>
      <c r="E23" s="126">
        <f>'cash flow'!I10</f>
        <v>1778545.5283818492</v>
      </c>
      <c r="G23" s="34">
        <v>10</v>
      </c>
      <c r="H23" s="113">
        <v>88.446724405710157</v>
      </c>
      <c r="I23" s="113">
        <v>92.113072100127411</v>
      </c>
      <c r="J23" s="114">
        <v>95.459420967775927</v>
      </c>
      <c r="K23" s="115">
        <v>99.44576748896192</v>
      </c>
      <c r="L23" s="111">
        <v>103.11211518337916</v>
      </c>
    </row>
    <row r="24" spans="3:14" x14ac:dyDescent="0.2">
      <c r="C24" s="46" t="s">
        <v>162</v>
      </c>
      <c r="D24" s="8"/>
      <c r="E24" s="126">
        <f>'Balance Sheet'!I36</f>
        <v>3154613</v>
      </c>
      <c r="G24" s="34">
        <v>11</v>
      </c>
      <c r="H24" s="113">
        <v>97.795911026474158</v>
      </c>
      <c r="I24" s="117">
        <v>101.82889349033313</v>
      </c>
      <c r="J24" s="118">
        <v>105.50987724474649</v>
      </c>
      <c r="K24" s="119">
        <v>109.89485841805109</v>
      </c>
      <c r="L24" s="111">
        <v>113.92784088191004</v>
      </c>
    </row>
    <row r="25" spans="3:14" x14ac:dyDescent="0.2">
      <c r="C25" s="46" t="s">
        <v>176</v>
      </c>
      <c r="D25" s="8"/>
      <c r="E25" s="129">
        <f>E22+E23-E24</f>
        <v>26036647.884210292</v>
      </c>
      <c r="G25" s="130">
        <v>12</v>
      </c>
      <c r="H25" s="113">
        <v>107.14509764723815</v>
      </c>
      <c r="I25" s="111">
        <v>111.54471488053883</v>
      </c>
      <c r="J25" s="111">
        <v>115.56033352171706</v>
      </c>
      <c r="K25" s="111">
        <v>120.34394934714024</v>
      </c>
      <c r="L25" s="111">
        <v>124.74356658044094</v>
      </c>
    </row>
    <row r="26" spans="3:14" x14ac:dyDescent="0.2">
      <c r="C26" s="46" t="s">
        <v>167</v>
      </c>
      <c r="D26" s="8"/>
      <c r="E26" s="131">
        <f>E12</f>
        <v>96.34</v>
      </c>
    </row>
    <row r="27" spans="3:14" x14ac:dyDescent="0.2">
      <c r="C27" s="45"/>
      <c r="D27" s="8"/>
      <c r="E27" s="132"/>
      <c r="G27" s="294"/>
    </row>
    <row r="28" spans="3:14" x14ac:dyDescent="0.2">
      <c r="C28" s="46" t="s">
        <v>177</v>
      </c>
      <c r="D28" s="8"/>
      <c r="E28" s="133">
        <f>E25*1000/E21</f>
        <v>95.459403940628235</v>
      </c>
    </row>
    <row r="29" spans="3:14" x14ac:dyDescent="0.2">
      <c r="C29" s="47" t="s">
        <v>178</v>
      </c>
      <c r="D29" s="10"/>
      <c r="E29" s="134">
        <f>(E28-E26)/E26</f>
        <v>-9.1405030036513235E-3</v>
      </c>
    </row>
    <row r="31" spans="3:14" x14ac:dyDescent="0.2">
      <c r="C31" s="220" t="s">
        <v>197</v>
      </c>
      <c r="D31" s="221"/>
      <c r="E31" s="222"/>
      <c r="G31" s="220" t="s">
        <v>172</v>
      </c>
      <c r="H31" s="223"/>
      <c r="I31" s="223"/>
      <c r="J31" s="221"/>
      <c r="K31" s="221"/>
      <c r="L31" s="221"/>
    </row>
    <row r="32" spans="3:14" x14ac:dyDescent="0.2">
      <c r="C32" s="95" t="s">
        <v>208</v>
      </c>
      <c r="D32" s="96"/>
      <c r="E32" s="97">
        <f>'Income Statement'!I8</f>
        <v>25043137.442629695</v>
      </c>
      <c r="G32" s="98" t="s">
        <v>171</v>
      </c>
      <c r="H32" s="98"/>
      <c r="I32" s="98"/>
      <c r="J32" s="98" t="s">
        <v>22</v>
      </c>
      <c r="K32" s="98"/>
      <c r="L32" s="98"/>
    </row>
    <row r="33" spans="3:14" x14ac:dyDescent="0.2">
      <c r="C33" s="99" t="s">
        <v>209</v>
      </c>
      <c r="D33" s="100"/>
      <c r="E33" s="101">
        <v>1</v>
      </c>
      <c r="G33" s="102">
        <f>E38</f>
        <v>91.816849223759746</v>
      </c>
      <c r="H33" s="103">
        <v>23000000</v>
      </c>
      <c r="I33" s="103">
        <v>24000000</v>
      </c>
      <c r="J33" s="103">
        <v>25043137</v>
      </c>
      <c r="K33" s="103">
        <v>26000000</v>
      </c>
      <c r="L33" s="103">
        <v>27000000</v>
      </c>
    </row>
    <row r="34" spans="3:14" x14ac:dyDescent="0.2">
      <c r="C34" s="99" t="s">
        <v>175</v>
      </c>
      <c r="D34" s="100"/>
      <c r="E34" s="104">
        <f>E21</f>
        <v>272751000</v>
      </c>
      <c r="G34" s="34">
        <v>0.8</v>
      </c>
      <c r="H34" s="105">
        <f t="dataTable" ref="H34:L38" dt2D="1" dtr="1" r1="E32" r2="E33"/>
        <v>67.460797577277447</v>
      </c>
      <c r="I34" s="106">
        <v>70.393875732811239</v>
      </c>
      <c r="J34" s="106">
        <v>73.453478080740311</v>
      </c>
      <c r="K34" s="106">
        <v>76.260032043878851</v>
      </c>
      <c r="L34" s="106">
        <v>79.193110199412658</v>
      </c>
    </row>
    <row r="35" spans="3:14" x14ac:dyDescent="0.2">
      <c r="C35" s="99" t="s">
        <v>176</v>
      </c>
      <c r="D35" s="100"/>
      <c r="E35" s="107">
        <f>E32*E33</f>
        <v>25043137.442629695</v>
      </c>
      <c r="G35" s="34">
        <v>0.9</v>
      </c>
      <c r="H35" s="108">
        <v>75.89339727443712</v>
      </c>
      <c r="I35" s="109">
        <v>79.193110199412658</v>
      </c>
      <c r="J35" s="106">
        <v>82.635162840832848</v>
      </c>
      <c r="K35" s="110">
        <v>85.792536049363704</v>
      </c>
      <c r="L35" s="111">
        <v>89.092248974339228</v>
      </c>
      <c r="N35" s="4" t="s">
        <v>218</v>
      </c>
    </row>
    <row r="36" spans="3:14" x14ac:dyDescent="0.2">
      <c r="C36" s="99" t="s">
        <v>167</v>
      </c>
      <c r="D36" s="100"/>
      <c r="E36" s="112">
        <v>96.34</v>
      </c>
      <c r="G36" s="34">
        <v>1</v>
      </c>
      <c r="H36" s="113">
        <v>84.325996971596808</v>
      </c>
      <c r="I36" s="113">
        <v>87.992344666014063</v>
      </c>
      <c r="J36" s="114">
        <v>91.816847600925385</v>
      </c>
      <c r="K36" s="115">
        <v>95.325040054848557</v>
      </c>
      <c r="L36" s="111">
        <v>98.991387749265812</v>
      </c>
    </row>
    <row r="37" spans="3:14" x14ac:dyDescent="0.2">
      <c r="C37" s="99"/>
      <c r="D37" s="100"/>
      <c r="E37" s="116"/>
      <c r="G37" s="34">
        <v>1.1000000000000001</v>
      </c>
      <c r="H37" s="113">
        <v>92.758596668756496</v>
      </c>
      <c r="I37" s="117">
        <v>96.791579132615482</v>
      </c>
      <c r="J37" s="118">
        <v>100.99853236101794</v>
      </c>
      <c r="K37" s="119">
        <v>104.85754406033344</v>
      </c>
      <c r="L37" s="111">
        <v>108.89052652419241</v>
      </c>
    </row>
    <row r="38" spans="3:14" x14ac:dyDescent="0.2">
      <c r="C38" s="99" t="s">
        <v>177</v>
      </c>
      <c r="D38" s="100"/>
      <c r="E38" s="120">
        <f>E35*1000/E34</f>
        <v>91.816849223759746</v>
      </c>
      <c r="G38" s="121">
        <v>1.2</v>
      </c>
      <c r="H38" s="113">
        <v>101.19119636591617</v>
      </c>
      <c r="I38" s="111">
        <v>105.59081359921687</v>
      </c>
      <c r="J38" s="111">
        <v>110.18021712111046</v>
      </c>
      <c r="K38" s="111">
        <v>114.39004806581828</v>
      </c>
      <c r="L38" s="111">
        <v>118.78966529911898</v>
      </c>
    </row>
    <row r="39" spans="3:14" x14ac:dyDescent="0.2">
      <c r="C39" s="122" t="s">
        <v>178</v>
      </c>
      <c r="D39" s="123"/>
      <c r="E39" s="124">
        <f>(E38-E36)/E36</f>
        <v>-4.694987311854118E-2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8"/>
  <sheetViews>
    <sheetView showGridLines="0" zoomScale="107" workbookViewId="0">
      <pane xSplit="1" topLeftCell="B1" activePane="topRight" state="frozen"/>
      <selection pane="topRight" activeCell="B19" sqref="B19"/>
    </sheetView>
  </sheetViews>
  <sheetFormatPr baseColWidth="10" defaultRowHeight="16" x14ac:dyDescent="0.2"/>
  <cols>
    <col min="1" max="1" width="46" style="4" customWidth="1"/>
    <col min="2" max="2" width="15.5" style="4" customWidth="1"/>
    <col min="3" max="3" width="15" style="4" customWidth="1"/>
    <col min="4" max="4" width="13.1640625" style="4" customWidth="1"/>
    <col min="5" max="5" width="11.5" style="4" customWidth="1"/>
    <col min="6" max="6" width="12.1640625" style="4" customWidth="1"/>
    <col min="7" max="7" width="13.5" style="4" customWidth="1"/>
    <col min="8" max="11" width="10.83203125" style="4"/>
    <col min="12" max="12" width="14.1640625" style="4" bestFit="1" customWidth="1"/>
    <col min="13" max="13" width="12.33203125" style="4" bestFit="1" customWidth="1"/>
    <col min="14" max="16384" width="10.83203125" style="4"/>
  </cols>
  <sheetData>
    <row r="4" spans="1:13" ht="38" customHeight="1" x14ac:dyDescent="0.2">
      <c r="A4" s="135"/>
      <c r="B4" s="135" t="s">
        <v>184</v>
      </c>
      <c r="C4" s="135" t="s">
        <v>201</v>
      </c>
      <c r="D4" s="191" t="s">
        <v>196</v>
      </c>
      <c r="E4" s="191" t="s">
        <v>171</v>
      </c>
      <c r="F4" s="135" t="s">
        <v>197</v>
      </c>
      <c r="G4" s="135" t="s">
        <v>198</v>
      </c>
      <c r="H4" s="189" t="s">
        <v>199</v>
      </c>
      <c r="I4" s="189" t="s">
        <v>133</v>
      </c>
      <c r="J4" s="189" t="s">
        <v>210</v>
      </c>
      <c r="K4" s="189" t="s">
        <v>203</v>
      </c>
      <c r="L4" s="189" t="s">
        <v>204</v>
      </c>
      <c r="M4" s="189" t="s">
        <v>211</v>
      </c>
    </row>
    <row r="5" spans="1:13" x14ac:dyDescent="0.2">
      <c r="A5" s="136" t="s">
        <v>185</v>
      </c>
      <c r="B5" s="194">
        <v>96.34</v>
      </c>
      <c r="C5" s="202">
        <v>25871</v>
      </c>
      <c r="D5" s="219">
        <v>12.37</v>
      </c>
      <c r="E5" s="196">
        <v>17.11</v>
      </c>
      <c r="F5" s="196">
        <v>1.1000000000000001</v>
      </c>
      <c r="G5" s="195">
        <v>22.24</v>
      </c>
      <c r="H5" s="195">
        <v>4.22</v>
      </c>
      <c r="I5" s="208">
        <v>0.12</v>
      </c>
      <c r="J5" s="209">
        <v>8.5500000000000007E-2</v>
      </c>
      <c r="K5" s="210">
        <v>26.69</v>
      </c>
      <c r="L5" s="209">
        <v>6.7299999999999999E-2</v>
      </c>
      <c r="M5" s="295">
        <v>1.24</v>
      </c>
    </row>
    <row r="6" spans="1:13" x14ac:dyDescent="0.2">
      <c r="A6" s="135" t="s">
        <v>186</v>
      </c>
      <c r="B6" s="197">
        <v>97.56</v>
      </c>
      <c r="C6" s="214">
        <v>23154</v>
      </c>
      <c r="D6" s="198">
        <v>11.98</v>
      </c>
      <c r="E6" s="199">
        <v>13.53</v>
      </c>
      <c r="F6" s="199">
        <v>1.04</v>
      </c>
      <c r="G6" s="206">
        <v>26.25</v>
      </c>
      <c r="H6" s="206">
        <v>3.22</v>
      </c>
      <c r="I6" s="215">
        <v>0.25</v>
      </c>
      <c r="J6" s="216">
        <v>9.0700000000000003E-2</v>
      </c>
      <c r="K6" s="217">
        <v>27.27</v>
      </c>
      <c r="L6" s="216">
        <v>7.3800000000000004E-2</v>
      </c>
      <c r="M6" s="296">
        <v>2.16</v>
      </c>
    </row>
    <row r="7" spans="1:13" x14ac:dyDescent="0.2">
      <c r="A7" s="135" t="s">
        <v>187</v>
      </c>
      <c r="B7" s="197">
        <v>42.04</v>
      </c>
      <c r="C7" s="203">
        <v>1773</v>
      </c>
      <c r="D7" s="198">
        <v>4.79</v>
      </c>
      <c r="E7" s="199">
        <v>9.6</v>
      </c>
      <c r="F7" s="199">
        <v>0.32</v>
      </c>
      <c r="G7" s="206">
        <v>16.47</v>
      </c>
      <c r="H7" s="206">
        <v>2.65</v>
      </c>
      <c r="I7" s="215">
        <v>0.11</v>
      </c>
      <c r="J7" s="216">
        <v>5.7200000000000001E-2</v>
      </c>
      <c r="K7" s="217">
        <v>28.76</v>
      </c>
      <c r="L7" s="216">
        <v>1.34E-2</v>
      </c>
      <c r="M7" s="296">
        <v>0.48</v>
      </c>
    </row>
    <row r="8" spans="1:13" x14ac:dyDescent="0.2">
      <c r="A8" s="135" t="s">
        <v>202</v>
      </c>
      <c r="B8" s="197">
        <v>65.12</v>
      </c>
      <c r="C8" s="203">
        <v>66066</v>
      </c>
      <c r="D8" s="198">
        <v>7.6</v>
      </c>
      <c r="E8" s="199">
        <v>10.11</v>
      </c>
      <c r="F8" s="199">
        <v>0.36</v>
      </c>
      <c r="G8" s="206">
        <v>10.8</v>
      </c>
      <c r="H8" s="206">
        <v>1.75</v>
      </c>
      <c r="I8" s="215">
        <v>0.41</v>
      </c>
      <c r="J8" s="216">
        <v>5.1499999999999997E-2</v>
      </c>
      <c r="K8" s="217">
        <v>17.77</v>
      </c>
      <c r="L8" s="216">
        <v>5.7599999999999998E-2</v>
      </c>
      <c r="M8" s="296">
        <v>2.17</v>
      </c>
    </row>
    <row r="9" spans="1:13" x14ac:dyDescent="0.2">
      <c r="A9" s="135" t="s">
        <v>212</v>
      </c>
      <c r="B9" s="197">
        <v>148.36000000000001</v>
      </c>
      <c r="C9" s="203">
        <v>16200</v>
      </c>
      <c r="D9" s="200">
        <v>22.7</v>
      </c>
      <c r="E9" s="199">
        <v>32.6</v>
      </c>
      <c r="F9" s="199">
        <v>4.8</v>
      </c>
      <c r="G9" s="206">
        <v>32</v>
      </c>
      <c r="H9" s="218"/>
      <c r="I9" s="215">
        <v>0.1</v>
      </c>
      <c r="J9" s="216">
        <v>0.23</v>
      </c>
      <c r="K9" s="217"/>
      <c r="L9" s="216">
        <v>0.1022</v>
      </c>
      <c r="M9" s="296">
        <v>2</v>
      </c>
    </row>
    <row r="10" spans="1:13" x14ac:dyDescent="0.2">
      <c r="A10" s="135" t="s">
        <v>188</v>
      </c>
      <c r="B10" s="197">
        <v>70.319999999999993</v>
      </c>
      <c r="C10" s="204">
        <v>37888</v>
      </c>
      <c r="D10" s="201">
        <v>7.71</v>
      </c>
      <c r="E10" s="199">
        <v>13.19</v>
      </c>
      <c r="F10" s="199">
        <v>0.53</v>
      </c>
      <c r="G10" s="206">
        <v>8.61</v>
      </c>
      <c r="H10" s="206">
        <v>3.24</v>
      </c>
      <c r="I10" s="215">
        <v>0.3</v>
      </c>
      <c r="J10" s="216">
        <v>0.06</v>
      </c>
      <c r="K10" s="217">
        <v>25.89</v>
      </c>
      <c r="L10" s="216">
        <v>3.4200000000000001E-2</v>
      </c>
      <c r="M10" s="296">
        <v>1.88</v>
      </c>
    </row>
    <row r="11" spans="1:13" x14ac:dyDescent="0.2">
      <c r="A11" s="137" t="s">
        <v>200</v>
      </c>
      <c r="B11" s="193">
        <f>AVERAGE(B6:B10)</f>
        <v>84.68</v>
      </c>
      <c r="C11" s="192">
        <f t="shared" ref="C11:G11" si="0">AVERAGE(C6:C10)</f>
        <v>29016.2</v>
      </c>
      <c r="D11" s="193">
        <f t="shared" si="0"/>
        <v>10.956</v>
      </c>
      <c r="E11" s="193">
        <f t="shared" si="0"/>
        <v>15.806000000000001</v>
      </c>
      <c r="F11" s="193">
        <f t="shared" si="0"/>
        <v>1.41</v>
      </c>
      <c r="G11" s="205">
        <f t="shared" si="0"/>
        <v>18.826000000000001</v>
      </c>
      <c r="H11" s="207">
        <f>H6+H7+H8+H10/4</f>
        <v>8.43</v>
      </c>
      <c r="I11" s="211">
        <f>AVERAGE(I6:I10)</f>
        <v>0.23399999999999999</v>
      </c>
      <c r="J11" s="211">
        <f>AVERAGE(J6:J10)</f>
        <v>9.7879999999999995E-2</v>
      </c>
      <c r="K11" s="212">
        <f t="shared" ref="K11" si="1">K6+K7+K8+K10/4</f>
        <v>80.272499999999994</v>
      </c>
      <c r="L11" s="213">
        <f>AVERAGE(L6:L10)</f>
        <v>5.6239999999999998E-2</v>
      </c>
      <c r="M11" s="212">
        <f>AVERAGE(M6:M10)</f>
        <v>1.7380000000000002</v>
      </c>
    </row>
    <row r="16" spans="1:13" x14ac:dyDescent="0.2">
      <c r="B16" s="4" t="s">
        <v>213</v>
      </c>
    </row>
    <row r="17" spans="2:2" x14ac:dyDescent="0.2">
      <c r="B17" s="4" t="s">
        <v>214</v>
      </c>
    </row>
    <row r="18" spans="2:2" x14ac:dyDescent="0.2">
      <c r="B18" s="4" t="s">
        <v>215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Revenue Build</vt:lpstr>
      <vt:lpstr>Income Statement</vt:lpstr>
      <vt:lpstr>Balance Sheet</vt:lpstr>
      <vt:lpstr>cash flow</vt:lpstr>
      <vt:lpstr>DCF</vt:lpstr>
      <vt:lpstr>Historical Multiples</vt:lpstr>
      <vt:lpstr>Multiple Pricing</vt:lpstr>
      <vt:lpstr>Comparables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2018-03-11T00:36:19Z</dcterms:created>
  <dcterms:modified xsi:type="dcterms:W3CDTF">2018-04-28T22:33:21Z</dcterms:modified>
</cp:coreProperties>
</file>