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CFO\UPCL\July 23 Financials\"/>
    </mc:Choice>
  </mc:AlternateContent>
  <xr:revisionPtr revIDLastSave="0" documentId="13_ncr:1_{CC84340B-B8A4-4DF8-AB95-C0E16A7FEFAA}" xr6:coauthVersionLast="47" xr6:coauthVersionMax="47" xr10:uidLastSave="{00000000-0000-0000-0000-000000000000}"/>
  <bookViews>
    <workbookView xWindow="-108" yWindow="-108" windowWidth="23256" windowHeight="12456" firstSheet="4" activeTab="4" xr2:uid="{03C4D045-1615-4F82-8F21-EDC758E00498}"/>
  </bookViews>
  <sheets>
    <sheet name="May 23_P&amp;L Brand wise" sheetId="1" state="hidden" r:id="rId1"/>
    <sheet name="HUL Avg Comparison" sheetId="5" state="hidden" r:id="rId2"/>
    <sheet name="Sheet3" sheetId="18" state="hidden" r:id="rId3"/>
    <sheet name="Reco" sheetId="19" state="hidden" r:id="rId4"/>
    <sheet name="Brand Wise_Summary" sheetId="3" r:id="rId5"/>
    <sheet name="P&amp;L Brand wise" sheetId="2" r:id="rId6"/>
    <sheet name="BS in INR" sheetId="10" r:id="rId7"/>
    <sheet name="Sheet8" sheetId="23" r:id="rId8"/>
    <sheet name="Notes" sheetId="24" state="hidden" r:id="rId9"/>
    <sheet name="P&amp;L PPT" sheetId="20" state="hidden" r:id="rId10"/>
    <sheet name="Annapurna Brand Total" sheetId="21" r:id="rId11"/>
    <sheet name="CC Brand" sheetId="22" r:id="rId12"/>
    <sheet name="Cross Charge Workings" sheetId="4" state="hidden" r:id="rId13"/>
    <sheet name="BS PPT" sheetId="16" r:id="rId14"/>
    <sheet name="Sheet1" sheetId="11" state="hidden" r:id="rId15"/>
    <sheet name="Sheet2" sheetId="17" state="hidden" r:id="rId16"/>
    <sheet name="Brand Wise" sheetId="7" state="hidden" r:id="rId17"/>
    <sheet name="YTD Jun 23 Brand Wise" sheetId="9" state="hidden" r:id="rId18"/>
  </sheets>
  <definedNames>
    <definedName name="_xlnm.Print_Area" localSheetId="6">'BS in INR'!$B$2:$C$43</definedName>
    <definedName name="_xlnm.Print_Area" localSheetId="13">'BS PPT'!$B$2:$C$35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2" l="1"/>
  <c r="K33" i="2" l="1"/>
  <c r="J33" i="2"/>
  <c r="I33" i="2"/>
  <c r="H33" i="2"/>
  <c r="F33" i="2"/>
  <c r="E33" i="2"/>
  <c r="D33" i="2"/>
  <c r="C33" i="2"/>
  <c r="L32" i="2"/>
  <c r="Z42" i="2" l="1"/>
  <c r="Y42" i="2"/>
  <c r="X42" i="2"/>
  <c r="W42" i="2"/>
  <c r="U42" i="2"/>
  <c r="T42" i="2"/>
  <c r="S42" i="2"/>
  <c r="R42" i="2"/>
  <c r="Z12" i="2"/>
  <c r="Y12" i="2"/>
  <c r="X12" i="2"/>
  <c r="W12" i="2"/>
  <c r="U12" i="2"/>
  <c r="T12" i="2"/>
  <c r="S12" i="2"/>
  <c r="R12" i="2"/>
  <c r="K42" i="2"/>
  <c r="J42" i="2"/>
  <c r="I42" i="2"/>
  <c r="H42" i="2"/>
  <c r="F42" i="2"/>
  <c r="E42" i="2"/>
  <c r="D42" i="2"/>
  <c r="C42" i="2"/>
  <c r="K12" i="2"/>
  <c r="F12" i="2"/>
  <c r="J12" i="2"/>
  <c r="I12" i="2"/>
  <c r="H12" i="2"/>
  <c r="E12" i="2"/>
  <c r="D12" i="2"/>
  <c r="C12" i="2"/>
  <c r="C5" i="24" l="1"/>
  <c r="C6" i="24"/>
  <c r="C7" i="24"/>
  <c r="K10" i="23"/>
  <c r="J10" i="23"/>
  <c r="I10" i="23"/>
  <c r="K4" i="23"/>
  <c r="J4" i="23"/>
  <c r="I4" i="23"/>
  <c r="L10" i="23"/>
  <c r="D24" i="22"/>
  <c r="Z79" i="2"/>
  <c r="Z70" i="2"/>
  <c r="Z71" i="2"/>
  <c r="W38" i="2"/>
  <c r="X26" i="2"/>
  <c r="X21" i="2"/>
  <c r="I26" i="2"/>
  <c r="Z21" i="2"/>
  <c r="W28" i="2"/>
  <c r="W27" i="2"/>
  <c r="W26" i="2"/>
  <c r="W25" i="2"/>
  <c r="W24" i="2"/>
  <c r="W21" i="2"/>
  <c r="W9" i="2"/>
  <c r="W8" i="2"/>
  <c r="K70" i="2"/>
  <c r="K41" i="2"/>
  <c r="H38" i="2"/>
  <c r="K28" i="2"/>
  <c r="K27" i="2"/>
  <c r="K26" i="2"/>
  <c r="K29" i="2" s="1"/>
  <c r="I21" i="2"/>
  <c r="D10" i="18"/>
  <c r="H21" i="2"/>
  <c r="H15" i="2"/>
  <c r="K15" i="2" s="1"/>
  <c r="H9" i="2"/>
  <c r="H8" i="2"/>
  <c r="L4" i="23" l="1"/>
  <c r="C16" i="16"/>
  <c r="E10" i="23"/>
  <c r="D10" i="23"/>
  <c r="C10" i="23"/>
  <c r="F10" i="23" s="1"/>
  <c r="E4" i="23"/>
  <c r="D4" i="23"/>
  <c r="C4" i="23"/>
  <c r="F4" i="23" s="1"/>
  <c r="I28" i="22"/>
  <c r="D28" i="22"/>
  <c r="I20" i="22"/>
  <c r="I21" i="22" s="1"/>
  <c r="D20" i="22"/>
  <c r="D21" i="22" s="1"/>
  <c r="I17" i="22"/>
  <c r="I15" i="22" s="1"/>
  <c r="D17" i="22"/>
  <c r="D15" i="22" s="1"/>
  <c r="I9" i="22"/>
  <c r="D9" i="22"/>
  <c r="I7" i="22"/>
  <c r="D7" i="22"/>
  <c r="I5" i="22"/>
  <c r="D5" i="22"/>
  <c r="X20" i="21"/>
  <c r="X21" i="21" s="1"/>
  <c r="I20" i="21"/>
  <c r="I21" i="21" s="1"/>
  <c r="X9" i="21"/>
  <c r="S9" i="21"/>
  <c r="I9" i="21"/>
  <c r="D9" i="21"/>
  <c r="X7" i="21"/>
  <c r="I7" i="21"/>
  <c r="X5" i="21"/>
  <c r="S5" i="21"/>
  <c r="I5" i="21"/>
  <c r="D5" i="21"/>
  <c r="K50" i="20"/>
  <c r="J50" i="20"/>
  <c r="J47" i="20"/>
  <c r="J46" i="20"/>
  <c r="J45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1" i="20"/>
  <c r="J8" i="20"/>
  <c r="I50" i="20"/>
  <c r="I47" i="20"/>
  <c r="I46" i="20"/>
  <c r="D44" i="20"/>
  <c r="C44" i="20"/>
  <c r="D43" i="20"/>
  <c r="C43" i="20"/>
  <c r="D42" i="20"/>
  <c r="D21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C30" i="20"/>
  <c r="BL20" i="3"/>
  <c r="BL17" i="3"/>
  <c r="BL9" i="3"/>
  <c r="BL7" i="3"/>
  <c r="BL5" i="3"/>
  <c r="BG20" i="3"/>
  <c r="BG17" i="3"/>
  <c r="BG9" i="3"/>
  <c r="BG7" i="3"/>
  <c r="BG5" i="3"/>
  <c r="K82" i="2"/>
  <c r="U72" i="2"/>
  <c r="AC71" i="2"/>
  <c r="P71" i="2"/>
  <c r="P56" i="2"/>
  <c r="AC9" i="21" l="1"/>
  <c r="AC5" i="21"/>
  <c r="N9" i="21"/>
  <c r="N5" i="21"/>
  <c r="I13" i="22"/>
  <c r="I18" i="22"/>
  <c r="D18" i="22"/>
  <c r="D13" i="22"/>
  <c r="D10" i="22"/>
  <c r="I10" i="22"/>
  <c r="I12" i="22"/>
  <c r="D12" i="22"/>
  <c r="I10" i="21"/>
  <c r="I12" i="21"/>
  <c r="X12" i="21"/>
  <c r="X10" i="21"/>
  <c r="X13" i="21"/>
  <c r="I13" i="21"/>
  <c r="K47" i="20"/>
  <c r="L47" i="20" s="1"/>
  <c r="E43" i="20"/>
  <c r="F43" i="20" s="1"/>
  <c r="E44" i="20"/>
  <c r="F44" i="20" s="1"/>
  <c r="K46" i="20"/>
  <c r="L46" i="20" s="1"/>
  <c r="J39" i="20"/>
  <c r="E30" i="20"/>
  <c r="F30" i="20" s="1"/>
  <c r="D36" i="20"/>
  <c r="I16" i="22" l="1"/>
  <c r="I24" i="22"/>
  <c r="I22" i="22"/>
  <c r="D16" i="22"/>
  <c r="I27" i="22"/>
  <c r="I29" i="22" s="1"/>
  <c r="I25" i="22"/>
  <c r="D22" i="22"/>
  <c r="X22" i="21"/>
  <c r="I22" i="21"/>
  <c r="Z72" i="2"/>
  <c r="Z62" i="2"/>
  <c r="Z61" i="2"/>
  <c r="Z60" i="2"/>
  <c r="Z55" i="2"/>
  <c r="Z50" i="2"/>
  <c r="Z49" i="2"/>
  <c r="Z57" i="2"/>
  <c r="Z53" i="2"/>
  <c r="Z48" i="2"/>
  <c r="Z51" i="2"/>
  <c r="AH41" i="2"/>
  <c r="X38" i="2"/>
  <c r="I38" i="2"/>
  <c r="X28" i="2"/>
  <c r="X27" i="2"/>
  <c r="X25" i="2"/>
  <c r="X24" i="2"/>
  <c r="W15" i="2"/>
  <c r="X9" i="2"/>
  <c r="I9" i="2"/>
  <c r="X8" i="2"/>
  <c r="I8" i="2"/>
  <c r="Y41" i="2"/>
  <c r="Y34" i="2"/>
  <c r="Y32" i="2"/>
  <c r="Y29" i="2"/>
  <c r="K72" i="2"/>
  <c r="K21" i="2"/>
  <c r="D12" i="20" s="1"/>
  <c r="K55" i="2"/>
  <c r="E10" i="18"/>
  <c r="G10" i="18"/>
  <c r="H10" i="18"/>
  <c r="H5" i="18" s="1"/>
  <c r="I25" i="2" s="1"/>
  <c r="K62" i="2"/>
  <c r="K61" i="2"/>
  <c r="K50" i="2"/>
  <c r="K49" i="2"/>
  <c r="K57" i="2"/>
  <c r="K53" i="2"/>
  <c r="K51" i="2"/>
  <c r="C10" i="18"/>
  <c r="E8" i="18" s="1"/>
  <c r="E6" i="18" l="1"/>
  <c r="E4" i="18"/>
  <c r="E7" i="18"/>
  <c r="E5" i="18"/>
  <c r="D27" i="22"/>
  <c r="D29" i="22" s="1"/>
  <c r="D25" i="22"/>
  <c r="H8" i="18"/>
  <c r="I28" i="2" s="1"/>
  <c r="H7" i="18"/>
  <c r="H4" i="18"/>
  <c r="I24" i="2" s="1"/>
  <c r="I29" i="2" s="1"/>
  <c r="H6" i="18"/>
  <c r="D5" i="18"/>
  <c r="D4" i="18"/>
  <c r="D8" i="18"/>
  <c r="D7" i="18"/>
  <c r="D6" i="18"/>
  <c r="AB63" i="2"/>
  <c r="AB39" i="2"/>
  <c r="U76" i="2"/>
  <c r="AC76" i="2" s="1"/>
  <c r="AE76" i="2" s="1"/>
  <c r="U75" i="2"/>
  <c r="AC75" i="2" s="1"/>
  <c r="AE75" i="2" s="1"/>
  <c r="U71" i="2"/>
  <c r="U59" i="2"/>
  <c r="U58" i="2"/>
  <c r="U55" i="2"/>
  <c r="U54" i="2"/>
  <c r="T38" i="2"/>
  <c r="S38" i="2"/>
  <c r="T37" i="2"/>
  <c r="S37" i="2"/>
  <c r="R38" i="2"/>
  <c r="R37" i="2"/>
  <c r="T28" i="2"/>
  <c r="S28" i="2"/>
  <c r="T27" i="2"/>
  <c r="S27" i="2"/>
  <c r="T26" i="2"/>
  <c r="S26" i="2"/>
  <c r="T25" i="2"/>
  <c r="S25" i="2"/>
  <c r="T24" i="2"/>
  <c r="S24" i="2"/>
  <c r="R28" i="2"/>
  <c r="R27" i="2"/>
  <c r="R26" i="2"/>
  <c r="R25" i="2"/>
  <c r="R24" i="2"/>
  <c r="T21" i="2"/>
  <c r="S21" i="2"/>
  <c r="R21" i="2"/>
  <c r="R9" i="2"/>
  <c r="S9" i="2"/>
  <c r="T9" i="2"/>
  <c r="S15" i="2" l="1"/>
  <c r="W9" i="21" s="1"/>
  <c r="H9" i="21"/>
  <c r="R8" i="2"/>
  <c r="R5" i="21" s="1"/>
  <c r="T5" i="21" s="1"/>
  <c r="U5" i="21" s="1"/>
  <c r="C5" i="21"/>
  <c r="T15" i="2"/>
  <c r="H9" i="22" s="1"/>
  <c r="C9" i="22"/>
  <c r="U60" i="2"/>
  <c r="C33" i="20"/>
  <c r="E33" i="20" s="1"/>
  <c r="F33" i="20" s="1"/>
  <c r="AC58" i="2"/>
  <c r="AE58" i="2" s="1"/>
  <c r="I34" i="20"/>
  <c r="K34" i="20" s="1"/>
  <c r="U61" i="2"/>
  <c r="C34" i="20"/>
  <c r="E34" i="20" s="1"/>
  <c r="F34" i="20" s="1"/>
  <c r="AC59" i="2"/>
  <c r="AE59" i="2" s="1"/>
  <c r="I35" i="20"/>
  <c r="K35" i="20" s="1"/>
  <c r="U45" i="2"/>
  <c r="C21" i="20"/>
  <c r="E21" i="20" s="1"/>
  <c r="U48" i="2"/>
  <c r="C24" i="20"/>
  <c r="U62" i="2"/>
  <c r="C35" i="20"/>
  <c r="E35" i="20" s="1"/>
  <c r="F35" i="20" s="1"/>
  <c r="U49" i="2"/>
  <c r="C25" i="20"/>
  <c r="E25" i="20" s="1"/>
  <c r="F25" i="20" s="1"/>
  <c r="U50" i="2"/>
  <c r="C26" i="20"/>
  <c r="E26" i="20" s="1"/>
  <c r="F26" i="20" s="1"/>
  <c r="U51" i="2"/>
  <c r="C27" i="20"/>
  <c r="E27" i="20" s="1"/>
  <c r="F27" i="20" s="1"/>
  <c r="U56" i="2"/>
  <c r="C31" i="20"/>
  <c r="E31" i="20" s="1"/>
  <c r="U52" i="2"/>
  <c r="C28" i="20"/>
  <c r="E28" i="20" s="1"/>
  <c r="U70" i="2"/>
  <c r="C42" i="20"/>
  <c r="E42" i="20" s="1"/>
  <c r="F42" i="20" s="1"/>
  <c r="S8" i="2"/>
  <c r="W5" i="21" s="1"/>
  <c r="H5" i="21"/>
  <c r="J5" i="21" s="1"/>
  <c r="K5" i="21" s="1"/>
  <c r="T8" i="2"/>
  <c r="H5" i="22" s="1"/>
  <c r="J5" i="22" s="1"/>
  <c r="K5" i="22" s="1"/>
  <c r="C5" i="22"/>
  <c r="E5" i="22" s="1"/>
  <c r="F5" i="22" s="1"/>
  <c r="R15" i="2"/>
  <c r="R9" i="21" s="1"/>
  <c r="C9" i="21"/>
  <c r="U53" i="2"/>
  <c r="C29" i="20"/>
  <c r="E29" i="20" s="1"/>
  <c r="F29" i="20" s="1"/>
  <c r="AC54" i="2"/>
  <c r="AE54" i="2" s="1"/>
  <c r="I30" i="20"/>
  <c r="K30" i="20" s="1"/>
  <c r="U57" i="2"/>
  <c r="C32" i="20"/>
  <c r="E32" i="20" s="1"/>
  <c r="F32" i="20" s="1"/>
  <c r="AC55" i="2"/>
  <c r="AE55" i="2" s="1"/>
  <c r="I31" i="20"/>
  <c r="K31" i="20" s="1"/>
  <c r="L31" i="20" s="1"/>
  <c r="H26" i="2"/>
  <c r="H28" i="2"/>
  <c r="H24" i="2"/>
  <c r="H25" i="2"/>
  <c r="H27" i="2"/>
  <c r="AB29" i="2"/>
  <c r="F63" i="2"/>
  <c r="C36" i="20" l="1"/>
  <c r="E36" i="20" s="1"/>
  <c r="F36" i="20" s="1"/>
  <c r="E24" i="20"/>
  <c r="F24" i="20" s="1"/>
  <c r="Y5" i="21"/>
  <c r="Z5" i="21" s="1"/>
  <c r="AB5" i="21"/>
  <c r="AD5" i="21" s="1"/>
  <c r="AE5" i="21" s="1"/>
  <c r="AC51" i="2"/>
  <c r="AE51" i="2" s="1"/>
  <c r="I27" i="20"/>
  <c r="K27" i="20" s="1"/>
  <c r="L27" i="20" s="1"/>
  <c r="AC53" i="2"/>
  <c r="AE53" i="2" s="1"/>
  <c r="I29" i="20"/>
  <c r="K29" i="20" s="1"/>
  <c r="L29" i="20" s="1"/>
  <c r="AC70" i="2"/>
  <c r="AE70" i="2" s="1"/>
  <c r="I45" i="20"/>
  <c r="K45" i="20" s="1"/>
  <c r="L45" i="20" s="1"/>
  <c r="AC50" i="2"/>
  <c r="AE50" i="2" s="1"/>
  <c r="I26" i="20"/>
  <c r="K26" i="20" s="1"/>
  <c r="L26" i="20" s="1"/>
  <c r="AC45" i="2"/>
  <c r="AE45" i="2" s="1"/>
  <c r="I21" i="20"/>
  <c r="K21" i="20" s="1"/>
  <c r="AC60" i="2"/>
  <c r="AE60" i="2" s="1"/>
  <c r="I36" i="20"/>
  <c r="K36" i="20" s="1"/>
  <c r="L36" i="20" s="1"/>
  <c r="E9" i="21"/>
  <c r="F9" i="21" s="1"/>
  <c r="M9" i="21"/>
  <c r="O9" i="21" s="1"/>
  <c r="P9" i="21" s="1"/>
  <c r="E9" i="22"/>
  <c r="F9" i="22" s="1"/>
  <c r="J9" i="22"/>
  <c r="K9" i="22" s="1"/>
  <c r="AC49" i="2"/>
  <c r="AE49" i="2" s="1"/>
  <c r="I25" i="20"/>
  <c r="K25" i="20" s="1"/>
  <c r="L25" i="20" s="1"/>
  <c r="M5" i="21"/>
  <c r="O5" i="21" s="1"/>
  <c r="P5" i="21" s="1"/>
  <c r="E5" i="21"/>
  <c r="F5" i="21" s="1"/>
  <c r="T9" i="21"/>
  <c r="U9" i="21" s="1"/>
  <c r="AC52" i="2"/>
  <c r="AE52" i="2" s="1"/>
  <c r="I28" i="20"/>
  <c r="K28" i="20" s="1"/>
  <c r="AC57" i="2"/>
  <c r="AE57" i="2" s="1"/>
  <c r="I33" i="20"/>
  <c r="K33" i="20" s="1"/>
  <c r="L33" i="20" s="1"/>
  <c r="AC56" i="2"/>
  <c r="AE56" i="2" s="1"/>
  <c r="I32" i="20"/>
  <c r="K32" i="20" s="1"/>
  <c r="AC62" i="2"/>
  <c r="AE62" i="2" s="1"/>
  <c r="I38" i="20"/>
  <c r="K38" i="20" s="1"/>
  <c r="L38" i="20" s="1"/>
  <c r="AC61" i="2"/>
  <c r="AE61" i="2" s="1"/>
  <c r="I37" i="20"/>
  <c r="K37" i="20" s="1"/>
  <c r="L37" i="20" s="1"/>
  <c r="J9" i="21"/>
  <c r="K9" i="21" s="1"/>
  <c r="AC48" i="2"/>
  <c r="AE48" i="2" s="1"/>
  <c r="I24" i="20"/>
  <c r="AB9" i="21"/>
  <c r="Y9" i="21"/>
  <c r="Z9" i="21" s="1"/>
  <c r="O63" i="2"/>
  <c r="N63" i="2"/>
  <c r="M63" i="2"/>
  <c r="O39" i="2"/>
  <c r="N39" i="2"/>
  <c r="N40" i="2" s="1"/>
  <c r="M39" i="2"/>
  <c r="P38" i="2"/>
  <c r="P37" i="2"/>
  <c r="O32" i="2"/>
  <c r="N32" i="2"/>
  <c r="M32" i="2"/>
  <c r="O29" i="2"/>
  <c r="N29" i="2"/>
  <c r="M29" i="2"/>
  <c r="P28" i="2"/>
  <c r="P27" i="2"/>
  <c r="P26" i="2"/>
  <c r="P25" i="2"/>
  <c r="P24" i="2"/>
  <c r="P21" i="2"/>
  <c r="P32" i="2" s="1"/>
  <c r="P15" i="2"/>
  <c r="O11" i="2"/>
  <c r="O18" i="2" s="1"/>
  <c r="O34" i="2" s="1"/>
  <c r="N11" i="2"/>
  <c r="N18" i="2" s="1"/>
  <c r="M11" i="2"/>
  <c r="M18" i="2" s="1"/>
  <c r="P9" i="2"/>
  <c r="P11" i="2" s="1"/>
  <c r="P8" i="2"/>
  <c r="F10" i="17"/>
  <c r="F4" i="17"/>
  <c r="AD9" i="21" l="1"/>
  <c r="AE9" i="21" s="1"/>
  <c r="K24" i="20"/>
  <c r="L24" i="20" s="1"/>
  <c r="I39" i="20"/>
  <c r="K39" i="20" s="1"/>
  <c r="L39" i="20" s="1"/>
  <c r="P18" i="2"/>
  <c r="P34" i="2" s="1"/>
  <c r="P35" i="2" s="1"/>
  <c r="N34" i="2"/>
  <c r="M34" i="2"/>
  <c r="M41" i="2" s="1"/>
  <c r="P39" i="2"/>
  <c r="O40" i="2"/>
  <c r="P29" i="2"/>
  <c r="P40" i="2"/>
  <c r="M40" i="2"/>
  <c r="M35" i="2"/>
  <c r="N41" i="2"/>
  <c r="N42" i="2" s="1"/>
  <c r="N35" i="2"/>
  <c r="O35" i="2"/>
  <c r="O41" i="2"/>
  <c r="O42" i="2" s="1"/>
  <c r="P41" i="2" l="1"/>
  <c r="M42" i="2"/>
  <c r="P65" i="2" l="1"/>
  <c r="P79" i="2" s="1"/>
  <c r="P42" i="2"/>
  <c r="R29" i="2"/>
  <c r="S29" i="2"/>
  <c r="T29" i="2"/>
  <c r="P66" i="2" l="1"/>
  <c r="AJ9" i="1"/>
  <c r="C33" i="16" l="1"/>
  <c r="C32" i="16"/>
  <c r="C31" i="16"/>
  <c r="C30" i="16"/>
  <c r="C28" i="16"/>
  <c r="C25" i="16"/>
  <c r="C23" i="16"/>
  <c r="C22" i="16"/>
  <c r="C17" i="16"/>
  <c r="C14" i="16"/>
  <c r="C13" i="16"/>
  <c r="C11" i="16"/>
  <c r="C8" i="16"/>
  <c r="C42" i="16"/>
  <c r="CJ5" i="11" l="1"/>
  <c r="CK5" i="11"/>
  <c r="CO5" i="11"/>
  <c r="CP5" i="11"/>
  <c r="CU5" i="11"/>
  <c r="CK7" i="11"/>
  <c r="CO7" i="11"/>
  <c r="CP7" i="11"/>
  <c r="CU7" i="11" s="1"/>
  <c r="CJ9" i="11"/>
  <c r="CK9" i="11"/>
  <c r="CO9" i="11"/>
  <c r="CP9" i="11"/>
  <c r="CU9" i="11" s="1"/>
  <c r="CU10" i="11" s="1"/>
  <c r="CK10" i="11"/>
  <c r="CP10" i="11"/>
  <c r="CK12" i="11"/>
  <c r="CP12" i="11"/>
  <c r="CK13" i="11"/>
  <c r="CP15" i="11"/>
  <c r="CP19" i="11" s="1"/>
  <c r="CK17" i="11"/>
  <c r="CK15" i="11" s="1"/>
  <c r="CP17" i="11"/>
  <c r="CK23" i="11"/>
  <c r="CU23" i="11" s="1"/>
  <c r="CU24" i="11" s="1"/>
  <c r="CP23" i="11"/>
  <c r="CP24" i="11"/>
  <c r="CD5" i="11"/>
  <c r="CD7" i="11"/>
  <c r="CD13" i="11" s="1"/>
  <c r="CD9" i="11"/>
  <c r="BT10" i="11"/>
  <c r="BY10" i="11"/>
  <c r="CD10" i="11"/>
  <c r="BT12" i="11"/>
  <c r="BY12" i="11"/>
  <c r="BT13" i="11"/>
  <c r="BT16" i="11" s="1"/>
  <c r="BY13" i="11"/>
  <c r="BT15" i="11"/>
  <c r="BY15" i="11"/>
  <c r="BY16" i="11" s="1"/>
  <c r="CD17" i="11"/>
  <c r="CD15" i="11" s="1"/>
  <c r="BT19" i="11"/>
  <c r="CD23" i="11"/>
  <c r="CD24" i="11" s="1"/>
  <c r="BT24" i="11"/>
  <c r="BY24" i="11"/>
  <c r="BL5" i="11"/>
  <c r="BM5" i="11"/>
  <c r="BL9" i="11"/>
  <c r="AU5" i="11"/>
  <c r="AV5" i="11"/>
  <c r="AZ5" i="11"/>
  <c r="BA5" i="11"/>
  <c r="AU9" i="11"/>
  <c r="AV9" i="11"/>
  <c r="AZ9" i="11"/>
  <c r="Y5" i="11"/>
  <c r="Z5" i="11"/>
  <c r="AD5" i="11"/>
  <c r="AE5" i="11"/>
  <c r="AI5" i="11"/>
  <c r="AJ5" i="11"/>
  <c r="Y9" i="11"/>
  <c r="Z9" i="11"/>
  <c r="AD9" i="11"/>
  <c r="AI9" i="11"/>
  <c r="R39" i="2"/>
  <c r="T5" i="11"/>
  <c r="D9" i="11"/>
  <c r="I5" i="11"/>
  <c r="D5" i="11"/>
  <c r="Y23" i="11" l="1"/>
  <c r="R20" i="21"/>
  <c r="R21" i="21" s="1"/>
  <c r="BF5" i="11"/>
  <c r="AW9" i="11"/>
  <c r="AW5" i="11"/>
  <c r="AX5" i="11" s="1"/>
  <c r="AA5" i="11"/>
  <c r="AB5" i="11" s="1"/>
  <c r="AF5" i="11"/>
  <c r="AG5" i="11" s="1"/>
  <c r="BB5" i="11"/>
  <c r="BC5" i="11" s="1"/>
  <c r="AA9" i="11"/>
  <c r="AB9" i="11" s="1"/>
  <c r="AK5" i="11"/>
  <c r="AL5" i="11" s="1"/>
  <c r="BN5" i="11"/>
  <c r="BO5" i="11" s="1"/>
  <c r="Y24" i="11"/>
  <c r="AU23" i="11"/>
  <c r="AU24" i="11" s="1"/>
  <c r="CJ23" i="11"/>
  <c r="CJ24" i="11" s="1"/>
  <c r="CL24" i="11" s="1"/>
  <c r="CT9" i="11"/>
  <c r="CV9" i="11" s="1"/>
  <c r="CW9" i="11" s="1"/>
  <c r="CQ9" i="11"/>
  <c r="CR9" i="11" s="1"/>
  <c r="CL9" i="11"/>
  <c r="CM9" i="11" s="1"/>
  <c r="CL5" i="11"/>
  <c r="CM5" i="11" s="1"/>
  <c r="CQ7" i="11"/>
  <c r="CR7" i="11" s="1"/>
  <c r="CT5" i="11"/>
  <c r="CQ5" i="11"/>
  <c r="CR5" i="11" s="1"/>
  <c r="CK19" i="11"/>
  <c r="CK16" i="11"/>
  <c r="CK20" i="11"/>
  <c r="CU12" i="11"/>
  <c r="CU13" i="11"/>
  <c r="CD25" i="11"/>
  <c r="CO12" i="11"/>
  <c r="CO10" i="11"/>
  <c r="CQ10" i="11" s="1"/>
  <c r="CU17" i="11"/>
  <c r="CU15" i="11" s="1"/>
  <c r="CK24" i="11"/>
  <c r="CK25" i="11" s="1"/>
  <c r="CP13" i="11"/>
  <c r="CP20" i="11" s="1"/>
  <c r="CO13" i="11"/>
  <c r="CD12" i="11"/>
  <c r="BY25" i="11"/>
  <c r="BT20" i="11"/>
  <c r="CD20" i="11"/>
  <c r="CD16" i="11"/>
  <c r="CD19" i="11"/>
  <c r="BT27" i="11"/>
  <c r="BT28" i="11" s="1"/>
  <c r="BT21" i="11"/>
  <c r="BY20" i="11"/>
  <c r="BE9" i="11"/>
  <c r="BE5" i="11"/>
  <c r="BG5" i="11" s="1"/>
  <c r="BH5" i="11" s="1"/>
  <c r="BT25" i="11"/>
  <c r="BY19" i="11"/>
  <c r="AX9" i="11"/>
  <c r="AO5" i="11"/>
  <c r="AN9" i="11"/>
  <c r="AN5" i="11"/>
  <c r="N5" i="11"/>
  <c r="D1" i="11" s="1"/>
  <c r="AP5" i="11" l="1"/>
  <c r="AQ5" i="11" s="1"/>
  <c r="I1" i="11"/>
  <c r="CL23" i="11"/>
  <c r="CM23" i="11" s="1"/>
  <c r="CV5" i="11"/>
  <c r="CW5" i="11" s="1"/>
  <c r="CQ12" i="11"/>
  <c r="CR12" i="11" s="1"/>
  <c r="CQ13" i="11"/>
  <c r="CR13" i="11" s="1"/>
  <c r="CM24" i="11"/>
  <c r="CU20" i="11"/>
  <c r="CU19" i="11"/>
  <c r="CU16" i="11"/>
  <c r="CK27" i="11"/>
  <c r="CK28" i="11" s="1"/>
  <c r="CK21" i="11"/>
  <c r="CP27" i="11"/>
  <c r="CP28" i="11" s="1"/>
  <c r="CP21" i="11"/>
  <c r="CP16" i="11"/>
  <c r="CU25" i="11"/>
  <c r="CP25" i="11"/>
  <c r="BY21" i="11"/>
  <c r="BY27" i="11"/>
  <c r="BY28" i="11" s="1"/>
  <c r="CD27" i="11"/>
  <c r="CD28" i="11" s="1"/>
  <c r="CD21" i="11"/>
  <c r="CU21" i="11" l="1"/>
  <c r="CU27" i="11"/>
  <c r="CU28" i="11" s="1"/>
  <c r="BS17" i="11" l="1"/>
  <c r="U37" i="2"/>
  <c r="AC37" i="2" s="1"/>
  <c r="BX17" i="11" l="1"/>
  <c r="CC17" i="11" s="1"/>
  <c r="BU17" i="11"/>
  <c r="BV17" i="11" s="1"/>
  <c r="BS15" i="11"/>
  <c r="Y39" i="2"/>
  <c r="W23" i="9" s="1"/>
  <c r="W24" i="9" s="1"/>
  <c r="X39" i="2"/>
  <c r="K23" i="9" s="1"/>
  <c r="K24" i="9" s="1"/>
  <c r="W39" i="2"/>
  <c r="S20" i="21" s="1"/>
  <c r="J39" i="2"/>
  <c r="T23" i="11" s="1"/>
  <c r="T24" i="11" s="1"/>
  <c r="I39" i="2"/>
  <c r="H39" i="2"/>
  <c r="D20" i="21" s="1"/>
  <c r="X32" i="2"/>
  <c r="X17" i="21" s="1"/>
  <c r="W32" i="2"/>
  <c r="S17" i="21" s="1"/>
  <c r="J32" i="2"/>
  <c r="T17" i="11" s="1"/>
  <c r="T15" i="11" s="1"/>
  <c r="I32" i="2"/>
  <c r="I17" i="21" s="1"/>
  <c r="H32" i="2"/>
  <c r="D17" i="21" s="1"/>
  <c r="E32" i="2"/>
  <c r="D32" i="2"/>
  <c r="H17" i="21" s="1"/>
  <c r="H15" i="21" s="1"/>
  <c r="C32" i="2"/>
  <c r="C50" i="10"/>
  <c r="C34" i="16"/>
  <c r="C29" i="16"/>
  <c r="C27" i="16"/>
  <c r="E29" i="16" s="1"/>
  <c r="C15" i="16"/>
  <c r="E28" i="16" s="1"/>
  <c r="C39" i="2"/>
  <c r="C20" i="21" s="1"/>
  <c r="W5" i="9"/>
  <c r="F9" i="9"/>
  <c r="K5" i="9"/>
  <c r="F5" i="9"/>
  <c r="W5" i="7"/>
  <c r="D9" i="7"/>
  <c r="I5" i="7"/>
  <c r="D5" i="7"/>
  <c r="S39" i="2"/>
  <c r="W20" i="21" s="1"/>
  <c r="T39" i="2"/>
  <c r="H20" i="22" s="1"/>
  <c r="C29" i="2"/>
  <c r="I55" i="4"/>
  <c r="H55" i="4"/>
  <c r="G55" i="4"/>
  <c r="F55" i="4"/>
  <c r="C46" i="4"/>
  <c r="B46" i="4"/>
  <c r="D46" i="4" s="1"/>
  <c r="B42" i="4"/>
  <c r="B44" i="4" s="1"/>
  <c r="B37" i="4"/>
  <c r="B34" i="4"/>
  <c r="B39" i="4" s="1"/>
  <c r="B38" i="4" s="1"/>
  <c r="B43" i="4" s="1"/>
  <c r="C33" i="4"/>
  <c r="C34" i="4" s="1"/>
  <c r="C39" i="4" s="1"/>
  <c r="C38" i="4" s="1"/>
  <c r="C43" i="4" s="1"/>
  <c r="C44" i="4" s="1"/>
  <c r="B33" i="4"/>
  <c r="B26" i="4"/>
  <c r="C24" i="4"/>
  <c r="C26" i="4" s="1"/>
  <c r="B24" i="4"/>
  <c r="E6" i="4"/>
  <c r="D6" i="4"/>
  <c r="C6" i="4"/>
  <c r="B6" i="4"/>
  <c r="AB20" i="21" l="1"/>
  <c r="AB21" i="21" s="1"/>
  <c r="Y20" i="21"/>
  <c r="Z20" i="21" s="1"/>
  <c r="W21" i="21"/>
  <c r="C21" i="21"/>
  <c r="S17" i="11"/>
  <c r="C17" i="22"/>
  <c r="H18" i="21"/>
  <c r="J20" i="22"/>
  <c r="K20" i="22" s="1"/>
  <c r="H21" i="22"/>
  <c r="C17" i="11"/>
  <c r="C17" i="21"/>
  <c r="E17" i="21" s="1"/>
  <c r="F17" i="21" s="1"/>
  <c r="S21" i="21"/>
  <c r="T21" i="21" s="1"/>
  <c r="U21" i="21" s="1"/>
  <c r="T20" i="21"/>
  <c r="U20" i="21" s="1"/>
  <c r="AC20" i="21"/>
  <c r="X15" i="21"/>
  <c r="X24" i="21" s="1"/>
  <c r="E20" i="21"/>
  <c r="F20" i="21" s="1"/>
  <c r="D21" i="21"/>
  <c r="E21" i="21" s="1"/>
  <c r="F21" i="21" s="1"/>
  <c r="N20" i="21"/>
  <c r="I15" i="21"/>
  <c r="I24" i="21" s="1"/>
  <c r="J17" i="21"/>
  <c r="K17" i="21" s="1"/>
  <c r="S15" i="21"/>
  <c r="AC17" i="21"/>
  <c r="D15" i="21"/>
  <c r="N17" i="21"/>
  <c r="E30" i="16"/>
  <c r="C43" i="10"/>
  <c r="C24" i="16"/>
  <c r="C35" i="16" s="1"/>
  <c r="W23" i="7"/>
  <c r="T19" i="11"/>
  <c r="BA23" i="11"/>
  <c r="AE23" i="11"/>
  <c r="AE24" i="11" s="1"/>
  <c r="BM23" i="11"/>
  <c r="BM24" i="11" s="1"/>
  <c r="AJ23" i="11"/>
  <c r="C5" i="17"/>
  <c r="BX5" i="11"/>
  <c r="BZ5" i="11" s="1"/>
  <c r="CA5" i="11" s="1"/>
  <c r="H5" i="11"/>
  <c r="AC17" i="3"/>
  <c r="AE17" i="11"/>
  <c r="AE15" i="11" s="1"/>
  <c r="BA17" i="11"/>
  <c r="V5" i="7"/>
  <c r="X5" i="7" s="1"/>
  <c r="Y5" i="7" s="1"/>
  <c r="D5" i="17"/>
  <c r="D6" i="17" s="1"/>
  <c r="D7" i="17" s="1"/>
  <c r="S5" i="11"/>
  <c r="U5" i="11" s="1"/>
  <c r="V5" i="11" s="1"/>
  <c r="BU15" i="11"/>
  <c r="BV15" i="11" s="1"/>
  <c r="H17" i="3"/>
  <c r="H17" i="11"/>
  <c r="D23" i="7"/>
  <c r="D24" i="7" s="1"/>
  <c r="D23" i="11"/>
  <c r="E5" i="17"/>
  <c r="E6" i="17" s="1"/>
  <c r="E7" i="17" s="1"/>
  <c r="BS5" i="11"/>
  <c r="C5" i="11"/>
  <c r="N17" i="3"/>
  <c r="S15" i="11"/>
  <c r="U17" i="11"/>
  <c r="V17" i="11" s="1"/>
  <c r="I23" i="7"/>
  <c r="I24" i="7" s="1"/>
  <c r="I23" i="11"/>
  <c r="I24" i="11" s="1"/>
  <c r="BZ17" i="11"/>
  <c r="CA17" i="11" s="1"/>
  <c r="BX15" i="11"/>
  <c r="I17" i="7"/>
  <c r="I15" i="7" s="1"/>
  <c r="I19" i="7" s="1"/>
  <c r="I17" i="11"/>
  <c r="I15" i="11" s="1"/>
  <c r="F23" i="9"/>
  <c r="F24" i="9" s="1"/>
  <c r="Z23" i="11"/>
  <c r="AV23" i="11"/>
  <c r="X17" i="3"/>
  <c r="Z17" i="11"/>
  <c r="Z15" i="11" s="1"/>
  <c r="AV17" i="11"/>
  <c r="AV15" i="11" s="1"/>
  <c r="BS23" i="11"/>
  <c r="C23" i="11"/>
  <c r="CE17" i="11"/>
  <c r="CF17" i="11" s="1"/>
  <c r="CC15" i="11"/>
  <c r="M17" i="11"/>
  <c r="C15" i="11"/>
  <c r="AH17" i="3"/>
  <c r="AJ17" i="11"/>
  <c r="BM17" i="11"/>
  <c r="BM15" i="11" s="1"/>
  <c r="BM19" i="11" s="1"/>
  <c r="D17" i="7"/>
  <c r="D15" i="7" s="1"/>
  <c r="D19" i="7" s="1"/>
  <c r="D17" i="11"/>
  <c r="E17" i="11" s="1"/>
  <c r="F17" i="11" s="1"/>
  <c r="BL23" i="11"/>
  <c r="AI23" i="11"/>
  <c r="CO23" i="11"/>
  <c r="AZ23" i="11"/>
  <c r="AD23" i="11"/>
  <c r="C26" i="10"/>
  <c r="C9" i="16"/>
  <c r="C18" i="16" s="1"/>
  <c r="BK7" i="3"/>
  <c r="BM7" i="3" s="1"/>
  <c r="BN7" i="3" s="1"/>
  <c r="BK20" i="3"/>
  <c r="BM20" i="3" s="1"/>
  <c r="BN20" i="3" s="1"/>
  <c r="E5" i="9"/>
  <c r="BF5" i="3"/>
  <c r="BH5" i="3" s="1"/>
  <c r="BI5" i="3" s="1"/>
  <c r="J5" i="9"/>
  <c r="L5" i="9" s="1"/>
  <c r="M5" i="9" s="1"/>
  <c r="BK5" i="3"/>
  <c r="BM5" i="3" s="1"/>
  <c r="BN5" i="3" s="1"/>
  <c r="D39" i="2"/>
  <c r="H20" i="21" s="1"/>
  <c r="E39" i="2"/>
  <c r="C20" i="22" s="1"/>
  <c r="T32" i="2"/>
  <c r="H17" i="22" s="1"/>
  <c r="C17" i="7"/>
  <c r="S32" i="2"/>
  <c r="W17" i="21" s="1"/>
  <c r="V17" i="7"/>
  <c r="V15" i="7" s="1"/>
  <c r="C17" i="3"/>
  <c r="P5" i="9"/>
  <c r="J23" i="9"/>
  <c r="J24" i="9" s="1"/>
  <c r="W17" i="7"/>
  <c r="W15" i="7" s="1"/>
  <c r="W19" i="7" s="1"/>
  <c r="F17" i="9"/>
  <c r="F15" i="9" s="1"/>
  <c r="F19" i="9" s="1"/>
  <c r="V23" i="9"/>
  <c r="V24" i="9" s="1"/>
  <c r="X24" i="9" s="1"/>
  <c r="Y24" i="9" s="1"/>
  <c r="H5" i="7"/>
  <c r="V5" i="9"/>
  <c r="X5" i="9" s="1"/>
  <c r="Y5" i="9" s="1"/>
  <c r="D17" i="3"/>
  <c r="K17" i="9"/>
  <c r="K15" i="9" s="1"/>
  <c r="K19" i="9" s="1"/>
  <c r="I17" i="3"/>
  <c r="C5" i="7"/>
  <c r="E5" i="7" s="1"/>
  <c r="F5" i="7" s="1"/>
  <c r="W17" i="9"/>
  <c r="W15" i="9" s="1"/>
  <c r="W19" i="9" s="1"/>
  <c r="H17" i="7"/>
  <c r="H15" i="7" s="1"/>
  <c r="N5" i="7"/>
  <c r="W24" i="7"/>
  <c r="F38" i="2"/>
  <c r="C15" i="22" l="1"/>
  <c r="E17" i="22"/>
  <c r="F17" i="22" s="1"/>
  <c r="J20" i="21"/>
  <c r="K20" i="21" s="1"/>
  <c r="H21" i="21"/>
  <c r="E20" i="22"/>
  <c r="F20" i="22" s="1"/>
  <c r="C21" i="22"/>
  <c r="O17" i="21"/>
  <c r="P17" i="21" s="1"/>
  <c r="M20" i="21"/>
  <c r="M21" i="21" s="1"/>
  <c r="J21" i="22"/>
  <c r="K21" i="22" s="1"/>
  <c r="W15" i="21"/>
  <c r="Y17" i="21"/>
  <c r="Z17" i="21" s="1"/>
  <c r="Y21" i="21"/>
  <c r="Z21" i="21" s="1"/>
  <c r="C15" i="21"/>
  <c r="M17" i="21"/>
  <c r="M15" i="21" s="1"/>
  <c r="J17" i="22"/>
  <c r="K17" i="22" s="1"/>
  <c r="H15" i="22"/>
  <c r="AD20" i="21"/>
  <c r="AE20" i="21" s="1"/>
  <c r="AC21" i="21"/>
  <c r="AD21" i="21" s="1"/>
  <c r="AE21" i="21" s="1"/>
  <c r="X18" i="21"/>
  <c r="X16" i="21"/>
  <c r="N21" i="21"/>
  <c r="J15" i="21"/>
  <c r="K15" i="21" s="1"/>
  <c r="I18" i="21"/>
  <c r="J18" i="21" s="1"/>
  <c r="K18" i="21" s="1"/>
  <c r="I16" i="21"/>
  <c r="AC15" i="21"/>
  <c r="S18" i="21"/>
  <c r="N15" i="21"/>
  <c r="O15" i="21" s="1"/>
  <c r="P15" i="21" s="1"/>
  <c r="D18" i="21"/>
  <c r="E35" i="16"/>
  <c r="E43" i="10"/>
  <c r="N23" i="7"/>
  <c r="N24" i="7" s="1"/>
  <c r="J15" i="7"/>
  <c r="K15" i="7" s="1"/>
  <c r="P23" i="9"/>
  <c r="P24" i="9" s="1"/>
  <c r="N17" i="7"/>
  <c r="AM17" i="3"/>
  <c r="M15" i="11"/>
  <c r="F5" i="17"/>
  <c r="F6" i="17" s="1"/>
  <c r="F7" i="17" s="1"/>
  <c r="C6" i="17"/>
  <c r="C7" i="17" s="1"/>
  <c r="D15" i="11"/>
  <c r="E15" i="11" s="1"/>
  <c r="F15" i="11" s="1"/>
  <c r="N17" i="11"/>
  <c r="N15" i="11" s="1"/>
  <c r="N19" i="11" s="1"/>
  <c r="AV24" i="11"/>
  <c r="AW24" i="11" s="1"/>
  <c r="AX24" i="11" s="1"/>
  <c r="AW23" i="11"/>
  <c r="AX23" i="11" s="1"/>
  <c r="E23" i="11"/>
  <c r="F23" i="11" s="1"/>
  <c r="C24" i="11"/>
  <c r="AA23" i="11"/>
  <c r="AB23" i="11" s="1"/>
  <c r="Z24" i="11"/>
  <c r="J17" i="11"/>
  <c r="K17" i="11" s="1"/>
  <c r="H15" i="11"/>
  <c r="BA15" i="11"/>
  <c r="BF17" i="11"/>
  <c r="BF15" i="11" s="1"/>
  <c r="BZ15" i="11"/>
  <c r="CA15" i="11" s="1"/>
  <c r="BX19" i="11"/>
  <c r="BZ19" i="11" s="1"/>
  <c r="CA19" i="11" s="1"/>
  <c r="BU5" i="11"/>
  <c r="BV5" i="11" s="1"/>
  <c r="CC5" i="11"/>
  <c r="CC19" i="11" s="1"/>
  <c r="V19" i="7"/>
  <c r="X19" i="7" s="1"/>
  <c r="Y19" i="7" s="1"/>
  <c r="AJ15" i="11"/>
  <c r="AO17" i="11"/>
  <c r="AO15" i="11" s="1"/>
  <c r="BU23" i="11"/>
  <c r="BV23" i="11" s="1"/>
  <c r="BS24" i="11"/>
  <c r="U15" i="11"/>
  <c r="V15" i="11" s="1"/>
  <c r="S19" i="11"/>
  <c r="U19" i="11" s="1"/>
  <c r="V19" i="11" s="1"/>
  <c r="AE19" i="11"/>
  <c r="BA24" i="11"/>
  <c r="BF23" i="11"/>
  <c r="BF24" i="11" s="1"/>
  <c r="H23" i="7"/>
  <c r="H24" i="7" s="1"/>
  <c r="J24" i="7" s="1"/>
  <c r="K24" i="7" s="1"/>
  <c r="BX23" i="11"/>
  <c r="CC23" i="11" s="1"/>
  <c r="H23" i="11"/>
  <c r="M23" i="11" s="1"/>
  <c r="AJ24" i="11"/>
  <c r="AO23" i="11"/>
  <c r="AO24" i="11" s="1"/>
  <c r="O5" i="9"/>
  <c r="Q5" i="9" s="1"/>
  <c r="R5" i="9" s="1"/>
  <c r="AV19" i="11"/>
  <c r="I19" i="11"/>
  <c r="V23" i="7"/>
  <c r="V24" i="7" s="1"/>
  <c r="X24" i="7" s="1"/>
  <c r="Y24" i="7" s="1"/>
  <c r="S23" i="11"/>
  <c r="CE15" i="11"/>
  <c r="CF15" i="11" s="1"/>
  <c r="D24" i="11"/>
  <c r="N23" i="11"/>
  <c r="N24" i="11" s="1"/>
  <c r="E17" i="7"/>
  <c r="F17" i="7" s="1"/>
  <c r="C19" i="11"/>
  <c r="Z19" i="11"/>
  <c r="E5" i="11"/>
  <c r="F5" i="11" s="1"/>
  <c r="M5" i="11"/>
  <c r="O5" i="11" s="1"/>
  <c r="P5" i="11" s="1"/>
  <c r="BS19" i="11"/>
  <c r="BU19" i="11" s="1"/>
  <c r="BV19" i="11" s="1"/>
  <c r="J5" i="11"/>
  <c r="K5" i="11" s="1"/>
  <c r="H1" i="11"/>
  <c r="AF23" i="11"/>
  <c r="AG23" i="11" s="1"/>
  <c r="AD24" i="11"/>
  <c r="BB23" i="11"/>
  <c r="BC23" i="11" s="1"/>
  <c r="BE23" i="11"/>
  <c r="AZ24" i="11"/>
  <c r="CQ23" i="11"/>
  <c r="CR23" i="11" s="1"/>
  <c r="CO24" i="11"/>
  <c r="CT23" i="11"/>
  <c r="AK23" i="11"/>
  <c r="AL23" i="11" s="1"/>
  <c r="AI24" i="11"/>
  <c r="AN23" i="11"/>
  <c r="BN23" i="11"/>
  <c r="BO23" i="11" s="1"/>
  <c r="BL24" i="11"/>
  <c r="BN24" i="11" s="1"/>
  <c r="BO24" i="11" s="1"/>
  <c r="G5" i="9"/>
  <c r="H5" i="9" s="1"/>
  <c r="E17" i="3"/>
  <c r="F17" i="3" s="1"/>
  <c r="J17" i="3"/>
  <c r="K17" i="3" s="1"/>
  <c r="AG17" i="3"/>
  <c r="AI17" i="3" s="1"/>
  <c r="AJ17" i="3" s="1"/>
  <c r="AI17" i="11"/>
  <c r="AK17" i="11" s="1"/>
  <c r="BL17" i="11"/>
  <c r="BN17" i="11" s="1"/>
  <c r="BK17" i="3"/>
  <c r="BM17" i="3" s="1"/>
  <c r="BN17" i="3" s="1"/>
  <c r="AD17" i="11"/>
  <c r="AF17" i="11" s="1"/>
  <c r="CO17" i="11"/>
  <c r="CQ17" i="11" s="1"/>
  <c r="AZ17" i="11"/>
  <c r="BB17" i="11" s="1"/>
  <c r="E23" i="9"/>
  <c r="G23" i="9" s="1"/>
  <c r="H23" i="9" s="1"/>
  <c r="BF20" i="3"/>
  <c r="BH20" i="3" s="1"/>
  <c r="BI20" i="3" s="1"/>
  <c r="X23" i="9"/>
  <c r="Y23" i="9" s="1"/>
  <c r="R32" i="2"/>
  <c r="R17" i="21" s="1"/>
  <c r="AB17" i="21" s="1"/>
  <c r="L23" i="9"/>
  <c r="M23" i="9" s="1"/>
  <c r="C15" i="7"/>
  <c r="C19" i="7" s="1"/>
  <c r="E19" i="7" s="1"/>
  <c r="F19" i="7" s="1"/>
  <c r="J17" i="9"/>
  <c r="J15" i="9" s="1"/>
  <c r="X15" i="7"/>
  <c r="Y15" i="7" s="1"/>
  <c r="X17" i="7"/>
  <c r="Y17" i="7" s="1"/>
  <c r="M17" i="3"/>
  <c r="P17" i="9"/>
  <c r="P15" i="9" s="1"/>
  <c r="P19" i="9" s="1"/>
  <c r="M5" i="7"/>
  <c r="O5" i="7" s="1"/>
  <c r="P5" i="7" s="1"/>
  <c r="V17" i="9"/>
  <c r="V15" i="9" s="1"/>
  <c r="X15" i="9" s="1"/>
  <c r="Y15" i="9" s="1"/>
  <c r="S17" i="3"/>
  <c r="J5" i="7"/>
  <c r="K5" i="7" s="1"/>
  <c r="H19" i="7"/>
  <c r="J19" i="7" s="1"/>
  <c r="K19" i="7" s="1"/>
  <c r="J17" i="7"/>
  <c r="K17" i="7" s="1"/>
  <c r="M17" i="7"/>
  <c r="M15" i="7" s="1"/>
  <c r="C20" i="3"/>
  <c r="C23" i="7"/>
  <c r="L24" i="9"/>
  <c r="M24" i="9" s="1"/>
  <c r="E15" i="7"/>
  <c r="F15" i="7" s="1"/>
  <c r="N15" i="7"/>
  <c r="AB15" i="21" l="1"/>
  <c r="AD17" i="21"/>
  <c r="AE17" i="21" s="1"/>
  <c r="O20" i="21"/>
  <c r="P20" i="21" s="1"/>
  <c r="J15" i="22"/>
  <c r="K15" i="22" s="1"/>
  <c r="H18" i="22"/>
  <c r="J18" i="22" s="1"/>
  <c r="K18" i="22" s="1"/>
  <c r="O21" i="21"/>
  <c r="P21" i="21" s="1"/>
  <c r="J21" i="21"/>
  <c r="K21" i="21" s="1"/>
  <c r="M18" i="21"/>
  <c r="E21" i="22"/>
  <c r="F21" i="22" s="1"/>
  <c r="R15" i="21"/>
  <c r="T17" i="21"/>
  <c r="U17" i="21" s="1"/>
  <c r="Y18" i="21"/>
  <c r="Z18" i="21" s="1"/>
  <c r="C18" i="21"/>
  <c r="E18" i="21" s="1"/>
  <c r="F18" i="21" s="1"/>
  <c r="W18" i="21"/>
  <c r="Y15" i="21"/>
  <c r="Z15" i="21" s="1"/>
  <c r="E15" i="21"/>
  <c r="F15" i="21" s="1"/>
  <c r="E15" i="22"/>
  <c r="F15" i="22" s="1"/>
  <c r="C18" i="22"/>
  <c r="E18" i="22" s="1"/>
  <c r="F18" i="22" s="1"/>
  <c r="AD15" i="21"/>
  <c r="AE15" i="21" s="1"/>
  <c r="AC18" i="21"/>
  <c r="N18" i="21"/>
  <c r="AK24" i="11"/>
  <c r="AL24" i="11" s="1"/>
  <c r="BB24" i="11"/>
  <c r="BC24" i="11" s="1"/>
  <c r="X23" i="7"/>
  <c r="Y23" i="7" s="1"/>
  <c r="C1" i="11"/>
  <c r="CE19" i="11"/>
  <c r="CF19" i="11" s="1"/>
  <c r="M24" i="11"/>
  <c r="O24" i="11" s="1"/>
  <c r="P24" i="11" s="1"/>
  <c r="O23" i="11"/>
  <c r="P23" i="11" s="1"/>
  <c r="J23" i="7"/>
  <c r="K23" i="7" s="1"/>
  <c r="AA24" i="11"/>
  <c r="AB24" i="11" s="1"/>
  <c r="BU24" i="11"/>
  <c r="BV24" i="11" s="1"/>
  <c r="S24" i="11"/>
  <c r="U24" i="11" s="1"/>
  <c r="V24" i="11" s="1"/>
  <c r="U23" i="11"/>
  <c r="V23" i="11" s="1"/>
  <c r="AJ19" i="11"/>
  <c r="E24" i="11"/>
  <c r="F24" i="11" s="1"/>
  <c r="CE5" i="11"/>
  <c r="CF5" i="11" s="1"/>
  <c r="H19" i="11"/>
  <c r="J19" i="11" s="1"/>
  <c r="K19" i="11" s="1"/>
  <c r="J15" i="11"/>
  <c r="K15" i="11" s="1"/>
  <c r="J23" i="11"/>
  <c r="K23" i="11" s="1"/>
  <c r="H24" i="11"/>
  <c r="BF19" i="11"/>
  <c r="O15" i="11"/>
  <c r="P15" i="11" s="1"/>
  <c r="M19" i="11"/>
  <c r="CE23" i="11"/>
  <c r="CF23" i="11" s="1"/>
  <c r="CC24" i="11"/>
  <c r="AO19" i="11"/>
  <c r="D19" i="11"/>
  <c r="E19" i="11" s="1"/>
  <c r="F19" i="11" s="1"/>
  <c r="BZ23" i="11"/>
  <c r="CA23" i="11" s="1"/>
  <c r="BX24" i="11"/>
  <c r="BA19" i="11"/>
  <c r="O17" i="11"/>
  <c r="P17" i="11" s="1"/>
  <c r="CQ24" i="11"/>
  <c r="CR24" i="11" s="1"/>
  <c r="CO25" i="11"/>
  <c r="CQ25" i="11" s="1"/>
  <c r="BG23" i="11"/>
  <c r="BH23" i="11" s="1"/>
  <c r="BE24" i="11"/>
  <c r="BG24" i="11" s="1"/>
  <c r="BH24" i="11" s="1"/>
  <c r="E24" i="9"/>
  <c r="G24" i="9" s="1"/>
  <c r="H24" i="9" s="1"/>
  <c r="AN24" i="11"/>
  <c r="AP24" i="11" s="1"/>
  <c r="AQ24" i="11" s="1"/>
  <c r="AP23" i="11"/>
  <c r="AQ23" i="11" s="1"/>
  <c r="O23" i="9"/>
  <c r="O24" i="9" s="1"/>
  <c r="Q24" i="9" s="1"/>
  <c r="R24" i="9" s="1"/>
  <c r="AF24" i="11"/>
  <c r="AG24" i="11" s="1"/>
  <c r="CV23" i="11"/>
  <c r="CW23" i="11" s="1"/>
  <c r="CT24" i="11"/>
  <c r="CV24" i="11" s="1"/>
  <c r="CW24" i="11" s="1"/>
  <c r="Y17" i="11"/>
  <c r="AN17" i="11" s="1"/>
  <c r="AP17" i="11" s="1"/>
  <c r="AU17" i="11"/>
  <c r="BE17" i="11" s="1"/>
  <c r="BG17" i="11" s="1"/>
  <c r="CJ17" i="11"/>
  <c r="CT17" i="11" s="1"/>
  <c r="CV17" i="11" s="1"/>
  <c r="R17" i="3"/>
  <c r="T17" i="3" s="1"/>
  <c r="U17" i="3" s="1"/>
  <c r="O17" i="3"/>
  <c r="P17" i="3" s="1"/>
  <c r="BL15" i="11"/>
  <c r="BN15" i="11" s="1"/>
  <c r="BO17" i="11"/>
  <c r="AI15" i="11"/>
  <c r="AK15" i="11" s="1"/>
  <c r="AL17" i="11"/>
  <c r="AZ15" i="11"/>
  <c r="BB15" i="11" s="1"/>
  <c r="BC17" i="11"/>
  <c r="CO15" i="11"/>
  <c r="CQ15" i="11" s="1"/>
  <c r="CR17" i="11"/>
  <c r="AD15" i="11"/>
  <c r="AF15" i="11" s="1"/>
  <c r="AG17" i="11"/>
  <c r="W17" i="3"/>
  <c r="Y17" i="3" s="1"/>
  <c r="Z17" i="3" s="1"/>
  <c r="BF17" i="3"/>
  <c r="BH17" i="3" s="1"/>
  <c r="BI17" i="3" s="1"/>
  <c r="M19" i="7"/>
  <c r="E17" i="9"/>
  <c r="O17" i="9" s="1"/>
  <c r="Q17" i="9" s="1"/>
  <c r="R17" i="9" s="1"/>
  <c r="AB17" i="3"/>
  <c r="AD17" i="3" s="1"/>
  <c r="AE17" i="3" s="1"/>
  <c r="L17" i="9"/>
  <c r="M17" i="9" s="1"/>
  <c r="X17" i="9"/>
  <c r="Y17" i="9" s="1"/>
  <c r="V19" i="9"/>
  <c r="X19" i="9" s="1"/>
  <c r="Y19" i="9" s="1"/>
  <c r="L15" i="9"/>
  <c r="M15" i="9" s="1"/>
  <c r="J19" i="9"/>
  <c r="L19" i="9" s="1"/>
  <c r="M19" i="9" s="1"/>
  <c r="O17" i="7"/>
  <c r="P17" i="7" s="1"/>
  <c r="E23" i="7"/>
  <c r="F23" i="7" s="1"/>
  <c r="M23" i="7"/>
  <c r="C24" i="7"/>
  <c r="N19" i="7"/>
  <c r="O15" i="7"/>
  <c r="P15" i="7" s="1"/>
  <c r="R18" i="21" l="1"/>
  <c r="T18" i="21" s="1"/>
  <c r="U18" i="21" s="1"/>
  <c r="T15" i="21"/>
  <c r="U15" i="21" s="1"/>
  <c r="O18" i="21"/>
  <c r="P18" i="21" s="1"/>
  <c r="AB18" i="21"/>
  <c r="AD18" i="21" s="1"/>
  <c r="AE18" i="21" s="1"/>
  <c r="X25" i="21"/>
  <c r="X27" i="21"/>
  <c r="I25" i="21"/>
  <c r="I27" i="21"/>
  <c r="Q23" i="9"/>
  <c r="R23" i="9" s="1"/>
  <c r="J24" i="11"/>
  <c r="K24" i="11" s="1"/>
  <c r="O19" i="11"/>
  <c r="P19" i="11" s="1"/>
  <c r="CE24" i="11"/>
  <c r="CF24" i="11" s="1"/>
  <c r="BZ24" i="11"/>
  <c r="CA24" i="11" s="1"/>
  <c r="CJ15" i="11"/>
  <c r="CL17" i="11"/>
  <c r="CM17" i="11" s="1"/>
  <c r="AU15" i="11"/>
  <c r="AW17" i="11"/>
  <c r="AX17" i="11" s="1"/>
  <c r="Y15" i="11"/>
  <c r="AA17" i="11"/>
  <c r="AB17" i="11" s="1"/>
  <c r="AI19" i="11"/>
  <c r="AL15" i="11"/>
  <c r="BL19" i="11"/>
  <c r="BO15" i="11"/>
  <c r="AN15" i="11"/>
  <c r="AP15" i="11" s="1"/>
  <c r="AQ17" i="11"/>
  <c r="CR15" i="11"/>
  <c r="CO19" i="11"/>
  <c r="CO16" i="11"/>
  <c r="CQ16" i="11" s="1"/>
  <c r="CO20" i="11"/>
  <c r="CQ20" i="11" s="1"/>
  <c r="CW17" i="11"/>
  <c r="CT15" i="11"/>
  <c r="CV15" i="11" s="1"/>
  <c r="AG15" i="11"/>
  <c r="AD19" i="11"/>
  <c r="BH17" i="11"/>
  <c r="BE15" i="11"/>
  <c r="BG15" i="11" s="1"/>
  <c r="AZ19" i="11"/>
  <c r="BC15" i="11"/>
  <c r="O19" i="7"/>
  <c r="P19" i="7" s="1"/>
  <c r="O15" i="9"/>
  <c r="O19" i="9" s="1"/>
  <c r="Q19" i="9" s="1"/>
  <c r="R19" i="9" s="1"/>
  <c r="E15" i="9"/>
  <c r="G17" i="9"/>
  <c r="H17" i="9" s="1"/>
  <c r="AL17" i="3"/>
  <c r="AN17" i="3" s="1"/>
  <c r="AO17" i="3" s="1"/>
  <c r="E24" i="7"/>
  <c r="F24" i="7" s="1"/>
  <c r="O23" i="7"/>
  <c r="P23" i="7" s="1"/>
  <c r="M24" i="7"/>
  <c r="AA15" i="11" l="1"/>
  <c r="AB15" i="11" s="1"/>
  <c r="Y19" i="11"/>
  <c r="AA19" i="11" s="1"/>
  <c r="AB19" i="11" s="1"/>
  <c r="AW15" i="11"/>
  <c r="AX15" i="11" s="1"/>
  <c r="AU19" i="11"/>
  <c r="AW19" i="11" s="1"/>
  <c r="AX19" i="11" s="1"/>
  <c r="CL15" i="11"/>
  <c r="CM15" i="11" s="1"/>
  <c r="CJ19" i="11"/>
  <c r="CL19" i="11" s="1"/>
  <c r="CM19" i="11" s="1"/>
  <c r="BB19" i="11"/>
  <c r="BC19" i="11" s="1"/>
  <c r="BN19" i="11"/>
  <c r="BO19" i="11" s="1"/>
  <c r="CQ19" i="11"/>
  <c r="CR19" i="11" s="1"/>
  <c r="AF19" i="11"/>
  <c r="AG19" i="11" s="1"/>
  <c r="AK19" i="11"/>
  <c r="AL19" i="11" s="1"/>
  <c r="CW15" i="11"/>
  <c r="CT19" i="11"/>
  <c r="CO21" i="11"/>
  <c r="CQ21" i="11" s="1"/>
  <c r="CO27" i="11"/>
  <c r="CQ27" i="11" s="1"/>
  <c r="CR20" i="11"/>
  <c r="BH15" i="11"/>
  <c r="BE19" i="11"/>
  <c r="AN19" i="11"/>
  <c r="AQ15" i="11"/>
  <c r="Q15" i="9"/>
  <c r="R15" i="9" s="1"/>
  <c r="G15" i="9"/>
  <c r="H15" i="9" s="1"/>
  <c r="E19" i="9"/>
  <c r="G19" i="9" s="1"/>
  <c r="H19" i="9" s="1"/>
  <c r="O24" i="7"/>
  <c r="P24" i="7" s="1"/>
  <c r="CV19" i="11" l="1"/>
  <c r="CW19" i="11" s="1"/>
  <c r="AP19" i="11"/>
  <c r="AQ19" i="11" s="1"/>
  <c r="BG19" i="11"/>
  <c r="BH19" i="11" s="1"/>
  <c r="CO30" i="11"/>
  <c r="CR27" i="11"/>
  <c r="CO28" i="11"/>
  <c r="CQ28" i="11" s="1"/>
  <c r="BL10" i="3"/>
  <c r="BQ20" i="3"/>
  <c r="BQ21" i="3" s="1"/>
  <c r="BQ7" i="3"/>
  <c r="BL21" i="3"/>
  <c r="BL15" i="3"/>
  <c r="BL13" i="3" l="1"/>
  <c r="BL24" i="3" s="1"/>
  <c r="BQ5" i="3"/>
  <c r="BQ12" i="3" s="1"/>
  <c r="BG10" i="3"/>
  <c r="BG12" i="3"/>
  <c r="BL12" i="3"/>
  <c r="BG13" i="3"/>
  <c r="BQ9" i="3"/>
  <c r="BQ10" i="3" s="1"/>
  <c r="BG21" i="3"/>
  <c r="BQ17" i="3"/>
  <c r="BG15" i="3"/>
  <c r="BG18" i="3" s="1"/>
  <c r="BL18" i="3"/>
  <c r="BG24" i="3" l="1"/>
  <c r="BL22" i="3"/>
  <c r="BL16" i="3"/>
  <c r="BG22" i="3"/>
  <c r="BG16" i="3"/>
  <c r="BQ13" i="3"/>
  <c r="BQ24" i="3" s="1"/>
  <c r="BQ15" i="3"/>
  <c r="BQ18" i="3" s="1"/>
  <c r="BL25" i="3"/>
  <c r="AH15" i="3"/>
  <c r="AH5" i="3"/>
  <c r="AG5" i="3"/>
  <c r="J5" i="23" s="1"/>
  <c r="J6" i="23" s="1"/>
  <c r="J7" i="23" s="1"/>
  <c r="AB15" i="3"/>
  <c r="AC5" i="3"/>
  <c r="AB5" i="3"/>
  <c r="X15" i="3"/>
  <c r="X9" i="3"/>
  <c r="X5" i="3"/>
  <c r="W5" i="3"/>
  <c r="K5" i="23" s="1"/>
  <c r="K6" i="23" s="1"/>
  <c r="K7" i="23" s="1"/>
  <c r="N15" i="3"/>
  <c r="M15" i="3"/>
  <c r="N5" i="3"/>
  <c r="M5" i="3"/>
  <c r="I15" i="3"/>
  <c r="I5" i="3"/>
  <c r="H5" i="3"/>
  <c r="C5" i="23" s="1"/>
  <c r="D15" i="3"/>
  <c r="D9" i="3"/>
  <c r="C5" i="3"/>
  <c r="E5" i="23" s="1"/>
  <c r="E6" i="23" s="1"/>
  <c r="E7" i="23" s="1"/>
  <c r="D5" i="3"/>
  <c r="AW21" i="3"/>
  <c r="AR21" i="3"/>
  <c r="BB20" i="3"/>
  <c r="BB21" i="3" s="1"/>
  <c r="BB17" i="3"/>
  <c r="BB15" i="3" s="1"/>
  <c r="AW15" i="3"/>
  <c r="AW18" i="3" s="1"/>
  <c r="AR15" i="3"/>
  <c r="AW13" i="3"/>
  <c r="AR13" i="3"/>
  <c r="AW12" i="3"/>
  <c r="AR12" i="3"/>
  <c r="AW10" i="3"/>
  <c r="AR10" i="3"/>
  <c r="BB9" i="3"/>
  <c r="BB7" i="3"/>
  <c r="BB5" i="3"/>
  <c r="Z38" i="2"/>
  <c r="Z37" i="2"/>
  <c r="X29" i="2"/>
  <c r="W29" i="2"/>
  <c r="Y63" i="2"/>
  <c r="X63" i="2"/>
  <c r="W63" i="2"/>
  <c r="AH20" i="3"/>
  <c r="AC20" i="3"/>
  <c r="X20" i="3"/>
  <c r="Z28" i="2"/>
  <c r="Z27" i="2"/>
  <c r="Z26" i="2"/>
  <c r="Z29" i="2" s="1"/>
  <c r="Z25" i="2"/>
  <c r="Z24" i="2"/>
  <c r="J12" i="20"/>
  <c r="Y11" i="2"/>
  <c r="X11" i="2"/>
  <c r="W11" i="2"/>
  <c r="S7" i="21" s="1"/>
  <c r="Z9" i="2"/>
  <c r="J7" i="20" s="1"/>
  <c r="Z8" i="2"/>
  <c r="J6" i="20" s="1"/>
  <c r="T63" i="2"/>
  <c r="S63" i="2"/>
  <c r="R63" i="2"/>
  <c r="AG20" i="3"/>
  <c r="AI20" i="3" s="1"/>
  <c r="AJ20" i="3" s="1"/>
  <c r="AB20" i="3"/>
  <c r="AD20" i="3" s="1"/>
  <c r="AE20" i="3" s="1"/>
  <c r="W20" i="3"/>
  <c r="U38" i="2"/>
  <c r="AC38" i="2" s="1"/>
  <c r="U28" i="2"/>
  <c r="AC28" i="2" s="1"/>
  <c r="U27" i="2"/>
  <c r="AC27" i="2" s="1"/>
  <c r="U26" i="2"/>
  <c r="AC26" i="2" s="1"/>
  <c r="U25" i="2"/>
  <c r="AC25" i="2" s="1"/>
  <c r="U24" i="2"/>
  <c r="AC24" i="2" s="1"/>
  <c r="U21" i="2"/>
  <c r="T11" i="2"/>
  <c r="H7" i="22" s="1"/>
  <c r="S11" i="2"/>
  <c r="W7" i="21" s="1"/>
  <c r="R11" i="2"/>
  <c r="R7" i="21" s="1"/>
  <c r="U9" i="2"/>
  <c r="I7" i="20" s="1"/>
  <c r="U8" i="2"/>
  <c r="I6" i="20" s="1"/>
  <c r="J7" i="22" l="1"/>
  <c r="K7" i="22" s="1"/>
  <c r="H13" i="22"/>
  <c r="H12" i="22"/>
  <c r="J12" i="22" s="1"/>
  <c r="K12" i="22" s="1"/>
  <c r="H10" i="22"/>
  <c r="J10" i="22" s="1"/>
  <c r="AD5" i="3"/>
  <c r="AE5" i="3" s="1"/>
  <c r="I5" i="23"/>
  <c r="Y7" i="21"/>
  <c r="Z7" i="21" s="1"/>
  <c r="AB7" i="21"/>
  <c r="W12" i="21"/>
  <c r="Y12" i="21" s="1"/>
  <c r="Z12" i="21" s="1"/>
  <c r="W13" i="21"/>
  <c r="W10" i="21"/>
  <c r="Y10" i="21" s="1"/>
  <c r="AC21" i="2"/>
  <c r="AE21" i="2" s="1"/>
  <c r="I12" i="20"/>
  <c r="K12" i="20" s="1"/>
  <c r="L12" i="20" s="1"/>
  <c r="R13" i="21"/>
  <c r="R12" i="21"/>
  <c r="R10" i="21"/>
  <c r="K6" i="20"/>
  <c r="L6" i="20" s="1"/>
  <c r="Y20" i="3"/>
  <c r="Z20" i="3" s="1"/>
  <c r="Y5" i="3"/>
  <c r="Z5" i="3" s="1"/>
  <c r="C6" i="23"/>
  <c r="C7" i="23" s="1"/>
  <c r="AR24" i="3"/>
  <c r="AW24" i="3"/>
  <c r="AI5" i="3"/>
  <c r="AJ5" i="3" s="1"/>
  <c r="O5" i="3"/>
  <c r="P5" i="3" s="1"/>
  <c r="D5" i="23"/>
  <c r="D6" i="23" s="1"/>
  <c r="D7" i="23" s="1"/>
  <c r="J10" i="20"/>
  <c r="K7" i="20"/>
  <c r="L7" i="20" s="1"/>
  <c r="T7" i="21"/>
  <c r="U7" i="21" s="1"/>
  <c r="AC7" i="21"/>
  <c r="S10" i="21"/>
  <c r="T10" i="21" s="1"/>
  <c r="S12" i="21"/>
  <c r="T12" i="21" s="1"/>
  <c r="U12" i="21" s="1"/>
  <c r="S13" i="21"/>
  <c r="S24" i="21" s="1"/>
  <c r="J13" i="20"/>
  <c r="AC9" i="2"/>
  <c r="AE9" i="2" s="1"/>
  <c r="AC8" i="2"/>
  <c r="AE8" i="2" s="1"/>
  <c r="E5" i="3"/>
  <c r="F5" i="3" s="1"/>
  <c r="D18" i="3"/>
  <c r="W18" i="2"/>
  <c r="W40" i="2" s="1"/>
  <c r="AV7" i="11"/>
  <c r="Z7" i="11"/>
  <c r="AE7" i="11"/>
  <c r="BA7" i="11"/>
  <c r="K32" i="2"/>
  <c r="U29" i="2"/>
  <c r="AC29" i="2" s="1"/>
  <c r="AJ7" i="11"/>
  <c r="BM7" i="11"/>
  <c r="Z32" i="2"/>
  <c r="BL7" i="11"/>
  <c r="AI7" i="11"/>
  <c r="U11" i="2"/>
  <c r="AZ7" i="11"/>
  <c r="AD7" i="11"/>
  <c r="BF7" i="3"/>
  <c r="BH7" i="3" s="1"/>
  <c r="BI7" i="3" s="1"/>
  <c r="CJ7" i="11"/>
  <c r="AU7" i="11"/>
  <c r="Y7" i="11"/>
  <c r="J5" i="3"/>
  <c r="K5" i="3" s="1"/>
  <c r="O15" i="3"/>
  <c r="P15" i="3" s="1"/>
  <c r="BG25" i="3"/>
  <c r="U32" i="2"/>
  <c r="AC32" i="2" s="1"/>
  <c r="BQ25" i="3"/>
  <c r="BQ22" i="3"/>
  <c r="K7" i="9"/>
  <c r="K12" i="9" s="1"/>
  <c r="J7" i="9"/>
  <c r="U39" i="2"/>
  <c r="I16" i="20" s="1"/>
  <c r="W7" i="9"/>
  <c r="W12" i="9" s="1"/>
  <c r="Z39" i="2"/>
  <c r="J16" i="20" s="1"/>
  <c r="K16" i="20" s="1"/>
  <c r="L16" i="20" s="1"/>
  <c r="E7" i="9"/>
  <c r="BK15" i="3"/>
  <c r="BM15" i="3" s="1"/>
  <c r="BN15" i="3" s="1"/>
  <c r="V7" i="9"/>
  <c r="F7" i="9"/>
  <c r="BQ16" i="3"/>
  <c r="AG21" i="3"/>
  <c r="AR18" i="3"/>
  <c r="AB21" i="3"/>
  <c r="AB7" i="3"/>
  <c r="I11" i="23" s="1"/>
  <c r="W7" i="3"/>
  <c r="K11" i="23" s="1"/>
  <c r="K12" i="23" s="1"/>
  <c r="K13" i="23" s="1"/>
  <c r="AC7" i="3"/>
  <c r="AC12" i="3" s="1"/>
  <c r="AV17" i="3"/>
  <c r="AX17" i="3" s="1"/>
  <c r="AY17" i="3" s="1"/>
  <c r="X7" i="3"/>
  <c r="AH7" i="3"/>
  <c r="AH12" i="3" s="1"/>
  <c r="AG7" i="3"/>
  <c r="BK12" i="3"/>
  <c r="BM12" i="3" s="1"/>
  <c r="BN12" i="3" s="1"/>
  <c r="N18" i="3"/>
  <c r="AH18" i="3"/>
  <c r="M18" i="3"/>
  <c r="AM15" i="3"/>
  <c r="BB18" i="3"/>
  <c r="AL5" i="3"/>
  <c r="H15" i="3"/>
  <c r="J15" i="3" s="1"/>
  <c r="BB13" i="3"/>
  <c r="BB24" i="3" s="1"/>
  <c r="X21" i="3"/>
  <c r="X18" i="3"/>
  <c r="AL20" i="3"/>
  <c r="AM5" i="3"/>
  <c r="AQ5" i="3"/>
  <c r="AS5" i="3" s="1"/>
  <c r="AT5" i="3" s="1"/>
  <c r="R15" i="3"/>
  <c r="AQ17" i="3"/>
  <c r="AS17" i="3" s="1"/>
  <c r="AT17" i="3" s="1"/>
  <c r="AV5" i="3"/>
  <c r="AX5" i="3" s="1"/>
  <c r="AY5" i="3" s="1"/>
  <c r="S5" i="3"/>
  <c r="AL15" i="3"/>
  <c r="AC21" i="3"/>
  <c r="I18" i="3"/>
  <c r="W15" i="3"/>
  <c r="Y15" i="3" s="1"/>
  <c r="Z15" i="3" s="1"/>
  <c r="AH21" i="3"/>
  <c r="AW22" i="3"/>
  <c r="AM20" i="3"/>
  <c r="R5" i="3"/>
  <c r="AR22" i="3"/>
  <c r="AW16" i="3"/>
  <c r="AB18" i="3"/>
  <c r="C15" i="3"/>
  <c r="AC15" i="3"/>
  <c r="AD15" i="3" s="1"/>
  <c r="AE15" i="3" s="1"/>
  <c r="BB12" i="3"/>
  <c r="AG15" i="3"/>
  <c r="AI15" i="3" s="1"/>
  <c r="AJ15" i="3" s="1"/>
  <c r="BB10" i="3"/>
  <c r="AR16" i="3"/>
  <c r="W21" i="3"/>
  <c r="Z11" i="2"/>
  <c r="U63" i="2"/>
  <c r="AC63" i="2" s="1"/>
  <c r="AE63" i="2" s="1"/>
  <c r="AB13" i="21" l="1"/>
  <c r="AB12" i="21"/>
  <c r="AB10" i="21"/>
  <c r="R24" i="21"/>
  <c r="R22" i="21"/>
  <c r="R16" i="21"/>
  <c r="AI7" i="3"/>
  <c r="AJ7" i="3" s="1"/>
  <c r="J11" i="23"/>
  <c r="J12" i="23" s="1"/>
  <c r="J13" i="23" s="1"/>
  <c r="Y13" i="21"/>
  <c r="Z13" i="21" s="1"/>
  <c r="W24" i="21"/>
  <c r="W22" i="21"/>
  <c r="Y22" i="21" s="1"/>
  <c r="W16" i="21"/>
  <c r="Y16" i="21" s="1"/>
  <c r="J13" i="22"/>
  <c r="K13" i="22" s="1"/>
  <c r="H24" i="22"/>
  <c r="H22" i="22"/>
  <c r="J22" i="22" s="1"/>
  <c r="H16" i="22"/>
  <c r="J16" i="22" s="1"/>
  <c r="I12" i="23"/>
  <c r="I13" i="23" s="1"/>
  <c r="I6" i="23"/>
  <c r="I7" i="23" s="1"/>
  <c r="L5" i="23"/>
  <c r="L6" i="23" s="1"/>
  <c r="L7" i="23" s="1"/>
  <c r="AN5" i="3"/>
  <c r="AO5" i="3" s="1"/>
  <c r="AN15" i="3"/>
  <c r="AO15" i="3" s="1"/>
  <c r="AD21" i="3"/>
  <c r="AE21" i="3" s="1"/>
  <c r="AN20" i="3"/>
  <c r="AO20" i="3" s="1"/>
  <c r="F5" i="23"/>
  <c r="F6" i="23" s="1"/>
  <c r="F7" i="23" s="1"/>
  <c r="Y21" i="3"/>
  <c r="Z21" i="3" s="1"/>
  <c r="AI21" i="3"/>
  <c r="AJ21" i="3" s="1"/>
  <c r="AD7" i="3"/>
  <c r="AE7" i="3" s="1"/>
  <c r="AD7" i="21"/>
  <c r="AE7" i="21" s="1"/>
  <c r="AC10" i="21"/>
  <c r="AD10" i="21" s="1"/>
  <c r="AC13" i="21"/>
  <c r="AC24" i="21" s="1"/>
  <c r="AC12" i="21"/>
  <c r="AD12" i="21" s="1"/>
  <c r="AE12" i="21" s="1"/>
  <c r="T13" i="21"/>
  <c r="U13" i="21" s="1"/>
  <c r="S22" i="21"/>
  <c r="T22" i="21" s="1"/>
  <c r="S16" i="21"/>
  <c r="X10" i="3"/>
  <c r="Y7" i="3"/>
  <c r="Z7" i="3" s="1"/>
  <c r="J17" i="20"/>
  <c r="J14" i="20"/>
  <c r="J18" i="20"/>
  <c r="W34" i="2"/>
  <c r="W41" i="2" s="1"/>
  <c r="S28" i="21" s="1"/>
  <c r="AC39" i="2"/>
  <c r="AE39" i="2" s="1"/>
  <c r="T5" i="3"/>
  <c r="U5" i="3" s="1"/>
  <c r="Z63" i="2"/>
  <c r="L7" i="9"/>
  <c r="M7" i="9" s="1"/>
  <c r="X18" i="2"/>
  <c r="X40" i="2" s="1"/>
  <c r="BA9" i="11"/>
  <c r="BA13" i="11" s="1"/>
  <c r="AE9" i="11"/>
  <c r="AE13" i="11" s="1"/>
  <c r="BA12" i="11"/>
  <c r="BF7" i="11"/>
  <c r="Z15" i="2"/>
  <c r="BM9" i="11"/>
  <c r="BM13" i="11" s="1"/>
  <c r="AJ9" i="11"/>
  <c r="AJ13" i="11" s="1"/>
  <c r="BM12" i="11"/>
  <c r="AE12" i="11"/>
  <c r="AJ12" i="11"/>
  <c r="AO7" i="11"/>
  <c r="Z13" i="11"/>
  <c r="Z10" i="11"/>
  <c r="Z12" i="11"/>
  <c r="AV12" i="11"/>
  <c r="AV13" i="11"/>
  <c r="AV10" i="11"/>
  <c r="AF7" i="11"/>
  <c r="AG7" i="11" s="1"/>
  <c r="AD12" i="11"/>
  <c r="AD10" i="11"/>
  <c r="AD13" i="11"/>
  <c r="AZ13" i="11"/>
  <c r="BB7" i="11"/>
  <c r="BC7" i="11" s="1"/>
  <c r="AZ12" i="11"/>
  <c r="BE7" i="11"/>
  <c r="AZ10" i="11"/>
  <c r="AA7" i="11"/>
  <c r="AB7" i="11" s="1"/>
  <c r="Y12" i="11"/>
  <c r="Y10" i="11"/>
  <c r="Y13" i="11"/>
  <c r="AK7" i="11"/>
  <c r="AL7" i="11" s="1"/>
  <c r="AI12" i="11"/>
  <c r="AK12" i="11" s="1"/>
  <c r="AL12" i="11" s="1"/>
  <c r="AI10" i="11"/>
  <c r="AN7" i="11"/>
  <c r="AI13" i="11"/>
  <c r="CJ12" i="11"/>
  <c r="CL7" i="11"/>
  <c r="CM7" i="11" s="1"/>
  <c r="CJ10" i="11"/>
  <c r="CL10" i="11" s="1"/>
  <c r="CJ13" i="11"/>
  <c r="CT7" i="11"/>
  <c r="AW7" i="11"/>
  <c r="AX7" i="11" s="1"/>
  <c r="AU10" i="11"/>
  <c r="AU12" i="11"/>
  <c r="AU13" i="11"/>
  <c r="BN7" i="11"/>
  <c r="BO7" i="11" s="1"/>
  <c r="BL12" i="11"/>
  <c r="BL13" i="11"/>
  <c r="BL10" i="11"/>
  <c r="C18" i="3"/>
  <c r="E18" i="3" s="1"/>
  <c r="F18" i="3" s="1"/>
  <c r="E15" i="3"/>
  <c r="F15" i="3" s="1"/>
  <c r="O18" i="3"/>
  <c r="P18" i="3" s="1"/>
  <c r="Y18" i="2"/>
  <c r="Y40" i="2" s="1"/>
  <c r="J12" i="9"/>
  <c r="L12" i="9" s="1"/>
  <c r="M12" i="9" s="1"/>
  <c r="O7" i="9"/>
  <c r="O12" i="9" s="1"/>
  <c r="F12" i="9"/>
  <c r="F10" i="9"/>
  <c r="F13" i="9"/>
  <c r="E12" i="9"/>
  <c r="G7" i="9"/>
  <c r="H7" i="9" s="1"/>
  <c r="AC9" i="3"/>
  <c r="AC13" i="3" s="1"/>
  <c r="K9" i="9"/>
  <c r="AH9" i="3"/>
  <c r="AH13" i="3" s="1"/>
  <c r="W9" i="9"/>
  <c r="V12" i="9"/>
  <c r="X12" i="9" s="1"/>
  <c r="Y12" i="9" s="1"/>
  <c r="X7" i="9"/>
  <c r="Y7" i="9" s="1"/>
  <c r="BP17" i="3"/>
  <c r="BR17" i="3" s="1"/>
  <c r="BS17" i="3" s="1"/>
  <c r="P7" i="9"/>
  <c r="AV15" i="3"/>
  <c r="AX15" i="3" s="1"/>
  <c r="AY15" i="3" s="1"/>
  <c r="H18" i="3"/>
  <c r="K15" i="3"/>
  <c r="BP7" i="3"/>
  <c r="BR7" i="3" s="1"/>
  <c r="BS7" i="3" s="1"/>
  <c r="AL21" i="3"/>
  <c r="W18" i="3"/>
  <c r="Y18" i="3" s="1"/>
  <c r="Z18" i="3" s="1"/>
  <c r="BK18" i="3"/>
  <c r="BM18" i="3" s="1"/>
  <c r="BN18" i="3" s="1"/>
  <c r="AB12" i="3"/>
  <c r="AD12" i="3" s="1"/>
  <c r="AE12" i="3" s="1"/>
  <c r="W12" i="3"/>
  <c r="AL7" i="3"/>
  <c r="BA17" i="3"/>
  <c r="BC17" i="3" s="1"/>
  <c r="BD17" i="3" s="1"/>
  <c r="X13" i="3"/>
  <c r="X24" i="3" s="1"/>
  <c r="X12" i="3"/>
  <c r="AM7" i="3"/>
  <c r="BP20" i="3"/>
  <c r="BR20" i="3" s="1"/>
  <c r="BS20" i="3" s="1"/>
  <c r="AG12" i="3"/>
  <c r="AI12" i="3" s="1"/>
  <c r="AJ12" i="3" s="1"/>
  <c r="BK21" i="3"/>
  <c r="BM21" i="3" s="1"/>
  <c r="BN21" i="3" s="1"/>
  <c r="BF15" i="3"/>
  <c r="BH15" i="3" s="1"/>
  <c r="BI15" i="3" s="1"/>
  <c r="BP5" i="3"/>
  <c r="BR5" i="3" s="1"/>
  <c r="BS5" i="3" s="1"/>
  <c r="BF12" i="3"/>
  <c r="BH12" i="3" s="1"/>
  <c r="BI12" i="3" s="1"/>
  <c r="AW25" i="3"/>
  <c r="AL18" i="3"/>
  <c r="AM18" i="3"/>
  <c r="AN18" i="3" s="1"/>
  <c r="AO18" i="3" s="1"/>
  <c r="BB25" i="3"/>
  <c r="BB16" i="3"/>
  <c r="BB22" i="3"/>
  <c r="S15" i="3"/>
  <c r="T15" i="3" s="1"/>
  <c r="AQ15" i="3"/>
  <c r="AS15" i="3" s="1"/>
  <c r="AT15" i="3" s="1"/>
  <c r="R18" i="3"/>
  <c r="BA5" i="3"/>
  <c r="BC5" i="3" s="1"/>
  <c r="BD5" i="3" s="1"/>
  <c r="AM21" i="3"/>
  <c r="AG18" i="3"/>
  <c r="AI18" i="3" s="1"/>
  <c r="AJ18" i="3" s="1"/>
  <c r="AC18" i="3"/>
  <c r="AD18" i="3" s="1"/>
  <c r="AE18" i="3" s="1"/>
  <c r="J24" i="22" l="1"/>
  <c r="K24" i="22" s="1"/>
  <c r="H27" i="22"/>
  <c r="H25" i="22"/>
  <c r="J25" i="22" s="1"/>
  <c r="T16" i="21"/>
  <c r="R27" i="21"/>
  <c r="R25" i="21"/>
  <c r="L11" i="23"/>
  <c r="L12" i="23" s="1"/>
  <c r="L13" i="23" s="1"/>
  <c r="W25" i="21"/>
  <c r="Y25" i="21" s="1"/>
  <c r="W27" i="21"/>
  <c r="Y24" i="21"/>
  <c r="Z24" i="21" s="1"/>
  <c r="AN21" i="3"/>
  <c r="AO21" i="3" s="1"/>
  <c r="AB24" i="21"/>
  <c r="AB25" i="21" s="1"/>
  <c r="AB22" i="21"/>
  <c r="AB16" i="21"/>
  <c r="AN7" i="3"/>
  <c r="AO7" i="3" s="1"/>
  <c r="AC22" i="3"/>
  <c r="AC24" i="3"/>
  <c r="Y12" i="3"/>
  <c r="Z12" i="3" s="1"/>
  <c r="AH16" i="3"/>
  <c r="AH24" i="3"/>
  <c r="Z31" i="11"/>
  <c r="AV31" i="11"/>
  <c r="F31" i="9"/>
  <c r="X28" i="3"/>
  <c r="W35" i="2"/>
  <c r="AD13" i="21"/>
  <c r="AE13" i="21" s="1"/>
  <c r="AC22" i="21"/>
  <c r="AD22" i="21" s="1"/>
  <c r="AC16" i="21"/>
  <c r="AD16" i="21" s="1"/>
  <c r="J41" i="20"/>
  <c r="J19" i="20"/>
  <c r="AA10" i="11"/>
  <c r="X34" i="2"/>
  <c r="X41" i="2" s="1"/>
  <c r="BN12" i="11"/>
  <c r="BO12" i="11" s="1"/>
  <c r="AV25" i="11"/>
  <c r="AV20" i="11"/>
  <c r="AV16" i="11"/>
  <c r="BF12" i="11"/>
  <c r="AJ20" i="11"/>
  <c r="AJ16" i="11"/>
  <c r="AJ25" i="11"/>
  <c r="BA20" i="11"/>
  <c r="BA16" i="11"/>
  <c r="BA25" i="11"/>
  <c r="AW10" i="11"/>
  <c r="AF12" i="11"/>
  <c r="AG12" i="11" s="1"/>
  <c r="BM16" i="11"/>
  <c r="BM20" i="11"/>
  <c r="BM25" i="11"/>
  <c r="AE10" i="11"/>
  <c r="AF10" i="11" s="1"/>
  <c r="AF9" i="11"/>
  <c r="AG9" i="11" s="1"/>
  <c r="AE20" i="11"/>
  <c r="AE25" i="11"/>
  <c r="AE16" i="11"/>
  <c r="Z20" i="11"/>
  <c r="Z16" i="11"/>
  <c r="Z25" i="11"/>
  <c r="BA10" i="11"/>
  <c r="BB10" i="11" s="1"/>
  <c r="BB9" i="11"/>
  <c r="BC9" i="11" s="1"/>
  <c r="BF9" i="11"/>
  <c r="BF13" i="11" s="1"/>
  <c r="Z18" i="2"/>
  <c r="Z40" i="2" s="1"/>
  <c r="AO12" i="11"/>
  <c r="AJ10" i="11"/>
  <c r="AK10" i="11" s="1"/>
  <c r="AK9" i="11"/>
  <c r="AL9" i="11" s="1"/>
  <c r="AO9" i="11"/>
  <c r="AP9" i="11" s="1"/>
  <c r="AQ9" i="11" s="1"/>
  <c r="BB12" i="11"/>
  <c r="BC12" i="11" s="1"/>
  <c r="BM10" i="11"/>
  <c r="BN10" i="11" s="1"/>
  <c r="BN9" i="11"/>
  <c r="BO9" i="11" s="1"/>
  <c r="BG7" i="11"/>
  <c r="BH7" i="11" s="1"/>
  <c r="BE12" i="11"/>
  <c r="BE10" i="11"/>
  <c r="BE13" i="11"/>
  <c r="AU20" i="11"/>
  <c r="AW13" i="11"/>
  <c r="AX13" i="11" s="1"/>
  <c r="AU16" i="11"/>
  <c r="AU25" i="11"/>
  <c r="AA13" i="11"/>
  <c r="AB13" i="11" s="1"/>
  <c r="Y20" i="11"/>
  <c r="Y25" i="11"/>
  <c r="Y16" i="11"/>
  <c r="BB13" i="11"/>
  <c r="BC13" i="11" s="1"/>
  <c r="AZ25" i="11"/>
  <c r="AZ20" i="11"/>
  <c r="AZ16" i="11"/>
  <c r="BN13" i="11"/>
  <c r="BO13" i="11" s="1"/>
  <c r="BL25" i="11"/>
  <c r="BL20" i="11"/>
  <c r="BL16" i="11"/>
  <c r="BN16" i="11" s="1"/>
  <c r="CL13" i="11"/>
  <c r="CM13" i="11" s="1"/>
  <c r="CJ16" i="11"/>
  <c r="CL16" i="11" s="1"/>
  <c r="CJ20" i="11"/>
  <c r="CJ25" i="11"/>
  <c r="CL25" i="11" s="1"/>
  <c r="AW12" i="11"/>
  <c r="AX12" i="11" s="1"/>
  <c r="AF13" i="11"/>
  <c r="AG13" i="11" s="1"/>
  <c r="AD25" i="11"/>
  <c r="AD16" i="11"/>
  <c r="AD20" i="11"/>
  <c r="CV7" i="11"/>
  <c r="CW7" i="11" s="1"/>
  <c r="CT12" i="11"/>
  <c r="CT13" i="11"/>
  <c r="CT10" i="11"/>
  <c r="CV10" i="11" s="1"/>
  <c r="CL12" i="11"/>
  <c r="CM12" i="11" s="1"/>
  <c r="AA12" i="11"/>
  <c r="AB12" i="11" s="1"/>
  <c r="AK13" i="11"/>
  <c r="AL13" i="11" s="1"/>
  <c r="AI25" i="11"/>
  <c r="AI20" i="11"/>
  <c r="AI16" i="11"/>
  <c r="AP7" i="11"/>
  <c r="AQ7" i="11" s="1"/>
  <c r="AN13" i="11"/>
  <c r="AN12" i="11"/>
  <c r="AN10" i="11"/>
  <c r="J18" i="3"/>
  <c r="K18" i="3" s="1"/>
  <c r="U15" i="3"/>
  <c r="AC10" i="3"/>
  <c r="Q7" i="9"/>
  <c r="R7" i="9" s="1"/>
  <c r="AH10" i="3"/>
  <c r="AM9" i="3"/>
  <c r="AM10" i="3" s="1"/>
  <c r="G12" i="9"/>
  <c r="H12" i="9" s="1"/>
  <c r="P12" i="9"/>
  <c r="Q12" i="9" s="1"/>
  <c r="R12" i="9" s="1"/>
  <c r="BP15" i="3"/>
  <c r="BR15" i="3" s="1"/>
  <c r="BS15" i="3" s="1"/>
  <c r="W10" i="9"/>
  <c r="W13" i="9"/>
  <c r="F20" i="9"/>
  <c r="F16" i="9"/>
  <c r="F25" i="9"/>
  <c r="P9" i="9"/>
  <c r="P10" i="9" s="1"/>
  <c r="K10" i="9"/>
  <c r="K13" i="9"/>
  <c r="AC16" i="3"/>
  <c r="AR25" i="3"/>
  <c r="AL12" i="3"/>
  <c r="AV18" i="3"/>
  <c r="AX18" i="3" s="1"/>
  <c r="AY18" i="3" s="1"/>
  <c r="AH22" i="3"/>
  <c r="BA15" i="3"/>
  <c r="BC15" i="3" s="1"/>
  <c r="BD15" i="3" s="1"/>
  <c r="AM12" i="3"/>
  <c r="X22" i="3"/>
  <c r="X16" i="3"/>
  <c r="BP21" i="3"/>
  <c r="BR21" i="3" s="1"/>
  <c r="BS21" i="3" s="1"/>
  <c r="BF18" i="3"/>
  <c r="BH18" i="3" s="1"/>
  <c r="BI18" i="3" s="1"/>
  <c r="BP12" i="3"/>
  <c r="BR12" i="3" s="1"/>
  <c r="BS12" i="3" s="1"/>
  <c r="BF21" i="3"/>
  <c r="BH21" i="3" s="1"/>
  <c r="BI21" i="3" s="1"/>
  <c r="S18" i="3"/>
  <c r="AQ18" i="3"/>
  <c r="AS18" i="3" s="1"/>
  <c r="AT18" i="3" s="1"/>
  <c r="AN12" i="3" l="1"/>
  <c r="AO12" i="3" s="1"/>
  <c r="AC28" i="3"/>
  <c r="X28" i="21"/>
  <c r="X29" i="21" s="1"/>
  <c r="BA31" i="11"/>
  <c r="S27" i="21"/>
  <c r="S29" i="21" s="1"/>
  <c r="T24" i="21"/>
  <c r="U24" i="21" s="1"/>
  <c r="S25" i="21"/>
  <c r="T25" i="21" s="1"/>
  <c r="J52" i="20"/>
  <c r="J42" i="20"/>
  <c r="AE31" i="11"/>
  <c r="X35" i="2"/>
  <c r="AF16" i="11"/>
  <c r="AF25" i="11"/>
  <c r="Z34" i="2"/>
  <c r="Z35" i="2" s="1"/>
  <c r="K31" i="9"/>
  <c r="AW25" i="11"/>
  <c r="AO10" i="11"/>
  <c r="AP10" i="11" s="1"/>
  <c r="BN25" i="11"/>
  <c r="AO13" i="11"/>
  <c r="AO20" i="11" s="1"/>
  <c r="AK16" i="11"/>
  <c r="AW16" i="11"/>
  <c r="BG12" i="11"/>
  <c r="BH12" i="11" s="1"/>
  <c r="BB16" i="11"/>
  <c r="BA21" i="11"/>
  <c r="BA27" i="11"/>
  <c r="BF25" i="11"/>
  <c r="BF20" i="11"/>
  <c r="BF16" i="11"/>
  <c r="AE27" i="11"/>
  <c r="AE21" i="11"/>
  <c r="BB25" i="11"/>
  <c r="Z21" i="11"/>
  <c r="Z27" i="11"/>
  <c r="BM21" i="11"/>
  <c r="BM27" i="11"/>
  <c r="AV21" i="11"/>
  <c r="AV27" i="11"/>
  <c r="AK25" i="11"/>
  <c r="AJ21" i="11"/>
  <c r="AJ27" i="11"/>
  <c r="AA16" i="11"/>
  <c r="AA25" i="11"/>
  <c r="BF10" i="11"/>
  <c r="BG10" i="11" s="1"/>
  <c r="BG9" i="11"/>
  <c r="BH9" i="11" s="1"/>
  <c r="AP12" i="11"/>
  <c r="AQ12" i="11" s="1"/>
  <c r="CL20" i="11"/>
  <c r="CM20" i="11" s="1"/>
  <c r="CJ21" i="11"/>
  <c r="CL21" i="11" s="1"/>
  <c r="CJ27" i="11"/>
  <c r="AF20" i="11"/>
  <c r="AG20" i="11" s="1"/>
  <c r="AD27" i="11"/>
  <c r="AD21" i="11"/>
  <c r="AN25" i="11"/>
  <c r="AN20" i="11"/>
  <c r="AN16" i="11"/>
  <c r="AW20" i="11"/>
  <c r="AX20" i="11" s="1"/>
  <c r="AU21" i="11"/>
  <c r="AU27" i="11"/>
  <c r="BB20" i="11"/>
  <c r="BC20" i="11" s="1"/>
  <c r="AZ21" i="11"/>
  <c r="AZ27" i="11"/>
  <c r="BN20" i="11"/>
  <c r="BO20" i="11" s="1"/>
  <c r="BL21" i="11"/>
  <c r="BL27" i="11"/>
  <c r="AK20" i="11"/>
  <c r="AL20" i="11" s="1"/>
  <c r="AI21" i="11"/>
  <c r="AI27" i="11"/>
  <c r="BG13" i="11"/>
  <c r="BH13" i="11" s="1"/>
  <c r="BE25" i="11"/>
  <c r="BE20" i="11"/>
  <c r="BE16" i="11"/>
  <c r="CV12" i="11"/>
  <c r="CW12" i="11" s="1"/>
  <c r="AA20" i="11"/>
  <c r="AB20" i="11" s="1"/>
  <c r="Y21" i="11"/>
  <c r="Y27" i="11"/>
  <c r="CV13" i="11"/>
  <c r="CW13" i="11" s="1"/>
  <c r="CT25" i="11"/>
  <c r="CV25" i="11" s="1"/>
  <c r="CT20" i="11"/>
  <c r="CT16" i="11"/>
  <c r="CV16" i="11" s="1"/>
  <c r="T18" i="3"/>
  <c r="U18" i="3" s="1"/>
  <c r="AM13" i="3"/>
  <c r="AM24" i="3" s="1"/>
  <c r="BP18" i="3"/>
  <c r="BR18" i="3" s="1"/>
  <c r="BS18" i="3" s="1"/>
  <c r="P13" i="9"/>
  <c r="P20" i="9" s="1"/>
  <c r="K20" i="9"/>
  <c r="K16" i="9"/>
  <c r="K25" i="9"/>
  <c r="W20" i="9"/>
  <c r="W25" i="9"/>
  <c r="W16" i="9"/>
  <c r="F27" i="9"/>
  <c r="F21" i="9"/>
  <c r="AH25" i="3"/>
  <c r="AC25" i="3"/>
  <c r="AC27" i="3"/>
  <c r="X25" i="3"/>
  <c r="X27" i="3"/>
  <c r="X29" i="3" s="1"/>
  <c r="BA18" i="3"/>
  <c r="BC18" i="3" s="1"/>
  <c r="BD18" i="3" s="1"/>
  <c r="Y35" i="2"/>
  <c r="AC29" i="3" l="1"/>
  <c r="AC25" i="21"/>
  <c r="AD25" i="21" s="1"/>
  <c r="AD24" i="21"/>
  <c r="AE24" i="21" s="1"/>
  <c r="AW21" i="11"/>
  <c r="BG16" i="11"/>
  <c r="AP13" i="11"/>
  <c r="AQ13" i="11" s="1"/>
  <c r="BN21" i="11"/>
  <c r="AO25" i="11"/>
  <c r="AP25" i="11" s="1"/>
  <c r="AF21" i="11"/>
  <c r="AO16" i="11"/>
  <c r="AP16" i="11" s="1"/>
  <c r="P16" i="9"/>
  <c r="AK21" i="11"/>
  <c r="BM28" i="11"/>
  <c r="BM30" i="11"/>
  <c r="Z30" i="11"/>
  <c r="Z32" i="11" s="1"/>
  <c r="Z28" i="11"/>
  <c r="BA30" i="11"/>
  <c r="BA32" i="11" s="1"/>
  <c r="BA28" i="11"/>
  <c r="BB21" i="11"/>
  <c r="AJ31" i="11"/>
  <c r="BM31" i="11"/>
  <c r="BF27" i="11"/>
  <c r="BF28" i="11" s="1"/>
  <c r="BF21" i="11"/>
  <c r="AA21" i="11"/>
  <c r="AV28" i="11"/>
  <c r="AV30" i="11"/>
  <c r="AV32" i="11" s="1"/>
  <c r="AE28" i="11"/>
  <c r="AE30" i="11"/>
  <c r="AE32" i="11" s="1"/>
  <c r="BG25" i="11"/>
  <c r="AJ30" i="11"/>
  <c r="AJ28" i="11"/>
  <c r="AO21" i="11"/>
  <c r="AO27" i="11"/>
  <c r="AO28" i="11" s="1"/>
  <c r="AF27" i="11"/>
  <c r="AG27" i="11" s="1"/>
  <c r="AD28" i="11"/>
  <c r="AF28" i="11" s="1"/>
  <c r="AD30" i="11"/>
  <c r="BN27" i="11"/>
  <c r="BO27" i="11" s="1"/>
  <c r="BL28" i="11"/>
  <c r="BN28" i="11" s="1"/>
  <c r="BL30" i="11"/>
  <c r="CL27" i="11"/>
  <c r="CM27" i="11" s="1"/>
  <c r="CJ28" i="11"/>
  <c r="CL28" i="11" s="1"/>
  <c r="CJ30" i="11"/>
  <c r="AW27" i="11"/>
  <c r="AX27" i="11" s="1"/>
  <c r="AU28" i="11"/>
  <c r="AU30" i="11"/>
  <c r="AK27" i="11"/>
  <c r="AL27" i="11" s="1"/>
  <c r="AI30" i="11"/>
  <c r="AI28" i="11"/>
  <c r="BG20" i="11"/>
  <c r="BH20" i="11" s="1"/>
  <c r="BE27" i="11"/>
  <c r="BE21" i="11"/>
  <c r="AP20" i="11"/>
  <c r="AQ20" i="11" s="1"/>
  <c r="AN21" i="11"/>
  <c r="AN27" i="11"/>
  <c r="BB27" i="11"/>
  <c r="BC27" i="11" s="1"/>
  <c r="AZ30" i="11"/>
  <c r="AZ28" i="11"/>
  <c r="CV20" i="11"/>
  <c r="CW20" i="11" s="1"/>
  <c r="CT27" i="11"/>
  <c r="CT21" i="11"/>
  <c r="CV21" i="11" s="1"/>
  <c r="AA27" i="11"/>
  <c r="AB27" i="11" s="1"/>
  <c r="Y28" i="11"/>
  <c r="Y30" i="11"/>
  <c r="AM16" i="3"/>
  <c r="AM22" i="3"/>
  <c r="P25" i="9"/>
  <c r="W27" i="9"/>
  <c r="W21" i="9"/>
  <c r="P27" i="9"/>
  <c r="P28" i="9" s="1"/>
  <c r="P21" i="9"/>
  <c r="AH28" i="3"/>
  <c r="W31" i="9"/>
  <c r="F30" i="9"/>
  <c r="F32" i="9" s="1"/>
  <c r="F28" i="9"/>
  <c r="K21" i="9"/>
  <c r="K27" i="9"/>
  <c r="AH27" i="3"/>
  <c r="Z41" i="2"/>
  <c r="AA28" i="11" l="1"/>
  <c r="AM25" i="3"/>
  <c r="AJ32" i="11"/>
  <c r="AP21" i="11"/>
  <c r="BB28" i="11"/>
  <c r="AK28" i="11"/>
  <c r="AW28" i="11"/>
  <c r="BM32" i="11"/>
  <c r="BG21" i="11"/>
  <c r="AP27" i="11"/>
  <c r="AQ27" i="11" s="1"/>
  <c r="AN28" i="11"/>
  <c r="AP28" i="11" s="1"/>
  <c r="CV27" i="11"/>
  <c r="CW27" i="11" s="1"/>
  <c r="CT28" i="11"/>
  <c r="CV28" i="11" s="1"/>
  <c r="CT30" i="11"/>
  <c r="BG27" i="11"/>
  <c r="BH27" i="11" s="1"/>
  <c r="BE28" i="11"/>
  <c r="BG28" i="11" s="1"/>
  <c r="AH29" i="3"/>
  <c r="K28" i="9"/>
  <c r="K30" i="9"/>
  <c r="K32" i="9" s="1"/>
  <c r="W28" i="9"/>
  <c r="W30" i="9"/>
  <c r="W32" i="9" s="1"/>
  <c r="Z65" i="2"/>
  <c r="J63" i="2"/>
  <c r="I63" i="2"/>
  <c r="H63" i="2"/>
  <c r="I20" i="3"/>
  <c r="D20" i="3"/>
  <c r="K38" i="2"/>
  <c r="K37" i="2"/>
  <c r="J29" i="2"/>
  <c r="H29" i="2"/>
  <c r="K25" i="2"/>
  <c r="K24" i="2"/>
  <c r="J11" i="2"/>
  <c r="T7" i="11" s="1"/>
  <c r="I11" i="2"/>
  <c r="I7" i="11" s="1"/>
  <c r="H11" i="2"/>
  <c r="K9" i="2"/>
  <c r="D7" i="20" s="1"/>
  <c r="K8" i="2"/>
  <c r="D6" i="20" s="1"/>
  <c r="E6" i="20" s="1"/>
  <c r="F6" i="20" s="1"/>
  <c r="M20" i="3"/>
  <c r="E63" i="2"/>
  <c r="D63" i="2"/>
  <c r="C63" i="2"/>
  <c r="F37" i="2"/>
  <c r="F39" i="2" s="1"/>
  <c r="C16" i="20" s="1"/>
  <c r="H20" i="3"/>
  <c r="E29" i="2"/>
  <c r="D29" i="2"/>
  <c r="F28" i="2"/>
  <c r="F27" i="2"/>
  <c r="F26" i="2"/>
  <c r="F25" i="2"/>
  <c r="F24" i="2"/>
  <c r="F21" i="2"/>
  <c r="C12" i="20" s="1"/>
  <c r="E12" i="20" s="1"/>
  <c r="F12" i="20" s="1"/>
  <c r="E11" i="2"/>
  <c r="C7" i="22" s="1"/>
  <c r="D11" i="2"/>
  <c r="H7" i="21" s="1"/>
  <c r="C11" i="2"/>
  <c r="C7" i="21" s="1"/>
  <c r="F9" i="2"/>
  <c r="C7" i="20" s="1"/>
  <c r="F8" i="2"/>
  <c r="C6" i="20" s="1"/>
  <c r="AG70" i="1"/>
  <c r="AF70" i="1"/>
  <c r="AE70" i="1"/>
  <c r="AB70" i="1"/>
  <c r="AA70" i="1"/>
  <c r="Z70" i="1"/>
  <c r="W70" i="1"/>
  <c r="AG69" i="1"/>
  <c r="AF69" i="1"/>
  <c r="AE69" i="1"/>
  <c r="AB69" i="1"/>
  <c r="AA69" i="1"/>
  <c r="Z69" i="1"/>
  <c r="W69" i="1"/>
  <c r="AG66" i="1"/>
  <c r="AF66" i="1"/>
  <c r="AE66" i="1"/>
  <c r="AB66" i="1"/>
  <c r="AA66" i="1"/>
  <c r="Z66" i="1"/>
  <c r="W66" i="1"/>
  <c r="G66" i="1"/>
  <c r="AG65" i="1"/>
  <c r="AF65" i="1"/>
  <c r="AE65" i="1"/>
  <c r="AB65" i="1"/>
  <c r="AA65" i="1"/>
  <c r="Z65" i="1"/>
  <c r="W65" i="1"/>
  <c r="AH58" i="1"/>
  <c r="R58" i="1"/>
  <c r="Q58" i="1"/>
  <c r="P58" i="1"/>
  <c r="O58" i="1"/>
  <c r="K58" i="1"/>
  <c r="J58" i="1"/>
  <c r="I58" i="1"/>
  <c r="F58" i="1"/>
  <c r="E58" i="1"/>
  <c r="D58" i="1"/>
  <c r="C58" i="1"/>
  <c r="W57" i="1"/>
  <c r="G57" i="1"/>
  <c r="W56" i="1"/>
  <c r="W55" i="1"/>
  <c r="W54" i="1"/>
  <c r="AC53" i="1"/>
  <c r="AC58" i="1" s="1"/>
  <c r="W53" i="1"/>
  <c r="L53" i="1"/>
  <c r="W52" i="1"/>
  <c r="W51" i="1"/>
  <c r="G51" i="1"/>
  <c r="W50" i="1"/>
  <c r="G50" i="1"/>
  <c r="W49" i="1"/>
  <c r="G49" i="1"/>
  <c r="W48" i="1"/>
  <c r="G48" i="1"/>
  <c r="W47" i="1"/>
  <c r="W58" i="1" s="1"/>
  <c r="G47" i="1"/>
  <c r="W44" i="1"/>
  <c r="AG38" i="1"/>
  <c r="AF38" i="1"/>
  <c r="AE38" i="1"/>
  <c r="AH38" i="1" s="1"/>
  <c r="AI38" i="1" s="1"/>
  <c r="AB38" i="1"/>
  <c r="AC38" i="1" s="1"/>
  <c r="AA38" i="1"/>
  <c r="Z38" i="1"/>
  <c r="Q38" i="1"/>
  <c r="R38" i="1" s="1"/>
  <c r="P38" i="1"/>
  <c r="O38" i="1"/>
  <c r="K38" i="1"/>
  <c r="J38" i="1"/>
  <c r="I38" i="1"/>
  <c r="L38" i="1" s="1"/>
  <c r="E38" i="1"/>
  <c r="AH37" i="1"/>
  <c r="AC37" i="1"/>
  <c r="V37" i="1"/>
  <c r="U37" i="1"/>
  <c r="T37" i="1"/>
  <c r="W37" i="1" s="1"/>
  <c r="R37" i="1"/>
  <c r="L37" i="1"/>
  <c r="F37" i="1"/>
  <c r="G37" i="1" s="1"/>
  <c r="AH36" i="1"/>
  <c r="AC36" i="1"/>
  <c r="X36" i="1"/>
  <c r="V36" i="1"/>
  <c r="V38" i="1" s="1"/>
  <c r="U36" i="1"/>
  <c r="U38" i="1" s="1"/>
  <c r="T36" i="1"/>
  <c r="W36" i="1" s="1"/>
  <c r="R36" i="1"/>
  <c r="L36" i="1"/>
  <c r="F36" i="1"/>
  <c r="G36" i="1" s="1"/>
  <c r="D38" i="1"/>
  <c r="C38" i="1"/>
  <c r="F31" i="1"/>
  <c r="E31" i="1"/>
  <c r="D31" i="1"/>
  <c r="C31" i="1"/>
  <c r="AG28" i="1"/>
  <c r="AG31" i="1" s="1"/>
  <c r="AF28" i="1"/>
  <c r="AF31" i="1" s="1"/>
  <c r="AE28" i="1"/>
  <c r="AE31" i="1" s="1"/>
  <c r="AB28" i="1"/>
  <c r="AB31" i="1" s="1"/>
  <c r="AA28" i="1"/>
  <c r="AA31" i="1" s="1"/>
  <c r="Z28" i="1"/>
  <c r="Z31" i="1" s="1"/>
  <c r="Q28" i="1"/>
  <c r="Q31" i="1" s="1"/>
  <c r="P28" i="1"/>
  <c r="P31" i="1" s="1"/>
  <c r="O28" i="1"/>
  <c r="O31" i="1" s="1"/>
  <c r="K28" i="1"/>
  <c r="K31" i="1" s="1"/>
  <c r="J28" i="1"/>
  <c r="J31" i="1" s="1"/>
  <c r="I28" i="1"/>
  <c r="I31" i="1" s="1"/>
  <c r="E28" i="1"/>
  <c r="D28" i="1"/>
  <c r="C28" i="1"/>
  <c r="AH27" i="1"/>
  <c r="AC27" i="1"/>
  <c r="V27" i="1"/>
  <c r="U27" i="1"/>
  <c r="T27" i="1"/>
  <c r="W27" i="1" s="1"/>
  <c r="R27" i="1"/>
  <c r="R28" i="1" s="1"/>
  <c r="R31" i="1" s="1"/>
  <c r="L27" i="1"/>
  <c r="F27" i="1"/>
  <c r="AH26" i="1"/>
  <c r="AC26" i="1"/>
  <c r="V26" i="1"/>
  <c r="U26" i="1"/>
  <c r="T26" i="1"/>
  <c r="W26" i="1" s="1"/>
  <c r="R26" i="1"/>
  <c r="L26" i="1"/>
  <c r="L28" i="1" s="1"/>
  <c r="L31" i="1" s="1"/>
  <c r="F26" i="1"/>
  <c r="AH25" i="1"/>
  <c r="AC25" i="1"/>
  <c r="V25" i="1"/>
  <c r="U25" i="1"/>
  <c r="W25" i="1" s="1"/>
  <c r="T25" i="1"/>
  <c r="R25" i="1"/>
  <c r="L25" i="1"/>
  <c r="F25" i="1"/>
  <c r="AH24" i="1"/>
  <c r="AC24" i="1"/>
  <c r="V24" i="1"/>
  <c r="W24" i="1" s="1"/>
  <c r="U24" i="1"/>
  <c r="T24" i="1"/>
  <c r="T28" i="1" s="1"/>
  <c r="T31" i="1" s="1"/>
  <c r="R24" i="1"/>
  <c r="L24" i="1"/>
  <c r="F24" i="1"/>
  <c r="AH23" i="1"/>
  <c r="AH28" i="1" s="1"/>
  <c r="AH31" i="1" s="1"/>
  <c r="AC23" i="1"/>
  <c r="AC28" i="1" s="1"/>
  <c r="AC31" i="1" s="1"/>
  <c r="W23" i="1"/>
  <c r="V23" i="1"/>
  <c r="V28" i="1" s="1"/>
  <c r="V31" i="1" s="1"/>
  <c r="U23" i="1"/>
  <c r="U28" i="1" s="1"/>
  <c r="U31" i="1" s="1"/>
  <c r="T23" i="1"/>
  <c r="R23" i="1"/>
  <c r="L23" i="1"/>
  <c r="F23" i="1"/>
  <c r="F28" i="1" s="1"/>
  <c r="AH20" i="1"/>
  <c r="AC20" i="1"/>
  <c r="W20" i="1"/>
  <c r="V20" i="1"/>
  <c r="U20" i="1"/>
  <c r="T20" i="1"/>
  <c r="R20" i="1"/>
  <c r="L20" i="1"/>
  <c r="G20" i="1"/>
  <c r="G21" i="1" s="1"/>
  <c r="F20" i="1"/>
  <c r="AA17" i="1"/>
  <c r="AA33" i="1" s="1"/>
  <c r="P17" i="1"/>
  <c r="P33" i="1" s="1"/>
  <c r="P40" i="1" s="1"/>
  <c r="P41" i="1" s="1"/>
  <c r="AH15" i="1"/>
  <c r="AC15" i="1"/>
  <c r="X15" i="1"/>
  <c r="R15" i="1"/>
  <c r="J15" i="1"/>
  <c r="AG11" i="1"/>
  <c r="AG17" i="1" s="1"/>
  <c r="AG33" i="1" s="1"/>
  <c r="AF11" i="1"/>
  <c r="AF17" i="1" s="1"/>
  <c r="AF33" i="1" s="1"/>
  <c r="AE11" i="1"/>
  <c r="AE17" i="1" s="1"/>
  <c r="AC11" i="1"/>
  <c r="AB11" i="1"/>
  <c r="AB17" i="1" s="1"/>
  <c r="AB33" i="1" s="1"/>
  <c r="AA11" i="1"/>
  <c r="Z11" i="1"/>
  <c r="Z17" i="1" s="1"/>
  <c r="U11" i="1"/>
  <c r="T11" i="1"/>
  <c r="R11" i="1"/>
  <c r="Q11" i="1"/>
  <c r="Q17" i="1" s="1"/>
  <c r="Q33" i="1" s="1"/>
  <c r="Q40" i="1" s="1"/>
  <c r="Q41" i="1" s="1"/>
  <c r="P11" i="1"/>
  <c r="O11" i="1"/>
  <c r="O17" i="1" s="1"/>
  <c r="K11" i="1"/>
  <c r="J11" i="1"/>
  <c r="J17" i="1" s="1"/>
  <c r="I11" i="1"/>
  <c r="E11" i="1"/>
  <c r="E15" i="1" s="1"/>
  <c r="V15" i="1" s="1"/>
  <c r="D11" i="1"/>
  <c r="D15" i="1" s="1"/>
  <c r="C11" i="1"/>
  <c r="C15" i="1" s="1"/>
  <c r="AH9" i="1"/>
  <c r="AH11" i="1" s="1"/>
  <c r="AC9" i="1"/>
  <c r="V9" i="1"/>
  <c r="V11" i="1" s="1"/>
  <c r="V17" i="1" s="1"/>
  <c r="V33" i="1" s="1"/>
  <c r="U9" i="1"/>
  <c r="T9" i="1"/>
  <c r="R9" i="1"/>
  <c r="L9" i="1"/>
  <c r="L11" i="1" s="1"/>
  <c r="G9" i="1"/>
  <c r="G10" i="1" s="1"/>
  <c r="F9" i="1"/>
  <c r="F11" i="1" s="1"/>
  <c r="AH8" i="1"/>
  <c r="AC8" i="1"/>
  <c r="R8" i="1"/>
  <c r="M8" i="1"/>
  <c r="M9" i="1" s="1"/>
  <c r="M10" i="1" s="1"/>
  <c r="L8" i="1"/>
  <c r="E8" i="1"/>
  <c r="V8" i="1" s="1"/>
  <c r="D8" i="1"/>
  <c r="F8" i="1" s="1"/>
  <c r="C8" i="1"/>
  <c r="T8" i="1" s="1"/>
  <c r="H12" i="21" l="1"/>
  <c r="J12" i="21" s="1"/>
  <c r="K12" i="21" s="1"/>
  <c r="H13" i="21"/>
  <c r="J7" i="21"/>
  <c r="K7" i="21" s="1"/>
  <c r="H10" i="21"/>
  <c r="J10" i="21" s="1"/>
  <c r="C12" i="21"/>
  <c r="M7" i="21"/>
  <c r="C13" i="21"/>
  <c r="C10" i="21"/>
  <c r="C12" i="22"/>
  <c r="E12" i="22" s="1"/>
  <c r="F12" i="22" s="1"/>
  <c r="E7" i="22"/>
  <c r="F7" i="22" s="1"/>
  <c r="C13" i="22"/>
  <c r="C10" i="22"/>
  <c r="E10" i="22" s="1"/>
  <c r="E7" i="20"/>
  <c r="F7" i="20" s="1"/>
  <c r="D7" i="11"/>
  <c r="D13" i="11" s="1"/>
  <c r="D7" i="21"/>
  <c r="S9" i="11"/>
  <c r="D11" i="17"/>
  <c r="D12" i="17" s="1"/>
  <c r="D13" i="17" s="1"/>
  <c r="S7" i="11"/>
  <c r="F32" i="2"/>
  <c r="D12" i="11"/>
  <c r="N7" i="11"/>
  <c r="H9" i="3"/>
  <c r="C11" i="17"/>
  <c r="BX7" i="11"/>
  <c r="H7" i="11"/>
  <c r="T12" i="11"/>
  <c r="I12" i="11"/>
  <c r="K39" i="2"/>
  <c r="D16" i="20" s="1"/>
  <c r="E16" i="20" s="1"/>
  <c r="F16" i="20" s="1"/>
  <c r="F11" i="2"/>
  <c r="G3" i="1"/>
  <c r="C9" i="3"/>
  <c r="E9" i="3" s="1"/>
  <c r="E11" i="17"/>
  <c r="E12" i="17" s="1"/>
  <c r="E13" i="17" s="1"/>
  <c r="BS7" i="11"/>
  <c r="C7" i="11"/>
  <c r="E20" i="3"/>
  <c r="F20" i="3" s="1"/>
  <c r="J20" i="3"/>
  <c r="K20" i="3" s="1"/>
  <c r="BF9" i="3"/>
  <c r="BH9" i="3" s="1"/>
  <c r="BI9" i="3" s="1"/>
  <c r="M9" i="3"/>
  <c r="W7" i="7"/>
  <c r="W12" i="7" s="1"/>
  <c r="I7" i="7"/>
  <c r="I12" i="7" s="1"/>
  <c r="D7" i="7"/>
  <c r="D12" i="7" s="1"/>
  <c r="H18" i="2"/>
  <c r="H40" i="2" s="1"/>
  <c r="H7" i="7"/>
  <c r="V7" i="7"/>
  <c r="C7" i="7"/>
  <c r="M21" i="3"/>
  <c r="I7" i="3"/>
  <c r="I12" i="3" s="1"/>
  <c r="Z66" i="2"/>
  <c r="D7" i="3"/>
  <c r="D12" i="3" s="1"/>
  <c r="M7" i="3"/>
  <c r="D11" i="23" s="1"/>
  <c r="D12" i="23" s="1"/>
  <c r="D13" i="23" s="1"/>
  <c r="D21" i="3"/>
  <c r="N7" i="3"/>
  <c r="I21" i="3"/>
  <c r="N20" i="3"/>
  <c r="S20" i="3" s="1"/>
  <c r="AV20" i="3"/>
  <c r="AX20" i="3" s="1"/>
  <c r="AY20" i="3" s="1"/>
  <c r="H21" i="3"/>
  <c r="K11" i="2"/>
  <c r="C7" i="3"/>
  <c r="E11" i="23" s="1"/>
  <c r="E12" i="23" s="1"/>
  <c r="E13" i="23" s="1"/>
  <c r="H7" i="3"/>
  <c r="C11" i="23" s="1"/>
  <c r="F29" i="2"/>
  <c r="R17" i="1"/>
  <c r="R33" i="1" s="1"/>
  <c r="O33" i="1"/>
  <c r="O40" i="1" s="1"/>
  <c r="F38" i="1"/>
  <c r="AF40" i="1"/>
  <c r="AF41" i="1" s="1"/>
  <c r="AF34" i="1"/>
  <c r="V40" i="1"/>
  <c r="V41" i="1" s="1"/>
  <c r="V34" i="1"/>
  <c r="AH17" i="1"/>
  <c r="AH33" i="1" s="1"/>
  <c r="AH34" i="1" s="1"/>
  <c r="AE33" i="1"/>
  <c r="AG40" i="1"/>
  <c r="AG41" i="1" s="1"/>
  <c r="AG34" i="1"/>
  <c r="W28" i="1"/>
  <c r="W31" i="1" s="1"/>
  <c r="U15" i="1"/>
  <c r="U17" i="1" s="1"/>
  <c r="U33" i="1" s="1"/>
  <c r="D17" i="1"/>
  <c r="D33" i="1" s="1"/>
  <c r="T17" i="1"/>
  <c r="AB34" i="1"/>
  <c r="AB40" i="1"/>
  <c r="AB41" i="1" s="1"/>
  <c r="T15" i="1"/>
  <c r="W15" i="1" s="1"/>
  <c r="F15" i="1"/>
  <c r="G15" i="1" s="1"/>
  <c r="AA34" i="1"/>
  <c r="AA40" i="1"/>
  <c r="AA41" i="1" s="1"/>
  <c r="J33" i="1"/>
  <c r="AC17" i="1"/>
  <c r="AC33" i="1" s="1"/>
  <c r="AC34" i="1" s="1"/>
  <c r="Z33" i="1"/>
  <c r="W9" i="1"/>
  <c r="W11" i="1" s="1"/>
  <c r="E17" i="1"/>
  <c r="E33" i="1" s="1"/>
  <c r="G8" i="1"/>
  <c r="C17" i="1"/>
  <c r="T38" i="1"/>
  <c r="W38" i="1" s="1"/>
  <c r="I15" i="1"/>
  <c r="L57" i="1"/>
  <c r="L58" i="1" s="1"/>
  <c r="K15" i="1"/>
  <c r="K17" i="1" s="1"/>
  <c r="K33" i="1" s="1"/>
  <c r="U8" i="1"/>
  <c r="W8" i="1" s="1"/>
  <c r="C24" i="21" l="1"/>
  <c r="C22" i="21"/>
  <c r="C16" i="21"/>
  <c r="M10" i="21"/>
  <c r="M13" i="21"/>
  <c r="M12" i="21"/>
  <c r="C24" i="22"/>
  <c r="E13" i="22"/>
  <c r="F13" i="22" s="1"/>
  <c r="C22" i="22"/>
  <c r="E22" i="22" s="1"/>
  <c r="C16" i="22"/>
  <c r="E16" i="22" s="1"/>
  <c r="H24" i="21"/>
  <c r="J13" i="21"/>
  <c r="K13" i="21" s="1"/>
  <c r="H16" i="21"/>
  <c r="J16" i="21" s="1"/>
  <c r="H22" i="21"/>
  <c r="J22" i="21" s="1"/>
  <c r="C12" i="23"/>
  <c r="C13" i="23" s="1"/>
  <c r="F11" i="23"/>
  <c r="F12" i="23" s="1"/>
  <c r="F13" i="23" s="1"/>
  <c r="E7" i="21"/>
  <c r="F7" i="21" s="1"/>
  <c r="D10" i="21"/>
  <c r="E10" i="21" s="1"/>
  <c r="N7" i="21"/>
  <c r="D12" i="21"/>
  <c r="E12" i="21" s="1"/>
  <c r="F12" i="21" s="1"/>
  <c r="D13" i="21"/>
  <c r="D24" i="21" s="1"/>
  <c r="D10" i="11"/>
  <c r="J21" i="3"/>
  <c r="K21" i="3" s="1"/>
  <c r="J7" i="11"/>
  <c r="K7" i="11" s="1"/>
  <c r="H12" i="11"/>
  <c r="J12" i="11" s="1"/>
  <c r="K12" i="11" s="1"/>
  <c r="D20" i="11"/>
  <c r="D25" i="11"/>
  <c r="D16" i="11"/>
  <c r="J7" i="3"/>
  <c r="K7" i="3" s="1"/>
  <c r="BU7" i="11"/>
  <c r="BV7" i="11" s="1"/>
  <c r="BS12" i="11"/>
  <c r="BU12" i="11" s="1"/>
  <c r="BV12" i="11" s="1"/>
  <c r="CC7" i="11"/>
  <c r="BX12" i="11"/>
  <c r="BZ12" i="11" s="1"/>
  <c r="CA12" i="11" s="1"/>
  <c r="BZ7" i="11"/>
  <c r="CA7" i="11" s="1"/>
  <c r="J18" i="2"/>
  <c r="J40" i="2" s="1"/>
  <c r="T9" i="11"/>
  <c r="U9" i="11" s="1"/>
  <c r="V9" i="11" s="1"/>
  <c r="C12" i="17"/>
  <c r="C13" i="17" s="1"/>
  <c r="F11" i="17"/>
  <c r="F12" i="17" s="1"/>
  <c r="F13" i="17" s="1"/>
  <c r="U7" i="11"/>
  <c r="V7" i="11" s="1"/>
  <c r="S13" i="11"/>
  <c r="S12" i="11"/>
  <c r="U12" i="11" s="1"/>
  <c r="V12" i="11" s="1"/>
  <c r="BS9" i="11"/>
  <c r="BS13" i="11" s="1"/>
  <c r="C9" i="11"/>
  <c r="BX9" i="11"/>
  <c r="H9" i="11"/>
  <c r="I18" i="2"/>
  <c r="I40" i="2" s="1"/>
  <c r="I9" i="11"/>
  <c r="C12" i="11"/>
  <c r="E12" i="11" s="1"/>
  <c r="F12" i="11" s="1"/>
  <c r="E7" i="11"/>
  <c r="F7" i="11" s="1"/>
  <c r="M7" i="11"/>
  <c r="K63" i="2"/>
  <c r="N12" i="11"/>
  <c r="S10" i="11"/>
  <c r="O7" i="3"/>
  <c r="P7" i="3" s="1"/>
  <c r="E7" i="3"/>
  <c r="F7" i="3" s="1"/>
  <c r="O20" i="3"/>
  <c r="P20" i="3" s="1"/>
  <c r="BK9" i="3"/>
  <c r="BM9" i="3" s="1"/>
  <c r="BN9" i="3" s="1"/>
  <c r="N7" i="7"/>
  <c r="N12" i="7" s="1"/>
  <c r="D10" i="7"/>
  <c r="D13" i="7"/>
  <c r="D25" i="7" s="1"/>
  <c r="M7" i="7"/>
  <c r="E7" i="7"/>
  <c r="F7" i="7" s="1"/>
  <c r="C12" i="7"/>
  <c r="E12" i="7" s="1"/>
  <c r="F12" i="7" s="1"/>
  <c r="J7" i="7"/>
  <c r="K7" i="7" s="1"/>
  <c r="H12" i="7"/>
  <c r="J12" i="7" s="1"/>
  <c r="K12" i="7" s="1"/>
  <c r="V12" i="7"/>
  <c r="X12" i="7" s="1"/>
  <c r="Y12" i="7" s="1"/>
  <c r="X7" i="7"/>
  <c r="Y7" i="7" s="1"/>
  <c r="H9" i="7"/>
  <c r="I9" i="7"/>
  <c r="F9" i="3"/>
  <c r="F15" i="2"/>
  <c r="C8" i="20" s="1"/>
  <c r="C10" i="20" s="1"/>
  <c r="C9" i="7"/>
  <c r="C13" i="7" s="1"/>
  <c r="V9" i="7"/>
  <c r="D18" i="2"/>
  <c r="D40" i="2" s="1"/>
  <c r="N9" i="3"/>
  <c r="O9" i="3" s="1"/>
  <c r="W9" i="7"/>
  <c r="C18" i="2"/>
  <c r="C40" i="2" s="1"/>
  <c r="E18" i="2"/>
  <c r="E40" i="2" s="1"/>
  <c r="M12" i="3"/>
  <c r="D10" i="3"/>
  <c r="D13" i="3"/>
  <c r="H34" i="2"/>
  <c r="H41" i="2" s="1"/>
  <c r="D28" i="21" s="1"/>
  <c r="I9" i="3"/>
  <c r="J9" i="3" s="1"/>
  <c r="N12" i="3"/>
  <c r="S7" i="3"/>
  <c r="AQ20" i="3"/>
  <c r="AS20" i="3" s="1"/>
  <c r="AT20" i="3" s="1"/>
  <c r="C21" i="3"/>
  <c r="R20" i="3"/>
  <c r="T20" i="3" s="1"/>
  <c r="S21" i="3"/>
  <c r="AV21" i="3"/>
  <c r="AX21" i="3" s="1"/>
  <c r="AY21" i="3" s="1"/>
  <c r="N21" i="3"/>
  <c r="O21" i="3" s="1"/>
  <c r="R7" i="3"/>
  <c r="AQ7" i="3"/>
  <c r="AS7" i="3" s="1"/>
  <c r="AT7" i="3" s="1"/>
  <c r="C12" i="3"/>
  <c r="AV7" i="3"/>
  <c r="AX7" i="3" s="1"/>
  <c r="AY7" i="3" s="1"/>
  <c r="H12" i="3"/>
  <c r="H13" i="3"/>
  <c r="H24" i="3" s="1"/>
  <c r="D8" i="20"/>
  <c r="K40" i="1"/>
  <c r="K41" i="1" s="1"/>
  <c r="K34" i="1"/>
  <c r="U40" i="1"/>
  <c r="U41" i="1" s="1"/>
  <c r="U34" i="1"/>
  <c r="W17" i="1"/>
  <c r="W33" i="1" s="1"/>
  <c r="W34" i="1" s="1"/>
  <c r="T33" i="1"/>
  <c r="L15" i="1"/>
  <c r="J40" i="1"/>
  <c r="J41" i="1" s="1"/>
  <c r="J34" i="1"/>
  <c r="R40" i="1"/>
  <c r="O41" i="1"/>
  <c r="E34" i="1"/>
  <c r="E40" i="1"/>
  <c r="E41" i="1" s="1"/>
  <c r="AE40" i="1"/>
  <c r="AE34" i="1"/>
  <c r="D40" i="1"/>
  <c r="D41" i="1" s="1"/>
  <c r="D34" i="1"/>
  <c r="Z34" i="1"/>
  <c r="Z40" i="1"/>
  <c r="F17" i="1"/>
  <c r="F33" i="1" s="1"/>
  <c r="F34" i="1" s="1"/>
  <c r="C33" i="1"/>
  <c r="I17" i="1"/>
  <c r="M24" i="21" l="1"/>
  <c r="M25" i="21" s="1"/>
  <c r="M22" i="21"/>
  <c r="M16" i="21"/>
  <c r="C13" i="20"/>
  <c r="C17" i="20"/>
  <c r="H27" i="21"/>
  <c r="H29" i="21" s="1"/>
  <c r="H25" i="21"/>
  <c r="J25" i="21" s="1"/>
  <c r="J24" i="21"/>
  <c r="K24" i="21" s="1"/>
  <c r="E24" i="22"/>
  <c r="F24" i="22" s="1"/>
  <c r="C25" i="22"/>
  <c r="E25" i="22" s="1"/>
  <c r="C27" i="22"/>
  <c r="C25" i="21"/>
  <c r="C27" i="21"/>
  <c r="D22" i="3"/>
  <c r="D24" i="3"/>
  <c r="E8" i="20"/>
  <c r="F8" i="20" s="1"/>
  <c r="D10" i="20"/>
  <c r="E13" i="21"/>
  <c r="F13" i="21" s="1"/>
  <c r="D22" i="21"/>
  <c r="E22" i="21" s="1"/>
  <c r="D16" i="21"/>
  <c r="E16" i="21" s="1"/>
  <c r="O7" i="21"/>
  <c r="P7" i="21" s="1"/>
  <c r="N13" i="21"/>
  <c r="N24" i="21" s="1"/>
  <c r="N12" i="21"/>
  <c r="O12" i="21" s="1"/>
  <c r="P12" i="21" s="1"/>
  <c r="N10" i="21"/>
  <c r="O10" i="21" s="1"/>
  <c r="D16" i="7"/>
  <c r="I34" i="2"/>
  <c r="I41" i="2" s="1"/>
  <c r="J34" i="2"/>
  <c r="J41" i="2" s="1"/>
  <c r="T7" i="3"/>
  <c r="U7" i="3" s="1"/>
  <c r="E34" i="2"/>
  <c r="E41" i="2" s="1"/>
  <c r="S25" i="11"/>
  <c r="S20" i="11"/>
  <c r="S16" i="11"/>
  <c r="D21" i="11"/>
  <c r="D27" i="11"/>
  <c r="D28" i="11" s="1"/>
  <c r="K18" i="2"/>
  <c r="K40" i="2" s="1"/>
  <c r="N9" i="11"/>
  <c r="I10" i="11"/>
  <c r="I13" i="11"/>
  <c r="CE7" i="11"/>
  <c r="CF7" i="11" s="1"/>
  <c r="CC12" i="11"/>
  <c r="J9" i="11"/>
  <c r="K9" i="11" s="1"/>
  <c r="H10" i="11"/>
  <c r="J10" i="11" s="1"/>
  <c r="BU13" i="11"/>
  <c r="BV13" i="11" s="1"/>
  <c r="BS20" i="11"/>
  <c r="BS16" i="11"/>
  <c r="BU16" i="11" s="1"/>
  <c r="BS25" i="11"/>
  <c r="BU25" i="11" s="1"/>
  <c r="BZ9" i="11"/>
  <c r="CA9" i="11" s="1"/>
  <c r="BX10" i="11"/>
  <c r="BZ10" i="11" s="1"/>
  <c r="T10" i="11"/>
  <c r="T13" i="11"/>
  <c r="H13" i="11"/>
  <c r="O7" i="11"/>
  <c r="P7" i="11" s="1"/>
  <c r="M12" i="11"/>
  <c r="O12" i="11" s="1"/>
  <c r="P12" i="11" s="1"/>
  <c r="M9" i="11"/>
  <c r="M13" i="11" s="1"/>
  <c r="C10" i="11"/>
  <c r="E10" i="11" s="1"/>
  <c r="E9" i="11"/>
  <c r="F9" i="11" s="1"/>
  <c r="U10" i="11"/>
  <c r="C13" i="11"/>
  <c r="BU9" i="11"/>
  <c r="BV9" i="11" s="1"/>
  <c r="CC9" i="11"/>
  <c r="CC13" i="11" s="1"/>
  <c r="BS10" i="11"/>
  <c r="BU10" i="11" s="1"/>
  <c r="BX13" i="11"/>
  <c r="O12" i="3"/>
  <c r="P12" i="3" s="1"/>
  <c r="E12" i="3"/>
  <c r="F12" i="3" s="1"/>
  <c r="E21" i="3"/>
  <c r="F21" i="3" s="1"/>
  <c r="J12" i="3"/>
  <c r="K12" i="3" s="1"/>
  <c r="P21" i="3"/>
  <c r="D20" i="7"/>
  <c r="D21" i="7" s="1"/>
  <c r="F18" i="2"/>
  <c r="F34" i="2" s="1"/>
  <c r="F35" i="2" s="1"/>
  <c r="T18" i="2"/>
  <c r="T40" i="2" s="1"/>
  <c r="AG9" i="3"/>
  <c r="AI9" i="3" s="1"/>
  <c r="AJ9" i="3" s="1"/>
  <c r="S18" i="2"/>
  <c r="S40" i="2" s="1"/>
  <c r="AB9" i="3"/>
  <c r="AD9" i="3" s="1"/>
  <c r="AE9" i="3" s="1"/>
  <c r="D34" i="2"/>
  <c r="D41" i="2" s="1"/>
  <c r="H28" i="21" s="1"/>
  <c r="R18" i="2"/>
  <c r="R40" i="2" s="1"/>
  <c r="W9" i="3"/>
  <c r="Y9" i="3" s="1"/>
  <c r="Z9" i="3" s="1"/>
  <c r="P9" i="3"/>
  <c r="C34" i="2"/>
  <c r="C41" i="2" s="1"/>
  <c r="K9" i="3"/>
  <c r="E13" i="7"/>
  <c r="F13" i="7" s="1"/>
  <c r="C20" i="7"/>
  <c r="C16" i="7"/>
  <c r="C25" i="7"/>
  <c r="D31" i="7"/>
  <c r="D28" i="3"/>
  <c r="V13" i="7"/>
  <c r="X9" i="7"/>
  <c r="Y9" i="7" s="1"/>
  <c r="V10" i="7"/>
  <c r="J9" i="9"/>
  <c r="I31" i="7"/>
  <c r="I28" i="3"/>
  <c r="E9" i="7"/>
  <c r="F9" i="7" s="1"/>
  <c r="C10" i="7"/>
  <c r="M9" i="7"/>
  <c r="I10" i="7"/>
  <c r="N9" i="7"/>
  <c r="I13" i="7"/>
  <c r="N13" i="3"/>
  <c r="N10" i="3"/>
  <c r="E9" i="9"/>
  <c r="U15" i="2"/>
  <c r="N28" i="3"/>
  <c r="W31" i="7"/>
  <c r="W13" i="7"/>
  <c r="W10" i="7"/>
  <c r="V9" i="9"/>
  <c r="H10" i="7"/>
  <c r="J9" i="7"/>
  <c r="K9" i="7" s="1"/>
  <c r="H13" i="7"/>
  <c r="O7" i="7"/>
  <c r="P7" i="7" s="1"/>
  <c r="M12" i="7"/>
  <c r="O12" i="7" s="1"/>
  <c r="P12" i="7" s="1"/>
  <c r="D16" i="3"/>
  <c r="R21" i="3"/>
  <c r="U20" i="3"/>
  <c r="H35" i="2"/>
  <c r="J35" i="2"/>
  <c r="E35" i="2"/>
  <c r="S12" i="3"/>
  <c r="AQ21" i="3"/>
  <c r="AS21" i="3" s="1"/>
  <c r="AT21" i="3" s="1"/>
  <c r="BA20" i="3"/>
  <c r="BC20" i="3" s="1"/>
  <c r="BD20" i="3" s="1"/>
  <c r="S9" i="3"/>
  <c r="S10" i="3" s="1"/>
  <c r="I10" i="3"/>
  <c r="I13" i="3"/>
  <c r="I24" i="3" s="1"/>
  <c r="H22" i="3"/>
  <c r="H16" i="3"/>
  <c r="R12" i="3"/>
  <c r="AQ9" i="3"/>
  <c r="AS9" i="3" s="1"/>
  <c r="AT9" i="3" s="1"/>
  <c r="R9" i="3"/>
  <c r="C10" i="3"/>
  <c r="E10" i="3" s="1"/>
  <c r="AV12" i="3"/>
  <c r="AX12" i="3" s="1"/>
  <c r="AY12" i="3" s="1"/>
  <c r="M10" i="3"/>
  <c r="M13" i="3"/>
  <c r="M24" i="3" s="1"/>
  <c r="BA7" i="3"/>
  <c r="BC7" i="3" s="1"/>
  <c r="BD7" i="3" s="1"/>
  <c r="AQ12" i="3"/>
  <c r="AS12" i="3" s="1"/>
  <c r="AT12" i="3" s="1"/>
  <c r="AV9" i="3"/>
  <c r="AX9" i="3" s="1"/>
  <c r="AY9" i="3" s="1"/>
  <c r="H10" i="3"/>
  <c r="C13" i="3"/>
  <c r="C24" i="3" s="1"/>
  <c r="T40" i="1"/>
  <c r="T34" i="1"/>
  <c r="AE41" i="1"/>
  <c r="AH40" i="1"/>
  <c r="C40" i="1"/>
  <c r="C34" i="1"/>
  <c r="AC40" i="1"/>
  <c r="Z41" i="1"/>
  <c r="R60" i="1"/>
  <c r="R41" i="1"/>
  <c r="L17" i="1"/>
  <c r="L33" i="1" s="1"/>
  <c r="L34" i="1" s="1"/>
  <c r="I33" i="1"/>
  <c r="BS31" i="11" l="1"/>
  <c r="C28" i="21"/>
  <c r="M28" i="3"/>
  <c r="C28" i="22"/>
  <c r="C29" i="22" s="1"/>
  <c r="C29" i="21"/>
  <c r="AC15" i="2"/>
  <c r="AE15" i="2" s="1"/>
  <c r="I8" i="20"/>
  <c r="C18" i="20"/>
  <c r="C14" i="20"/>
  <c r="T34" i="2"/>
  <c r="T41" i="2" s="1"/>
  <c r="H28" i="22" s="1"/>
  <c r="H29" i="22" s="1"/>
  <c r="N22" i="3"/>
  <c r="N24" i="3"/>
  <c r="I28" i="21"/>
  <c r="I29" i="21" s="1"/>
  <c r="I35" i="2"/>
  <c r="D13" i="20"/>
  <c r="D17" i="20"/>
  <c r="E17" i="20" s="1"/>
  <c r="E10" i="20"/>
  <c r="F10" i="20" s="1"/>
  <c r="O13" i="21"/>
  <c r="P13" i="21" s="1"/>
  <c r="N22" i="21"/>
  <c r="O22" i="21" s="1"/>
  <c r="N16" i="21"/>
  <c r="O16" i="21" s="1"/>
  <c r="J10" i="3"/>
  <c r="T9" i="3"/>
  <c r="U9" i="3" s="1"/>
  <c r="C35" i="2"/>
  <c r="V31" i="7"/>
  <c r="T12" i="3"/>
  <c r="U12" i="3" s="1"/>
  <c r="O10" i="3"/>
  <c r="CE13" i="11"/>
  <c r="CF13" i="11" s="1"/>
  <c r="CC20" i="11"/>
  <c r="CC16" i="11"/>
  <c r="CE16" i="11" s="1"/>
  <c r="CC25" i="11"/>
  <c r="CE25" i="11" s="1"/>
  <c r="CE12" i="11"/>
  <c r="CF12" i="11" s="1"/>
  <c r="D27" i="7"/>
  <c r="D30" i="7" s="1"/>
  <c r="D32" i="7" s="1"/>
  <c r="BU20" i="11"/>
  <c r="BV20" i="11" s="1"/>
  <c r="BS21" i="11"/>
  <c r="BU21" i="11" s="1"/>
  <c r="BS27" i="11"/>
  <c r="J13" i="11"/>
  <c r="K13" i="11" s="1"/>
  <c r="H20" i="11"/>
  <c r="H16" i="11"/>
  <c r="H25" i="11"/>
  <c r="F40" i="2"/>
  <c r="T25" i="11"/>
  <c r="U25" i="11" s="1"/>
  <c r="T20" i="11"/>
  <c r="U20" i="11" s="1"/>
  <c r="V20" i="11" s="1"/>
  <c r="T16" i="11"/>
  <c r="U16" i="11" s="1"/>
  <c r="I20" i="11"/>
  <c r="I25" i="11"/>
  <c r="I16" i="11"/>
  <c r="S27" i="11"/>
  <c r="S21" i="11"/>
  <c r="CE9" i="11"/>
  <c r="CF9" i="11" s="1"/>
  <c r="CC10" i="11"/>
  <c r="CE10" i="11" s="1"/>
  <c r="N10" i="11"/>
  <c r="N13" i="11"/>
  <c r="O13" i="11" s="1"/>
  <c r="P13" i="11" s="1"/>
  <c r="U13" i="11"/>
  <c r="V13" i="11" s="1"/>
  <c r="M25" i="11"/>
  <c r="M20" i="11"/>
  <c r="M16" i="11"/>
  <c r="BX31" i="11"/>
  <c r="C20" i="11"/>
  <c r="E13" i="11"/>
  <c r="F13" i="11" s="1"/>
  <c r="C16" i="11"/>
  <c r="E16" i="11" s="1"/>
  <c r="C25" i="11"/>
  <c r="E25" i="11" s="1"/>
  <c r="K34" i="2"/>
  <c r="K35" i="2" s="1"/>
  <c r="BZ13" i="11"/>
  <c r="CA13" i="11" s="1"/>
  <c r="BX20" i="11"/>
  <c r="BX16" i="11"/>
  <c r="BZ16" i="11" s="1"/>
  <c r="BX25" i="11"/>
  <c r="BZ25" i="11" s="1"/>
  <c r="O9" i="11"/>
  <c r="P9" i="11" s="1"/>
  <c r="M10" i="11"/>
  <c r="U18" i="2"/>
  <c r="O13" i="3"/>
  <c r="P13" i="3" s="1"/>
  <c r="T21" i="3"/>
  <c r="U21" i="3" s="1"/>
  <c r="E13" i="3"/>
  <c r="F13" i="3" s="1"/>
  <c r="J13" i="3"/>
  <c r="K13" i="3" s="1"/>
  <c r="H28" i="3"/>
  <c r="AV28" i="3" s="1"/>
  <c r="N16" i="3"/>
  <c r="S34" i="2"/>
  <c r="S41" i="2" s="1"/>
  <c r="H31" i="7"/>
  <c r="D35" i="2"/>
  <c r="X9" i="9"/>
  <c r="Y9" i="9" s="1"/>
  <c r="V10" i="9"/>
  <c r="V13" i="9"/>
  <c r="AB10" i="3"/>
  <c r="AD10" i="3" s="1"/>
  <c r="AB13" i="3"/>
  <c r="X13" i="7"/>
  <c r="Y13" i="7" s="1"/>
  <c r="V20" i="7"/>
  <c r="V16" i="7"/>
  <c r="V25" i="7"/>
  <c r="R34" i="2"/>
  <c r="R41" i="2" s="1"/>
  <c r="R28" i="21" s="1"/>
  <c r="R29" i="21" s="1"/>
  <c r="U34" i="2"/>
  <c r="M13" i="7"/>
  <c r="O9" i="7"/>
  <c r="P9" i="7" s="1"/>
  <c r="M10" i="7"/>
  <c r="L9" i="9"/>
  <c r="M9" i="9" s="1"/>
  <c r="J10" i="9"/>
  <c r="O9" i="9"/>
  <c r="J13" i="9"/>
  <c r="T35" i="2"/>
  <c r="W20" i="7"/>
  <c r="W16" i="7"/>
  <c r="W25" i="7"/>
  <c r="W10" i="3"/>
  <c r="Y10" i="3" s="1"/>
  <c r="W13" i="3"/>
  <c r="I16" i="7"/>
  <c r="I25" i="7"/>
  <c r="I20" i="7"/>
  <c r="E20" i="7"/>
  <c r="F20" i="7" s="1"/>
  <c r="C27" i="7"/>
  <c r="C21" i="7"/>
  <c r="H25" i="7"/>
  <c r="J13" i="7"/>
  <c r="K13" i="7" s="1"/>
  <c r="H16" i="7"/>
  <c r="H20" i="7"/>
  <c r="AL9" i="3"/>
  <c r="AN9" i="3" s="1"/>
  <c r="AO9" i="3" s="1"/>
  <c r="AG13" i="3"/>
  <c r="AG10" i="3"/>
  <c r="AI10" i="3" s="1"/>
  <c r="G9" i="9"/>
  <c r="H9" i="9" s="1"/>
  <c r="E10" i="9"/>
  <c r="E13" i="9"/>
  <c r="N10" i="7"/>
  <c r="N13" i="7"/>
  <c r="C31" i="7"/>
  <c r="C28" i="3"/>
  <c r="AQ28" i="3" s="1"/>
  <c r="AV13" i="3"/>
  <c r="R13" i="3"/>
  <c r="R24" i="3" s="1"/>
  <c r="D25" i="3"/>
  <c r="D27" i="3"/>
  <c r="D29" i="3" s="1"/>
  <c r="BA21" i="3"/>
  <c r="BC21" i="3" s="1"/>
  <c r="BD21" i="3" s="1"/>
  <c r="S13" i="3"/>
  <c r="S24" i="3" s="1"/>
  <c r="I22" i="3"/>
  <c r="J22" i="3" s="1"/>
  <c r="I16" i="3"/>
  <c r="J16" i="3" s="1"/>
  <c r="BA12" i="3"/>
  <c r="BC12" i="3" s="1"/>
  <c r="BD12" i="3" s="1"/>
  <c r="BA9" i="3"/>
  <c r="BC9" i="3" s="1"/>
  <c r="BD9" i="3" s="1"/>
  <c r="AQ10" i="3"/>
  <c r="AS10" i="3" s="1"/>
  <c r="M22" i="3"/>
  <c r="O22" i="3" s="1"/>
  <c r="M16" i="3"/>
  <c r="BK10" i="3"/>
  <c r="BM10" i="3" s="1"/>
  <c r="BK13" i="3"/>
  <c r="AV10" i="3"/>
  <c r="AX10" i="3" s="1"/>
  <c r="C22" i="3"/>
  <c r="E22" i="3" s="1"/>
  <c r="C16" i="3"/>
  <c r="E16" i="3" s="1"/>
  <c r="AQ13" i="3"/>
  <c r="BP9" i="3"/>
  <c r="BR9" i="3" s="1"/>
  <c r="BS9" i="3" s="1"/>
  <c r="BF13" i="3"/>
  <c r="BF10" i="3"/>
  <c r="BH10" i="3" s="1"/>
  <c r="R10" i="3"/>
  <c r="T10" i="3" s="1"/>
  <c r="K65" i="2"/>
  <c r="K79" i="2" s="1"/>
  <c r="K83" i="2" s="1"/>
  <c r="F41" i="2"/>
  <c r="CC31" i="11" s="1"/>
  <c r="R61" i="1"/>
  <c r="R73" i="1"/>
  <c r="AC41" i="1"/>
  <c r="AC60" i="1"/>
  <c r="T41" i="1"/>
  <c r="W40" i="1"/>
  <c r="AH60" i="1"/>
  <c r="AH41" i="1"/>
  <c r="F40" i="1"/>
  <c r="C41" i="1"/>
  <c r="I40" i="1"/>
  <c r="I34" i="1"/>
  <c r="C38" i="20" l="1"/>
  <c r="C19" i="20"/>
  <c r="K8" i="20"/>
  <c r="L8" i="20" s="1"/>
  <c r="I10" i="20"/>
  <c r="CO31" i="11"/>
  <c r="W28" i="21"/>
  <c r="W29" i="21" s="1"/>
  <c r="W24" i="3"/>
  <c r="Y24" i="3" s="1"/>
  <c r="Z24" i="3" s="1"/>
  <c r="Y13" i="3"/>
  <c r="Z13" i="3" s="1"/>
  <c r="AQ24" i="3"/>
  <c r="AS24" i="3" s="1"/>
  <c r="AT24" i="3" s="1"/>
  <c r="AS13" i="3"/>
  <c r="AT13" i="3" s="1"/>
  <c r="BH13" i="3"/>
  <c r="BI13" i="3" s="1"/>
  <c r="BF24" i="3"/>
  <c r="BH24" i="3" s="1"/>
  <c r="BI24" i="3" s="1"/>
  <c r="AV24" i="3"/>
  <c r="AX24" i="3" s="1"/>
  <c r="AY24" i="3" s="1"/>
  <c r="AX13" i="3"/>
  <c r="AY13" i="3" s="1"/>
  <c r="AB24" i="3"/>
  <c r="AD24" i="3" s="1"/>
  <c r="AE24" i="3" s="1"/>
  <c r="AD13" i="3"/>
  <c r="AE13" i="3" s="1"/>
  <c r="AG24" i="3"/>
  <c r="AI24" i="3" s="1"/>
  <c r="AJ24" i="3" s="1"/>
  <c r="AI13" i="3"/>
  <c r="AJ13" i="3" s="1"/>
  <c r="BM13" i="3"/>
  <c r="BN13" i="3" s="1"/>
  <c r="BK24" i="3"/>
  <c r="D18" i="20"/>
  <c r="E13" i="20"/>
  <c r="F13" i="20" s="1"/>
  <c r="D14" i="20"/>
  <c r="E14" i="20" s="1"/>
  <c r="E24" i="21"/>
  <c r="F24" i="21" s="1"/>
  <c r="D27" i="21"/>
  <c r="D29" i="21" s="1"/>
  <c r="D25" i="21"/>
  <c r="E25" i="21" s="1"/>
  <c r="U35" i="2"/>
  <c r="AC34" i="2"/>
  <c r="AE34" i="2" s="1"/>
  <c r="U40" i="2"/>
  <c r="AC18" i="2"/>
  <c r="AE18" i="2" s="1"/>
  <c r="D28" i="7"/>
  <c r="J25" i="11"/>
  <c r="O10" i="11"/>
  <c r="BZ20" i="11"/>
  <c r="CA20" i="11" s="1"/>
  <c r="BX27" i="11"/>
  <c r="BX21" i="11"/>
  <c r="BZ21" i="11" s="1"/>
  <c r="M21" i="11"/>
  <c r="M27" i="11"/>
  <c r="T21" i="11"/>
  <c r="U21" i="11" s="1"/>
  <c r="T27" i="11"/>
  <c r="T28" i="11" s="1"/>
  <c r="I27" i="11"/>
  <c r="I28" i="11" s="1"/>
  <c r="I21" i="11"/>
  <c r="S28" i="11"/>
  <c r="C27" i="11"/>
  <c r="E20" i="11"/>
  <c r="F20" i="11" s="1"/>
  <c r="C21" i="11"/>
  <c r="E21" i="11" s="1"/>
  <c r="N16" i="11"/>
  <c r="O16" i="11" s="1"/>
  <c r="N20" i="11"/>
  <c r="O20" i="11" s="1"/>
  <c r="P20" i="11" s="1"/>
  <c r="N25" i="11"/>
  <c r="O25" i="11" s="1"/>
  <c r="J16" i="11"/>
  <c r="CE20" i="11"/>
  <c r="CF20" i="11" s="1"/>
  <c r="CC21" i="11"/>
  <c r="CE21" i="11" s="1"/>
  <c r="CC27" i="11"/>
  <c r="BU27" i="11"/>
  <c r="BV27" i="11" s="1"/>
  <c r="BS30" i="11"/>
  <c r="BS32" i="11" s="1"/>
  <c r="BS28" i="11"/>
  <c r="BU28" i="11" s="1"/>
  <c r="H27" i="11"/>
  <c r="J20" i="11"/>
  <c r="K20" i="11" s="1"/>
  <c r="H21" i="11"/>
  <c r="CJ31" i="11"/>
  <c r="CJ32" i="11" s="1"/>
  <c r="Y31" i="11"/>
  <c r="Y32" i="11" s="1"/>
  <c r="AU31" i="11"/>
  <c r="AU32" i="11" s="1"/>
  <c r="O16" i="3"/>
  <c r="R16" i="3"/>
  <c r="T13" i="3"/>
  <c r="U13" i="3" s="1"/>
  <c r="AI31" i="11"/>
  <c r="AI32" i="11" s="1"/>
  <c r="BL31" i="11"/>
  <c r="AD31" i="11"/>
  <c r="AD32" i="11" s="1"/>
  <c r="AZ31" i="11"/>
  <c r="AZ32" i="11" s="1"/>
  <c r="S35" i="2"/>
  <c r="E16" i="9"/>
  <c r="E20" i="9"/>
  <c r="E25" i="9"/>
  <c r="G13" i="9"/>
  <c r="H13" i="9" s="1"/>
  <c r="C30" i="7"/>
  <c r="C32" i="7" s="1"/>
  <c r="E27" i="7"/>
  <c r="F27" i="7" s="1"/>
  <c r="C28" i="7"/>
  <c r="W27" i="7"/>
  <c r="W21" i="7"/>
  <c r="L13" i="9"/>
  <c r="M13" i="9" s="1"/>
  <c r="J20" i="9"/>
  <c r="J25" i="9"/>
  <c r="J16" i="9"/>
  <c r="R35" i="2"/>
  <c r="V20" i="9"/>
  <c r="V16" i="9"/>
  <c r="X13" i="9"/>
  <c r="Y13" i="9" s="1"/>
  <c r="V25" i="9"/>
  <c r="J31" i="9"/>
  <c r="AB28" i="3"/>
  <c r="AG16" i="3"/>
  <c r="AI16" i="3" s="1"/>
  <c r="AG22" i="3"/>
  <c r="AI22" i="3" s="1"/>
  <c r="W22" i="3"/>
  <c r="Y22" i="3" s="1"/>
  <c r="W16" i="3"/>
  <c r="Y16" i="3" s="1"/>
  <c r="AG28" i="3"/>
  <c r="V31" i="9"/>
  <c r="O13" i="9"/>
  <c r="Q9" i="9"/>
  <c r="R9" i="9" s="1"/>
  <c r="O10" i="9"/>
  <c r="N16" i="7"/>
  <c r="N20" i="7"/>
  <c r="N25" i="7"/>
  <c r="AL13" i="3"/>
  <c r="AL10" i="3"/>
  <c r="AN10" i="3" s="1"/>
  <c r="I21" i="7"/>
  <c r="I27" i="7"/>
  <c r="M20" i="7"/>
  <c r="O13" i="7"/>
  <c r="P13" i="7" s="1"/>
  <c r="M16" i="7"/>
  <c r="M25" i="7"/>
  <c r="AB16" i="3"/>
  <c r="AD16" i="3" s="1"/>
  <c r="AB22" i="3"/>
  <c r="AD22" i="3" s="1"/>
  <c r="H21" i="7"/>
  <c r="H27" i="7"/>
  <c r="J20" i="7"/>
  <c r="K20" i="7" s="1"/>
  <c r="X20" i="7"/>
  <c r="Y20" i="7" s="1"/>
  <c r="V21" i="7"/>
  <c r="V27" i="7"/>
  <c r="AV22" i="3"/>
  <c r="AX22" i="3" s="1"/>
  <c r="AV16" i="3"/>
  <c r="AX16" i="3" s="1"/>
  <c r="E24" i="3"/>
  <c r="BA13" i="3"/>
  <c r="N25" i="3"/>
  <c r="N27" i="3"/>
  <c r="N29" i="3" s="1"/>
  <c r="H25" i="3"/>
  <c r="H27" i="3"/>
  <c r="H29" i="3" s="1"/>
  <c r="R22" i="3"/>
  <c r="J24" i="3"/>
  <c r="S22" i="3"/>
  <c r="S16" i="3"/>
  <c r="BK22" i="3"/>
  <c r="BM22" i="3" s="1"/>
  <c r="BK16" i="3"/>
  <c r="BM16" i="3" s="1"/>
  <c r="BP13" i="3"/>
  <c r="BP10" i="3"/>
  <c r="BR10" i="3" s="1"/>
  <c r="BA10" i="3"/>
  <c r="BC10" i="3" s="1"/>
  <c r="AQ16" i="3"/>
  <c r="AS16" i="3" s="1"/>
  <c r="AQ22" i="3"/>
  <c r="AS22" i="3" s="1"/>
  <c r="BF16" i="3"/>
  <c r="BH16" i="3" s="1"/>
  <c r="BF22" i="3"/>
  <c r="BH22" i="3" s="1"/>
  <c r="O24" i="3"/>
  <c r="K66" i="2"/>
  <c r="F65" i="2"/>
  <c r="F79" i="2" s="1"/>
  <c r="AC61" i="1"/>
  <c r="AC73" i="1"/>
  <c r="I41" i="1"/>
  <c r="L40" i="1"/>
  <c r="AH73" i="1"/>
  <c r="AH61" i="1"/>
  <c r="W60" i="1"/>
  <c r="W41" i="1"/>
  <c r="F60" i="1"/>
  <c r="F41" i="1"/>
  <c r="I13" i="20" l="1"/>
  <c r="I17" i="20"/>
  <c r="K17" i="20" s="1"/>
  <c r="K10" i="20"/>
  <c r="L10" i="20" s="1"/>
  <c r="BK28" i="3"/>
  <c r="C39" i="20"/>
  <c r="C46" i="20"/>
  <c r="BA24" i="3"/>
  <c r="BC24" i="3" s="1"/>
  <c r="BD24" i="3" s="1"/>
  <c r="BC13" i="3"/>
  <c r="BD13" i="3" s="1"/>
  <c r="BM24" i="3"/>
  <c r="BN24" i="3" s="1"/>
  <c r="BK27" i="3"/>
  <c r="AL24" i="3"/>
  <c r="AN24" i="3" s="1"/>
  <c r="AO24" i="3" s="1"/>
  <c r="AN13" i="3"/>
  <c r="AO13" i="3" s="1"/>
  <c r="BP24" i="3"/>
  <c r="BR13" i="3"/>
  <c r="BS13" i="3" s="1"/>
  <c r="D38" i="20"/>
  <c r="D19" i="20"/>
  <c r="E19" i="20" s="1"/>
  <c r="E18" i="20"/>
  <c r="F18" i="20" s="1"/>
  <c r="O24" i="21"/>
  <c r="P24" i="21" s="1"/>
  <c r="N25" i="21"/>
  <c r="O25" i="21" s="1"/>
  <c r="U27" i="11"/>
  <c r="V27" i="11" s="1"/>
  <c r="J21" i="11"/>
  <c r="M28" i="11"/>
  <c r="CC30" i="11"/>
  <c r="CC32" i="11" s="1"/>
  <c r="CE27" i="11"/>
  <c r="CF27" i="11" s="1"/>
  <c r="CC28" i="11"/>
  <c r="CE28" i="11" s="1"/>
  <c r="E27" i="11"/>
  <c r="F27" i="11" s="1"/>
  <c r="C28" i="11"/>
  <c r="E28" i="11" s="1"/>
  <c r="J27" i="11"/>
  <c r="K27" i="11" s="1"/>
  <c r="H28" i="11"/>
  <c r="J28" i="11" s="1"/>
  <c r="BX30" i="11"/>
  <c r="BX32" i="11" s="1"/>
  <c r="BZ27" i="11"/>
  <c r="CA27" i="11" s="1"/>
  <c r="BX28" i="11"/>
  <c r="BZ28" i="11" s="1"/>
  <c r="N27" i="11"/>
  <c r="N28" i="11" s="1"/>
  <c r="N21" i="11"/>
  <c r="O21" i="11" s="1"/>
  <c r="U28" i="11"/>
  <c r="T16" i="3"/>
  <c r="T22" i="3"/>
  <c r="BL32" i="11"/>
  <c r="BA16" i="3"/>
  <c r="BC16" i="3" s="1"/>
  <c r="X20" i="9"/>
  <c r="Y20" i="9" s="1"/>
  <c r="V21" i="9"/>
  <c r="V27" i="9"/>
  <c r="W30" i="7"/>
  <c r="W32" i="7" s="1"/>
  <c r="W28" i="7"/>
  <c r="X27" i="7"/>
  <c r="Y27" i="7" s="1"/>
  <c r="V30" i="7"/>
  <c r="V32" i="7" s="1"/>
  <c r="V28" i="7"/>
  <c r="H28" i="7"/>
  <c r="H30" i="7"/>
  <c r="H32" i="7" s="1"/>
  <c r="J27" i="7"/>
  <c r="K27" i="7" s="1"/>
  <c r="N27" i="7"/>
  <c r="N28" i="7" s="1"/>
  <c r="N21" i="7"/>
  <c r="U41" i="2"/>
  <c r="AC41" i="2" s="1"/>
  <c r="E31" i="9"/>
  <c r="W28" i="3"/>
  <c r="BF28" i="3" s="1"/>
  <c r="BP28" i="3" s="1"/>
  <c r="J27" i="9"/>
  <c r="L20" i="9"/>
  <c r="M20" i="9" s="1"/>
  <c r="J21" i="9"/>
  <c r="M21" i="7"/>
  <c r="M27" i="7"/>
  <c r="O20" i="7"/>
  <c r="P20" i="7" s="1"/>
  <c r="O25" i="9"/>
  <c r="Q13" i="9"/>
  <c r="R13" i="9" s="1"/>
  <c r="O16" i="9"/>
  <c r="O20" i="9"/>
  <c r="E21" i="9"/>
  <c r="E27" i="9"/>
  <c r="G20" i="9"/>
  <c r="H20" i="9" s="1"/>
  <c r="I28" i="7"/>
  <c r="I30" i="7"/>
  <c r="I32" i="7" s="1"/>
  <c r="AL16" i="3"/>
  <c r="AN16" i="3" s="1"/>
  <c r="AL22" i="3"/>
  <c r="AN22" i="3" s="1"/>
  <c r="M25" i="3"/>
  <c r="O25" i="3" s="1"/>
  <c r="P24" i="3"/>
  <c r="M27" i="3"/>
  <c r="M29" i="3" s="1"/>
  <c r="BA22" i="3"/>
  <c r="BC22" i="3" s="1"/>
  <c r="I25" i="3"/>
  <c r="J25" i="3" s="1"/>
  <c r="I27" i="3"/>
  <c r="I29" i="3" s="1"/>
  <c r="K24" i="3"/>
  <c r="C25" i="3"/>
  <c r="E25" i="3" s="1"/>
  <c r="F24" i="3"/>
  <c r="C27" i="3"/>
  <c r="C29" i="3" s="1"/>
  <c r="S25" i="3"/>
  <c r="BP16" i="3"/>
  <c r="BR16" i="3" s="1"/>
  <c r="BP22" i="3"/>
  <c r="BR22" i="3" s="1"/>
  <c r="F66" i="2"/>
  <c r="W61" i="1"/>
  <c r="W73" i="1"/>
  <c r="L60" i="1"/>
  <c r="L41" i="1"/>
  <c r="F61" i="1"/>
  <c r="F73" i="1"/>
  <c r="I14" i="20" l="1"/>
  <c r="K14" i="20" s="1"/>
  <c r="I18" i="20"/>
  <c r="K13" i="20"/>
  <c r="L13" i="20" s="1"/>
  <c r="BR24" i="3"/>
  <c r="BS24" i="3" s="1"/>
  <c r="BP27" i="3"/>
  <c r="D46" i="20"/>
  <c r="E46" i="20" s="1"/>
  <c r="F46" i="20" s="1"/>
  <c r="D39" i="20"/>
  <c r="E39" i="20" s="1"/>
  <c r="E38" i="20"/>
  <c r="F38" i="20" s="1"/>
  <c r="O27" i="11"/>
  <c r="P27" i="11" s="1"/>
  <c r="O28" i="11"/>
  <c r="R25" i="3"/>
  <c r="T25" i="3" s="1"/>
  <c r="T24" i="3"/>
  <c r="U24" i="3" s="1"/>
  <c r="CT31" i="11"/>
  <c r="CT32" i="11" s="1"/>
  <c r="CO32" i="11"/>
  <c r="AV27" i="3"/>
  <c r="AV29" i="3" s="1"/>
  <c r="AV25" i="3"/>
  <c r="AX25" i="3" s="1"/>
  <c r="M28" i="7"/>
  <c r="O27" i="7"/>
  <c r="P27" i="7" s="1"/>
  <c r="J30" i="9"/>
  <c r="J32" i="9" s="1"/>
  <c r="J28" i="9"/>
  <c r="L27" i="9"/>
  <c r="M27" i="9" s="1"/>
  <c r="U65" i="2"/>
  <c r="AB27" i="3"/>
  <c r="AB29" i="3" s="1"/>
  <c r="AB25" i="3"/>
  <c r="AD25" i="3" s="1"/>
  <c r="G27" i="9"/>
  <c r="H27" i="9" s="1"/>
  <c r="E30" i="9"/>
  <c r="E32" i="9" s="1"/>
  <c r="E28" i="9"/>
  <c r="W25" i="3"/>
  <c r="Y25" i="3" s="1"/>
  <c r="W27" i="3"/>
  <c r="W29" i="3" s="1"/>
  <c r="V28" i="9"/>
  <c r="V30" i="9"/>
  <c r="V32" i="9" s="1"/>
  <c r="X27" i="9"/>
  <c r="Y27" i="9" s="1"/>
  <c r="O27" i="9"/>
  <c r="Q20" i="9"/>
  <c r="R20" i="9" s="1"/>
  <c r="O21" i="9"/>
  <c r="AG27" i="3"/>
  <c r="AG29" i="3" s="1"/>
  <c r="AG25" i="3"/>
  <c r="AI25" i="3" s="1"/>
  <c r="AQ25" i="3"/>
  <c r="AS25" i="3" s="1"/>
  <c r="AQ27" i="3"/>
  <c r="AQ29" i="3" s="1"/>
  <c r="BK25" i="3"/>
  <c r="BM25" i="3" s="1"/>
  <c r="BK29" i="3"/>
  <c r="BF25" i="3"/>
  <c r="BH25" i="3" s="1"/>
  <c r="BF27" i="3"/>
  <c r="BF29" i="3" s="1"/>
  <c r="L61" i="1"/>
  <c r="L73" i="1"/>
  <c r="AC65" i="2" l="1"/>
  <c r="AE65" i="2" s="1"/>
  <c r="U79" i="2"/>
  <c r="C2" i="19" s="1"/>
  <c r="C8" i="19" s="1"/>
  <c r="C11" i="19" s="1"/>
  <c r="I19" i="20"/>
  <c r="K19" i="20" s="1"/>
  <c r="I41" i="20"/>
  <c r="K18" i="20"/>
  <c r="L18" i="20" s="1"/>
  <c r="BP29" i="3"/>
  <c r="BA25" i="3"/>
  <c r="BC25" i="3" s="1"/>
  <c r="O28" i="9"/>
  <c r="Q27" i="9"/>
  <c r="R27" i="9" s="1"/>
  <c r="U66" i="2"/>
  <c r="AL25" i="3"/>
  <c r="AN25" i="3" s="1"/>
  <c r="BP25" i="3"/>
  <c r="BR25" i="3" s="1"/>
  <c r="I52" i="20" l="1"/>
  <c r="K52" i="20" s="1"/>
  <c r="L52" i="20" s="1"/>
  <c r="I42" i="20"/>
  <c r="K42" i="20" s="1"/>
  <c r="K41" i="20"/>
  <c r="L41" i="20" s="1"/>
  <c r="AC79" i="2"/>
  <c r="AE79" i="2" s="1"/>
</calcChain>
</file>

<file path=xl/sharedStrings.xml><?xml version="1.0" encoding="utf-8"?>
<sst xmlns="http://schemas.openxmlformats.org/spreadsheetml/2006/main" count="1073" uniqueCount="229">
  <si>
    <t>UMA CONSUMER PRODUCTS PRIVATE LIMITED</t>
  </si>
  <si>
    <t>STATEMENT OF PROFIT AND LOSS ACCOUNT</t>
  </si>
  <si>
    <t>Particulars</t>
  </si>
  <si>
    <t>May 23 Actual</t>
  </si>
  <si>
    <t>May 23 Budget</t>
  </si>
  <si>
    <t>YTD Apr 23 Actual</t>
  </si>
  <si>
    <t>YTD May 23 Actual</t>
  </si>
  <si>
    <t>YTD May 23 Budget</t>
  </si>
  <si>
    <t>Apr 23 Actual</t>
  </si>
  <si>
    <t>Annapurna</t>
  </si>
  <si>
    <t>Captain Cook</t>
  </si>
  <si>
    <t>Total</t>
  </si>
  <si>
    <t>Atta</t>
  </si>
  <si>
    <t>Salt</t>
  </si>
  <si>
    <t xml:space="preserve"> Salt</t>
  </si>
  <si>
    <t>Qty (Tonnes)</t>
  </si>
  <si>
    <t>Sales</t>
  </si>
  <si>
    <t xml:space="preserve">Total Revenue </t>
  </si>
  <si>
    <t>Direct Expenses:</t>
  </si>
  <si>
    <t>Cross Charge from HUL:</t>
  </si>
  <si>
    <t>Trade Promotions (6.9%-Atta, 16.9%-Salt)</t>
  </si>
  <si>
    <t>Net revenue</t>
  </si>
  <si>
    <t>Purchases:</t>
  </si>
  <si>
    <t>Purchases</t>
  </si>
  <si>
    <t>Total Purchases</t>
  </si>
  <si>
    <t>COGS Breakup:</t>
  </si>
  <si>
    <t>Conversion Charges</t>
  </si>
  <si>
    <t>Packing Material</t>
  </si>
  <si>
    <t>Raw Material</t>
  </si>
  <si>
    <t>Scrap Recovery</t>
  </si>
  <si>
    <t>Storage and Interest Cost</t>
  </si>
  <si>
    <t xml:space="preserve">Total cost </t>
  </si>
  <si>
    <t>Total COGS</t>
  </si>
  <si>
    <t>Gross Profit</t>
  </si>
  <si>
    <t>Gross Profit (%) of Net revenue</t>
  </si>
  <si>
    <t>HUL-Warehouse distr recovery</t>
  </si>
  <si>
    <t>Distribution expenses</t>
  </si>
  <si>
    <t>Contribution margin</t>
  </si>
  <si>
    <t>Contribution margin (%) of Net Revenue</t>
  </si>
  <si>
    <t>Other Income</t>
  </si>
  <si>
    <t>FD Interest</t>
  </si>
  <si>
    <t>Indirect Expenses:</t>
  </si>
  <si>
    <t>Travel &amp; Conveyance</t>
  </si>
  <si>
    <t>Legal and Professional Expenses</t>
  </si>
  <si>
    <t>License Fee for MS Dynamics</t>
  </si>
  <si>
    <t>Salary</t>
  </si>
  <si>
    <t>Rent</t>
  </si>
  <si>
    <t>Business Promotion Expenses</t>
  </si>
  <si>
    <t>Office Expenses</t>
  </si>
  <si>
    <t>Audit Fees</t>
  </si>
  <si>
    <t>HUL - IT Development Cross Charge</t>
  </si>
  <si>
    <t>HUL FTE Cross Charges</t>
  </si>
  <si>
    <t>HUL-IT expenses-RT Tools-1.75% of GSV</t>
  </si>
  <si>
    <t>Total Expenses</t>
  </si>
  <si>
    <t>EBITDA</t>
  </si>
  <si>
    <t>EBIDTA (%) of Total Sales</t>
  </si>
  <si>
    <t>Less:</t>
  </si>
  <si>
    <t>Interest</t>
  </si>
  <si>
    <t>Amortization of Preliminary Expenses (1/5th) for 1 month</t>
  </si>
  <si>
    <t>Add:</t>
  </si>
  <si>
    <t>Write Back of HUL Cross Charge</t>
  </si>
  <si>
    <t>Write Back of Preliminary Expenses</t>
  </si>
  <si>
    <t>Profit Before Tax</t>
  </si>
  <si>
    <t>Note:</t>
  </si>
  <si>
    <t>Professional Charges:</t>
  </si>
  <si>
    <t>Vendor</t>
  </si>
  <si>
    <t>CFO Bridge</t>
  </si>
  <si>
    <t>Bar Code Registration</t>
  </si>
  <si>
    <t>F2F Corporate Consultants</t>
  </si>
  <si>
    <t>Shilputsi Consultants</t>
  </si>
  <si>
    <t>Legal Consultant</t>
  </si>
  <si>
    <t>Vijay Sachdev</t>
  </si>
  <si>
    <t>Note on TSA:</t>
  </si>
  <si>
    <t>Details</t>
  </si>
  <si>
    <t>Mar Reversal for Cross Charge:</t>
  </si>
  <si>
    <t>Trade Promotion</t>
  </si>
  <si>
    <t>YTD Jun 23 Actual</t>
  </si>
  <si>
    <t>INR Cr</t>
  </si>
  <si>
    <t>Difference</t>
  </si>
  <si>
    <t>HUL CY 22-23 monthly Avg</t>
  </si>
  <si>
    <t>Total Volumes ('000 tn)</t>
  </si>
  <si>
    <t>Total GSV</t>
  </si>
  <si>
    <t>Trade Promotions</t>
  </si>
  <si>
    <t>% of GSV</t>
  </si>
  <si>
    <t>Realisation (Rs/Kg)</t>
  </si>
  <si>
    <t>Total Net Revenue</t>
  </si>
  <si>
    <t>COGS</t>
  </si>
  <si>
    <t>% of Net Rev</t>
  </si>
  <si>
    <t>Material Cost</t>
  </si>
  <si>
    <t>Material Cost (Rs/Kg)</t>
  </si>
  <si>
    <t>Gross profit</t>
  </si>
  <si>
    <t>% of Net Revenue</t>
  </si>
  <si>
    <t>Distribution expenses expected to be cross charge</t>
  </si>
  <si>
    <t>Distribution Exp Actuals Basis HUL Last Year</t>
  </si>
  <si>
    <t>Contribution Margin</t>
  </si>
  <si>
    <t>Actual Jun 23 vs Budget Jun 23</t>
  </si>
  <si>
    <t>Actual YTD Jun 23 vs Budget YTD Jun 23</t>
  </si>
  <si>
    <t>Actual Jun 23 vs FY 22 Avg</t>
  </si>
  <si>
    <t>Jun 23
Actual</t>
  </si>
  <si>
    <t>Jun 23
Budget</t>
  </si>
  <si>
    <t>YTD Jun 23
Actual</t>
  </si>
  <si>
    <t>YTD Jun 23
Budget2</t>
  </si>
  <si>
    <t>YTD Jun 23
Budget</t>
  </si>
  <si>
    <t>HUL JQ 22 (monthly Avg)</t>
  </si>
  <si>
    <t>Distribution</t>
  </si>
  <si>
    <t>HUL WH Dist Recovery</t>
  </si>
  <si>
    <t>Actuals</t>
  </si>
  <si>
    <t>March and Apr</t>
  </si>
  <si>
    <t>March</t>
  </si>
  <si>
    <t>RR</t>
  </si>
  <si>
    <t>April</t>
  </si>
  <si>
    <t>Western</t>
  </si>
  <si>
    <t>May</t>
  </si>
  <si>
    <t>Mar to May</t>
  </si>
  <si>
    <t>Prov to be reversed</t>
  </si>
  <si>
    <t>Less: Already reversed in May 23</t>
  </si>
  <si>
    <t>To be reversed in Jun 23</t>
  </si>
  <si>
    <t>Jun</t>
  </si>
  <si>
    <t>Qty in Tons</t>
  </si>
  <si>
    <t>GSV</t>
  </si>
  <si>
    <t>Less: Trade Promotion - (Salt 16.9%; Atta 6.9%) of GSV</t>
  </si>
  <si>
    <t>NR</t>
  </si>
  <si>
    <t>Cross Charge:</t>
  </si>
  <si>
    <t>WH Distribution Recovery (Salt - 1680 per ton; Atta - 3620 per ton)</t>
  </si>
  <si>
    <t>Distribution Exp</t>
  </si>
  <si>
    <t>Total - Salt - 33.42%; Atta - 13.35% of NR</t>
  </si>
  <si>
    <t>Provision to be created:</t>
  </si>
  <si>
    <t>HUL IT Recovery - 1.75% of GSV</t>
  </si>
  <si>
    <t>HUL-Warehouse distr recovery - Jun 23</t>
  </si>
  <si>
    <t>Staff Welfare</t>
  </si>
  <si>
    <t>Marketing Cost</t>
  </si>
  <si>
    <t>Brand Design Charges</t>
  </si>
  <si>
    <t>Brokerage Charges</t>
  </si>
  <si>
    <t>%</t>
  </si>
  <si>
    <t>BALANCE SHEET</t>
  </si>
  <si>
    <t>EQUITY AND LIABILITIES</t>
  </si>
  <si>
    <t>Share Holders' funds</t>
  </si>
  <si>
    <t>Share Capital</t>
  </si>
  <si>
    <t>Reserves &amp; Surplus</t>
  </si>
  <si>
    <t>Money received against Share Warrant</t>
  </si>
  <si>
    <t>Non- Current Liabilities</t>
  </si>
  <si>
    <t>External Commercial Borrowings</t>
  </si>
  <si>
    <t>Current Liabilities</t>
  </si>
  <si>
    <t>Provision for Legal Charges</t>
  </si>
  <si>
    <t>Provision for Audit Fees</t>
  </si>
  <si>
    <t>Provision for HUL Cross Charge</t>
  </si>
  <si>
    <t>Provision for Distribution Costs</t>
  </si>
  <si>
    <t>Provision for Salary Expenses</t>
  </si>
  <si>
    <t>Provision for Consultancy Charges</t>
  </si>
  <si>
    <t>Provision for Rent</t>
  </si>
  <si>
    <t>Provision for Travelling Expenses</t>
  </si>
  <si>
    <t>Provision for Marketing Expenses</t>
  </si>
  <si>
    <t>Trade Payables</t>
  </si>
  <si>
    <t>TDS Payable</t>
  </si>
  <si>
    <t>ASSETS</t>
  </si>
  <si>
    <t>Non-Current Assets</t>
  </si>
  <si>
    <t>Property, Plant and Equipment and Intangible assets</t>
  </si>
  <si>
    <t>Intangible Assets - IPR</t>
  </si>
  <si>
    <t>Tangible Assets - Laptop</t>
  </si>
  <si>
    <t>Tangible Assets - Software (MS Dynamics)</t>
  </si>
  <si>
    <t>CWIP - Interior Works</t>
  </si>
  <si>
    <t>Current Assets</t>
  </si>
  <si>
    <t>Advances to Vendors</t>
  </si>
  <si>
    <t>Trade Receivables</t>
  </si>
  <si>
    <t>Bank Balance</t>
  </si>
  <si>
    <t>Prepaid Expenses</t>
  </si>
  <si>
    <t>TCS Receivable</t>
  </si>
  <si>
    <t>TDS Receivable</t>
  </si>
  <si>
    <t>Rental Deposit</t>
  </si>
  <si>
    <t>Balances with Revenue Authorities - GST ITC</t>
  </si>
  <si>
    <t>TDS Payable:</t>
  </si>
  <si>
    <t>Amount</t>
  </si>
  <si>
    <t>Salary TDS</t>
  </si>
  <si>
    <t>TDS for Professional Payments and Legal Fees</t>
  </si>
  <si>
    <t>Total TDS</t>
  </si>
  <si>
    <t>Qty</t>
  </si>
  <si>
    <t>Actual YTD Jun 23 vs FY 22 Avg</t>
  </si>
  <si>
    <t>AP Brand</t>
  </si>
  <si>
    <t>CC Brand</t>
  </si>
  <si>
    <t>Total YTD</t>
  </si>
  <si>
    <t>AP YTD Jun 23 Brand</t>
  </si>
  <si>
    <t>CC YTD Jun 23 Brand</t>
  </si>
  <si>
    <t>Distribution Expenses</t>
  </si>
  <si>
    <t>Actual</t>
  </si>
  <si>
    <t>Budget</t>
  </si>
  <si>
    <t>Variance</t>
  </si>
  <si>
    <t>BALANCE SHEET (INR Crs)</t>
  </si>
  <si>
    <t>Particulars (INR Crs)</t>
  </si>
  <si>
    <t>Provision of Expenses</t>
  </si>
  <si>
    <t>Annapurna Salt</t>
  </si>
  <si>
    <t>CC Salt</t>
  </si>
  <si>
    <t>Annapurna Atta</t>
  </si>
  <si>
    <t>Qty (tonnes)</t>
  </si>
  <si>
    <t>HUL 2022 Avg</t>
  </si>
  <si>
    <t>GSV (INR Crs)</t>
  </si>
  <si>
    <t>Jul 23 Actual</t>
  </si>
  <si>
    <t>YTD Jul 23 Actual</t>
  </si>
  <si>
    <t>YTD Jul 23 Budget</t>
  </si>
  <si>
    <t>Jul 23 Budget</t>
  </si>
  <si>
    <t>Yatra</t>
  </si>
  <si>
    <t>Base Plan</t>
  </si>
  <si>
    <t>Namak</t>
  </si>
  <si>
    <t>Atta Projects</t>
  </si>
  <si>
    <t>Sunshine</t>
  </si>
  <si>
    <t>Depreciation</t>
  </si>
  <si>
    <t>Add: Reversal of expenses in April in MIS &amp; in March in YTD P&amp;L</t>
  </si>
  <si>
    <t>Add: Preliminary expenses reversal considered in April in MIS &amp; in March in YTD P&amp;L</t>
  </si>
  <si>
    <t>Less: Increase in Revenue in Mar 23</t>
  </si>
  <si>
    <t>Check</t>
  </si>
  <si>
    <t>Apr 23 to Jul 23 Profit as per Abhishek File</t>
  </si>
  <si>
    <t>Apr 23 to Jul 23 Profit as per Abhishek File (calculated)</t>
  </si>
  <si>
    <t>Mar 23 to Jul 23 Profit as per MIS</t>
  </si>
  <si>
    <t>Mar 23 Profit</t>
  </si>
  <si>
    <t>Jul 23
Actual</t>
  </si>
  <si>
    <t>Jul 23
Budget</t>
  </si>
  <si>
    <t>YTD Jul 23
Actual</t>
  </si>
  <si>
    <t>YTD Jul 23
Budget</t>
  </si>
  <si>
    <t>Actual Jul 23 vs Budget Jul 23</t>
  </si>
  <si>
    <t>Actual YTD Jul 23 vs Budget YTD Jul 23</t>
  </si>
  <si>
    <t>Actual Jul 23 vs FY 22 Avg</t>
  </si>
  <si>
    <t>Distribution Expenses % of Net Revenue</t>
  </si>
  <si>
    <t>Provision for Staff Welfare Expenses</t>
  </si>
  <si>
    <t>HUL YTD Jul 22 (monthly Avg)</t>
  </si>
  <si>
    <t>Tamil Nadu 308 tonnes in July &amp; 170 tonnes in June</t>
  </si>
  <si>
    <t>Karnataka Jun 23 sales lower by 339 tonnes. July by 651 tonnes</t>
  </si>
  <si>
    <t>Bihar Jun 23 sales lower by 3226 tonnes. July 427 tonnes</t>
  </si>
  <si>
    <t>Purchases Breakup</t>
  </si>
  <si>
    <t>GSV for AP salt in TN is lower</t>
  </si>
  <si>
    <t>Legal &amp; Professional Charges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</si>
</sst>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_ * #,##0.0_ ;_ * \-#,##0.0_ ;_ * &quot;-&quot;??_ ;_ @_ "/>
    <numFmt numFmtId="168" formatCode="_(* #,##0.0_);_(* \(#,##0.0\);_(* &quot;-&quot;??_);_(@_)"/>
    <numFmt numFmtId="169" formatCode="_(* #,##0.000_);_(* \(#,##0.000\);_(* &quot;-&quot;??_);_(@_)"/>
    <numFmt numFmtId="170" formatCode="#,##0.0_ ;\-#,##0.0\ "/>
    <numFmt numFmtId="171" formatCode="#,##0.00_ ;\-#,##0.00\ "/>
    <numFmt numFmtId="172" formatCode="#,##0_ ;\-#,##0\ "/>
    <numFmt numFmtId="173" formatCode="0.0%"/>
    <numFmt numFmtId="174" formatCode="_ * #,##0.00000_ ;_ * \-#,##0.000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Book Antiqua"/>
      <family val="1"/>
    </font>
    <font>
      <sz val="11"/>
      <color theme="1"/>
      <name val="Cambria"/>
      <family val="1"/>
    </font>
    <font>
      <b/>
      <sz val="10"/>
      <color indexed="8"/>
      <name val="Book Antiqua"/>
      <family val="1"/>
    </font>
    <font>
      <i/>
      <sz val="10"/>
      <color indexed="8"/>
      <name val="Book Antiqua"/>
      <family val="1"/>
    </font>
    <font>
      <sz val="10"/>
      <color indexed="8"/>
      <name val="Book Antiqua"/>
      <family val="1"/>
    </font>
    <font>
      <i/>
      <sz val="10"/>
      <color theme="1"/>
      <name val="Calibri"/>
      <family val="2"/>
      <scheme val="minor"/>
    </font>
    <font>
      <sz val="11"/>
      <color indexed="8"/>
      <name val="Book Antiqua"/>
      <family val="1"/>
    </font>
    <font>
      <b/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b/>
      <sz val="9"/>
      <color indexed="8"/>
      <name val="Book Antiqua"/>
      <family val="1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</cellStyleXfs>
  <cellXfs count="373">
    <xf numFmtId="0" fontId="0" fillId="0" borderId="0" xfId="0"/>
    <xf numFmtId="165" fontId="4" fillId="0" borderId="1" xfId="3" applyNumberFormat="1" applyFont="1" applyFill="1" applyBorder="1" applyAlignment="1">
      <alignment vertical="center"/>
    </xf>
    <xf numFmtId="165" fontId="4" fillId="0" borderId="2" xfId="3" applyNumberFormat="1" applyFont="1" applyFill="1" applyBorder="1" applyAlignment="1">
      <alignment vertical="center" wrapText="1"/>
    </xf>
    <xf numFmtId="0" fontId="4" fillId="0" borderId="3" xfId="4" applyFont="1" applyBorder="1"/>
    <xf numFmtId="166" fontId="0" fillId="0" borderId="0" xfId="0" applyNumberFormat="1"/>
    <xf numFmtId="43" fontId="0" fillId="0" borderId="0" xfId="0" applyNumberFormat="1"/>
    <xf numFmtId="0" fontId="6" fillId="2" borderId="0" xfId="4" applyFont="1" applyFill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vertical="center" wrapText="1"/>
    </xf>
    <xf numFmtId="0" fontId="6" fillId="0" borderId="7" xfId="4" applyFont="1" applyBorder="1"/>
    <xf numFmtId="0" fontId="0" fillId="0" borderId="7" xfId="0" applyBorder="1"/>
    <xf numFmtId="43" fontId="0" fillId="0" borderId="7" xfId="1" applyFont="1" applyBorder="1"/>
    <xf numFmtId="166" fontId="0" fillId="0" borderId="7" xfId="1" applyNumberFormat="1" applyFont="1" applyBorder="1"/>
    <xf numFmtId="166" fontId="0" fillId="0" borderId="7" xfId="0" applyNumberFormat="1" applyBorder="1"/>
    <xf numFmtId="166" fontId="0" fillId="0" borderId="7" xfId="1" applyNumberFormat="1" applyFont="1" applyFill="1" applyBorder="1"/>
    <xf numFmtId="166" fontId="0" fillId="0" borderId="11" xfId="0" applyNumberFormat="1" applyBorder="1"/>
    <xf numFmtId="9" fontId="0" fillId="0" borderId="11" xfId="2" applyFont="1" applyBorder="1"/>
    <xf numFmtId="0" fontId="7" fillId="0" borderId="8" xfId="4" applyFont="1" applyBorder="1"/>
    <xf numFmtId="0" fontId="0" fillId="0" borderId="8" xfId="0" applyBorder="1"/>
    <xf numFmtId="0" fontId="6" fillId="0" borderId="12" xfId="4" applyFont="1" applyBorder="1"/>
    <xf numFmtId="166" fontId="6" fillId="0" borderId="13" xfId="1" applyNumberFormat="1" applyFont="1" applyFill="1" applyBorder="1"/>
    <xf numFmtId="166" fontId="6" fillId="0" borderId="14" xfId="1" applyNumberFormat="1" applyFont="1" applyFill="1" applyBorder="1"/>
    <xf numFmtId="166" fontId="6" fillId="0" borderId="0" xfId="1" applyNumberFormat="1" applyFont="1" applyFill="1" applyBorder="1"/>
    <xf numFmtId="0" fontId="6" fillId="0" borderId="10" xfId="4" applyFont="1" applyBorder="1"/>
    <xf numFmtId="0" fontId="0" fillId="0" borderId="10" xfId="0" applyBorder="1"/>
    <xf numFmtId="0" fontId="8" fillId="0" borderId="7" xfId="4" applyFont="1" applyBorder="1"/>
    <xf numFmtId="166" fontId="0" fillId="3" borderId="7" xfId="0" applyNumberFormat="1" applyFill="1" applyBorder="1"/>
    <xf numFmtId="0" fontId="8" fillId="0" borderId="8" xfId="4" applyFont="1" applyBorder="1"/>
    <xf numFmtId="166" fontId="0" fillId="0" borderId="0" xfId="1" applyNumberFormat="1" applyFont="1" applyBorder="1"/>
    <xf numFmtId="10" fontId="0" fillId="0" borderId="0" xfId="2" applyNumberFormat="1" applyFont="1"/>
    <xf numFmtId="166" fontId="2" fillId="0" borderId="7" xfId="0" applyNumberFormat="1" applyFont="1" applyBorder="1"/>
    <xf numFmtId="166" fontId="2" fillId="0" borderId="0" xfId="0" applyNumberFormat="1" applyFont="1"/>
    <xf numFmtId="0" fontId="8" fillId="0" borderId="10" xfId="4" applyFont="1" applyBorder="1"/>
    <xf numFmtId="9" fontId="0" fillId="0" borderId="7" xfId="0" applyNumberFormat="1" applyBorder="1"/>
    <xf numFmtId="9" fontId="0" fillId="0" borderId="0" xfId="0" applyNumberFormat="1"/>
    <xf numFmtId="167" fontId="0" fillId="0" borderId="7" xfId="0" applyNumberFormat="1" applyBorder="1"/>
    <xf numFmtId="9" fontId="9" fillId="0" borderId="7" xfId="2" applyFont="1" applyBorder="1"/>
    <xf numFmtId="9" fontId="9" fillId="0" borderId="0" xfId="2" applyFont="1" applyBorder="1"/>
    <xf numFmtId="9" fontId="9" fillId="0" borderId="7" xfId="2" applyFont="1" applyFill="1" applyBorder="1"/>
    <xf numFmtId="0" fontId="8" fillId="0" borderId="7" xfId="4" applyFont="1" applyBorder="1" applyAlignment="1">
      <alignment horizontal="left" indent="1"/>
    </xf>
    <xf numFmtId="166" fontId="0" fillId="3" borderId="7" xfId="1" applyNumberFormat="1" applyFont="1" applyFill="1" applyBorder="1"/>
    <xf numFmtId="166" fontId="0" fillId="3" borderId="0" xfId="1" applyNumberFormat="1" applyFont="1" applyFill="1" applyBorder="1"/>
    <xf numFmtId="43" fontId="0" fillId="0" borderId="7" xfId="1" applyFont="1" applyFill="1" applyBorder="1"/>
    <xf numFmtId="43" fontId="0" fillId="0" borderId="7" xfId="0" applyNumberFormat="1" applyBorder="1"/>
    <xf numFmtId="43" fontId="2" fillId="0" borderId="0" xfId="1" applyFont="1" applyBorder="1"/>
    <xf numFmtId="0" fontId="6" fillId="0" borderId="7" xfId="4" applyFont="1" applyBorder="1" applyAlignment="1">
      <alignment wrapText="1"/>
    </xf>
    <xf numFmtId="10" fontId="9" fillId="0" borderId="7" xfId="2" applyNumberFormat="1" applyFont="1" applyBorder="1"/>
    <xf numFmtId="10" fontId="9" fillId="0" borderId="0" xfId="2" applyNumberFormat="1" applyFont="1" applyBorder="1"/>
    <xf numFmtId="10" fontId="9" fillId="0" borderId="7" xfId="2" applyNumberFormat="1" applyFont="1" applyFill="1" applyBorder="1"/>
    <xf numFmtId="166" fontId="0" fillId="0" borderId="0" xfId="1" applyNumberFormat="1" applyFont="1" applyFill="1" applyBorder="1"/>
    <xf numFmtId="0" fontId="6" fillId="0" borderId="0" xfId="4" applyFont="1"/>
    <xf numFmtId="0" fontId="10" fillId="0" borderId="0" xfId="4" applyFont="1"/>
    <xf numFmtId="0" fontId="4" fillId="0" borderId="0" xfId="4" applyFont="1"/>
    <xf numFmtId="43" fontId="11" fillId="0" borderId="0" xfId="1" applyFont="1" applyBorder="1"/>
    <xf numFmtId="43" fontId="11" fillId="0" borderId="15" xfId="1" applyFont="1" applyBorder="1" applyAlignment="1">
      <alignment horizontal="left"/>
    </xf>
    <xf numFmtId="0" fontId="10" fillId="0" borderId="16" xfId="4" applyFont="1" applyBorder="1"/>
    <xf numFmtId="0" fontId="10" fillId="0" borderId="15" xfId="4" applyFont="1" applyBorder="1"/>
    <xf numFmtId="0" fontId="4" fillId="0" borderId="1" xfId="4" applyFont="1" applyBorder="1"/>
    <xf numFmtId="0" fontId="10" fillId="0" borderId="2" xfId="4" applyFont="1" applyBorder="1"/>
    <xf numFmtId="0" fontId="10" fillId="0" borderId="3" xfId="4" applyFont="1" applyBorder="1"/>
    <xf numFmtId="0" fontId="10" fillId="0" borderId="17" xfId="4" applyFont="1" applyBorder="1"/>
    <xf numFmtId="0" fontId="10" fillId="0" borderId="1" xfId="4" applyFont="1" applyBorder="1"/>
    <xf numFmtId="0" fontId="12" fillId="0" borderId="0" xfId="0" applyFont="1"/>
    <xf numFmtId="0" fontId="2" fillId="0" borderId="0" xfId="0" applyFont="1"/>
    <xf numFmtId="0" fontId="13" fillId="5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7" borderId="24" xfId="0" applyFont="1" applyFill="1" applyBorder="1"/>
    <xf numFmtId="0" fontId="14" fillId="7" borderId="18" xfId="0" applyFont="1" applyFill="1" applyBorder="1" applyAlignment="1">
      <alignment horizontal="center" wrapText="1"/>
    </xf>
    <xf numFmtId="0" fontId="14" fillId="7" borderId="25" xfId="0" applyFont="1" applyFill="1" applyBorder="1" applyAlignment="1">
      <alignment horizontal="center"/>
    </xf>
    <xf numFmtId="0" fontId="14" fillId="6" borderId="23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 wrapText="1"/>
    </xf>
    <xf numFmtId="0" fontId="14" fillId="7" borderId="2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2" fillId="8" borderId="24" xfId="0" applyFont="1" applyFill="1" applyBorder="1"/>
    <xf numFmtId="168" fontId="12" fillId="8" borderId="27" xfId="5" applyNumberFormat="1" applyFont="1" applyFill="1" applyBorder="1"/>
    <xf numFmtId="168" fontId="12" fillId="8" borderId="28" xfId="0" applyNumberFormat="1" applyFont="1" applyFill="1" applyBorder="1"/>
    <xf numFmtId="168" fontId="12" fillId="6" borderId="27" xfId="0" applyNumberFormat="1" applyFont="1" applyFill="1" applyBorder="1"/>
    <xf numFmtId="168" fontId="12" fillId="5" borderId="27" xfId="0" applyNumberFormat="1" applyFont="1" applyFill="1" applyBorder="1"/>
    <xf numFmtId="168" fontId="12" fillId="8" borderId="29" xfId="5" applyNumberFormat="1" applyFont="1" applyFill="1" applyBorder="1"/>
    <xf numFmtId="168" fontId="12" fillId="8" borderId="27" xfId="0" applyNumberFormat="1" applyFont="1" applyFill="1" applyBorder="1"/>
    <xf numFmtId="0" fontId="12" fillId="0" borderId="24" xfId="0" applyFont="1" applyBorder="1"/>
    <xf numFmtId="168" fontId="12" fillId="8" borderId="30" xfId="5" applyNumberFormat="1" applyFont="1" applyFill="1" applyBorder="1"/>
    <xf numFmtId="0" fontId="12" fillId="8" borderId="31" xfId="0" applyFont="1" applyFill="1" applyBorder="1"/>
    <xf numFmtId="0" fontId="12" fillId="6" borderId="30" xfId="0" applyFont="1" applyFill="1" applyBorder="1"/>
    <xf numFmtId="0" fontId="12" fillId="5" borderId="30" xfId="0" applyFont="1" applyFill="1" applyBorder="1"/>
    <xf numFmtId="168" fontId="12" fillId="8" borderId="6" xfId="5" applyNumberFormat="1" applyFont="1" applyFill="1" applyBorder="1"/>
    <xf numFmtId="0" fontId="12" fillId="8" borderId="30" xfId="0" applyFont="1" applyFill="1" applyBorder="1"/>
    <xf numFmtId="0" fontId="13" fillId="8" borderId="24" xfId="0" applyFont="1" applyFill="1" applyBorder="1"/>
    <xf numFmtId="168" fontId="12" fillId="8" borderId="31" xfId="0" applyNumberFormat="1" applyFont="1" applyFill="1" applyBorder="1"/>
    <xf numFmtId="165" fontId="12" fillId="6" borderId="30" xfId="0" applyNumberFormat="1" applyFont="1" applyFill="1" applyBorder="1"/>
    <xf numFmtId="168" fontId="12" fillId="5" borderId="30" xfId="0" applyNumberFormat="1" applyFont="1" applyFill="1" applyBorder="1"/>
    <xf numFmtId="168" fontId="12" fillId="8" borderId="31" xfId="5" applyNumberFormat="1" applyFont="1" applyFill="1" applyBorder="1"/>
    <xf numFmtId="168" fontId="12" fillId="8" borderId="30" xfId="0" applyNumberFormat="1" applyFont="1" applyFill="1" applyBorder="1"/>
    <xf numFmtId="168" fontId="12" fillId="6" borderId="30" xfId="0" applyNumberFormat="1" applyFont="1" applyFill="1" applyBorder="1"/>
    <xf numFmtId="0" fontId="12" fillId="8" borderId="6" xfId="0" applyFont="1" applyFill="1" applyBorder="1"/>
    <xf numFmtId="9" fontId="15" fillId="0" borderId="30" xfId="0" applyNumberFormat="1" applyFont="1" applyBorder="1"/>
    <xf numFmtId="9" fontId="15" fillId="0" borderId="31" xfId="0" applyNumberFormat="1" applyFont="1" applyBorder="1"/>
    <xf numFmtId="9" fontId="15" fillId="6" borderId="30" xfId="0" applyNumberFormat="1" applyFont="1" applyFill="1" applyBorder="1"/>
    <xf numFmtId="9" fontId="15" fillId="5" borderId="30" xfId="0" applyNumberFormat="1" applyFont="1" applyFill="1" applyBorder="1"/>
    <xf numFmtId="9" fontId="15" fillId="0" borderId="5" xfId="0" applyNumberFormat="1" applyFont="1" applyBorder="1"/>
    <xf numFmtId="43" fontId="12" fillId="0" borderId="30" xfId="0" applyNumberFormat="1" applyFont="1" applyBorder="1"/>
    <xf numFmtId="43" fontId="12" fillId="0" borderId="31" xfId="0" applyNumberFormat="1" applyFont="1" applyBorder="1"/>
    <xf numFmtId="43" fontId="12" fillId="6" borderId="30" xfId="0" applyNumberFormat="1" applyFont="1" applyFill="1" applyBorder="1"/>
    <xf numFmtId="43" fontId="12" fillId="5" borderId="30" xfId="0" applyNumberFormat="1" applyFont="1" applyFill="1" applyBorder="1"/>
    <xf numFmtId="43" fontId="12" fillId="0" borderId="5" xfId="0" applyNumberFormat="1" applyFont="1" applyBorder="1"/>
    <xf numFmtId="170" fontId="13" fillId="8" borderId="30" xfId="0" applyNumberFormat="1" applyFont="1" applyFill="1" applyBorder="1"/>
    <xf numFmtId="170" fontId="13" fillId="8" borderId="31" xfId="0" applyNumberFormat="1" applyFont="1" applyFill="1" applyBorder="1"/>
    <xf numFmtId="170" fontId="13" fillId="6" borderId="30" xfId="0" applyNumberFormat="1" applyFont="1" applyFill="1" applyBorder="1"/>
    <xf numFmtId="170" fontId="13" fillId="5" borderId="30" xfId="0" applyNumberFormat="1" applyFont="1" applyFill="1" applyBorder="1"/>
    <xf numFmtId="171" fontId="13" fillId="6" borderId="30" xfId="0" applyNumberFormat="1" applyFont="1" applyFill="1" applyBorder="1"/>
    <xf numFmtId="172" fontId="13" fillId="8" borderId="30" xfId="0" applyNumberFormat="1" applyFont="1" applyFill="1" applyBorder="1"/>
    <xf numFmtId="172" fontId="13" fillId="8" borderId="31" xfId="0" applyNumberFormat="1" applyFont="1" applyFill="1" applyBorder="1"/>
    <xf numFmtId="172" fontId="13" fillId="5" borderId="30" xfId="0" applyNumberFormat="1" applyFont="1" applyFill="1" applyBorder="1"/>
    <xf numFmtId="171" fontId="13" fillId="0" borderId="30" xfId="0" applyNumberFormat="1" applyFont="1" applyBorder="1"/>
    <xf numFmtId="171" fontId="13" fillId="5" borderId="30" xfId="0" applyNumberFormat="1" applyFont="1" applyFill="1" applyBorder="1"/>
    <xf numFmtId="171" fontId="13" fillId="0" borderId="6" xfId="0" applyNumberFormat="1" applyFont="1" applyBorder="1"/>
    <xf numFmtId="164" fontId="12" fillId="8" borderId="30" xfId="5" applyFont="1" applyFill="1" applyBorder="1"/>
    <xf numFmtId="164" fontId="12" fillId="6" borderId="30" xfId="0" applyNumberFormat="1" applyFont="1" applyFill="1" applyBorder="1"/>
    <xf numFmtId="164" fontId="12" fillId="5" borderId="30" xfId="0" applyNumberFormat="1" applyFont="1" applyFill="1" applyBorder="1"/>
    <xf numFmtId="164" fontId="12" fillId="8" borderId="6" xfId="5" applyFont="1" applyFill="1" applyBorder="1"/>
    <xf numFmtId="164" fontId="12" fillId="8" borderId="30" xfId="0" applyNumberFormat="1" applyFont="1" applyFill="1" applyBorder="1"/>
    <xf numFmtId="171" fontId="13" fillId="8" borderId="30" xfId="0" applyNumberFormat="1" applyFont="1" applyFill="1" applyBorder="1"/>
    <xf numFmtId="171" fontId="13" fillId="6" borderId="31" xfId="0" applyNumberFormat="1" applyFont="1" applyFill="1" applyBorder="1"/>
    <xf numFmtId="171" fontId="13" fillId="5" borderId="31" xfId="0" applyNumberFormat="1" applyFont="1" applyFill="1" applyBorder="1"/>
    <xf numFmtId="171" fontId="13" fillId="8" borderId="6" xfId="0" applyNumberFormat="1" applyFont="1" applyFill="1" applyBorder="1"/>
    <xf numFmtId="171" fontId="13" fillId="8" borderId="32" xfId="0" applyNumberFormat="1" applyFont="1" applyFill="1" applyBorder="1"/>
    <xf numFmtId="43" fontId="12" fillId="8" borderId="30" xfId="0" applyNumberFormat="1" applyFont="1" applyFill="1" applyBorder="1"/>
    <xf numFmtId="43" fontId="12" fillId="6" borderId="30" xfId="1" applyFont="1" applyFill="1" applyBorder="1"/>
    <xf numFmtId="43" fontId="12" fillId="5" borderId="30" xfId="1" applyFont="1" applyFill="1" applyBorder="1"/>
    <xf numFmtId="43" fontId="12" fillId="8" borderId="30" xfId="1" applyFont="1" applyFill="1" applyBorder="1"/>
    <xf numFmtId="10" fontId="15" fillId="0" borderId="30" xfId="0" applyNumberFormat="1" applyFont="1" applyBorder="1"/>
    <xf numFmtId="10" fontId="15" fillId="0" borderId="31" xfId="0" applyNumberFormat="1" applyFont="1" applyBorder="1"/>
    <xf numFmtId="10" fontId="15" fillId="6" borderId="31" xfId="0" applyNumberFormat="1" applyFont="1" applyFill="1" applyBorder="1"/>
    <xf numFmtId="10" fontId="15" fillId="5" borderId="31" xfId="0" applyNumberFormat="1" applyFont="1" applyFill="1" applyBorder="1"/>
    <xf numFmtId="10" fontId="15" fillId="0" borderId="32" xfId="0" applyNumberFormat="1" applyFont="1" applyBorder="1"/>
    <xf numFmtId="0" fontId="12" fillId="0" borderId="33" xfId="0" applyFont="1" applyBorder="1"/>
    <xf numFmtId="173" fontId="15" fillId="0" borderId="34" xfId="0" applyNumberFormat="1" applyFont="1" applyBorder="1"/>
    <xf numFmtId="173" fontId="15" fillId="0" borderId="35" xfId="0" applyNumberFormat="1" applyFont="1" applyBorder="1"/>
    <xf numFmtId="173" fontId="15" fillId="6" borderId="35" xfId="0" applyNumberFormat="1" applyFont="1" applyFill="1" applyBorder="1"/>
    <xf numFmtId="173" fontId="15" fillId="5" borderId="35" xfId="0" applyNumberFormat="1" applyFont="1" applyFill="1" applyBorder="1"/>
    <xf numFmtId="173" fontId="15" fillId="0" borderId="36" xfId="0" applyNumberFormat="1" applyFont="1" applyBorder="1"/>
    <xf numFmtId="171" fontId="0" fillId="0" borderId="0" xfId="0" applyNumberFormat="1"/>
    <xf numFmtId="170" fontId="13" fillId="0" borderId="6" xfId="0" applyNumberFormat="1" applyFont="1" applyBorder="1"/>
    <xf numFmtId="170" fontId="13" fillId="0" borderId="30" xfId="0" applyNumberFormat="1" applyFont="1" applyBorder="1"/>
    <xf numFmtId="170" fontId="13" fillId="0" borderId="31" xfId="0" applyNumberFormat="1" applyFont="1" applyBorder="1"/>
    <xf numFmtId="170" fontId="13" fillId="6" borderId="31" xfId="0" applyNumberFormat="1" applyFont="1" applyFill="1" applyBorder="1"/>
    <xf numFmtId="170" fontId="13" fillId="8" borderId="6" xfId="0" applyNumberFormat="1" applyFont="1" applyFill="1" applyBorder="1"/>
    <xf numFmtId="170" fontId="13" fillId="8" borderId="32" xfId="0" applyNumberFormat="1" applyFont="1" applyFill="1" applyBorder="1"/>
    <xf numFmtId="0" fontId="14" fillId="7" borderId="0" xfId="0" applyFont="1" applyFill="1" applyAlignment="1">
      <alignment horizontal="center"/>
    </xf>
    <xf numFmtId="168" fontId="12" fillId="8" borderId="37" xfId="0" applyNumberFormat="1" applyFont="1" applyFill="1" applyBorder="1"/>
    <xf numFmtId="0" fontId="12" fillId="8" borderId="38" xfId="0" applyFont="1" applyFill="1" applyBorder="1"/>
    <xf numFmtId="168" fontId="12" fillId="8" borderId="38" xfId="0" applyNumberFormat="1" applyFont="1" applyFill="1" applyBorder="1"/>
    <xf numFmtId="43" fontId="12" fillId="0" borderId="38" xfId="0" applyNumberFormat="1" applyFont="1" applyBorder="1"/>
    <xf numFmtId="170" fontId="13" fillId="8" borderId="38" xfId="0" applyNumberFormat="1" applyFont="1" applyFill="1" applyBorder="1"/>
    <xf numFmtId="171" fontId="13" fillId="8" borderId="5" xfId="0" applyNumberFormat="1" applyFont="1" applyFill="1" applyBorder="1"/>
    <xf numFmtId="43" fontId="12" fillId="8" borderId="38" xfId="1" applyFont="1" applyFill="1" applyBorder="1"/>
    <xf numFmtId="10" fontId="15" fillId="0" borderId="5" xfId="0" applyNumberFormat="1" applyFont="1" applyBorder="1"/>
    <xf numFmtId="173" fontId="15" fillId="0" borderId="39" xfId="0" applyNumberFormat="1" applyFont="1" applyBorder="1"/>
    <xf numFmtId="0" fontId="13" fillId="6" borderId="18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10" fontId="15" fillId="6" borderId="30" xfId="0" applyNumberFormat="1" applyFont="1" applyFill="1" applyBorder="1"/>
    <xf numFmtId="173" fontId="15" fillId="6" borderId="34" xfId="0" applyNumberFormat="1" applyFont="1" applyFill="1" applyBorder="1"/>
    <xf numFmtId="0" fontId="14" fillId="0" borderId="23" xfId="0" applyFont="1" applyBorder="1" applyAlignment="1">
      <alignment horizontal="center"/>
    </xf>
    <xf numFmtId="0" fontId="12" fillId="8" borderId="5" xfId="0" applyFont="1" applyFill="1" applyBorder="1"/>
    <xf numFmtId="170" fontId="13" fillId="8" borderId="5" xfId="0" applyNumberFormat="1" applyFont="1" applyFill="1" applyBorder="1"/>
    <xf numFmtId="168" fontId="12" fillId="8" borderId="28" xfId="5" applyNumberFormat="1" applyFont="1" applyFill="1" applyBorder="1"/>
    <xf numFmtId="0" fontId="13" fillId="0" borderId="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9" fontId="12" fillId="0" borderId="3" xfId="0" applyNumberFormat="1" applyFont="1" applyBorder="1"/>
    <xf numFmtId="169" fontId="12" fillId="0" borderId="23" xfId="0" applyNumberFormat="1" applyFont="1" applyBorder="1"/>
    <xf numFmtId="0" fontId="12" fillId="0" borderId="3" xfId="0" applyFont="1" applyBorder="1"/>
    <xf numFmtId="0" fontId="12" fillId="0" borderId="23" xfId="0" applyFont="1" applyBorder="1"/>
    <xf numFmtId="165" fontId="12" fillId="0" borderId="3" xfId="5" applyNumberFormat="1" applyFont="1" applyFill="1" applyBorder="1"/>
    <xf numFmtId="165" fontId="12" fillId="0" borderId="23" xfId="5" applyNumberFormat="1" applyFont="1" applyFill="1" applyBorder="1"/>
    <xf numFmtId="168" fontId="12" fillId="0" borderId="3" xfId="0" applyNumberFormat="1" applyFont="1" applyBorder="1"/>
    <xf numFmtId="168" fontId="12" fillId="0" borderId="23" xfId="0" applyNumberFormat="1" applyFont="1" applyBorder="1"/>
    <xf numFmtId="9" fontId="15" fillId="0" borderId="3" xfId="0" applyNumberFormat="1" applyFont="1" applyBorder="1"/>
    <xf numFmtId="9" fontId="15" fillId="0" borderId="23" xfId="0" applyNumberFormat="1" applyFont="1" applyBorder="1"/>
    <xf numFmtId="43" fontId="12" fillId="0" borderId="3" xfId="0" applyNumberFormat="1" applyFont="1" applyBorder="1"/>
    <xf numFmtId="43" fontId="12" fillId="0" borderId="23" xfId="0" applyNumberFormat="1" applyFont="1" applyBorder="1"/>
    <xf numFmtId="170" fontId="13" fillId="0" borderId="3" xfId="0" applyNumberFormat="1" applyFont="1" applyBorder="1"/>
    <xf numFmtId="170" fontId="13" fillId="0" borderId="23" xfId="0" applyNumberFormat="1" applyFont="1" applyBorder="1"/>
    <xf numFmtId="43" fontId="12" fillId="0" borderId="3" xfId="1" applyFont="1" applyFill="1" applyBorder="1"/>
    <xf numFmtId="43" fontId="12" fillId="0" borderId="23" xfId="1" applyFont="1" applyFill="1" applyBorder="1"/>
    <xf numFmtId="10" fontId="15" fillId="0" borderId="3" xfId="0" applyNumberFormat="1" applyFont="1" applyBorder="1"/>
    <xf numFmtId="10" fontId="15" fillId="0" borderId="23" xfId="0" applyNumberFormat="1" applyFont="1" applyBorder="1"/>
    <xf numFmtId="171" fontId="13" fillId="0" borderId="3" xfId="0" applyNumberFormat="1" applyFont="1" applyBorder="1"/>
    <xf numFmtId="171" fontId="13" fillId="0" borderId="23" xfId="0" applyNumberFormat="1" applyFont="1" applyBorder="1"/>
    <xf numFmtId="173" fontId="15" fillId="0" borderId="3" xfId="0" applyNumberFormat="1" applyFont="1" applyBorder="1"/>
    <xf numFmtId="173" fontId="15" fillId="0" borderId="23" xfId="0" applyNumberFormat="1" applyFont="1" applyBorder="1"/>
    <xf numFmtId="0" fontId="16" fillId="0" borderId="0" xfId="0" applyFont="1"/>
    <xf numFmtId="17" fontId="16" fillId="0" borderId="0" xfId="0" applyNumberFormat="1" applyFont="1"/>
    <xf numFmtId="166" fontId="16" fillId="0" borderId="0" xfId="1" applyNumberFormat="1" applyFont="1"/>
    <xf numFmtId="166" fontId="17" fillId="0" borderId="0" xfId="0" applyNumberFormat="1" applyFont="1"/>
    <xf numFmtId="0" fontId="17" fillId="0" borderId="0" xfId="0" applyFont="1"/>
    <xf numFmtId="43" fontId="16" fillId="0" borderId="0" xfId="1" applyFont="1"/>
    <xf numFmtId="17" fontId="17" fillId="0" borderId="0" xfId="0" applyNumberFormat="1" applyFont="1"/>
    <xf numFmtId="43" fontId="17" fillId="0" borderId="0" xfId="1" applyFont="1"/>
    <xf numFmtId="0" fontId="18" fillId="2" borderId="7" xfId="4" applyFont="1" applyFill="1" applyBorder="1" applyAlignment="1">
      <alignment vertical="center" wrapText="1"/>
    </xf>
    <xf numFmtId="0" fontId="18" fillId="2" borderId="7" xfId="4" applyFont="1" applyFill="1" applyBorder="1" applyAlignment="1">
      <alignment horizontal="center" vertical="center" wrapText="1"/>
    </xf>
    <xf numFmtId="0" fontId="16" fillId="0" borderId="7" xfId="0" applyFont="1" applyBorder="1"/>
    <xf numFmtId="166" fontId="16" fillId="0" borderId="7" xfId="1" applyNumberFormat="1" applyFont="1" applyBorder="1"/>
    <xf numFmtId="166" fontId="16" fillId="0" borderId="7" xfId="0" applyNumberFormat="1" applyFont="1" applyBorder="1"/>
    <xf numFmtId="0" fontId="16" fillId="0" borderId="8" xfId="0" applyFont="1" applyBorder="1"/>
    <xf numFmtId="166" fontId="18" fillId="0" borderId="13" xfId="1" applyNumberFormat="1" applyFont="1" applyFill="1" applyBorder="1"/>
    <xf numFmtId="0" fontId="14" fillId="7" borderId="18" xfId="0" applyFont="1" applyFill="1" applyBorder="1" applyAlignment="1">
      <alignment horizontal="center"/>
    </xf>
    <xf numFmtId="9" fontId="12" fillId="8" borderId="28" xfId="2" applyFont="1" applyFill="1" applyBorder="1"/>
    <xf numFmtId="9" fontId="12" fillId="8" borderId="31" xfId="2" applyFont="1" applyFill="1" applyBorder="1"/>
    <xf numFmtId="9" fontId="12" fillId="0" borderId="31" xfId="2" applyFont="1" applyBorder="1"/>
    <xf numFmtId="9" fontId="13" fillId="8" borderId="31" xfId="2" applyFont="1" applyFill="1" applyBorder="1"/>
    <xf numFmtId="9" fontId="13" fillId="0" borderId="31" xfId="2" applyFont="1" applyBorder="1"/>
    <xf numFmtId="9" fontId="12" fillId="8" borderId="40" xfId="2" applyFont="1" applyFill="1" applyBorder="1"/>
    <xf numFmtId="9" fontId="12" fillId="8" borderId="5" xfId="2" applyFont="1" applyFill="1" applyBorder="1"/>
    <xf numFmtId="9" fontId="12" fillId="0" borderId="5" xfId="2" applyFont="1" applyBorder="1"/>
    <xf numFmtId="9" fontId="13" fillId="8" borderId="5" xfId="2" applyFont="1" applyFill="1" applyBorder="1"/>
    <xf numFmtId="9" fontId="13" fillId="0" borderId="5" xfId="2" applyFont="1" applyBorder="1"/>
    <xf numFmtId="0" fontId="13" fillId="5" borderId="15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10" fontId="15" fillId="5" borderId="30" xfId="0" applyNumberFormat="1" applyFont="1" applyFill="1" applyBorder="1"/>
    <xf numFmtId="173" fontId="15" fillId="5" borderId="34" xfId="0" applyNumberFormat="1" applyFont="1" applyFill="1" applyBorder="1"/>
    <xf numFmtId="0" fontId="14" fillId="7" borderId="23" xfId="0" applyFont="1" applyFill="1" applyBorder="1" applyAlignment="1">
      <alignment horizontal="center" wrapText="1"/>
    </xf>
    <xf numFmtId="0" fontId="13" fillId="5" borderId="18" xfId="0" applyFont="1" applyFill="1" applyBorder="1" applyAlignment="1">
      <alignment horizontal="center"/>
    </xf>
    <xf numFmtId="0" fontId="13" fillId="4" borderId="18" xfId="0" applyFont="1" applyFill="1" applyBorder="1"/>
    <xf numFmtId="170" fontId="13" fillId="0" borderId="38" xfId="0" applyNumberFormat="1" applyFont="1" applyBorder="1"/>
    <xf numFmtId="167" fontId="12" fillId="0" borderId="30" xfId="0" applyNumberFormat="1" applyFont="1" applyBorder="1"/>
    <xf numFmtId="167" fontId="12" fillId="0" borderId="5" xfId="0" applyNumberFormat="1" applyFont="1" applyBorder="1"/>
    <xf numFmtId="167" fontId="12" fillId="0" borderId="38" xfId="0" applyNumberFormat="1" applyFont="1" applyBorder="1"/>
    <xf numFmtId="167" fontId="12" fillId="6" borderId="30" xfId="0" applyNumberFormat="1" applyFont="1" applyFill="1" applyBorder="1"/>
    <xf numFmtId="167" fontId="13" fillId="8" borderId="30" xfId="0" applyNumberFormat="1" applyFont="1" applyFill="1" applyBorder="1"/>
    <xf numFmtId="167" fontId="13" fillId="8" borderId="6" xfId="0" applyNumberFormat="1" applyFont="1" applyFill="1" applyBorder="1"/>
    <xf numFmtId="167" fontId="13" fillId="8" borderId="32" xfId="0" applyNumberFormat="1" applyFont="1" applyFill="1" applyBorder="1"/>
    <xf numFmtId="167" fontId="13" fillId="8" borderId="5" xfId="0" applyNumberFormat="1" applyFont="1" applyFill="1" applyBorder="1"/>
    <xf numFmtId="167" fontId="13" fillId="6" borderId="30" xfId="0" applyNumberFormat="1" applyFont="1" applyFill="1" applyBorder="1"/>
    <xf numFmtId="167" fontId="13" fillId="6" borderId="31" xfId="0" applyNumberFormat="1" applyFont="1" applyFill="1" applyBorder="1"/>
    <xf numFmtId="167" fontId="12" fillId="8" borderId="30" xfId="0" applyNumberFormat="1" applyFont="1" applyFill="1" applyBorder="1"/>
    <xf numFmtId="167" fontId="12" fillId="8" borderId="30" xfId="1" applyNumberFormat="1" applyFont="1" applyFill="1" applyBorder="1"/>
    <xf numFmtId="167" fontId="12" fillId="8" borderId="38" xfId="1" applyNumberFormat="1" applyFont="1" applyFill="1" applyBorder="1"/>
    <xf numFmtId="167" fontId="12" fillId="6" borderId="30" xfId="1" applyNumberFormat="1" applyFont="1" applyFill="1" applyBorder="1"/>
    <xf numFmtId="10" fontId="15" fillId="0" borderId="38" xfId="0" applyNumberFormat="1" applyFont="1" applyBorder="1"/>
    <xf numFmtId="10" fontId="15" fillId="0" borderId="34" xfId="0" applyNumberFormat="1" applyFont="1" applyBorder="1"/>
    <xf numFmtId="10" fontId="15" fillId="0" borderId="35" xfId="0" applyNumberFormat="1" applyFont="1" applyBorder="1"/>
    <xf numFmtId="10" fontId="15" fillId="0" borderId="36" xfId="0" applyNumberFormat="1" applyFont="1" applyBorder="1"/>
    <xf numFmtId="10" fontId="15" fillId="0" borderId="39" xfId="0" applyNumberFormat="1" applyFont="1" applyBorder="1"/>
    <xf numFmtId="10" fontId="15" fillId="6" borderId="34" xfId="0" applyNumberFormat="1" applyFont="1" applyFill="1" applyBorder="1"/>
    <xf numFmtId="10" fontId="15" fillId="6" borderId="35" xfId="0" applyNumberFormat="1" applyFont="1" applyFill="1" applyBorder="1"/>
    <xf numFmtId="167" fontId="12" fillId="0" borderId="31" xfId="0" applyNumberFormat="1" applyFont="1" applyBorder="1"/>
    <xf numFmtId="167" fontId="12" fillId="8" borderId="31" xfId="1" applyNumberFormat="1" applyFont="1" applyFill="1" applyBorder="1"/>
    <xf numFmtId="167" fontId="12" fillId="8" borderId="31" xfId="0" applyNumberFormat="1" applyFont="1" applyFill="1" applyBorder="1"/>
    <xf numFmtId="166" fontId="10" fillId="0" borderId="0" xfId="1" applyNumberFormat="1" applyFont="1"/>
    <xf numFmtId="0" fontId="6" fillId="2" borderId="12" xfId="4" applyFont="1" applyFill="1" applyBorder="1" applyAlignment="1">
      <alignment horizontal="center" vertical="center" wrapText="1"/>
    </xf>
    <xf numFmtId="17" fontId="6" fillId="2" borderId="15" xfId="1" applyNumberFormat="1" applyFont="1" applyFill="1" applyBorder="1" applyAlignment="1">
      <alignment horizontal="center" vertical="center" wrapText="1"/>
    </xf>
    <xf numFmtId="0" fontId="10" fillId="0" borderId="44" xfId="4" applyFont="1" applyBorder="1"/>
    <xf numFmtId="166" fontId="10" fillId="0" borderId="26" xfId="1" applyNumberFormat="1" applyFont="1" applyBorder="1"/>
    <xf numFmtId="0" fontId="4" fillId="0" borderId="45" xfId="4" applyFont="1" applyBorder="1"/>
    <xf numFmtId="0" fontId="10" fillId="0" borderId="45" xfId="4" applyFont="1" applyBorder="1" applyAlignment="1">
      <alignment horizontal="left" indent="1"/>
    </xf>
    <xf numFmtId="166" fontId="10" fillId="0" borderId="26" xfId="1" applyNumberFormat="1" applyFont="1" applyFill="1" applyBorder="1"/>
    <xf numFmtId="43" fontId="10" fillId="0" borderId="0" xfId="4" applyNumberFormat="1" applyFont="1"/>
    <xf numFmtId="166" fontId="10" fillId="0" borderId="0" xfId="4" applyNumberFormat="1" applyFont="1"/>
    <xf numFmtId="4" fontId="10" fillId="0" borderId="0" xfId="4" applyNumberFormat="1" applyFont="1"/>
    <xf numFmtId="0" fontId="4" fillId="0" borderId="45" xfId="4" applyFont="1" applyBorder="1" applyAlignment="1">
      <alignment horizontal="center"/>
    </xf>
    <xf numFmtId="166" fontId="4" fillId="0" borderId="46" xfId="1" applyNumberFormat="1" applyFont="1" applyFill="1" applyBorder="1"/>
    <xf numFmtId="0" fontId="10" fillId="0" borderId="45" xfId="4" applyFont="1" applyBorder="1" applyAlignment="1">
      <alignment horizontal="left" indent="3"/>
    </xf>
    <xf numFmtId="0" fontId="10" fillId="0" borderId="47" xfId="4" applyFont="1" applyBorder="1"/>
    <xf numFmtId="166" fontId="4" fillId="0" borderId="36" xfId="1" applyNumberFormat="1" applyFont="1" applyFill="1" applyBorder="1"/>
    <xf numFmtId="0" fontId="4" fillId="0" borderId="7" xfId="4" applyFont="1" applyBorder="1"/>
    <xf numFmtId="166" fontId="4" fillId="0" borderId="7" xfId="1" applyNumberFormat="1" applyFont="1" applyBorder="1"/>
    <xf numFmtId="0" fontId="10" fillId="0" borderId="7" xfId="4" applyFont="1" applyBorder="1"/>
    <xf numFmtId="166" fontId="10" fillId="0" borderId="7" xfId="1" applyNumberFormat="1" applyFont="1" applyBorder="1"/>
    <xf numFmtId="10" fontId="19" fillId="0" borderId="7" xfId="2" applyNumberFormat="1" applyFont="1" applyBorder="1"/>
    <xf numFmtId="166" fontId="0" fillId="0" borderId="0" xfId="1" applyNumberFormat="1" applyFont="1"/>
    <xf numFmtId="170" fontId="0" fillId="0" borderId="0" xfId="0" applyNumberFormat="1"/>
    <xf numFmtId="0" fontId="14" fillId="7" borderId="3" xfId="0" applyFont="1" applyFill="1" applyBorder="1" applyAlignment="1">
      <alignment horizontal="center" wrapText="1"/>
    </xf>
    <xf numFmtId="168" fontId="12" fillId="8" borderId="40" xfId="5" applyNumberFormat="1" applyFont="1" applyFill="1" applyBorder="1"/>
    <xf numFmtId="168" fontId="12" fillId="8" borderId="5" xfId="5" applyNumberFormat="1" applyFont="1" applyFill="1" applyBorder="1"/>
    <xf numFmtId="168" fontId="12" fillId="8" borderId="38" xfId="5" applyNumberFormat="1" applyFont="1" applyFill="1" applyBorder="1"/>
    <xf numFmtId="170" fontId="13" fillId="0" borderId="5" xfId="0" applyNumberFormat="1" applyFont="1" applyBorder="1"/>
    <xf numFmtId="167" fontId="12" fillId="8" borderId="38" xfId="0" applyNumberFormat="1" applyFont="1" applyFill="1" applyBorder="1"/>
    <xf numFmtId="171" fontId="13" fillId="0" borderId="5" xfId="0" applyNumberFormat="1" applyFont="1" applyBorder="1"/>
    <xf numFmtId="164" fontId="12" fillId="8" borderId="5" xfId="5" applyFont="1" applyFill="1" applyBorder="1"/>
    <xf numFmtId="43" fontId="12" fillId="8" borderId="38" xfId="0" applyNumberFormat="1" applyFont="1" applyFill="1" applyBorder="1"/>
    <xf numFmtId="171" fontId="13" fillId="8" borderId="38" xfId="0" applyNumberFormat="1" applyFont="1" applyFill="1" applyBorder="1"/>
    <xf numFmtId="43" fontId="0" fillId="0" borderId="0" xfId="1" applyFont="1"/>
    <xf numFmtId="43" fontId="6" fillId="0" borderId="7" xfId="1" applyFont="1" applyFill="1" applyBorder="1"/>
    <xf numFmtId="9" fontId="0" fillId="0" borderId="7" xfId="2" applyFont="1" applyBorder="1"/>
    <xf numFmtId="43" fontId="10" fillId="0" borderId="26" xfId="1" applyFont="1" applyFill="1" applyBorder="1"/>
    <xf numFmtId="43" fontId="4" fillId="0" borderId="46" xfId="1" applyFont="1" applyFill="1" applyBorder="1"/>
    <xf numFmtId="43" fontId="4" fillId="0" borderId="36" xfId="1" applyFont="1" applyFill="1" applyBorder="1"/>
    <xf numFmtId="9" fontId="0" fillId="0" borderId="0" xfId="2" applyFont="1"/>
    <xf numFmtId="172" fontId="0" fillId="0" borderId="0" xfId="0" applyNumberFormat="1"/>
    <xf numFmtId="174" fontId="10" fillId="0" borderId="0" xfId="4" applyNumberFormat="1" applyFont="1"/>
    <xf numFmtId="0" fontId="2" fillId="9" borderId="7" xfId="0" applyFont="1" applyFill="1" applyBorder="1"/>
    <xf numFmtId="0" fontId="20" fillId="0" borderId="7" xfId="0" applyFont="1" applyBorder="1"/>
    <xf numFmtId="0" fontId="0" fillId="0" borderId="7" xfId="0" applyBorder="1" applyAlignment="1">
      <alignment horizontal="center"/>
    </xf>
    <xf numFmtId="17" fontId="0" fillId="0" borderId="7" xfId="0" applyNumberFormat="1" applyBorder="1" applyAlignment="1">
      <alignment horizontal="left"/>
    </xf>
    <xf numFmtId="166" fontId="6" fillId="0" borderId="48" xfId="1" applyNumberFormat="1" applyFont="1" applyFill="1" applyBorder="1"/>
    <xf numFmtId="43" fontId="2" fillId="0" borderId="7" xfId="1" applyFont="1" applyBorder="1"/>
    <xf numFmtId="166" fontId="0" fillId="0" borderId="48" xfId="1" applyNumberFormat="1" applyFont="1" applyFill="1" applyBorder="1"/>
    <xf numFmtId="0" fontId="0" fillId="0" borderId="0" xfId="0" applyAlignment="1">
      <alignment horizontal="center"/>
    </xf>
    <xf numFmtId="165" fontId="4" fillId="0" borderId="0" xfId="3" applyNumberFormat="1" applyFont="1" applyFill="1" applyBorder="1" applyAlignment="1">
      <alignment vertical="center" wrapText="1"/>
    </xf>
    <xf numFmtId="0" fontId="13" fillId="0" borderId="51" xfId="0" applyFont="1" applyBorder="1" applyAlignment="1">
      <alignment horizontal="center"/>
    </xf>
    <xf numFmtId="0" fontId="14" fillId="7" borderId="7" xfId="0" applyFont="1" applyFill="1" applyBorder="1"/>
    <xf numFmtId="0" fontId="14" fillId="7" borderId="49" xfId="0" applyFont="1" applyFill="1" applyBorder="1" applyAlignment="1">
      <alignment horizontal="center"/>
    </xf>
    <xf numFmtId="0" fontId="12" fillId="8" borderId="7" xfId="0" applyFont="1" applyFill="1" applyBorder="1"/>
    <xf numFmtId="9" fontId="12" fillId="8" borderId="29" xfId="2" applyFont="1" applyFill="1" applyBorder="1"/>
    <xf numFmtId="0" fontId="12" fillId="0" borderId="7" xfId="0" applyFont="1" applyBorder="1"/>
    <xf numFmtId="0" fontId="13" fillId="8" borderId="7" xfId="0" applyFont="1" applyFill="1" applyBorder="1"/>
    <xf numFmtId="9" fontId="12" fillId="8" borderId="6" xfId="2" applyFont="1" applyFill="1" applyBorder="1"/>
    <xf numFmtId="9" fontId="15" fillId="0" borderId="6" xfId="0" applyNumberFormat="1" applyFont="1" applyBorder="1"/>
    <xf numFmtId="9" fontId="12" fillId="0" borderId="6" xfId="2" applyFont="1" applyBorder="1"/>
    <xf numFmtId="9" fontId="13" fillId="8" borderId="6" xfId="2" applyFont="1" applyFill="1" applyBorder="1"/>
    <xf numFmtId="9" fontId="13" fillId="0" borderId="6" xfId="2" applyFont="1" applyBorder="1"/>
    <xf numFmtId="10" fontId="15" fillId="0" borderId="6" xfId="0" applyNumberFormat="1" applyFont="1" applyBorder="1"/>
    <xf numFmtId="173" fontId="15" fillId="0" borderId="31" xfId="0" applyNumberFormat="1" applyFont="1" applyBorder="1"/>
    <xf numFmtId="173" fontId="15" fillId="0" borderId="55" xfId="0" applyNumberFormat="1" applyFont="1" applyBorder="1"/>
    <xf numFmtId="173" fontId="15" fillId="0" borderId="32" xfId="0" applyNumberFormat="1" applyFont="1" applyBorder="1"/>
    <xf numFmtId="173" fontId="15" fillId="0" borderId="6" xfId="0" applyNumberFormat="1" applyFont="1" applyBorder="1"/>
    <xf numFmtId="0" fontId="2" fillId="0" borderId="7" xfId="0" applyFont="1" applyBorder="1"/>
    <xf numFmtId="166" fontId="10" fillId="9" borderId="26" xfId="1" applyNumberFormat="1" applyFont="1" applyFill="1" applyBorder="1"/>
    <xf numFmtId="166" fontId="0" fillId="0" borderId="0" xfId="1" applyNumberFormat="1" applyFont="1" applyFill="1"/>
    <xf numFmtId="166" fontId="0" fillId="0" borderId="8" xfId="0" applyNumberFormat="1" applyBorder="1"/>
    <xf numFmtId="166" fontId="2" fillId="0" borderId="7" xfId="1" applyNumberFormat="1" applyFont="1" applyFill="1" applyBorder="1"/>
    <xf numFmtId="10" fontId="19" fillId="0" borderId="7" xfId="2" applyNumberFormat="1" applyFont="1" applyFill="1" applyBorder="1"/>
    <xf numFmtId="10" fontId="0" fillId="0" borderId="7" xfId="0" applyNumberFormat="1" applyBorder="1"/>
    <xf numFmtId="166" fontId="10" fillId="10" borderId="26" xfId="1" applyNumberFormat="1" applyFont="1" applyFill="1" applyBorder="1"/>
    <xf numFmtId="43" fontId="6" fillId="0" borderId="49" xfId="1" applyFont="1" applyFill="1" applyBorder="1"/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6" fillId="2" borderId="10" xfId="4" applyFont="1" applyFill="1" applyBorder="1" applyAlignment="1">
      <alignment horizontal="center" vertical="center" wrapText="1"/>
    </xf>
    <xf numFmtId="0" fontId="6" fillId="2" borderId="0" xfId="4" applyFont="1" applyFill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43" xfId="0" applyFont="1" applyFill="1" applyBorder="1" applyAlignment="1">
      <alignment horizontal="center"/>
    </xf>
    <xf numFmtId="0" fontId="13" fillId="4" borderId="4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3" xfId="0" applyFont="1" applyBorder="1" applyAlignment="1">
      <alignment horizont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22" xfId="3" applyNumberFormat="1" applyFont="1" applyFill="1" applyBorder="1" applyAlignment="1">
      <alignment horizontal="center" vertical="center"/>
    </xf>
    <xf numFmtId="0" fontId="4" fillId="0" borderId="17" xfId="4" applyFont="1" applyBorder="1" applyAlignment="1">
      <alignment horizontal="center"/>
    </xf>
    <xf numFmtId="0" fontId="4" fillId="0" borderId="41" xfId="4" applyFont="1" applyBorder="1" applyAlignment="1">
      <alignment horizontal="center"/>
    </xf>
    <xf numFmtId="17" fontId="6" fillId="2" borderId="7" xfId="4" applyNumberFormat="1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/>
    </xf>
    <xf numFmtId="0" fontId="13" fillId="4" borderId="42" xfId="0" applyFont="1" applyFill="1" applyBorder="1" applyAlignment="1">
      <alignment horizontal="center"/>
    </xf>
    <xf numFmtId="0" fontId="13" fillId="4" borderId="54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13" fillId="4" borderId="53" xfId="0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3" fillId="4" borderId="39" xfId="0" applyFont="1" applyFill="1" applyBorder="1" applyAlignment="1">
      <alignment horizontal="center"/>
    </xf>
    <xf numFmtId="0" fontId="13" fillId="4" borderId="35" xfId="0" applyFont="1" applyFill="1" applyBorder="1" applyAlignment="1">
      <alignment horizontal="center"/>
    </xf>
    <xf numFmtId="0" fontId="13" fillId="4" borderId="5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2" borderId="4" xfId="4" applyFont="1" applyFill="1" applyBorder="1" applyAlignment="1">
      <alignment horizontal="center" vertical="center" wrapText="1"/>
    </xf>
    <xf numFmtId="0" fontId="18" fillId="2" borderId="5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8" xfId="4" applyFont="1" applyFill="1" applyBorder="1" applyAlignment="1">
      <alignment horizontal="center" vertical="center" wrapText="1"/>
    </xf>
    <xf numFmtId="0" fontId="18" fillId="2" borderId="10" xfId="4" applyFont="1" applyFill="1" applyBorder="1" applyAlignment="1">
      <alignment horizontal="center" vertical="center" wrapText="1"/>
    </xf>
  </cellXfs>
  <cellStyles count="6">
    <cellStyle name="Comma" xfId="1" builtinId="3"/>
    <cellStyle name="Comma 13" xfId="3" xr:uid="{76AFD94C-F43F-472A-92E1-546B418947FB}"/>
    <cellStyle name="Comma 25" xfId="5" xr:uid="{60DB0FB2-8B70-4D33-894E-A6551CF649B1}"/>
    <cellStyle name="Normal" xfId="0" builtinId="0"/>
    <cellStyle name="Normal 256" xfId="4" xr:uid="{AEB4DD35-FE65-4DB3-B269-D9043D3C284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66F7-BCE2-4580-9F4B-61BD01D181E3}">
  <dimension ref="B1:AJ102"/>
  <sheetViews>
    <sheetView topLeftCell="A3" zoomScaleNormal="100" workbookViewId="0">
      <pane xSplit="2" ySplit="4" topLeftCell="C7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4" x14ac:dyDescent="0.3"/>
  <cols>
    <col min="1" max="1" width="1.77734375" bestFit="1" customWidth="1"/>
    <col min="2" max="2" width="51.77734375" style="51" bestFit="1" customWidth="1"/>
    <col min="3" max="4" width="11.33203125" bestFit="1" customWidth="1"/>
    <col min="5" max="5" width="12.21875" bestFit="1" customWidth="1"/>
    <col min="6" max="6" width="12.109375" bestFit="1" customWidth="1"/>
    <col min="7" max="7" width="12.109375" customWidth="1"/>
    <col min="8" max="8" width="1.77734375" bestFit="1" customWidth="1"/>
    <col min="9" max="10" width="11.33203125" bestFit="1" customWidth="1"/>
    <col min="11" max="11" width="12.21875" bestFit="1" customWidth="1"/>
    <col min="12" max="12" width="12.109375" bestFit="1" customWidth="1"/>
    <col min="13" max="13" width="6.77734375" bestFit="1" customWidth="1"/>
    <col min="14" max="14" width="1.77734375" hidden="1" customWidth="1"/>
    <col min="15" max="16" width="11.33203125" bestFit="1" customWidth="1"/>
    <col min="17" max="17" width="12.21875" bestFit="1" customWidth="1"/>
    <col min="18" max="18" width="12.109375" bestFit="1" customWidth="1"/>
    <col min="19" max="19" width="1.77734375" hidden="1" customWidth="1"/>
    <col min="20" max="21" width="12.109375" bestFit="1" customWidth="1"/>
    <col min="22" max="22" width="12.21875" bestFit="1" customWidth="1"/>
    <col min="23" max="23" width="12.33203125" bestFit="1" customWidth="1"/>
    <col min="24" max="24" width="12.33203125" customWidth="1"/>
    <col min="25" max="25" width="1.77734375" customWidth="1"/>
    <col min="26" max="27" width="12.109375" bestFit="1" customWidth="1"/>
    <col min="28" max="28" width="12.21875" bestFit="1" customWidth="1"/>
    <col min="29" max="29" width="12.33203125" bestFit="1" customWidth="1"/>
    <col min="30" max="30" width="1.77734375" bestFit="1" customWidth="1"/>
    <col min="31" max="32" width="12.109375" bestFit="1" customWidth="1"/>
    <col min="33" max="33" width="12.21875" bestFit="1" customWidth="1"/>
    <col min="34" max="34" width="12.33203125" bestFit="1" customWidth="1"/>
    <col min="35" max="35" width="11.109375" bestFit="1" customWidth="1"/>
    <col min="36" max="36" width="12.109375" bestFit="1" customWidth="1"/>
  </cols>
  <sheetData>
    <row r="1" spans="2:36" ht="15" thickBot="1" x14ac:dyDescent="0.35">
      <c r="B1" s="1" t="s">
        <v>0</v>
      </c>
    </row>
    <row r="2" spans="2:36" x14ac:dyDescent="0.3">
      <c r="B2" s="2" t="s">
        <v>1</v>
      </c>
    </row>
    <row r="3" spans="2:36" x14ac:dyDescent="0.3">
      <c r="B3" s="3"/>
      <c r="C3" s="4"/>
      <c r="D3" s="5"/>
      <c r="E3" s="5"/>
      <c r="G3" s="4">
        <f>F9+'P&amp;L Brand wise'!F9</f>
        <v>225699556.90000001</v>
      </c>
    </row>
    <row r="4" spans="2:36" ht="14.55" customHeight="1" x14ac:dyDescent="0.3">
      <c r="B4" s="336" t="s">
        <v>2</v>
      </c>
      <c r="C4" s="338" t="s">
        <v>3</v>
      </c>
      <c r="D4" s="339"/>
      <c r="E4" s="339"/>
      <c r="F4" s="340"/>
      <c r="G4" s="6"/>
      <c r="I4" s="338" t="s">
        <v>4</v>
      </c>
      <c r="J4" s="339"/>
      <c r="K4" s="339"/>
      <c r="L4" s="340"/>
      <c r="O4" s="333" t="s">
        <v>5</v>
      </c>
      <c r="P4" s="333"/>
      <c r="Q4" s="333"/>
      <c r="R4" s="333"/>
      <c r="T4" s="333" t="s">
        <v>6</v>
      </c>
      <c r="U4" s="333"/>
      <c r="V4" s="333"/>
      <c r="W4" s="333"/>
      <c r="X4" s="6"/>
      <c r="Z4" s="333" t="s">
        <v>7</v>
      </c>
      <c r="AA4" s="333"/>
      <c r="AB4" s="333"/>
      <c r="AC4" s="333"/>
      <c r="AE4" s="333" t="s">
        <v>8</v>
      </c>
      <c r="AF4" s="333"/>
      <c r="AG4" s="333"/>
      <c r="AH4" s="333"/>
    </row>
    <row r="5" spans="2:36" ht="27.6" x14ac:dyDescent="0.3">
      <c r="B5" s="336"/>
      <c r="C5" s="333" t="s">
        <v>9</v>
      </c>
      <c r="D5" s="333"/>
      <c r="E5" s="8" t="s">
        <v>10</v>
      </c>
      <c r="F5" s="334" t="s">
        <v>11</v>
      </c>
      <c r="G5" s="6"/>
      <c r="I5" s="333" t="s">
        <v>9</v>
      </c>
      <c r="J5" s="333"/>
      <c r="K5" s="8" t="s">
        <v>10</v>
      </c>
      <c r="L5" s="334" t="s">
        <v>11</v>
      </c>
      <c r="O5" s="333" t="s">
        <v>9</v>
      </c>
      <c r="P5" s="333"/>
      <c r="Q5" s="8" t="s">
        <v>10</v>
      </c>
      <c r="R5" s="8"/>
      <c r="T5" s="333" t="s">
        <v>9</v>
      </c>
      <c r="U5" s="333"/>
      <c r="V5" s="8" t="s">
        <v>10</v>
      </c>
      <c r="W5" s="334" t="s">
        <v>11</v>
      </c>
      <c r="X5" s="6"/>
      <c r="Z5" s="333" t="s">
        <v>9</v>
      </c>
      <c r="AA5" s="333"/>
      <c r="AB5" s="8" t="s">
        <v>10</v>
      </c>
      <c r="AC5" s="334" t="s">
        <v>11</v>
      </c>
      <c r="AE5" s="333" t="s">
        <v>9</v>
      </c>
      <c r="AF5" s="333"/>
      <c r="AG5" s="8" t="s">
        <v>10</v>
      </c>
      <c r="AH5" s="334" t="s">
        <v>11</v>
      </c>
    </row>
    <row r="6" spans="2:36" x14ac:dyDescent="0.3">
      <c r="B6" s="337"/>
      <c r="C6" s="7" t="s">
        <v>12</v>
      </c>
      <c r="D6" s="7" t="s">
        <v>13</v>
      </c>
      <c r="E6" s="7" t="s">
        <v>13</v>
      </c>
      <c r="F6" s="335"/>
      <c r="G6" s="6"/>
      <c r="I6" s="7" t="s">
        <v>12</v>
      </c>
      <c r="J6" s="7" t="s">
        <v>13</v>
      </c>
      <c r="K6" s="7" t="s">
        <v>13</v>
      </c>
      <c r="L6" s="335"/>
      <c r="O6" s="7" t="s">
        <v>12</v>
      </c>
      <c r="P6" s="7" t="s">
        <v>13</v>
      </c>
      <c r="Q6" s="7" t="s">
        <v>13</v>
      </c>
      <c r="R6" s="7" t="s">
        <v>11</v>
      </c>
      <c r="T6" s="7" t="s">
        <v>12</v>
      </c>
      <c r="U6" s="7" t="s">
        <v>13</v>
      </c>
      <c r="V6" s="7" t="s">
        <v>13</v>
      </c>
      <c r="W6" s="335"/>
      <c r="X6" s="6"/>
      <c r="Z6" s="7" t="s">
        <v>12</v>
      </c>
      <c r="AA6" s="7" t="s">
        <v>14</v>
      </c>
      <c r="AB6" s="7" t="s">
        <v>14</v>
      </c>
      <c r="AC6" s="335"/>
      <c r="AE6" s="7" t="s">
        <v>12</v>
      </c>
      <c r="AF6" s="7" t="s">
        <v>14</v>
      </c>
      <c r="AG6" s="7" t="s">
        <v>14</v>
      </c>
      <c r="AH6" s="335"/>
    </row>
    <row r="7" spans="2:36" x14ac:dyDescent="0.3">
      <c r="B7" s="9"/>
      <c r="C7" s="10"/>
      <c r="D7" s="10"/>
      <c r="E7" s="10"/>
      <c r="F7" s="10"/>
      <c r="I7" s="10"/>
      <c r="J7" s="10"/>
      <c r="K7" s="10"/>
      <c r="L7" s="10"/>
      <c r="O7" s="10"/>
      <c r="P7" s="10"/>
      <c r="Q7" s="10"/>
      <c r="R7" s="10"/>
      <c r="T7" s="10"/>
      <c r="U7" s="10"/>
      <c r="V7" s="10"/>
      <c r="W7" s="10"/>
      <c r="Z7" s="10"/>
      <c r="AA7" s="10"/>
      <c r="AB7" s="10"/>
      <c r="AC7" s="10"/>
      <c r="AE7" s="10"/>
      <c r="AF7" s="10"/>
      <c r="AG7" s="10"/>
      <c r="AH7" s="10"/>
    </row>
    <row r="8" spans="2:36" x14ac:dyDescent="0.3">
      <c r="B8" s="9" t="s">
        <v>15</v>
      </c>
      <c r="C8" s="11">
        <f>854160/1000</f>
        <v>854.16</v>
      </c>
      <c r="D8" s="12">
        <f>4526703/1000</f>
        <v>4526.7030000000004</v>
      </c>
      <c r="E8" s="12">
        <f>1348775/1000</f>
        <v>1348.7750000000001</v>
      </c>
      <c r="F8" s="13">
        <f>SUM(C8:E8)</f>
        <v>6729.6380000000008</v>
      </c>
      <c r="G8" s="4">
        <f>E8-K8</f>
        <v>354.22830066232734</v>
      </c>
      <c r="I8" s="14">
        <v>1164.319885121497</v>
      </c>
      <c r="J8" s="14">
        <v>7150.6715774480681</v>
      </c>
      <c r="K8" s="14">
        <v>994.54669933767275</v>
      </c>
      <c r="L8" s="13">
        <f>SUM(I8:K8)</f>
        <v>9309.5381619072377</v>
      </c>
      <c r="M8" s="15">
        <f>D8-J8</f>
        <v>-2623.9685774480677</v>
      </c>
      <c r="O8" s="12">
        <v>1117.410063125651</v>
      </c>
      <c r="P8" s="12">
        <v>7454.9904999999999</v>
      </c>
      <c r="Q8" s="12">
        <v>1600.0749999999998</v>
      </c>
      <c r="R8" s="13">
        <f>SUM(O8:Q8)</f>
        <v>10172.475563125652</v>
      </c>
      <c r="T8" s="12">
        <f>O8+C8</f>
        <v>1971.5700631256509</v>
      </c>
      <c r="U8" s="12">
        <f>P8+D8</f>
        <v>11981.693500000001</v>
      </c>
      <c r="V8" s="12">
        <f>Q8+E8</f>
        <v>2948.85</v>
      </c>
      <c r="W8" s="13">
        <f>SUM(T8:V8)</f>
        <v>16902.113563125651</v>
      </c>
      <c r="X8" s="4"/>
      <c r="Z8" s="12">
        <v>2530.4309272894011</v>
      </c>
      <c r="AA8" s="14">
        <v>14832.535191651834</v>
      </c>
      <c r="AB8" s="12">
        <v>2537.8163911457186</v>
      </c>
      <c r="AC8" s="13">
        <f>SUM(Z8:AB8)</f>
        <v>19900.782510086956</v>
      </c>
      <c r="AE8" s="11">
        <v>797.61</v>
      </c>
      <c r="AF8" s="14">
        <v>4725.0024999999996</v>
      </c>
      <c r="AG8" s="12">
        <v>1088.925</v>
      </c>
      <c r="AH8" s="13">
        <f>SUM(AE8:AG8)</f>
        <v>6611.5374999999995</v>
      </c>
    </row>
    <row r="9" spans="2:36" x14ac:dyDescent="0.3">
      <c r="B9" s="9" t="s">
        <v>16</v>
      </c>
      <c r="C9" s="12">
        <v>44125549.560000002</v>
      </c>
      <c r="D9" s="12">
        <v>49751299.840000004</v>
      </c>
      <c r="E9" s="12">
        <v>16359413.5</v>
      </c>
      <c r="F9" s="13">
        <f>SUM(C9:E9)</f>
        <v>110236262.90000001</v>
      </c>
      <c r="G9" s="4">
        <f>E9-K9</f>
        <v>4651055.4044629857</v>
      </c>
      <c r="I9" s="14">
        <v>59647109.72262039</v>
      </c>
      <c r="J9" s="14">
        <v>75742802.821330041</v>
      </c>
      <c r="K9" s="14">
        <v>11708358.095537014</v>
      </c>
      <c r="L9" s="13">
        <f>SUM(I9:K9)</f>
        <v>147098270.63948745</v>
      </c>
      <c r="M9" s="16">
        <f>M8/K8</f>
        <v>-2.638356327757684</v>
      </c>
      <c r="O9" s="12">
        <v>57205887.779999994</v>
      </c>
      <c r="P9" s="12">
        <v>75344235.25</v>
      </c>
      <c r="Q9" s="12">
        <v>18308815.5</v>
      </c>
      <c r="R9" s="13">
        <f>SUM(O9:Q9)</f>
        <v>150858938.53</v>
      </c>
      <c r="T9" s="12">
        <f>O9+C9</f>
        <v>101331437.34</v>
      </c>
      <c r="U9" s="12">
        <f t="shared" ref="U9:V9" si="0">P9+D9</f>
        <v>125095535.09</v>
      </c>
      <c r="V9" s="12">
        <f t="shared" si="0"/>
        <v>34668229</v>
      </c>
      <c r="W9" s="13">
        <f>SUM(T9:V9)</f>
        <v>261095201.43000001</v>
      </c>
      <c r="X9" s="4"/>
      <c r="Z9" s="12">
        <v>129648412.28600144</v>
      </c>
      <c r="AA9" s="14">
        <v>158356668.12610984</v>
      </c>
      <c r="AB9" s="12">
        <v>30075596.894894034</v>
      </c>
      <c r="AC9" s="13">
        <f>SUM(Z9:AB9)</f>
        <v>318080677.30700529</v>
      </c>
      <c r="AE9" s="12">
        <v>40816223.129999995</v>
      </c>
      <c r="AF9" s="14">
        <v>50003742.750000007</v>
      </c>
      <c r="AG9" s="12">
        <v>12090569.5</v>
      </c>
      <c r="AH9" s="13">
        <f>SUM(AE9:AG9)</f>
        <v>102910535.38</v>
      </c>
      <c r="AJ9" s="4">
        <f>R9-AH9</f>
        <v>47948403.150000006</v>
      </c>
    </row>
    <row r="10" spans="2:36" ht="15" thickBot="1" x14ac:dyDescent="0.35">
      <c r="B10" s="17"/>
      <c r="C10" s="18"/>
      <c r="D10" s="18"/>
      <c r="E10" s="18"/>
      <c r="F10" s="18"/>
      <c r="G10" s="5">
        <f>G9/10^7</f>
        <v>0.46510554044629859</v>
      </c>
      <c r="I10" s="18"/>
      <c r="J10" s="18"/>
      <c r="K10" s="18"/>
      <c r="L10" s="18"/>
      <c r="M10" s="16">
        <f>M9/L9</f>
        <v>-1.7936011866678172E-8</v>
      </c>
      <c r="O10" s="18"/>
      <c r="P10" s="18"/>
      <c r="Q10" s="18"/>
      <c r="R10" s="18"/>
      <c r="T10" s="18"/>
      <c r="U10" s="18"/>
      <c r="V10" s="18"/>
      <c r="W10" s="18"/>
      <c r="Z10" s="18"/>
      <c r="AA10" s="18"/>
      <c r="AB10" s="18"/>
      <c r="AC10" s="18"/>
      <c r="AE10" s="18"/>
      <c r="AF10" s="18"/>
      <c r="AG10" s="18"/>
      <c r="AH10" s="18"/>
    </row>
    <row r="11" spans="2:36" ht="15" thickBot="1" x14ac:dyDescent="0.35">
      <c r="B11" s="19" t="s">
        <v>17</v>
      </c>
      <c r="C11" s="20">
        <f>C9</f>
        <v>44125549.560000002</v>
      </c>
      <c r="D11" s="20">
        <f>D9</f>
        <v>49751299.840000004</v>
      </c>
      <c r="E11" s="20">
        <f>E9</f>
        <v>16359413.5</v>
      </c>
      <c r="F11" s="21">
        <f>F9</f>
        <v>110236262.90000001</v>
      </c>
      <c r="G11" s="22"/>
      <c r="I11" s="20">
        <f>I9</f>
        <v>59647109.72262039</v>
      </c>
      <c r="J11" s="20">
        <f>J9</f>
        <v>75742802.821330041</v>
      </c>
      <c r="K11" s="20">
        <f>K9</f>
        <v>11708358.095537014</v>
      </c>
      <c r="L11" s="21">
        <f>L9</f>
        <v>147098270.63948745</v>
      </c>
      <c r="O11" s="20">
        <f>O9</f>
        <v>57205887.779999994</v>
      </c>
      <c r="P11" s="20">
        <f>P9</f>
        <v>75344235.25</v>
      </c>
      <c r="Q11" s="20">
        <f>Q9</f>
        <v>18308815.5</v>
      </c>
      <c r="R11" s="21">
        <f>R9</f>
        <v>150858938.53</v>
      </c>
      <c r="T11" s="20">
        <f>T9</f>
        <v>101331437.34</v>
      </c>
      <c r="U11" s="20">
        <f>U9</f>
        <v>125095535.09</v>
      </c>
      <c r="V11" s="20">
        <f>V9</f>
        <v>34668229</v>
      </c>
      <c r="W11" s="21">
        <f>W9</f>
        <v>261095201.43000001</v>
      </c>
      <c r="X11" s="22"/>
      <c r="Z11" s="20">
        <f>Z9</f>
        <v>129648412.28600144</v>
      </c>
      <c r="AA11" s="20">
        <f>AA9</f>
        <v>158356668.12610984</v>
      </c>
      <c r="AB11" s="20">
        <f>AB9</f>
        <v>30075596.894894034</v>
      </c>
      <c r="AC11" s="21">
        <f>AC9</f>
        <v>318080677.30700529</v>
      </c>
      <c r="AE11" s="20">
        <f>AE9</f>
        <v>40816223.129999995</v>
      </c>
      <c r="AF11" s="20">
        <f>AF9</f>
        <v>50003742.750000007</v>
      </c>
      <c r="AG11" s="20">
        <f>AG9</f>
        <v>12090569.5</v>
      </c>
      <c r="AH11" s="21">
        <f>AH9</f>
        <v>102910535.38</v>
      </c>
    </row>
    <row r="12" spans="2:36" x14ac:dyDescent="0.3">
      <c r="B12" s="23"/>
      <c r="C12" s="24"/>
      <c r="D12" s="24"/>
      <c r="E12" s="24"/>
      <c r="F12" s="24"/>
      <c r="I12" s="24"/>
      <c r="J12" s="24"/>
      <c r="K12" s="24"/>
      <c r="L12" s="24"/>
      <c r="O12" s="24"/>
      <c r="P12" s="24"/>
      <c r="Q12" s="24"/>
      <c r="R12" s="24"/>
      <c r="T12" s="24"/>
      <c r="U12" s="24"/>
      <c r="V12" s="24"/>
      <c r="W12" s="24"/>
      <c r="Z12" s="24"/>
      <c r="AA12" s="24"/>
      <c r="AB12" s="24"/>
      <c r="AC12" s="24"/>
      <c r="AE12" s="24"/>
      <c r="AF12" s="24"/>
      <c r="AG12" s="24"/>
      <c r="AH12" s="24"/>
    </row>
    <row r="13" spans="2:36" x14ac:dyDescent="0.3">
      <c r="B13" s="9" t="s">
        <v>18</v>
      </c>
      <c r="C13" s="10"/>
      <c r="D13" s="10"/>
      <c r="E13" s="10"/>
      <c r="F13" s="10"/>
      <c r="I13" s="10"/>
      <c r="J13" s="10"/>
      <c r="K13" s="10"/>
      <c r="L13" s="10"/>
      <c r="O13" s="10"/>
      <c r="P13" s="10"/>
      <c r="Q13" s="10"/>
      <c r="R13" s="10"/>
      <c r="T13" s="10"/>
      <c r="U13" s="10"/>
      <c r="V13" s="10"/>
      <c r="W13" s="10"/>
      <c r="Z13" s="10"/>
      <c r="AA13" s="10"/>
      <c r="AB13" s="10"/>
      <c r="AC13" s="10"/>
      <c r="AE13" s="10"/>
      <c r="AF13" s="10"/>
      <c r="AG13" s="10"/>
      <c r="AH13" s="10"/>
    </row>
    <row r="14" spans="2:36" x14ac:dyDescent="0.3">
      <c r="B14" s="9" t="s">
        <v>19</v>
      </c>
      <c r="C14" s="10"/>
      <c r="D14" s="10"/>
      <c r="E14" s="10"/>
      <c r="F14" s="10"/>
      <c r="I14" s="10"/>
      <c r="J14" s="10"/>
      <c r="K14" s="10"/>
      <c r="L14" s="10"/>
      <c r="O14" s="10"/>
      <c r="P14" s="10"/>
      <c r="Q14" s="10"/>
      <c r="R14" s="10"/>
      <c r="T14" s="10"/>
      <c r="U14" s="10"/>
      <c r="V14" s="10"/>
      <c r="W14" s="10"/>
      <c r="Z14" s="10"/>
      <c r="AA14" s="10"/>
      <c r="AB14" s="10"/>
      <c r="AC14" s="10"/>
      <c r="AE14" s="10"/>
      <c r="AF14" s="10"/>
      <c r="AG14" s="10"/>
      <c r="AH14" s="10"/>
    </row>
    <row r="15" spans="2:36" x14ac:dyDescent="0.3">
      <c r="B15" s="25" t="s">
        <v>20</v>
      </c>
      <c r="C15" s="13">
        <f>C11*6.9%</f>
        <v>3044662.9196400004</v>
      </c>
      <c r="D15" s="13">
        <f>D11*16.9%</f>
        <v>8407969.6729600001</v>
      </c>
      <c r="E15" s="13">
        <f>E11*16.9%</f>
        <v>2764740.8814999997</v>
      </c>
      <c r="F15" s="13">
        <f>SUM(C15:E15)</f>
        <v>14217373.474100001</v>
      </c>
      <c r="G15" s="4">
        <f>F15+AH15</f>
        <v>27527631.640320003</v>
      </c>
      <c r="I15" s="13">
        <f>I11*6.9%</f>
        <v>4115650.5708608073</v>
      </c>
      <c r="J15" s="13">
        <f>J11*16.9%</f>
        <v>12800533.676804775</v>
      </c>
      <c r="K15" s="13">
        <f>K11*16.9%</f>
        <v>1978712.5181457552</v>
      </c>
      <c r="L15" s="13">
        <f>SUM(I15:K15)</f>
        <v>18894896.765811339</v>
      </c>
      <c r="O15" s="13">
        <v>3947206.2568199998</v>
      </c>
      <c r="P15" s="13">
        <v>12733175.75725</v>
      </c>
      <c r="Q15" s="13">
        <v>3094189.8194999993</v>
      </c>
      <c r="R15" s="13">
        <f>SUM(O15:Q15)</f>
        <v>19774571.83357</v>
      </c>
      <c r="T15" s="13">
        <f>O15+C15</f>
        <v>6991869.1764599998</v>
      </c>
      <c r="U15" s="13">
        <f t="shared" ref="U15:V15" si="1">P15+D15</f>
        <v>21141145.430210002</v>
      </c>
      <c r="V15" s="13">
        <f t="shared" si="1"/>
        <v>5858930.7009999994</v>
      </c>
      <c r="W15" s="26">
        <f>SUM(T15:V15)</f>
        <v>33991945.307669997</v>
      </c>
      <c r="X15" s="4">
        <f>3.16*10^7</f>
        <v>31600000</v>
      </c>
      <c r="Z15" s="13">
        <v>8945740.4477341007</v>
      </c>
      <c r="AA15" s="13">
        <v>26762276.913312554</v>
      </c>
      <c r="AB15" s="13">
        <v>5082775.8752370905</v>
      </c>
      <c r="AC15" s="13">
        <f>SUM(Z15:AB15)</f>
        <v>40790793.236283749</v>
      </c>
      <c r="AE15" s="13">
        <v>2816319.39597</v>
      </c>
      <c r="AF15" s="13">
        <v>8450632.5247499999</v>
      </c>
      <c r="AG15" s="13">
        <v>2043306.2454999997</v>
      </c>
      <c r="AH15" s="13">
        <f>SUM(AE15:AG15)</f>
        <v>13310258.16622</v>
      </c>
    </row>
    <row r="16" spans="2:36" ht="15" thickBot="1" x14ac:dyDescent="0.35">
      <c r="B16" s="27"/>
      <c r="C16" s="18"/>
      <c r="D16" s="18"/>
      <c r="E16" s="18"/>
      <c r="F16" s="18"/>
      <c r="I16" s="18"/>
      <c r="J16" s="18"/>
      <c r="K16" s="18"/>
      <c r="L16" s="18"/>
      <c r="O16" s="18"/>
      <c r="P16" s="18"/>
      <c r="Q16" s="18"/>
      <c r="R16" s="18"/>
      <c r="T16" s="18"/>
      <c r="U16" s="18"/>
      <c r="V16" s="18"/>
      <c r="W16" s="18"/>
      <c r="Z16" s="18"/>
      <c r="AA16" s="18"/>
      <c r="AB16" s="18"/>
      <c r="AC16" s="18"/>
      <c r="AE16" s="18"/>
      <c r="AF16" s="18"/>
      <c r="AG16" s="18"/>
      <c r="AH16" s="18"/>
    </row>
    <row r="17" spans="2:34" ht="15" thickBot="1" x14ac:dyDescent="0.35">
      <c r="B17" s="19" t="s">
        <v>21</v>
      </c>
      <c r="C17" s="20">
        <f t="shared" ref="C17" si="2">C11-C15</f>
        <v>41080886.640360005</v>
      </c>
      <c r="D17" s="20">
        <f>D11-D15</f>
        <v>41343330.167040005</v>
      </c>
      <c r="E17" s="20">
        <f>E11-E15</f>
        <v>13594672.6185</v>
      </c>
      <c r="F17" s="21">
        <f>SUM(C17:E17)</f>
        <v>96018889.425900012</v>
      </c>
      <c r="G17" s="22"/>
      <c r="I17" s="20">
        <f>I11-I15</f>
        <v>55531459.15175958</v>
      </c>
      <c r="J17" s="20">
        <f>J11-J15</f>
        <v>62942269.144525267</v>
      </c>
      <c r="K17" s="20">
        <f>K11-K15</f>
        <v>9729645.5773912594</v>
      </c>
      <c r="L17" s="21">
        <f>SUM(I17:K17)</f>
        <v>128203373.87367612</v>
      </c>
      <c r="O17" s="20">
        <f>O11-O15</f>
        <v>53258681.523179993</v>
      </c>
      <c r="P17" s="20">
        <f>P11-P15</f>
        <v>62611059.492750004</v>
      </c>
      <c r="Q17" s="20">
        <f t="shared" ref="Q17" si="3">Q11-Q15</f>
        <v>15214625.680500001</v>
      </c>
      <c r="R17" s="21">
        <f>SUM(O17:Q17)</f>
        <v>131084366.69643</v>
      </c>
      <c r="T17" s="20">
        <f>T11-T15</f>
        <v>94339568.163540006</v>
      </c>
      <c r="U17" s="20">
        <f>U11-U15</f>
        <v>103954389.65979001</v>
      </c>
      <c r="V17" s="20">
        <f t="shared" ref="V17" si="4">V11-V15</f>
        <v>28809298.299000002</v>
      </c>
      <c r="W17" s="21">
        <f>SUM(T17:V17)</f>
        <v>227103256.12233001</v>
      </c>
      <c r="X17" s="22"/>
      <c r="Z17" s="20">
        <f>Z11-Z15</f>
        <v>120702671.83826734</v>
      </c>
      <c r="AA17" s="20">
        <f>AA11-AA15</f>
        <v>131594391.21279728</v>
      </c>
      <c r="AB17" s="20">
        <f t="shared" ref="AB17" si="5">AB11-AB15</f>
        <v>24992821.019656941</v>
      </c>
      <c r="AC17" s="21">
        <f>SUM(Z17:AB17)</f>
        <v>277289884.07072157</v>
      </c>
      <c r="AE17" s="20">
        <f>AE11-AE15</f>
        <v>37999903.734029993</v>
      </c>
      <c r="AF17" s="20">
        <f>AF11-AF15</f>
        <v>41553110.225250006</v>
      </c>
      <c r="AG17" s="20">
        <f t="shared" ref="AG17" si="6">AG11-AG15</f>
        <v>10047263.2545</v>
      </c>
      <c r="AH17" s="21">
        <f>SUM(AE17:AG17)</f>
        <v>89600277.213780001</v>
      </c>
    </row>
    <row r="18" spans="2:34" x14ac:dyDescent="0.3">
      <c r="B18" s="23"/>
      <c r="C18" s="24"/>
      <c r="D18" s="24"/>
      <c r="E18" s="24"/>
      <c r="F18" s="24"/>
      <c r="I18" s="24"/>
      <c r="J18" s="24"/>
      <c r="K18" s="24"/>
      <c r="L18" s="24"/>
      <c r="O18" s="24"/>
      <c r="P18" s="24"/>
      <c r="Q18" s="24"/>
      <c r="R18" s="24"/>
      <c r="T18" s="24"/>
      <c r="U18" s="24"/>
      <c r="V18" s="24"/>
      <c r="W18" s="24"/>
      <c r="Z18" s="24"/>
      <c r="AA18" s="24"/>
      <c r="AB18" s="24"/>
      <c r="AC18" s="24"/>
      <c r="AE18" s="24"/>
      <c r="AF18" s="24"/>
      <c r="AG18" s="24"/>
      <c r="AH18" s="24"/>
    </row>
    <row r="19" spans="2:34" x14ac:dyDescent="0.3">
      <c r="B19" s="9" t="s">
        <v>22</v>
      </c>
      <c r="C19" s="10"/>
      <c r="D19" s="10"/>
      <c r="E19" s="10"/>
      <c r="F19" s="10"/>
      <c r="I19" s="10"/>
      <c r="J19" s="10"/>
      <c r="K19" s="10"/>
      <c r="L19" s="10"/>
      <c r="O19" s="10"/>
      <c r="P19" s="10"/>
      <c r="Q19" s="10"/>
      <c r="R19" s="10"/>
      <c r="T19" s="10"/>
      <c r="U19" s="10"/>
      <c r="V19" s="10"/>
      <c r="W19" s="10"/>
      <c r="Z19" s="10"/>
      <c r="AA19" s="10"/>
      <c r="AB19" s="10"/>
      <c r="AC19" s="10"/>
      <c r="AE19" s="10"/>
      <c r="AF19" s="10"/>
      <c r="AG19" s="10"/>
      <c r="AH19" s="10"/>
    </row>
    <row r="20" spans="2:34" x14ac:dyDescent="0.3">
      <c r="B20" s="25" t="s">
        <v>23</v>
      </c>
      <c r="C20" s="12">
        <v>31734342</v>
      </c>
      <c r="D20" s="12">
        <v>23279161.530000001</v>
      </c>
      <c r="E20" s="12">
        <v>5606032</v>
      </c>
      <c r="F20" s="13">
        <f>SUM(C20:E20)</f>
        <v>60619535.530000001</v>
      </c>
      <c r="G20" s="4">
        <f>D20+E20</f>
        <v>28885193.530000001</v>
      </c>
      <c r="I20" s="14">
        <v>44147812.334884629</v>
      </c>
      <c r="J20" s="14">
        <v>38791728.121783845</v>
      </c>
      <c r="K20" s="14">
        <v>4585794.1860367665</v>
      </c>
      <c r="L20" s="13">
        <f>SUM(I20:K20)</f>
        <v>87525334.642705232</v>
      </c>
      <c r="O20" s="12">
        <v>41412732</v>
      </c>
      <c r="P20" s="12">
        <v>36452144.022679999</v>
      </c>
      <c r="Q20" s="12">
        <v>7031532.017</v>
      </c>
      <c r="R20" s="13">
        <f>SUM(O20:Q20)</f>
        <v>84896408.039680004</v>
      </c>
      <c r="T20" s="12">
        <f>O20+C20</f>
        <v>73147074</v>
      </c>
      <c r="U20" s="12">
        <f t="shared" ref="U20:V20" si="7">P20+D20</f>
        <v>59731305.552680001</v>
      </c>
      <c r="V20" s="12">
        <f t="shared" si="7"/>
        <v>12637564.017000001</v>
      </c>
      <c r="W20" s="13">
        <f>SUM(T20:V20)</f>
        <v>145515943.56968001</v>
      </c>
      <c r="X20" s="4"/>
      <c r="Z20" s="12">
        <v>95740209.972343236</v>
      </c>
      <c r="AA20" s="12">
        <v>79010072.598111212</v>
      </c>
      <c r="AB20" s="12">
        <v>11817700.388397843</v>
      </c>
      <c r="AC20" s="13">
        <f>SUM(Z20:AB20)</f>
        <v>186567982.95885229</v>
      </c>
      <c r="AE20" s="12">
        <v>29564382</v>
      </c>
      <c r="AF20" s="12">
        <v>24439312</v>
      </c>
      <c r="AG20" s="12">
        <v>4555159</v>
      </c>
      <c r="AH20" s="13">
        <f>SUM(AE20:AG20)</f>
        <v>58558853</v>
      </c>
    </row>
    <row r="21" spans="2:34" x14ac:dyDescent="0.3">
      <c r="B21" s="9" t="s">
        <v>24</v>
      </c>
      <c r="C21" s="10"/>
      <c r="D21" s="13"/>
      <c r="E21" s="13"/>
      <c r="F21" s="10"/>
      <c r="G21" s="5">
        <f>G20/10^7</f>
        <v>2.888519353</v>
      </c>
      <c r="I21" s="10"/>
      <c r="J21" s="10"/>
      <c r="K21" s="10"/>
      <c r="L21" s="10"/>
      <c r="O21" s="10"/>
      <c r="P21" s="10"/>
      <c r="Q21" s="10"/>
      <c r="R21" s="10"/>
      <c r="T21" s="10"/>
      <c r="U21" s="10"/>
      <c r="V21" s="10"/>
      <c r="W21" s="10"/>
      <c r="Z21" s="10"/>
      <c r="AA21" s="10"/>
      <c r="AB21" s="10"/>
      <c r="AC21" s="10"/>
      <c r="AE21" s="10"/>
      <c r="AF21" s="10"/>
      <c r="AG21" s="10"/>
      <c r="AH21" s="10"/>
    </row>
    <row r="22" spans="2:34" x14ac:dyDescent="0.3">
      <c r="B22" s="9" t="s">
        <v>25</v>
      </c>
      <c r="C22" s="10"/>
      <c r="D22" s="10"/>
      <c r="E22" s="10"/>
      <c r="F22" s="10"/>
      <c r="I22" s="10"/>
      <c r="J22" s="10"/>
      <c r="K22" s="10"/>
      <c r="L22" s="10"/>
      <c r="O22" s="10"/>
      <c r="P22" s="10"/>
      <c r="Q22" s="10"/>
      <c r="R22" s="10"/>
      <c r="T22" s="10"/>
      <c r="U22" s="10"/>
      <c r="V22" s="10"/>
      <c r="W22" s="10"/>
      <c r="Z22" s="10"/>
      <c r="AA22" s="10"/>
      <c r="AB22" s="10"/>
      <c r="AC22" s="10"/>
      <c r="AE22" s="10"/>
      <c r="AF22" s="10"/>
      <c r="AG22" s="10"/>
      <c r="AH22" s="10"/>
    </row>
    <row r="23" spans="2:34" x14ac:dyDescent="0.3">
      <c r="B23" s="25" t="s">
        <v>26</v>
      </c>
      <c r="C23" s="12">
        <v>1879152</v>
      </c>
      <c r="D23" s="12">
        <v>5997763.5300000003</v>
      </c>
      <c r="E23" s="12">
        <v>1385762</v>
      </c>
      <c r="F23" s="12">
        <f>SUM(C23:E23)</f>
        <v>9262677.5300000012</v>
      </c>
      <c r="G23" s="28"/>
      <c r="I23" s="14">
        <v>2585954.4648548448</v>
      </c>
      <c r="J23" s="14">
        <v>7324118.3398178807</v>
      </c>
      <c r="K23" s="14">
        <v>740718.49073271186</v>
      </c>
      <c r="L23" s="14">
        <f>SUM(I23:K23)</f>
        <v>10650791.295405438</v>
      </c>
      <c r="O23" s="14">
        <v>2458301.9402020713</v>
      </c>
      <c r="P23" s="14">
        <v>9268730.2455199994</v>
      </c>
      <c r="Q23" s="14">
        <v>1717557.797</v>
      </c>
      <c r="R23" s="12">
        <f>SUM(O23:Q23)</f>
        <v>13444589.982722072</v>
      </c>
      <c r="T23" s="14">
        <f t="shared" ref="T23:V27" si="8">O23+C23</f>
        <v>4337453.9402020713</v>
      </c>
      <c r="U23" s="14">
        <f t="shared" si="8"/>
        <v>15266493.775520001</v>
      </c>
      <c r="V23" s="14">
        <f t="shared" si="8"/>
        <v>3103319.7970000003</v>
      </c>
      <c r="W23" s="12">
        <f t="shared" ref="W23:W27" si="9">SUM(T23:V23)</f>
        <v>22707267.512722075</v>
      </c>
      <c r="X23" s="28"/>
      <c r="Z23" s="14">
        <v>5613371.08950976</v>
      </c>
      <c r="AA23" s="14">
        <v>15980350.649998844</v>
      </c>
      <c r="AB23" s="14">
        <v>2102681.8917975086</v>
      </c>
      <c r="AC23" s="12">
        <f>SUM(Z23:AB23)</f>
        <v>23696403.631306112</v>
      </c>
      <c r="AE23" s="14">
        <v>1754742</v>
      </c>
      <c r="AF23" s="14">
        <v>6226872.25</v>
      </c>
      <c r="AG23" s="14">
        <v>1124296.5</v>
      </c>
      <c r="AH23" s="12">
        <f>SUM(AE23:AG23)</f>
        <v>9105910.75</v>
      </c>
    </row>
    <row r="24" spans="2:34" x14ac:dyDescent="0.3">
      <c r="B24" s="25" t="s">
        <v>27</v>
      </c>
      <c r="C24" s="12">
        <v>1514418</v>
      </c>
      <c r="D24" s="12">
        <v>6817105.6200000001</v>
      </c>
      <c r="E24" s="12">
        <v>1814480.5000000002</v>
      </c>
      <c r="F24" s="12">
        <f>SUM(C24:E24)</f>
        <v>10146004.120000001</v>
      </c>
      <c r="G24" s="28"/>
      <c r="I24" s="14">
        <v>2180038.1576434388</v>
      </c>
      <c r="J24" s="14">
        <v>17344820.62439587</v>
      </c>
      <c r="K24" s="14">
        <v>2496113.3059976911</v>
      </c>
      <c r="L24" s="14">
        <f>SUM(I24:K24)</f>
        <v>22020972.088036999</v>
      </c>
      <c r="O24" s="14">
        <v>1925406.3063917861</v>
      </c>
      <c r="P24" s="14">
        <v>10452205.43316</v>
      </c>
      <c r="Q24" s="14">
        <v>2716095.27</v>
      </c>
      <c r="R24" s="12">
        <f>SUM(O24:Q24)</f>
        <v>15093707.009551786</v>
      </c>
      <c r="T24" s="14">
        <f t="shared" si="8"/>
        <v>3439824.3063917859</v>
      </c>
      <c r="U24" s="14">
        <f t="shared" si="8"/>
        <v>17269311.053160001</v>
      </c>
      <c r="V24" s="14">
        <f t="shared" si="8"/>
        <v>4530575.7700000005</v>
      </c>
      <c r="W24" s="12">
        <f t="shared" si="9"/>
        <v>25239711.129551787</v>
      </c>
      <c r="X24" s="28"/>
      <c r="Z24" s="14">
        <v>4682889.5630446412</v>
      </c>
      <c r="AA24" s="14">
        <v>32253465.792870358</v>
      </c>
      <c r="AB24" s="14">
        <v>6324056.5784975253</v>
      </c>
      <c r="AC24" s="12">
        <f>SUM(Z24:AB24)</f>
        <v>43260411.934412524</v>
      </c>
      <c r="AE24" s="14">
        <v>1377216</v>
      </c>
      <c r="AF24" s="14">
        <v>6952628.25</v>
      </c>
      <c r="AG24" s="14">
        <v>1478566</v>
      </c>
      <c r="AH24" s="12">
        <f>SUM(AE24:AG24)</f>
        <v>9808410.25</v>
      </c>
    </row>
    <row r="25" spans="2:34" x14ac:dyDescent="0.3">
      <c r="B25" s="25" t="s">
        <v>28</v>
      </c>
      <c r="C25" s="12">
        <v>28853268</v>
      </c>
      <c r="D25" s="12">
        <v>10464293.310000001</v>
      </c>
      <c r="E25" s="12">
        <v>2405789.5</v>
      </c>
      <c r="F25" s="12">
        <f>SUM(C25:E25)</f>
        <v>41723350.810000002</v>
      </c>
      <c r="G25" s="28"/>
      <c r="I25" s="14">
        <v>38194698.807491116</v>
      </c>
      <c r="J25" s="14">
        <v>13470366.172651239</v>
      </c>
      <c r="K25" s="14">
        <v>1256112.4812634806</v>
      </c>
      <c r="L25" s="14">
        <f>SUM(I25:K25)</f>
        <v>52921177.461405836</v>
      </c>
      <c r="O25" s="14">
        <v>37699470.210792795</v>
      </c>
      <c r="P25" s="14">
        <v>16731208.344000001</v>
      </c>
      <c r="Q25" s="14">
        <v>2597878.9500000002</v>
      </c>
      <c r="R25" s="12">
        <f>SUM(O25:Q25)</f>
        <v>57028557.504792795</v>
      </c>
      <c r="T25" s="14">
        <f t="shared" si="8"/>
        <v>66552738.210792795</v>
      </c>
      <c r="U25" s="14">
        <f t="shared" si="8"/>
        <v>27195501.653999999</v>
      </c>
      <c r="V25" s="14">
        <f t="shared" si="8"/>
        <v>5003668.45</v>
      </c>
      <c r="W25" s="12">
        <f t="shared" si="9"/>
        <v>98751908.314792797</v>
      </c>
      <c r="X25" s="28"/>
      <c r="Z25" s="14">
        <v>83306678.268079698</v>
      </c>
      <c r="AA25" s="14">
        <v>29471410.185404297</v>
      </c>
      <c r="AB25" s="14">
        <v>3205262.1020170432</v>
      </c>
      <c r="AC25" s="12">
        <f>SUM(Z25:AB25)</f>
        <v>115983350.55550104</v>
      </c>
      <c r="AE25" s="14">
        <v>26910990</v>
      </c>
      <c r="AF25" s="14">
        <v>11259811.5</v>
      </c>
      <c r="AG25" s="14">
        <v>1952296.5</v>
      </c>
      <c r="AH25" s="12">
        <f>SUM(AE25:AG25)</f>
        <v>40123098</v>
      </c>
    </row>
    <row r="26" spans="2:34" x14ac:dyDescent="0.3">
      <c r="B26" s="25" t="s">
        <v>29</v>
      </c>
      <c r="C26" s="12">
        <v>-512496</v>
      </c>
      <c r="D26" s="12">
        <v>0</v>
      </c>
      <c r="E26" s="12">
        <v>0</v>
      </c>
      <c r="F26" s="12">
        <f>SUM(C26:E26)</f>
        <v>-512496</v>
      </c>
      <c r="G26" s="28"/>
      <c r="I26" s="14">
        <v>-719440.83685607638</v>
      </c>
      <c r="J26" s="14">
        <v>0</v>
      </c>
      <c r="K26" s="14">
        <v>0</v>
      </c>
      <c r="L26" s="14">
        <f>SUM(I26:K26)</f>
        <v>-719440.83685607638</v>
      </c>
      <c r="O26" s="14">
        <v>-670446.38092533976</v>
      </c>
      <c r="P26" s="14">
        <v>0</v>
      </c>
      <c r="Q26" s="14">
        <v>0</v>
      </c>
      <c r="R26" s="12">
        <f>SUM(O26:Q26)</f>
        <v>-670446.38092533976</v>
      </c>
      <c r="T26" s="14">
        <f t="shared" si="8"/>
        <v>-1182942.3809253396</v>
      </c>
      <c r="U26" s="14">
        <f t="shared" si="8"/>
        <v>0</v>
      </c>
      <c r="V26" s="14">
        <f t="shared" si="8"/>
        <v>0</v>
      </c>
      <c r="W26" s="12">
        <f t="shared" si="9"/>
        <v>-1182942.3809253396</v>
      </c>
      <c r="X26" s="28"/>
      <c r="Z26" s="14">
        <v>-1557843.5257142116</v>
      </c>
      <c r="AA26" s="14">
        <v>0</v>
      </c>
      <c r="AB26" s="14">
        <v>0</v>
      </c>
      <c r="AC26" s="12">
        <f>SUM(Z26:AB26)</f>
        <v>-1557843.5257142116</v>
      </c>
      <c r="AE26" s="14">
        <v>-478566</v>
      </c>
      <c r="AF26" s="14">
        <v>0</v>
      </c>
      <c r="AG26" s="14">
        <v>0</v>
      </c>
      <c r="AH26" s="12">
        <f>SUM(AE26:AG26)</f>
        <v>-478566</v>
      </c>
    </row>
    <row r="27" spans="2:34" x14ac:dyDescent="0.3">
      <c r="B27" s="25" t="s">
        <v>30</v>
      </c>
      <c r="C27" s="12">
        <v>0</v>
      </c>
      <c r="D27" s="12">
        <v>0</v>
      </c>
      <c r="E27" s="12">
        <v>0</v>
      </c>
      <c r="F27" s="12">
        <f>SUM(C27:E27)</f>
        <v>0</v>
      </c>
      <c r="G27" s="28"/>
      <c r="I27" s="14">
        <v>1906561.7417513053</v>
      </c>
      <c r="J27" s="14">
        <v>652422.98491885781</v>
      </c>
      <c r="K27" s="14">
        <v>92849.908042882365</v>
      </c>
      <c r="L27" s="14">
        <f>SUM(I27:K27)</f>
        <v>2651834.6347130458</v>
      </c>
      <c r="M27" s="29"/>
      <c r="O27" s="14">
        <v>0</v>
      </c>
      <c r="P27" s="14">
        <v>0</v>
      </c>
      <c r="Q27" s="14">
        <v>0</v>
      </c>
      <c r="R27" s="12">
        <f>SUM(O27:Q27)</f>
        <v>0</v>
      </c>
      <c r="T27" s="14">
        <f t="shared" si="8"/>
        <v>0</v>
      </c>
      <c r="U27" s="14">
        <f t="shared" si="8"/>
        <v>0</v>
      </c>
      <c r="V27" s="14">
        <f t="shared" si="8"/>
        <v>0</v>
      </c>
      <c r="W27" s="12">
        <f t="shared" si="9"/>
        <v>0</v>
      </c>
      <c r="X27" s="28"/>
      <c r="Z27" s="14">
        <v>3695114.5774233667</v>
      </c>
      <c r="AA27" s="14">
        <v>1304845.9698377156</v>
      </c>
      <c r="AB27" s="14">
        <v>185699.81608576473</v>
      </c>
      <c r="AC27" s="12">
        <f>SUM(Z27:AB27)</f>
        <v>5185660.3633468477</v>
      </c>
      <c r="AE27" s="14">
        <v>0</v>
      </c>
      <c r="AF27" s="14">
        <v>0</v>
      </c>
      <c r="AG27" s="14">
        <v>0</v>
      </c>
      <c r="AH27" s="12">
        <f>SUM(AE27:AG27)</f>
        <v>0</v>
      </c>
    </row>
    <row r="28" spans="2:34" x14ac:dyDescent="0.3">
      <c r="B28" s="9" t="s">
        <v>31</v>
      </c>
      <c r="C28" s="30">
        <f>SUM(C23:C27)</f>
        <v>31734342</v>
      </c>
      <c r="D28" s="30">
        <f>SUM(D23:D27)</f>
        <v>23279162.460000001</v>
      </c>
      <c r="E28" s="30">
        <f>SUM(E23:E27)</f>
        <v>5606032</v>
      </c>
      <c r="F28" s="30">
        <f>SUM(F23:F27)</f>
        <v>60619536.460000008</v>
      </c>
      <c r="G28" s="31"/>
      <c r="I28" s="30">
        <f>SUM(I23:I27)</f>
        <v>44147812.334884629</v>
      </c>
      <c r="J28" s="30">
        <f>SUM(J23:J27)</f>
        <v>38791728.121783845</v>
      </c>
      <c r="K28" s="30">
        <f t="shared" ref="K28:L28" si="10">SUM(K23:K27)</f>
        <v>4585794.1860367665</v>
      </c>
      <c r="L28" s="30">
        <f t="shared" si="10"/>
        <v>87525334.642705232</v>
      </c>
      <c r="O28" s="30">
        <f>SUM(O23:O27)</f>
        <v>41412732.076461308</v>
      </c>
      <c r="P28" s="30">
        <f>SUM(P23:P27)</f>
        <v>36452144.022679999</v>
      </c>
      <c r="Q28" s="30">
        <f>SUM(Q23:Q27)</f>
        <v>7031532.017</v>
      </c>
      <c r="R28" s="30">
        <f>SUM(R23:R27)</f>
        <v>84896408.116141304</v>
      </c>
      <c r="T28" s="30">
        <f>SUM(T23:T27)</f>
        <v>73147074.076461315</v>
      </c>
      <c r="U28" s="30">
        <f>SUM(U23:U27)</f>
        <v>59731306.48268</v>
      </c>
      <c r="V28" s="30">
        <f>SUM(V23:V27)</f>
        <v>12637564.017000001</v>
      </c>
      <c r="W28" s="30">
        <f>SUM(W23:W27)</f>
        <v>145515944.57614133</v>
      </c>
      <c r="X28" s="31"/>
      <c r="Z28" s="30">
        <f>SUM(Z23:Z27)</f>
        <v>95740209.972343236</v>
      </c>
      <c r="AA28" s="30">
        <f>SUM(AA23:AA27)</f>
        <v>79010072.598111212</v>
      </c>
      <c r="AB28" s="30">
        <f>SUM(AB23:AB27)</f>
        <v>11817700.388397843</v>
      </c>
      <c r="AC28" s="30">
        <f>SUM(AC23:AC27)</f>
        <v>186567982.95885232</v>
      </c>
      <c r="AE28" s="30">
        <f>SUM(AE23:AE27)</f>
        <v>29564382</v>
      </c>
      <c r="AF28" s="30">
        <f>SUM(AF23:AF27)</f>
        <v>24439312</v>
      </c>
      <c r="AG28" s="30">
        <f>SUM(AG23:AG27)</f>
        <v>4555159</v>
      </c>
      <c r="AH28" s="30">
        <f>SUM(AH23:AH27)</f>
        <v>58558853</v>
      </c>
    </row>
    <row r="29" spans="2:34" x14ac:dyDescent="0.3">
      <c r="B29" s="25"/>
      <c r="C29" s="10"/>
      <c r="D29" s="10"/>
      <c r="E29" s="10"/>
      <c r="F29" s="10"/>
      <c r="I29" s="10"/>
      <c r="J29" s="10"/>
      <c r="K29" s="10"/>
      <c r="L29" s="10"/>
      <c r="O29" s="10"/>
      <c r="P29" s="10"/>
      <c r="Q29" s="10"/>
      <c r="R29" s="10"/>
      <c r="T29" s="10"/>
      <c r="U29" s="10"/>
      <c r="V29" s="10"/>
      <c r="W29" s="10"/>
      <c r="Z29" s="10"/>
      <c r="AA29" s="10"/>
      <c r="AB29" s="10"/>
      <c r="AC29" s="10"/>
      <c r="AE29" s="10"/>
      <c r="AF29" s="10"/>
      <c r="AG29" s="10"/>
      <c r="AH29" s="10"/>
    </row>
    <row r="30" spans="2:34" ht="15" thickBot="1" x14ac:dyDescent="0.35">
      <c r="B30" s="27"/>
      <c r="C30" s="18"/>
      <c r="D30" s="18"/>
      <c r="E30" s="18"/>
      <c r="F30" s="18"/>
      <c r="I30" s="18"/>
      <c r="J30" s="18"/>
      <c r="K30" s="18"/>
      <c r="L30" s="18"/>
      <c r="O30" s="18"/>
      <c r="P30" s="18"/>
      <c r="Q30" s="18"/>
      <c r="R30" s="18"/>
      <c r="T30" s="18"/>
      <c r="U30" s="18"/>
      <c r="V30" s="18"/>
      <c r="W30" s="18"/>
      <c r="Z30" s="18"/>
      <c r="AA30" s="18"/>
      <c r="AB30" s="18"/>
      <c r="AC30" s="18"/>
      <c r="AE30" s="18"/>
      <c r="AF30" s="18"/>
      <c r="AG30" s="18"/>
      <c r="AH30" s="18"/>
    </row>
    <row r="31" spans="2:34" ht="15" thickBot="1" x14ac:dyDescent="0.35">
      <c r="B31" s="19" t="s">
        <v>32</v>
      </c>
      <c r="C31" s="20">
        <f>C20</f>
        <v>31734342</v>
      </c>
      <c r="D31" s="20">
        <f t="shared" ref="D31:F31" si="11">D20</f>
        <v>23279161.530000001</v>
      </c>
      <c r="E31" s="20">
        <f t="shared" si="11"/>
        <v>5606032</v>
      </c>
      <c r="F31" s="21">
        <f t="shared" si="11"/>
        <v>60619535.530000001</v>
      </c>
      <c r="G31" s="22"/>
      <c r="I31" s="20">
        <f>I28</f>
        <v>44147812.334884629</v>
      </c>
      <c r="J31" s="20">
        <f>J28</f>
        <v>38791728.121783845</v>
      </c>
      <c r="K31" s="20">
        <f t="shared" ref="K31:L31" si="12">K28</f>
        <v>4585794.1860367665</v>
      </c>
      <c r="L31" s="21">
        <f t="shared" si="12"/>
        <v>87525334.642705232</v>
      </c>
      <c r="O31" s="20">
        <f>O28</f>
        <v>41412732.076461308</v>
      </c>
      <c r="P31" s="20">
        <f>P28</f>
        <v>36452144.022679999</v>
      </c>
      <c r="Q31" s="20">
        <f>Q28</f>
        <v>7031532.017</v>
      </c>
      <c r="R31" s="21">
        <f>R28</f>
        <v>84896408.116141304</v>
      </c>
      <c r="T31" s="20">
        <f>T28</f>
        <v>73147074.076461315</v>
      </c>
      <c r="U31" s="20">
        <f>U28</f>
        <v>59731306.48268</v>
      </c>
      <c r="V31" s="20">
        <f>V28</f>
        <v>12637564.017000001</v>
      </c>
      <c r="W31" s="21">
        <f>W28</f>
        <v>145515944.57614133</v>
      </c>
      <c r="X31" s="22"/>
      <c r="Z31" s="20">
        <f>Z28</f>
        <v>95740209.972343236</v>
      </c>
      <c r="AA31" s="20">
        <f>AA28</f>
        <v>79010072.598111212</v>
      </c>
      <c r="AB31" s="20">
        <f>AB28</f>
        <v>11817700.388397843</v>
      </c>
      <c r="AC31" s="21">
        <f>AC28</f>
        <v>186567982.95885232</v>
      </c>
      <c r="AE31" s="20">
        <f>AE28</f>
        <v>29564382</v>
      </c>
      <c r="AF31" s="20">
        <f>AF28</f>
        <v>24439312</v>
      </c>
      <c r="AG31" s="20">
        <f>AG28</f>
        <v>4555159</v>
      </c>
      <c r="AH31" s="21">
        <f>AH28</f>
        <v>58558853</v>
      </c>
    </row>
    <row r="32" spans="2:34" x14ac:dyDescent="0.3">
      <c r="B32" s="32"/>
      <c r="C32" s="24"/>
      <c r="D32" s="24"/>
      <c r="E32" s="24"/>
      <c r="F32" s="24"/>
      <c r="I32" s="24"/>
      <c r="J32" s="24"/>
      <c r="K32" s="24"/>
      <c r="L32" s="24"/>
      <c r="O32" s="24"/>
      <c r="P32" s="24"/>
      <c r="Q32" s="24"/>
      <c r="R32" s="24"/>
      <c r="T32" s="24"/>
      <c r="U32" s="24"/>
      <c r="V32" s="24"/>
      <c r="W32" s="24"/>
      <c r="Z32" s="24"/>
      <c r="AA32" s="24"/>
      <c r="AB32" s="24"/>
      <c r="AC32" s="24"/>
      <c r="AE32" s="24"/>
      <c r="AF32" s="24"/>
      <c r="AG32" s="24"/>
      <c r="AH32" s="24"/>
    </row>
    <row r="33" spans="2:35" x14ac:dyDescent="0.3">
      <c r="B33" s="9" t="s">
        <v>33</v>
      </c>
      <c r="C33" s="13">
        <f>C17-C31</f>
        <v>9346544.6403600052</v>
      </c>
      <c r="D33" s="13">
        <f>D17-D31</f>
        <v>18064168.637040004</v>
      </c>
      <c r="E33" s="13">
        <f>E17-E31</f>
        <v>7988640.6184999999</v>
      </c>
      <c r="F33" s="13">
        <f t="shared" ref="F33" si="13">F17-F31</f>
        <v>35399353.895900011</v>
      </c>
      <c r="G33" s="4"/>
      <c r="I33" s="13">
        <f>I17-I31</f>
        <v>11383646.816874951</v>
      </c>
      <c r="J33" s="13">
        <f>J17-J31</f>
        <v>24150541.022741422</v>
      </c>
      <c r="K33" s="13">
        <f>K17-K31</f>
        <v>5143851.3913544929</v>
      </c>
      <c r="L33" s="13">
        <f t="shared" ref="L33" si="14">L17-L31</f>
        <v>40678039.230970889</v>
      </c>
      <c r="O33" s="13">
        <f>O17-O20</f>
        <v>11845949.523179993</v>
      </c>
      <c r="P33" s="13">
        <f>P17-P20</f>
        <v>26158915.470070004</v>
      </c>
      <c r="Q33" s="13">
        <f t="shared" ref="Q33:R33" si="15">Q17-Q20</f>
        <v>8183093.6635000007</v>
      </c>
      <c r="R33" s="13">
        <f t="shared" si="15"/>
        <v>46187958.656749994</v>
      </c>
      <c r="T33" s="13">
        <f>T17-T20</f>
        <v>21192494.163540006</v>
      </c>
      <c r="U33" s="13">
        <f>U17-U20</f>
        <v>44223084.107110009</v>
      </c>
      <c r="V33" s="13">
        <f t="shared" ref="V33:W33" si="16">V17-V20</f>
        <v>16171734.282000002</v>
      </c>
      <c r="W33" s="13">
        <f t="shared" si="16"/>
        <v>81587312.552650005</v>
      </c>
      <c r="X33" s="4"/>
      <c r="Z33" s="13">
        <f>Z17-Z20</f>
        <v>24962461.865924105</v>
      </c>
      <c r="AA33" s="13">
        <f>AA17-AA20</f>
        <v>52584318.614686072</v>
      </c>
      <c r="AB33" s="13">
        <f t="shared" ref="AB33:AC33" si="17">AB17-AB20</f>
        <v>13175120.631259099</v>
      </c>
      <c r="AC33" s="13">
        <f t="shared" si="17"/>
        <v>90721901.111869276</v>
      </c>
      <c r="AE33" s="13">
        <f>AE17-AE20</f>
        <v>8435521.7340299934</v>
      </c>
      <c r="AF33" s="13">
        <f>AF17-AF20</f>
        <v>17113798.225250006</v>
      </c>
      <c r="AG33" s="13">
        <f t="shared" ref="AG33:AH33" si="18">AG17-AG20</f>
        <v>5492104.2544999998</v>
      </c>
      <c r="AH33" s="13">
        <f t="shared" si="18"/>
        <v>31041424.213780001</v>
      </c>
    </row>
    <row r="34" spans="2:35" x14ac:dyDescent="0.3">
      <c r="B34" s="9" t="s">
        <v>34</v>
      </c>
      <c r="C34" s="33">
        <f>C33/C17</f>
        <v>0.22751565033597576</v>
      </c>
      <c r="D34" s="33">
        <f t="shared" ref="D34:F34" si="19">D33/D17</f>
        <v>0.43693066243224976</v>
      </c>
      <c r="E34" s="33">
        <f t="shared" si="19"/>
        <v>0.58763023153855432</v>
      </c>
      <c r="F34" s="33">
        <f t="shared" si="19"/>
        <v>0.36867072830725156</v>
      </c>
      <c r="G34" s="34"/>
      <c r="I34" s="33">
        <f>I33/I17</f>
        <v>0.20499455607253292</v>
      </c>
      <c r="J34" s="33">
        <f t="shared" ref="J34:L34" si="20">J33/J17</f>
        <v>0.38369352346176167</v>
      </c>
      <c r="K34" s="33">
        <f t="shared" si="20"/>
        <v>0.52867818775508546</v>
      </c>
      <c r="L34" s="33">
        <f t="shared" si="20"/>
        <v>0.31729304777152417</v>
      </c>
      <c r="O34" s="10"/>
      <c r="P34" s="10"/>
      <c r="Q34" s="10"/>
      <c r="R34" s="10"/>
      <c r="T34" s="33">
        <f>T33/T17</f>
        <v>0.22464056785592112</v>
      </c>
      <c r="U34" s="33">
        <f t="shared" ref="U34:W34" si="21">U33/U17</f>
        <v>0.4254085301432507</v>
      </c>
      <c r="V34" s="33">
        <f t="shared" si="21"/>
        <v>0.56133731943625076</v>
      </c>
      <c r="W34" s="33">
        <f t="shared" si="21"/>
        <v>0.35925205981504155</v>
      </c>
      <c r="X34" s="34"/>
      <c r="Z34" s="33">
        <f>Z33/Z17</f>
        <v>0.2068095219911284</v>
      </c>
      <c r="AA34" s="33">
        <f t="shared" ref="AA34:AC34" si="22">AA33/AA17</f>
        <v>0.39959391984764436</v>
      </c>
      <c r="AB34" s="33">
        <f t="shared" si="22"/>
        <v>0.52715620301112953</v>
      </c>
      <c r="AC34" s="33">
        <f t="shared" si="22"/>
        <v>0.32717349720818178</v>
      </c>
      <c r="AE34" s="33">
        <f>AE33/AE17</f>
        <v>0.2219879764188914</v>
      </c>
      <c r="AF34" s="33">
        <f t="shared" ref="AF34:AH34" si="23">AF33/AF17</f>
        <v>0.41185360451913178</v>
      </c>
      <c r="AG34" s="33">
        <f t="shared" si="23"/>
        <v>0.546626888873463</v>
      </c>
      <c r="AH34" s="33">
        <f t="shared" si="23"/>
        <v>0.34644339480911795</v>
      </c>
    </row>
    <row r="35" spans="2:35" x14ac:dyDescent="0.3">
      <c r="B35" s="25"/>
      <c r="C35" s="10"/>
      <c r="D35" s="10"/>
      <c r="E35" s="10"/>
      <c r="F35" s="10"/>
      <c r="I35" s="10"/>
      <c r="J35" s="10"/>
      <c r="K35" s="10"/>
      <c r="L35" s="10"/>
      <c r="O35" s="10"/>
      <c r="P35" s="10"/>
      <c r="Q35" s="10"/>
      <c r="R35" s="10"/>
      <c r="T35" s="10"/>
      <c r="U35" s="10"/>
      <c r="V35" s="10"/>
      <c r="W35" s="10"/>
      <c r="Z35" s="10"/>
      <c r="AA35" s="10"/>
      <c r="AB35" s="10"/>
      <c r="AC35" s="10"/>
      <c r="AE35" s="10"/>
      <c r="AF35" s="10"/>
      <c r="AG35" s="10"/>
      <c r="AH35" s="10"/>
    </row>
    <row r="36" spans="2:35" x14ac:dyDescent="0.3">
      <c r="B36" s="25" t="s">
        <v>35</v>
      </c>
      <c r="C36" s="12">
        <v>3092059.1999999997</v>
      </c>
      <c r="D36" s="12">
        <v>0</v>
      </c>
      <c r="E36" s="12">
        <v>0</v>
      </c>
      <c r="F36" s="13">
        <f>SUM(C36:E36)</f>
        <v>3092059.1999999997</v>
      </c>
      <c r="G36" s="4">
        <f>F36/10^7</f>
        <v>0.30920591999999997</v>
      </c>
      <c r="I36" s="14">
        <v>4214837.9841398196</v>
      </c>
      <c r="J36" s="14">
        <v>3648143.9609727282</v>
      </c>
      <c r="K36" s="14">
        <v>652036.68311184831</v>
      </c>
      <c r="L36" s="13">
        <f>SUM(I36:K36)</f>
        <v>8515018.6282243952</v>
      </c>
      <c r="O36" s="12">
        <v>4045024.4285148568</v>
      </c>
      <c r="P36" s="12">
        <v>1834551.936</v>
      </c>
      <c r="Q36" s="12">
        <v>343492.8</v>
      </c>
      <c r="R36" s="13">
        <f>SUM(O36:Q36)</f>
        <v>6223069.1645148564</v>
      </c>
      <c r="T36" s="12">
        <f t="shared" ref="T36:V37" si="24">O36+C36</f>
        <v>7137083.6285148561</v>
      </c>
      <c r="U36" s="12">
        <f t="shared" si="24"/>
        <v>1834551.936</v>
      </c>
      <c r="V36" s="12">
        <f t="shared" si="24"/>
        <v>343492.8</v>
      </c>
      <c r="W36" s="13">
        <f t="shared" ref="W36:W37" si="25">SUM(T36:V36)</f>
        <v>9315128.3645148575</v>
      </c>
      <c r="X36" s="4">
        <f>3.13*10^7</f>
        <v>31300000</v>
      </c>
      <c r="Z36" s="12">
        <v>9160159.9567876309</v>
      </c>
      <c r="AA36" s="12">
        <v>7700262.7929344121</v>
      </c>
      <c r="AB36" s="12">
        <v>1682554.5809845242</v>
      </c>
      <c r="AC36" s="13">
        <f>SUM(Z36:AB36)</f>
        <v>18542977.330706567</v>
      </c>
      <c r="AE36" s="12">
        <v>2887348.2</v>
      </c>
      <c r="AF36" s="12">
        <v>0</v>
      </c>
      <c r="AG36" s="12">
        <v>0</v>
      </c>
      <c r="AH36" s="13">
        <f>SUM(AE36:AG36)</f>
        <v>2887348.2</v>
      </c>
    </row>
    <row r="37" spans="2:35" x14ac:dyDescent="0.3">
      <c r="B37" s="25" t="s">
        <v>36</v>
      </c>
      <c r="C37" s="12">
        <v>2392239.1664880612</v>
      </c>
      <c r="D37" s="12">
        <v>13816940.941824768</v>
      </c>
      <c r="E37" s="12">
        <v>4543339.5891026994</v>
      </c>
      <c r="F37" s="13">
        <f>SUM(C37:E37)</f>
        <v>20752519.697415527</v>
      </c>
      <c r="G37" s="4">
        <f>F37/10^7</f>
        <v>2.0752519697415526</v>
      </c>
      <c r="I37" s="14">
        <v>3643056.2570645288</v>
      </c>
      <c r="J37" s="14">
        <v>18498273.498238727</v>
      </c>
      <c r="K37" s="14">
        <v>2599610.8688523103</v>
      </c>
      <c r="L37" s="13">
        <f>SUM(I37:K37)</f>
        <v>24740940.624155566</v>
      </c>
      <c r="O37" s="12">
        <v>3065009.554829672</v>
      </c>
      <c r="P37" s="12">
        <v>19090064.146477051</v>
      </c>
      <c r="Q37" s="12">
        <v>4741235.1024230998</v>
      </c>
      <c r="R37" s="13">
        <f>SUM(O37:Q37)</f>
        <v>26896308.803729825</v>
      </c>
      <c r="T37" s="12">
        <f t="shared" si="24"/>
        <v>5457248.7213177327</v>
      </c>
      <c r="U37" s="12">
        <f t="shared" si="24"/>
        <v>32907005.088301819</v>
      </c>
      <c r="V37" s="12">
        <f t="shared" si="24"/>
        <v>9284574.6915257983</v>
      </c>
      <c r="W37" s="13">
        <f t="shared" si="25"/>
        <v>47648828.501145348</v>
      </c>
      <c r="X37" s="4"/>
      <c r="Z37" s="12">
        <v>7842535.622509947</v>
      </c>
      <c r="AA37" s="12">
        <v>38500804.972604662</v>
      </c>
      <c r="AB37" s="12">
        <v>6670046.2037848253</v>
      </c>
      <c r="AC37" s="13">
        <f>SUM(Z37:AB37)</f>
        <v>53013386.798899435</v>
      </c>
      <c r="AE37" s="12">
        <v>2185638.9484930038</v>
      </c>
      <c r="AF37" s="12">
        <v>13887049.437278552</v>
      </c>
      <c r="AG37" s="12">
        <v>3357795.3796538999</v>
      </c>
      <c r="AH37" s="13">
        <f>SUM(AE37:AG37)</f>
        <v>19430483.765425455</v>
      </c>
    </row>
    <row r="38" spans="2:35" x14ac:dyDescent="0.3">
      <c r="B38" s="25" t="s">
        <v>11</v>
      </c>
      <c r="C38" s="13">
        <f t="shared" ref="C38" si="26">C36+C37</f>
        <v>5484298.3664880609</v>
      </c>
      <c r="D38" s="13">
        <f>D36+D37</f>
        <v>13816940.941824768</v>
      </c>
      <c r="E38" s="13">
        <f>E36+E37</f>
        <v>4543339.5891026994</v>
      </c>
      <c r="F38" s="13">
        <f>SUM(C38:E38)</f>
        <v>23844578.89741553</v>
      </c>
      <c r="G38" s="4"/>
      <c r="I38" s="13">
        <f>I36+I37</f>
        <v>7857894.2412043484</v>
      </c>
      <c r="J38" s="13">
        <f>J36+J37</f>
        <v>22146417.459211454</v>
      </c>
      <c r="K38" s="13">
        <f t="shared" ref="K38" si="27">K36+K37</f>
        <v>3251647.5519641587</v>
      </c>
      <c r="L38" s="13">
        <f>SUM(I38:K38)</f>
        <v>33255959.252379961</v>
      </c>
      <c r="O38" s="13">
        <f>O36+O37</f>
        <v>7110033.9833445288</v>
      </c>
      <c r="P38" s="13">
        <f>P36+P37</f>
        <v>20924616.082477052</v>
      </c>
      <c r="Q38" s="13">
        <f>Q36+Q37</f>
        <v>5084727.9024230996</v>
      </c>
      <c r="R38" s="13">
        <f>SUM(O38:Q38)</f>
        <v>33119377.968244679</v>
      </c>
      <c r="T38" s="13">
        <f>T36+T37</f>
        <v>12594332.349832589</v>
      </c>
      <c r="U38" s="13">
        <f>U36+U37</f>
        <v>34741557.02430182</v>
      </c>
      <c r="V38" s="13">
        <f>V36+V37</f>
        <v>9628067.491525799</v>
      </c>
      <c r="W38" s="13">
        <f>SUM(T38:V38)</f>
        <v>56963956.865660205</v>
      </c>
      <c r="X38" s="4"/>
      <c r="Z38" s="13">
        <f>Z36+Z37</f>
        <v>17002695.57929758</v>
      </c>
      <c r="AA38" s="13">
        <f>AA36+AA37</f>
        <v>46201067.765539072</v>
      </c>
      <c r="AB38" s="13">
        <f>AB36+AB37</f>
        <v>8352600.7847693497</v>
      </c>
      <c r="AC38" s="13">
        <f>SUM(Z38:AB38)</f>
        <v>71556364.129606009</v>
      </c>
      <c r="AE38" s="13">
        <f>AE36+AE37</f>
        <v>5072987.148493004</v>
      </c>
      <c r="AF38" s="13">
        <f>AF36+AF37</f>
        <v>13887049.437278552</v>
      </c>
      <c r="AG38" s="13">
        <f>AG36+AG37</f>
        <v>3357795.3796538999</v>
      </c>
      <c r="AH38" s="13">
        <f>SUM(AE38:AG38)</f>
        <v>22317831.965425458</v>
      </c>
      <c r="AI38" s="4">
        <f>AH38+AH55+AH56+AH57+AH15-AH69</f>
        <v>31525613.537545457</v>
      </c>
    </row>
    <row r="39" spans="2:35" ht="15" thickBot="1" x14ac:dyDescent="0.35">
      <c r="B39" s="25"/>
      <c r="C39" s="10"/>
      <c r="D39" s="35"/>
      <c r="E39" s="35"/>
      <c r="F39" s="10"/>
      <c r="I39" s="10"/>
      <c r="J39" s="10"/>
      <c r="K39" s="10"/>
      <c r="L39" s="10"/>
      <c r="O39" s="10"/>
      <c r="P39" s="10"/>
      <c r="Q39" s="10"/>
      <c r="R39" s="10"/>
      <c r="T39" s="10"/>
      <c r="U39" s="10"/>
      <c r="V39" s="10"/>
      <c r="W39" s="10"/>
      <c r="Z39" s="10"/>
      <c r="AA39" s="10"/>
      <c r="AB39" s="10"/>
      <c r="AC39" s="10"/>
      <c r="AE39" s="10"/>
      <c r="AF39" s="10"/>
      <c r="AG39" s="10"/>
      <c r="AH39" s="10"/>
    </row>
    <row r="40" spans="2:35" ht="15" thickBot="1" x14ac:dyDescent="0.35">
      <c r="B40" s="19" t="s">
        <v>37</v>
      </c>
      <c r="C40" s="20">
        <f t="shared" ref="C40" si="28">C33-C38</f>
        <v>3862246.2738719443</v>
      </c>
      <c r="D40" s="20">
        <f>D33-D38</f>
        <v>4247227.6952152364</v>
      </c>
      <c r="E40" s="20">
        <f>E33-E38</f>
        <v>3445301.0293973004</v>
      </c>
      <c r="F40" s="21">
        <f>SUM(C40:E40)</f>
        <v>11554774.998484481</v>
      </c>
      <c r="G40" s="22"/>
      <c r="I40" s="20">
        <f>I33-I38</f>
        <v>3525752.5756706027</v>
      </c>
      <c r="J40" s="20">
        <f>J33-J38</f>
        <v>2004123.5635299683</v>
      </c>
      <c r="K40" s="20">
        <f>K33-K38</f>
        <v>1892203.8393903342</v>
      </c>
      <c r="L40" s="21">
        <f>SUM(I40:K40)</f>
        <v>7422079.9785909057</v>
      </c>
      <c r="O40" s="20">
        <f>O33-O38</f>
        <v>4735915.5398354642</v>
      </c>
      <c r="P40" s="20">
        <f>P33-P38</f>
        <v>5234299.3875929527</v>
      </c>
      <c r="Q40" s="20">
        <f t="shared" ref="Q40" si="29">Q33-Q38</f>
        <v>3098365.7610769011</v>
      </c>
      <c r="R40" s="21">
        <f>SUM(O40:Q40)</f>
        <v>13068580.688505318</v>
      </c>
      <c r="T40" s="20">
        <f>T33-T38</f>
        <v>8598161.8137074169</v>
      </c>
      <c r="U40" s="20">
        <f>U33-U38</f>
        <v>9481527.0828081891</v>
      </c>
      <c r="V40" s="20">
        <f t="shared" ref="V40" si="30">V33-V38</f>
        <v>6543666.7904742025</v>
      </c>
      <c r="W40" s="21">
        <f>SUM(T40:V40)</f>
        <v>24623355.68698981</v>
      </c>
      <c r="X40" s="22"/>
      <c r="Z40" s="20">
        <f>Z33-Z38</f>
        <v>7959766.2866265252</v>
      </c>
      <c r="AA40" s="20">
        <f>AA33-AA38</f>
        <v>6383250.8491469994</v>
      </c>
      <c r="AB40" s="20">
        <f>AB33-AB38</f>
        <v>4822519.8464897489</v>
      </c>
      <c r="AC40" s="21">
        <f>SUM(Z40:AB40)</f>
        <v>19165536.982263274</v>
      </c>
      <c r="AE40" s="20">
        <f>AE33-AE38</f>
        <v>3362534.5855369894</v>
      </c>
      <c r="AF40" s="20">
        <f>AF33-AF38</f>
        <v>3226748.7879714537</v>
      </c>
      <c r="AG40" s="20">
        <f>AG33-AG38</f>
        <v>2134308.8748460999</v>
      </c>
      <c r="AH40" s="21">
        <f>SUM(AE40:AG40)</f>
        <v>8723592.248354543</v>
      </c>
    </row>
    <row r="41" spans="2:35" x14ac:dyDescent="0.3">
      <c r="B41" s="9" t="s">
        <v>38</v>
      </c>
      <c r="C41" s="36">
        <f>C40/C17</f>
        <v>9.4015650335975767E-2</v>
      </c>
      <c r="D41" s="36">
        <f>D40/D17</f>
        <v>0.10273066243224979</v>
      </c>
      <c r="E41" s="36">
        <f>E40/E17</f>
        <v>0.25343023153855437</v>
      </c>
      <c r="F41" s="36">
        <f t="shared" ref="F41" si="31">F40/F17</f>
        <v>0.12033856116823312</v>
      </c>
      <c r="G41" s="37"/>
      <c r="I41" s="38">
        <f>I40/I17</f>
        <v>6.349108468472299E-2</v>
      </c>
      <c r="J41" s="38">
        <f>J40/J17</f>
        <v>3.1840662733785274E-2</v>
      </c>
      <c r="K41" s="38">
        <f t="shared" ref="K41:L41" si="32">K40/K17</f>
        <v>0.19447818775508546</v>
      </c>
      <c r="L41" s="38">
        <f t="shared" si="32"/>
        <v>5.7893016028612292E-2</v>
      </c>
      <c r="O41" s="36">
        <f>O40/O17</f>
        <v>8.8922883638684003E-2</v>
      </c>
      <c r="P41" s="36">
        <f>P40/P17</f>
        <v>8.3600236603551717E-2</v>
      </c>
      <c r="Q41" s="36">
        <f t="shared" ref="Q41:R41" si="33">Q40/Q17</f>
        <v>0.20364390331652768</v>
      </c>
      <c r="R41" s="36">
        <f t="shared" si="33"/>
        <v>9.9695951682552797E-2</v>
      </c>
      <c r="T41" s="36">
        <f>T40/T17</f>
        <v>9.1140567855921159E-2</v>
      </c>
      <c r="U41" s="36">
        <f>U40/U17</f>
        <v>9.1208530143250727E-2</v>
      </c>
      <c r="V41" s="36">
        <f t="shared" ref="V41:W41" si="34">V40/V17</f>
        <v>0.22713731943625087</v>
      </c>
      <c r="W41" s="36">
        <f t="shared" si="34"/>
        <v>0.1084236135906671</v>
      </c>
      <c r="X41" s="37"/>
      <c r="Z41" s="36">
        <f>Z40/Z17</f>
        <v>6.5945236881682481E-2</v>
      </c>
      <c r="AA41" s="36">
        <f>AA40/AA17</f>
        <v>4.8507013029338297E-2</v>
      </c>
      <c r="AB41" s="36">
        <f t="shared" ref="AB41:AC41" si="35">AB40/AB17</f>
        <v>0.19295620301112948</v>
      </c>
      <c r="AC41" s="36">
        <f t="shared" si="35"/>
        <v>6.9117332016970331E-2</v>
      </c>
      <c r="AE41" s="36">
        <f>AE40/AE17</f>
        <v>8.8487976418891404E-2</v>
      </c>
      <c r="AF41" s="46">
        <f>AF40/AF17</f>
        <v>7.7653604519131753E-2</v>
      </c>
      <c r="AG41" s="36">
        <f t="shared" ref="AG41:AH41" si="36">AG40/AG17</f>
        <v>0.21242688887346303</v>
      </c>
      <c r="AH41" s="36">
        <f t="shared" si="36"/>
        <v>9.7361219402710794E-2</v>
      </c>
    </row>
    <row r="42" spans="2:35" x14ac:dyDescent="0.3">
      <c r="B42" s="25"/>
      <c r="C42" s="10"/>
      <c r="D42" s="10"/>
      <c r="E42" s="10"/>
      <c r="F42" s="10"/>
      <c r="I42" s="10"/>
      <c r="J42" s="10"/>
      <c r="K42" s="10"/>
      <c r="L42" s="10"/>
      <c r="O42" s="10"/>
      <c r="P42" s="10"/>
      <c r="Q42" s="10"/>
      <c r="R42" s="10"/>
      <c r="T42" s="10"/>
      <c r="U42" s="10"/>
      <c r="V42" s="10"/>
      <c r="W42" s="10"/>
      <c r="Z42" s="10"/>
      <c r="AA42" s="10"/>
      <c r="AB42" s="10"/>
      <c r="AC42" s="10"/>
      <c r="AE42" s="10"/>
      <c r="AF42" s="10"/>
      <c r="AG42" s="10"/>
      <c r="AH42" s="10"/>
    </row>
    <row r="43" spans="2:35" x14ac:dyDescent="0.3">
      <c r="B43" s="9" t="s">
        <v>39</v>
      </c>
      <c r="C43" s="10"/>
      <c r="D43" s="10"/>
      <c r="E43" s="10"/>
      <c r="F43" s="10"/>
      <c r="I43" s="10"/>
      <c r="J43" s="10"/>
      <c r="K43" s="10"/>
      <c r="L43" s="10"/>
      <c r="O43" s="10"/>
      <c r="P43" s="10"/>
      <c r="Q43" s="10"/>
      <c r="R43" s="10"/>
      <c r="T43" s="10"/>
      <c r="U43" s="10"/>
      <c r="V43" s="10"/>
      <c r="W43" s="10"/>
      <c r="Z43" s="10"/>
      <c r="AA43" s="10"/>
      <c r="AB43" s="10"/>
      <c r="AC43" s="10"/>
      <c r="AE43" s="10"/>
      <c r="AF43" s="10"/>
      <c r="AG43" s="10"/>
      <c r="AH43" s="10"/>
    </row>
    <row r="44" spans="2:35" x14ac:dyDescent="0.3">
      <c r="B44" s="25" t="s">
        <v>40</v>
      </c>
      <c r="C44" s="10"/>
      <c r="D44" s="10"/>
      <c r="E44" s="10"/>
      <c r="F44" s="12">
        <v>0</v>
      </c>
      <c r="G44" s="28"/>
      <c r="I44" s="10"/>
      <c r="J44" s="10"/>
      <c r="K44" s="10"/>
      <c r="L44" s="14">
        <v>0</v>
      </c>
      <c r="O44" s="10"/>
      <c r="P44" s="10"/>
      <c r="Q44" s="10"/>
      <c r="R44" s="12">
        <v>159041</v>
      </c>
      <c r="T44" s="10"/>
      <c r="U44" s="10"/>
      <c r="V44" s="10"/>
      <c r="W44" s="12">
        <f t="shared" ref="W44" si="37">R44+F44</f>
        <v>159041</v>
      </c>
      <c r="X44" s="28"/>
      <c r="Z44" s="10"/>
      <c r="AA44" s="10"/>
      <c r="AB44" s="10"/>
      <c r="AC44" s="12">
        <v>0</v>
      </c>
      <c r="AE44" s="10"/>
      <c r="AF44" s="10"/>
      <c r="AG44" s="10"/>
      <c r="AH44" s="12">
        <v>159041</v>
      </c>
    </row>
    <row r="45" spans="2:35" x14ac:dyDescent="0.3">
      <c r="B45" s="25"/>
      <c r="C45" s="10"/>
      <c r="D45" s="10"/>
      <c r="E45" s="10"/>
      <c r="F45" s="10"/>
      <c r="I45" s="10"/>
      <c r="J45" s="10"/>
      <c r="K45" s="10"/>
      <c r="L45" s="10"/>
      <c r="O45" s="10"/>
      <c r="P45" s="10"/>
      <c r="Q45" s="10"/>
      <c r="R45" s="10"/>
      <c r="T45" s="10"/>
      <c r="U45" s="10"/>
      <c r="V45" s="10"/>
      <c r="W45" s="10"/>
      <c r="Z45" s="10"/>
      <c r="AA45" s="10"/>
      <c r="AB45" s="10"/>
      <c r="AC45" s="10"/>
      <c r="AE45" s="10"/>
      <c r="AF45" s="10"/>
      <c r="AG45" s="10"/>
      <c r="AH45" s="10"/>
    </row>
    <row r="46" spans="2:35" x14ac:dyDescent="0.3">
      <c r="B46" s="9" t="s">
        <v>41</v>
      </c>
      <c r="C46" s="10"/>
      <c r="D46" s="10"/>
      <c r="E46" s="10"/>
      <c r="F46" s="10"/>
      <c r="I46" s="10"/>
      <c r="J46" s="10"/>
      <c r="K46" s="10"/>
      <c r="L46" s="10"/>
      <c r="O46" s="10"/>
      <c r="P46" s="10"/>
      <c r="Q46" s="10"/>
      <c r="R46" s="10"/>
      <c r="T46" s="10"/>
      <c r="U46" s="10"/>
      <c r="V46" s="10"/>
      <c r="W46" s="10"/>
      <c r="Z46" s="10"/>
      <c r="AA46" s="10"/>
      <c r="AB46" s="10"/>
      <c r="AC46" s="10"/>
      <c r="AE46" s="10"/>
      <c r="AF46" s="10"/>
      <c r="AG46" s="10"/>
      <c r="AH46" s="10"/>
    </row>
    <row r="47" spans="2:35" x14ac:dyDescent="0.3">
      <c r="B47" s="39" t="s">
        <v>42</v>
      </c>
      <c r="C47" s="11">
        <v>0</v>
      </c>
      <c r="D47" s="11">
        <v>0</v>
      </c>
      <c r="E47" s="11">
        <v>0</v>
      </c>
      <c r="F47" s="40">
        <v>179782.05</v>
      </c>
      <c r="G47" s="41">
        <f>F47/10^7</f>
        <v>1.7978204999999997E-2</v>
      </c>
      <c r="I47" s="42">
        <v>0</v>
      </c>
      <c r="J47" s="42">
        <v>0</v>
      </c>
      <c r="K47" s="42">
        <v>0</v>
      </c>
      <c r="L47" s="14">
        <v>500000</v>
      </c>
      <c r="O47" s="11">
        <v>0</v>
      </c>
      <c r="P47" s="11">
        <v>0</v>
      </c>
      <c r="Q47" s="11">
        <v>0</v>
      </c>
      <c r="R47" s="12">
        <v>1180045.5900000001</v>
      </c>
      <c r="T47" s="11"/>
      <c r="U47" s="11"/>
      <c r="V47" s="11"/>
      <c r="W47" s="12">
        <f t="shared" ref="W47:W57" si="38">R47+F47</f>
        <v>1359827.6400000001</v>
      </c>
      <c r="X47" s="28"/>
      <c r="Z47" s="11">
        <v>0</v>
      </c>
      <c r="AA47" s="11">
        <v>0</v>
      </c>
      <c r="AB47" s="11">
        <v>0</v>
      </c>
      <c r="AC47" s="14">
        <v>1430611</v>
      </c>
      <c r="AE47" s="11">
        <v>0</v>
      </c>
      <c r="AF47" s="11">
        <v>0</v>
      </c>
      <c r="AG47" s="11">
        <v>0</v>
      </c>
      <c r="AH47" s="14">
        <v>749434.64</v>
      </c>
    </row>
    <row r="48" spans="2:35" x14ac:dyDescent="0.3">
      <c r="B48" s="39" t="s">
        <v>43</v>
      </c>
      <c r="C48" s="11">
        <v>0</v>
      </c>
      <c r="D48" s="11">
        <v>0</v>
      </c>
      <c r="E48" s="11">
        <v>0</v>
      </c>
      <c r="F48" s="40">
        <v>1160000</v>
      </c>
      <c r="G48" s="28">
        <f>F48/10^7</f>
        <v>0.11600000000000001</v>
      </c>
      <c r="I48" s="42">
        <v>0</v>
      </c>
      <c r="J48" s="42">
        <v>0</v>
      </c>
      <c r="K48" s="42">
        <v>0</v>
      </c>
      <c r="L48" s="14">
        <v>1060000</v>
      </c>
      <c r="O48" s="11">
        <v>0</v>
      </c>
      <c r="P48" s="11">
        <v>0</v>
      </c>
      <c r="Q48" s="11">
        <v>0</v>
      </c>
      <c r="R48" s="12">
        <v>2439610</v>
      </c>
      <c r="T48" s="11"/>
      <c r="U48" s="11"/>
      <c r="V48" s="11"/>
      <c r="W48" s="12">
        <f t="shared" si="38"/>
        <v>3599610</v>
      </c>
      <c r="X48" s="28"/>
      <c r="Z48" s="11">
        <v>0</v>
      </c>
      <c r="AA48" s="11">
        <v>0</v>
      </c>
      <c r="AB48" s="11">
        <v>0</v>
      </c>
      <c r="AC48" s="14">
        <v>1921180.47</v>
      </c>
      <c r="AE48" s="11">
        <v>0</v>
      </c>
      <c r="AF48" s="11">
        <v>0</v>
      </c>
      <c r="AG48" s="11">
        <v>0</v>
      </c>
      <c r="AH48" s="14">
        <v>1888430</v>
      </c>
    </row>
    <row r="49" spans="2:34" x14ac:dyDescent="0.3">
      <c r="B49" s="39" t="s">
        <v>44</v>
      </c>
      <c r="C49" s="11">
        <v>0</v>
      </c>
      <c r="D49" s="11">
        <v>0</v>
      </c>
      <c r="E49" s="11">
        <v>0</v>
      </c>
      <c r="F49" s="40">
        <v>60450</v>
      </c>
      <c r="G49" s="28">
        <f>F49/10^7</f>
        <v>6.045E-3</v>
      </c>
      <c r="I49" s="42">
        <v>0</v>
      </c>
      <c r="J49" s="42">
        <v>0</v>
      </c>
      <c r="K49" s="42">
        <v>0</v>
      </c>
      <c r="L49" s="14">
        <v>250000</v>
      </c>
      <c r="O49" s="11">
        <v>0</v>
      </c>
      <c r="P49" s="11">
        <v>0</v>
      </c>
      <c r="Q49" s="11">
        <v>0</v>
      </c>
      <c r="R49" s="12">
        <v>90260.959999999992</v>
      </c>
      <c r="T49" s="11"/>
      <c r="U49" s="11"/>
      <c r="V49" s="11"/>
      <c r="W49" s="12">
        <f t="shared" si="38"/>
        <v>150710.96</v>
      </c>
      <c r="X49" s="28"/>
      <c r="Z49" s="11">
        <v>0</v>
      </c>
      <c r="AA49" s="11">
        <v>0</v>
      </c>
      <c r="AB49" s="11">
        <v>0</v>
      </c>
      <c r="AC49" s="14">
        <v>529810.96</v>
      </c>
      <c r="AE49" s="11">
        <v>0</v>
      </c>
      <c r="AF49" s="11">
        <v>0</v>
      </c>
      <c r="AG49" s="11">
        <v>0</v>
      </c>
      <c r="AH49" s="14">
        <v>60450</v>
      </c>
    </row>
    <row r="50" spans="2:34" x14ac:dyDescent="0.3">
      <c r="B50" s="39" t="s">
        <v>45</v>
      </c>
      <c r="C50" s="11">
        <v>0</v>
      </c>
      <c r="D50" s="11">
        <v>0</v>
      </c>
      <c r="E50" s="11">
        <v>0</v>
      </c>
      <c r="F50" s="40">
        <v>2458330</v>
      </c>
      <c r="G50" s="28">
        <f>F50/10^7</f>
        <v>0.245833</v>
      </c>
      <c r="I50" s="42">
        <v>0</v>
      </c>
      <c r="J50" s="42">
        <v>0</v>
      </c>
      <c r="K50" s="42">
        <v>0</v>
      </c>
      <c r="L50" s="14">
        <v>2748666.6666666665</v>
      </c>
      <c r="O50" s="11">
        <v>0</v>
      </c>
      <c r="P50" s="11">
        <v>0</v>
      </c>
      <c r="Q50" s="11">
        <v>0</v>
      </c>
      <c r="R50" s="12">
        <v>7385556.6699999999</v>
      </c>
      <c r="T50" s="11"/>
      <c r="U50" s="11"/>
      <c r="V50" s="11"/>
      <c r="W50" s="12">
        <f t="shared" si="38"/>
        <v>9843886.6699999999</v>
      </c>
      <c r="X50" s="28"/>
      <c r="Z50" s="11">
        <v>0</v>
      </c>
      <c r="AA50" s="11">
        <v>0</v>
      </c>
      <c r="AB50" s="11">
        <v>0</v>
      </c>
      <c r="AC50" s="14">
        <v>7219833.666666666</v>
      </c>
      <c r="AD50" s="4"/>
      <c r="AE50" s="11">
        <v>0</v>
      </c>
      <c r="AF50" s="11">
        <v>0</v>
      </c>
      <c r="AG50" s="11">
        <v>0</v>
      </c>
      <c r="AH50" s="14">
        <v>5718890</v>
      </c>
    </row>
    <row r="51" spans="2:34" x14ac:dyDescent="0.3">
      <c r="B51" s="39" t="s">
        <v>46</v>
      </c>
      <c r="C51" s="11">
        <v>0</v>
      </c>
      <c r="D51" s="11">
        <v>0</v>
      </c>
      <c r="E51" s="11">
        <v>0</v>
      </c>
      <c r="F51" s="40">
        <v>20000</v>
      </c>
      <c r="G51" s="28">
        <f>F51/10^7</f>
        <v>2E-3</v>
      </c>
      <c r="I51" s="42">
        <v>0</v>
      </c>
      <c r="J51" s="42">
        <v>0</v>
      </c>
      <c r="K51" s="42">
        <v>0</v>
      </c>
      <c r="L51" s="14">
        <v>0</v>
      </c>
      <c r="O51" s="11">
        <v>0</v>
      </c>
      <c r="P51" s="11">
        <v>0</v>
      </c>
      <c r="Q51" s="11">
        <v>0</v>
      </c>
      <c r="R51" s="12">
        <v>0</v>
      </c>
      <c r="T51" s="11"/>
      <c r="U51" s="11"/>
      <c r="V51" s="11"/>
      <c r="W51" s="12">
        <f t="shared" si="38"/>
        <v>20000</v>
      </c>
      <c r="X51" s="28"/>
      <c r="Z51" s="11">
        <v>0</v>
      </c>
      <c r="AA51" s="11">
        <v>0</v>
      </c>
      <c r="AB51" s="11">
        <v>0</v>
      </c>
      <c r="AC51" s="14">
        <v>0</v>
      </c>
      <c r="AE51" s="11">
        <v>0</v>
      </c>
      <c r="AF51" s="11">
        <v>0</v>
      </c>
      <c r="AG51" s="11">
        <v>0</v>
      </c>
      <c r="AH51" s="14">
        <v>0</v>
      </c>
    </row>
    <row r="52" spans="2:34" x14ac:dyDescent="0.3">
      <c r="B52" s="39" t="s">
        <v>47</v>
      </c>
      <c r="C52" s="11">
        <v>0</v>
      </c>
      <c r="D52" s="11">
        <v>0</v>
      </c>
      <c r="E52" s="11">
        <v>0</v>
      </c>
      <c r="F52" s="40">
        <v>0</v>
      </c>
      <c r="G52" s="28"/>
      <c r="I52" s="42">
        <v>0</v>
      </c>
      <c r="J52" s="42">
        <v>0</v>
      </c>
      <c r="K52" s="42">
        <v>0</v>
      </c>
      <c r="L52" s="14">
        <v>100000</v>
      </c>
      <c r="O52" s="11">
        <v>0</v>
      </c>
      <c r="P52" s="11">
        <v>0</v>
      </c>
      <c r="Q52" s="11">
        <v>0</v>
      </c>
      <c r="R52" s="12">
        <v>2155</v>
      </c>
      <c r="T52" s="11"/>
      <c r="U52" s="11"/>
      <c r="V52" s="11"/>
      <c r="W52" s="12">
        <f t="shared" si="38"/>
        <v>2155</v>
      </c>
      <c r="X52" s="28"/>
      <c r="Z52" s="11">
        <v>0</v>
      </c>
      <c r="AA52" s="11">
        <v>0</v>
      </c>
      <c r="AB52" s="11">
        <v>0</v>
      </c>
      <c r="AC52" s="14">
        <v>200000</v>
      </c>
      <c r="AE52" s="11">
        <v>0</v>
      </c>
      <c r="AF52" s="11">
        <v>0</v>
      </c>
      <c r="AG52" s="11">
        <v>0</v>
      </c>
      <c r="AH52" s="14">
        <v>2155</v>
      </c>
    </row>
    <row r="53" spans="2:34" x14ac:dyDescent="0.3">
      <c r="B53" s="39" t="s">
        <v>48</v>
      </c>
      <c r="C53" s="11">
        <v>0</v>
      </c>
      <c r="D53" s="11">
        <v>0</v>
      </c>
      <c r="E53" s="11">
        <v>0</v>
      </c>
      <c r="F53" s="40">
        <v>0</v>
      </c>
      <c r="G53" s="28"/>
      <c r="I53" s="42">
        <v>0</v>
      </c>
      <c r="J53" s="42">
        <v>0</v>
      </c>
      <c r="K53" s="42">
        <v>0</v>
      </c>
      <c r="L53" s="14">
        <f>20000+50000</f>
        <v>70000</v>
      </c>
      <c r="O53" s="11">
        <v>0</v>
      </c>
      <c r="P53" s="11">
        <v>0</v>
      </c>
      <c r="Q53" s="11">
        <v>0</v>
      </c>
      <c r="R53" s="12">
        <v>1250</v>
      </c>
      <c r="T53" s="11"/>
      <c r="U53" s="11"/>
      <c r="V53" s="11"/>
      <c r="W53" s="12">
        <f t="shared" si="38"/>
        <v>1250</v>
      </c>
      <c r="X53" s="28"/>
      <c r="Z53" s="11">
        <v>0</v>
      </c>
      <c r="AA53" s="11">
        <v>0</v>
      </c>
      <c r="AB53" s="11">
        <v>0</v>
      </c>
      <c r="AC53" s="14">
        <f>40000+100000</f>
        <v>140000</v>
      </c>
      <c r="AE53" s="11">
        <v>0</v>
      </c>
      <c r="AF53" s="11">
        <v>0</v>
      </c>
      <c r="AG53" s="11">
        <v>0</v>
      </c>
      <c r="AH53" s="14">
        <v>1250</v>
      </c>
    </row>
    <row r="54" spans="2:34" x14ac:dyDescent="0.3">
      <c r="B54" s="39" t="s">
        <v>49</v>
      </c>
      <c r="C54" s="11">
        <v>0</v>
      </c>
      <c r="D54" s="11">
        <v>0</v>
      </c>
      <c r="E54" s="11">
        <v>0</v>
      </c>
      <c r="F54" s="12">
        <v>0</v>
      </c>
      <c r="G54" s="28"/>
      <c r="I54" s="42">
        <v>0</v>
      </c>
      <c r="J54" s="42">
        <v>0</v>
      </c>
      <c r="K54" s="42">
        <v>0</v>
      </c>
      <c r="L54" s="14">
        <v>0</v>
      </c>
      <c r="O54" s="11">
        <v>0</v>
      </c>
      <c r="P54" s="11">
        <v>0</v>
      </c>
      <c r="Q54" s="11">
        <v>0</v>
      </c>
      <c r="R54" s="12">
        <v>150000</v>
      </c>
      <c r="T54" s="11"/>
      <c r="U54" s="11"/>
      <c r="V54" s="11"/>
      <c r="W54" s="12">
        <f t="shared" si="38"/>
        <v>150000</v>
      </c>
      <c r="X54" s="28"/>
      <c r="Z54" s="11">
        <v>0</v>
      </c>
      <c r="AA54" s="11">
        <v>0</v>
      </c>
      <c r="AB54" s="11">
        <v>0</v>
      </c>
      <c r="AC54" s="14">
        <v>0</v>
      </c>
      <c r="AE54" s="11">
        <v>0</v>
      </c>
      <c r="AF54" s="11">
        <v>0</v>
      </c>
      <c r="AG54" s="11">
        <v>0</v>
      </c>
      <c r="AH54" s="14">
        <v>150000</v>
      </c>
    </row>
    <row r="55" spans="2:34" x14ac:dyDescent="0.3">
      <c r="B55" s="39" t="s">
        <v>50</v>
      </c>
      <c r="C55" s="11">
        <v>0</v>
      </c>
      <c r="D55" s="11">
        <v>0</v>
      </c>
      <c r="E55" s="11">
        <v>0</v>
      </c>
      <c r="F55" s="40">
        <v>200000</v>
      </c>
      <c r="G55" s="28"/>
      <c r="I55" s="42">
        <v>0</v>
      </c>
      <c r="J55" s="42">
        <v>0</v>
      </c>
      <c r="K55" s="42">
        <v>0</v>
      </c>
      <c r="L55" s="14">
        <v>200000</v>
      </c>
      <c r="O55" s="11">
        <v>0</v>
      </c>
      <c r="P55" s="11">
        <v>0</v>
      </c>
      <c r="Q55" s="11">
        <v>0</v>
      </c>
      <c r="R55" s="12">
        <v>200000</v>
      </c>
      <c r="T55" s="11"/>
      <c r="U55" s="11"/>
      <c r="V55" s="11"/>
      <c r="W55" s="14">
        <f t="shared" si="38"/>
        <v>400000</v>
      </c>
      <c r="X55" s="28"/>
      <c r="Z55" s="11">
        <v>0</v>
      </c>
      <c r="AA55" s="11">
        <v>0</v>
      </c>
      <c r="AB55" s="11">
        <v>0</v>
      </c>
      <c r="AC55" s="14">
        <v>400000</v>
      </c>
      <c r="AE55" s="11">
        <v>0</v>
      </c>
      <c r="AF55" s="11">
        <v>0</v>
      </c>
      <c r="AG55" s="11">
        <v>0</v>
      </c>
      <c r="AH55" s="14">
        <v>200000</v>
      </c>
    </row>
    <row r="56" spans="2:34" x14ac:dyDescent="0.3">
      <c r="B56" s="39" t="s">
        <v>51</v>
      </c>
      <c r="C56" s="11">
        <v>0</v>
      </c>
      <c r="D56" s="11">
        <v>0</v>
      </c>
      <c r="E56" s="11">
        <v>0</v>
      </c>
      <c r="F56" s="40">
        <v>1200000</v>
      </c>
      <c r="G56" s="28"/>
      <c r="I56" s="42">
        <v>0</v>
      </c>
      <c r="J56" s="42">
        <v>0</v>
      </c>
      <c r="K56" s="42">
        <v>0</v>
      </c>
      <c r="L56" s="14">
        <v>1200000</v>
      </c>
      <c r="O56" s="11">
        <v>0</v>
      </c>
      <c r="P56" s="11">
        <v>0</v>
      </c>
      <c r="Q56" s="11">
        <v>0</v>
      </c>
      <c r="R56" s="12">
        <v>1200000</v>
      </c>
      <c r="T56" s="11"/>
      <c r="U56" s="11"/>
      <c r="V56" s="11"/>
      <c r="W56" s="14">
        <f t="shared" si="38"/>
        <v>2400000</v>
      </c>
      <c r="X56" s="28">
        <v>1700000</v>
      </c>
      <c r="Z56" s="11">
        <v>0</v>
      </c>
      <c r="AA56" s="11">
        <v>0</v>
      </c>
      <c r="AB56" s="11">
        <v>0</v>
      </c>
      <c r="AC56" s="14">
        <v>2400000</v>
      </c>
      <c r="AE56" s="11">
        <v>0</v>
      </c>
      <c r="AF56" s="11">
        <v>0</v>
      </c>
      <c r="AG56" s="11">
        <v>0</v>
      </c>
      <c r="AH56" s="14">
        <v>1200000</v>
      </c>
    </row>
    <row r="57" spans="2:34" x14ac:dyDescent="0.3">
      <c r="B57" s="39" t="s">
        <v>52</v>
      </c>
      <c r="C57" s="11">
        <v>0</v>
      </c>
      <c r="D57" s="11">
        <v>0</v>
      </c>
      <c r="E57" s="11">
        <v>0</v>
      </c>
      <c r="F57" s="40">
        <v>1929134.6007500002</v>
      </c>
      <c r="G57" s="41">
        <f>F57/10^7</f>
        <v>0.19291346007500002</v>
      </c>
      <c r="I57" s="42">
        <v>0</v>
      </c>
      <c r="J57" s="42">
        <v>0</v>
      </c>
      <c r="K57" s="42">
        <v>0</v>
      </c>
      <c r="L57" s="14">
        <f>L9*1.75%</f>
        <v>2574219.7361910306</v>
      </c>
      <c r="O57" s="11">
        <v>0</v>
      </c>
      <c r="P57" s="11">
        <v>0</v>
      </c>
      <c r="Q57" s="11">
        <v>0</v>
      </c>
      <c r="R57" s="12">
        <v>2640031.4058999997</v>
      </c>
      <c r="T57" s="11"/>
      <c r="U57" s="11"/>
      <c r="V57" s="11"/>
      <c r="W57" s="14">
        <f t="shared" si="38"/>
        <v>4569166.0066499999</v>
      </c>
      <c r="X57" s="28">
        <v>3970000</v>
      </c>
      <c r="Z57" s="11">
        <v>0</v>
      </c>
      <c r="AA57" s="11">
        <v>0</v>
      </c>
      <c r="AB57" s="11">
        <v>0</v>
      </c>
      <c r="AC57" s="14">
        <v>5566411.8528725943</v>
      </c>
      <c r="AE57" s="11">
        <v>0</v>
      </c>
      <c r="AF57" s="11">
        <v>0</v>
      </c>
      <c r="AG57" s="11">
        <v>0</v>
      </c>
      <c r="AH57" s="14">
        <v>1800934.4058999999</v>
      </c>
    </row>
    <row r="58" spans="2:34" x14ac:dyDescent="0.3">
      <c r="B58" s="9" t="s">
        <v>53</v>
      </c>
      <c r="C58" s="43">
        <f t="shared" ref="C58" si="39">SUM(C47:C57)</f>
        <v>0</v>
      </c>
      <c r="D58" s="43">
        <f>SUM(D47:D57)</f>
        <v>0</v>
      </c>
      <c r="E58" s="43">
        <f>SUM(E47:E57)</f>
        <v>0</v>
      </c>
      <c r="F58" s="30">
        <f>SUM(F47:F57)</f>
        <v>7207696.65075</v>
      </c>
      <c r="G58" s="31"/>
      <c r="I58" s="43">
        <f>SUM(I47:I57)</f>
        <v>0</v>
      </c>
      <c r="J58" s="43">
        <f>SUM(J47:J57)</f>
        <v>0</v>
      </c>
      <c r="K58" s="43">
        <f t="shared" ref="K58" si="40">SUM(K47:K57)</f>
        <v>0</v>
      </c>
      <c r="L58" s="30">
        <f>SUM(L47:L57)</f>
        <v>8702886.4028576966</v>
      </c>
      <c r="O58" s="43">
        <f>SUM(O47:O57)</f>
        <v>0</v>
      </c>
      <c r="P58" s="43">
        <f>SUM(P47:P57)</f>
        <v>0</v>
      </c>
      <c r="Q58" s="43">
        <f t="shared" ref="Q58" si="41">SUM(Q47:Q57)</f>
        <v>0</v>
      </c>
      <c r="R58" s="30">
        <f>SUM(R47:R57)</f>
        <v>15288909.625899998</v>
      </c>
      <c r="T58" s="43"/>
      <c r="U58" s="43"/>
      <c r="V58" s="43"/>
      <c r="W58" s="30">
        <f>SUM(W47:W57)</f>
        <v>22496606.27665</v>
      </c>
      <c r="X58" s="44"/>
      <c r="Z58" s="43"/>
      <c r="AA58" s="43"/>
      <c r="AB58" s="43"/>
      <c r="AC58" s="30">
        <f>SUM(AC47:AC57)</f>
        <v>19807847.949539259</v>
      </c>
      <c r="AE58" s="43"/>
      <c r="AF58" s="43"/>
      <c r="AG58" s="43"/>
      <c r="AH58" s="30">
        <f>SUM(AH47:AH57)</f>
        <v>11771544.0459</v>
      </c>
    </row>
    <row r="59" spans="2:34" ht="15" thickBot="1" x14ac:dyDescent="0.35">
      <c r="B59" s="25"/>
      <c r="C59" s="10"/>
      <c r="D59" s="10"/>
      <c r="E59" s="10"/>
      <c r="F59" s="10"/>
      <c r="I59" s="10"/>
      <c r="J59" s="10"/>
      <c r="K59" s="10"/>
      <c r="L59" s="10"/>
      <c r="O59" s="10"/>
      <c r="P59" s="10"/>
      <c r="Q59" s="10"/>
      <c r="R59" s="10"/>
      <c r="T59" s="10"/>
      <c r="U59" s="10"/>
      <c r="V59" s="10"/>
      <c r="W59" s="10"/>
      <c r="X59" s="5"/>
      <c r="Z59" s="10"/>
      <c r="AA59" s="10"/>
      <c r="AB59" s="10"/>
      <c r="AC59" s="10"/>
      <c r="AE59" s="10"/>
      <c r="AF59" s="10"/>
      <c r="AG59" s="10"/>
      <c r="AH59" s="10"/>
    </row>
    <row r="60" spans="2:34" ht="15" thickBot="1" x14ac:dyDescent="0.35">
      <c r="B60" s="19" t="s">
        <v>54</v>
      </c>
      <c r="C60" s="20"/>
      <c r="D60" s="20"/>
      <c r="E60" s="20"/>
      <c r="F60" s="21">
        <f>F40+F44-F58</f>
        <v>4347078.3477344811</v>
      </c>
      <c r="G60" s="22"/>
      <c r="I60" s="20"/>
      <c r="J60" s="20"/>
      <c r="K60" s="20"/>
      <c r="L60" s="21">
        <f>L40+L44-L58</f>
        <v>-1280806.424266791</v>
      </c>
      <c r="O60" s="20"/>
      <c r="P60" s="20"/>
      <c r="Q60" s="20"/>
      <c r="R60" s="21">
        <f>R40+R44-R58</f>
        <v>-2061287.9373946805</v>
      </c>
      <c r="T60" s="20"/>
      <c r="U60" s="20"/>
      <c r="V60" s="20"/>
      <c r="W60" s="21">
        <f>W40+W44-W58</f>
        <v>2285790.41033981</v>
      </c>
      <c r="X60" s="22"/>
      <c r="Z60" s="20"/>
      <c r="AA60" s="20"/>
      <c r="AB60" s="20"/>
      <c r="AC60" s="21">
        <f>AC40+AC44-AC58</f>
        <v>-642310.96727598459</v>
      </c>
      <c r="AE60" s="20"/>
      <c r="AF60" s="20"/>
      <c r="AG60" s="20"/>
      <c r="AH60" s="21">
        <f>AH40+AH44-AH58</f>
        <v>-2888910.7975454573</v>
      </c>
    </row>
    <row r="61" spans="2:34" x14ac:dyDescent="0.3">
      <c r="B61" s="45" t="s">
        <v>55</v>
      </c>
      <c r="C61" s="10"/>
      <c r="D61" s="10"/>
      <c r="E61" s="10"/>
      <c r="F61" s="46">
        <f>F60/F11</f>
        <v>3.943419554850023E-2</v>
      </c>
      <c r="G61" s="47"/>
      <c r="I61" s="10"/>
      <c r="J61" s="10"/>
      <c r="K61" s="10"/>
      <c r="L61" s="48">
        <f>L60/L11</f>
        <v>-8.7071480765795479E-3</v>
      </c>
      <c r="O61" s="10"/>
      <c r="P61" s="10"/>
      <c r="Q61" s="10"/>
      <c r="R61" s="46">
        <f>R60/R11</f>
        <v>-1.3663677853498684E-2</v>
      </c>
      <c r="T61" s="10"/>
      <c r="U61" s="10"/>
      <c r="V61" s="10"/>
      <c r="W61" s="46">
        <f>W60/W11</f>
        <v>8.7546243585508166E-3</v>
      </c>
      <c r="X61" s="47"/>
      <c r="Z61" s="10"/>
      <c r="AA61" s="10"/>
      <c r="AB61" s="10"/>
      <c r="AC61" s="48">
        <f>AC60/AC11</f>
        <v>-2.0193334996455588E-3</v>
      </c>
      <c r="AE61" s="10"/>
      <c r="AF61" s="10"/>
      <c r="AG61" s="10"/>
      <c r="AH61" s="48">
        <f>AH60/AH11</f>
        <v>-2.8072060716408425E-2</v>
      </c>
    </row>
    <row r="62" spans="2:34" x14ac:dyDescent="0.3">
      <c r="B62" s="45"/>
      <c r="C62" s="10"/>
      <c r="D62" s="10"/>
      <c r="E62" s="10"/>
      <c r="F62" s="10"/>
      <c r="I62" s="10"/>
      <c r="J62" s="10"/>
      <c r="K62" s="10"/>
      <c r="L62" s="10"/>
      <c r="O62" s="10"/>
      <c r="P62" s="10"/>
      <c r="Q62" s="10"/>
      <c r="R62" s="10"/>
      <c r="T62" s="10"/>
      <c r="U62" s="10"/>
      <c r="V62" s="10"/>
      <c r="W62" s="10"/>
      <c r="Z62" s="10"/>
      <c r="AA62" s="10"/>
      <c r="AB62" s="10"/>
      <c r="AC62" s="10"/>
      <c r="AE62" s="10"/>
      <c r="AF62" s="10"/>
      <c r="AG62" s="10"/>
      <c r="AH62" s="10"/>
    </row>
    <row r="63" spans="2:34" x14ac:dyDescent="0.3">
      <c r="B63" s="45" t="s">
        <v>56</v>
      </c>
      <c r="C63" s="10"/>
      <c r="D63" s="10"/>
      <c r="E63" s="10"/>
      <c r="F63" s="10"/>
      <c r="I63" s="10"/>
      <c r="J63" s="10"/>
      <c r="K63" s="10"/>
      <c r="L63" s="10"/>
      <c r="O63" s="10"/>
      <c r="P63" s="10"/>
      <c r="Q63" s="10"/>
      <c r="R63" s="10"/>
      <c r="T63" s="10"/>
      <c r="U63" s="10"/>
      <c r="V63" s="10"/>
      <c r="W63" s="10"/>
      <c r="Z63" s="10"/>
      <c r="AA63" s="10"/>
      <c r="AB63" s="10"/>
      <c r="AC63" s="10"/>
      <c r="AE63" s="10"/>
      <c r="AF63" s="10"/>
      <c r="AG63" s="10"/>
      <c r="AH63" s="10"/>
    </row>
    <row r="64" spans="2:34" x14ac:dyDescent="0.3">
      <c r="B64" s="39"/>
      <c r="C64" s="10"/>
      <c r="D64" s="10"/>
      <c r="E64" s="10"/>
      <c r="F64" s="10"/>
      <c r="I64" s="10"/>
      <c r="J64" s="10"/>
      <c r="K64" s="10"/>
      <c r="L64" s="10"/>
      <c r="O64" s="10"/>
      <c r="P64" s="10"/>
      <c r="Q64" s="10"/>
      <c r="R64" s="10"/>
      <c r="T64" s="10"/>
      <c r="U64" s="10"/>
      <c r="V64" s="10"/>
      <c r="W64" s="10"/>
      <c r="Z64" s="10"/>
      <c r="AA64" s="10"/>
      <c r="AB64" s="10"/>
      <c r="AC64" s="10"/>
      <c r="AE64" s="10"/>
      <c r="AF64" s="10"/>
      <c r="AG64" s="10"/>
      <c r="AH64" s="10"/>
    </row>
    <row r="65" spans="2:34" x14ac:dyDescent="0.3">
      <c r="B65" s="39" t="s">
        <v>57</v>
      </c>
      <c r="C65" s="10"/>
      <c r="D65" s="10"/>
      <c r="E65" s="10"/>
      <c r="F65" s="12">
        <v>0</v>
      </c>
      <c r="G65" s="28"/>
      <c r="I65" s="10"/>
      <c r="J65" s="10"/>
      <c r="K65" s="10"/>
      <c r="L65" s="14">
        <v>439664.3184831852</v>
      </c>
      <c r="O65" s="12">
        <v>0</v>
      </c>
      <c r="P65" s="12">
        <v>0</v>
      </c>
      <c r="Q65" s="12">
        <v>0</v>
      </c>
      <c r="R65" s="12">
        <v>0</v>
      </c>
      <c r="T65" s="12"/>
      <c r="U65" s="12"/>
      <c r="V65" s="12"/>
      <c r="W65" s="12">
        <f t="shared" ref="W65:W66" si="42">R65+F65</f>
        <v>0</v>
      </c>
      <c r="X65" s="28"/>
      <c r="Z65" s="12">
        <f t="shared" ref="Z65:AB66" si="43">I65+O65</f>
        <v>0</v>
      </c>
      <c r="AA65" s="12">
        <f t="shared" si="43"/>
        <v>0</v>
      </c>
      <c r="AB65" s="12">
        <f t="shared" si="43"/>
        <v>0</v>
      </c>
      <c r="AC65" s="12">
        <v>753739.23006079788</v>
      </c>
      <c r="AE65" s="12">
        <f t="shared" ref="AE65:AG66" si="44">N65+T65</f>
        <v>0</v>
      </c>
      <c r="AF65" s="12">
        <f t="shared" si="44"/>
        <v>0</v>
      </c>
      <c r="AG65" s="12">
        <f t="shared" si="44"/>
        <v>0</v>
      </c>
      <c r="AH65" s="12">
        <v>0</v>
      </c>
    </row>
    <row r="66" spans="2:34" x14ac:dyDescent="0.3">
      <c r="B66" s="39" t="s">
        <v>58</v>
      </c>
      <c r="C66" s="10"/>
      <c r="D66" s="10"/>
      <c r="E66" s="10"/>
      <c r="F66" s="14">
        <v>8509.35</v>
      </c>
      <c r="G66" s="49">
        <f>F66/10^7</f>
        <v>8.5093500000000004E-4</v>
      </c>
      <c r="I66" s="10"/>
      <c r="J66" s="10"/>
      <c r="K66" s="10"/>
      <c r="L66" s="14">
        <v>70532.55</v>
      </c>
      <c r="O66" s="12">
        <v>0</v>
      </c>
      <c r="P66" s="12">
        <v>0</v>
      </c>
      <c r="Q66" s="12">
        <v>0</v>
      </c>
      <c r="R66" s="12">
        <v>79041.900000000009</v>
      </c>
      <c r="T66" s="12"/>
      <c r="U66" s="12"/>
      <c r="V66" s="12"/>
      <c r="W66" s="12">
        <f t="shared" si="42"/>
        <v>87551.250000000015</v>
      </c>
      <c r="X66" s="28"/>
      <c r="Z66" s="12">
        <f t="shared" si="43"/>
        <v>0</v>
      </c>
      <c r="AA66" s="12">
        <f t="shared" si="43"/>
        <v>0</v>
      </c>
      <c r="AB66" s="12">
        <f t="shared" si="43"/>
        <v>0</v>
      </c>
      <c r="AC66" s="12">
        <v>211597.65000000002</v>
      </c>
      <c r="AE66" s="12">
        <f t="shared" si="44"/>
        <v>0</v>
      </c>
      <c r="AF66" s="12">
        <f t="shared" si="44"/>
        <v>0</v>
      </c>
      <c r="AG66" s="12">
        <f t="shared" si="44"/>
        <v>0</v>
      </c>
      <c r="AH66" s="12">
        <v>8509.35</v>
      </c>
    </row>
    <row r="67" spans="2:34" x14ac:dyDescent="0.3">
      <c r="B67" s="25"/>
      <c r="C67" s="10"/>
      <c r="D67" s="10"/>
      <c r="E67" s="10"/>
      <c r="F67" s="10"/>
      <c r="I67" s="10"/>
      <c r="J67" s="10"/>
      <c r="K67" s="10"/>
      <c r="L67" s="10"/>
      <c r="O67" s="10"/>
      <c r="P67" s="10"/>
      <c r="Q67" s="10"/>
      <c r="R67" s="10"/>
      <c r="T67" s="10"/>
      <c r="U67" s="10"/>
      <c r="V67" s="10"/>
      <c r="W67" s="10"/>
      <c r="Z67" s="10"/>
      <c r="AA67" s="10"/>
      <c r="AB67" s="10"/>
      <c r="AC67" s="10"/>
      <c r="AE67" s="10"/>
      <c r="AF67" s="10"/>
      <c r="AG67" s="10"/>
      <c r="AH67" s="10"/>
    </row>
    <row r="68" spans="2:34" x14ac:dyDescent="0.3">
      <c r="B68" s="9" t="s">
        <v>59</v>
      </c>
      <c r="C68" s="10"/>
      <c r="D68" s="10"/>
      <c r="E68" s="10"/>
      <c r="F68" s="10"/>
      <c r="I68" s="10"/>
      <c r="J68" s="10"/>
      <c r="K68" s="10"/>
      <c r="L68" s="10"/>
      <c r="O68" s="10"/>
      <c r="P68" s="10"/>
      <c r="Q68" s="10"/>
      <c r="R68" s="10"/>
      <c r="T68" s="10"/>
      <c r="U68" s="10"/>
      <c r="V68" s="10"/>
      <c r="W68" s="10"/>
      <c r="Z68" s="10"/>
      <c r="AA68" s="10"/>
      <c r="AB68" s="10"/>
      <c r="AC68" s="10"/>
      <c r="AE68" s="10"/>
      <c r="AF68" s="10"/>
      <c r="AG68" s="10"/>
      <c r="AH68" s="10"/>
    </row>
    <row r="69" spans="2:34" x14ac:dyDescent="0.3">
      <c r="B69" s="25" t="s">
        <v>60</v>
      </c>
      <c r="C69" s="10"/>
      <c r="D69" s="10"/>
      <c r="E69" s="10"/>
      <c r="F69" s="12">
        <v>0</v>
      </c>
      <c r="G69" s="28"/>
      <c r="I69" s="10"/>
      <c r="J69" s="10"/>
      <c r="K69" s="10"/>
      <c r="L69" s="14">
        <v>0</v>
      </c>
      <c r="O69" s="12">
        <v>0</v>
      </c>
      <c r="P69" s="12">
        <v>0</v>
      </c>
      <c r="Q69" s="12">
        <v>0</v>
      </c>
      <c r="R69" s="12">
        <v>7303411</v>
      </c>
      <c r="T69" s="12"/>
      <c r="U69" s="12"/>
      <c r="V69" s="12"/>
      <c r="W69" s="40">
        <f t="shared" ref="W69:W70" si="45">R69+F69</f>
        <v>7303411</v>
      </c>
      <c r="X69" s="28"/>
      <c r="Z69" s="12">
        <f t="shared" ref="Z69:AB70" si="46">I69+O69</f>
        <v>0</v>
      </c>
      <c r="AA69" s="12">
        <f t="shared" si="46"/>
        <v>0</v>
      </c>
      <c r="AB69" s="12">
        <f t="shared" si="46"/>
        <v>0</v>
      </c>
      <c r="AC69" s="12">
        <v>0</v>
      </c>
      <c r="AE69" s="12">
        <f t="shared" ref="AE69:AG70" si="47">N69+T69</f>
        <v>0</v>
      </c>
      <c r="AF69" s="12">
        <f t="shared" si="47"/>
        <v>0</v>
      </c>
      <c r="AG69" s="12">
        <f t="shared" si="47"/>
        <v>0</v>
      </c>
      <c r="AH69" s="12">
        <v>7303411</v>
      </c>
    </row>
    <row r="70" spans="2:34" x14ac:dyDescent="0.3">
      <c r="B70" s="25" t="s">
        <v>61</v>
      </c>
      <c r="C70" s="10"/>
      <c r="D70" s="10"/>
      <c r="E70" s="10"/>
      <c r="F70" s="12">
        <v>0</v>
      </c>
      <c r="G70" s="28"/>
      <c r="I70" s="10"/>
      <c r="J70" s="10"/>
      <c r="K70" s="10"/>
      <c r="L70" s="14">
        <v>0</v>
      </c>
      <c r="O70" s="12">
        <v>0</v>
      </c>
      <c r="P70" s="12">
        <v>0</v>
      </c>
      <c r="Q70" s="12">
        <v>0</v>
      </c>
      <c r="R70" s="12">
        <v>70533</v>
      </c>
      <c r="T70" s="12"/>
      <c r="U70" s="12"/>
      <c r="V70" s="12"/>
      <c r="W70" s="12">
        <f t="shared" si="45"/>
        <v>70533</v>
      </c>
      <c r="X70" s="28"/>
      <c r="Z70" s="12">
        <f t="shared" si="46"/>
        <v>0</v>
      </c>
      <c r="AA70" s="12">
        <f t="shared" si="46"/>
        <v>0</v>
      </c>
      <c r="AB70" s="12">
        <f t="shared" si="46"/>
        <v>0</v>
      </c>
      <c r="AC70" s="12">
        <v>0</v>
      </c>
      <c r="AE70" s="12">
        <f t="shared" si="47"/>
        <v>0</v>
      </c>
      <c r="AF70" s="12">
        <f t="shared" si="47"/>
        <v>0</v>
      </c>
      <c r="AG70" s="12">
        <f t="shared" si="47"/>
        <v>0</v>
      </c>
      <c r="AH70" s="12">
        <v>70533</v>
      </c>
    </row>
    <row r="71" spans="2:34" x14ac:dyDescent="0.3">
      <c r="B71" s="25"/>
      <c r="C71" s="10"/>
      <c r="D71" s="10"/>
      <c r="E71" s="10"/>
      <c r="F71" s="10"/>
      <c r="I71" s="10"/>
      <c r="J71" s="10"/>
      <c r="K71" s="10"/>
      <c r="L71" s="10"/>
      <c r="O71" s="10"/>
      <c r="P71" s="10"/>
      <c r="Q71" s="10"/>
      <c r="R71" s="10"/>
      <c r="T71" s="10"/>
      <c r="U71" s="10"/>
      <c r="V71" s="10"/>
      <c r="W71" s="10"/>
      <c r="Z71" s="10"/>
      <c r="AA71" s="10"/>
      <c r="AB71" s="10"/>
      <c r="AC71" s="10"/>
      <c r="AE71" s="10"/>
      <c r="AF71" s="10"/>
      <c r="AG71" s="10"/>
      <c r="AH71" s="10"/>
    </row>
    <row r="72" spans="2:34" ht="15" thickBot="1" x14ac:dyDescent="0.35">
      <c r="B72" s="25"/>
      <c r="C72" s="10"/>
      <c r="D72" s="10"/>
      <c r="E72" s="10"/>
      <c r="F72" s="10"/>
      <c r="I72" s="10"/>
      <c r="J72" s="10"/>
      <c r="K72" s="10"/>
      <c r="L72" s="10"/>
      <c r="O72" s="10"/>
      <c r="P72" s="10"/>
      <c r="Q72" s="10"/>
      <c r="R72" s="10"/>
      <c r="T72" s="10"/>
      <c r="U72" s="10"/>
      <c r="V72" s="10"/>
      <c r="W72" s="10"/>
      <c r="Z72" s="10"/>
      <c r="AA72" s="10"/>
      <c r="AB72" s="10"/>
      <c r="AC72" s="10"/>
      <c r="AE72" s="10"/>
      <c r="AF72" s="10"/>
      <c r="AG72" s="10"/>
      <c r="AH72" s="10"/>
    </row>
    <row r="73" spans="2:34" ht="15" thickBot="1" x14ac:dyDescent="0.35">
      <c r="B73" s="19" t="s">
        <v>62</v>
      </c>
      <c r="C73" s="20"/>
      <c r="D73" s="20"/>
      <c r="E73" s="20"/>
      <c r="F73" s="21">
        <f>F60-F65-F66+F69+F70</f>
        <v>4338568.9977344815</v>
      </c>
      <c r="G73" s="22"/>
      <c r="I73" s="20"/>
      <c r="J73" s="20"/>
      <c r="K73" s="20"/>
      <c r="L73" s="21">
        <f>L60-L65-L66+L69+L70</f>
        <v>-1791003.2927499763</v>
      </c>
      <c r="O73" s="20"/>
      <c r="P73" s="20"/>
      <c r="Q73" s="20"/>
      <c r="R73" s="21">
        <f>R60-R65-R66+R69+R70</f>
        <v>5233614.1626053192</v>
      </c>
      <c r="T73" s="20"/>
      <c r="U73" s="20"/>
      <c r="V73" s="20"/>
      <c r="W73" s="21">
        <f>W60-W65-W66+W69+W70</f>
        <v>9572183.16033981</v>
      </c>
      <c r="X73" s="22"/>
      <c r="Z73" s="20"/>
      <c r="AA73" s="20"/>
      <c r="AB73" s="20"/>
      <c r="AC73" s="21">
        <f>AC60-AC65-AC66+AC69+AC70</f>
        <v>-1607647.8473367826</v>
      </c>
      <c r="AE73" s="20"/>
      <c r="AF73" s="20"/>
      <c r="AG73" s="20"/>
      <c r="AH73" s="21">
        <f>AH60-AH65-AH66+AH69+AH70</f>
        <v>4476523.8524545431</v>
      </c>
    </row>
    <row r="74" spans="2:34" x14ac:dyDescent="0.3">
      <c r="B74" s="50"/>
    </row>
    <row r="75" spans="2:34" x14ac:dyDescent="0.3">
      <c r="F75" s="4"/>
      <c r="G75" s="4"/>
      <c r="AH75" s="4"/>
    </row>
    <row r="76" spans="2:34" x14ac:dyDescent="0.3">
      <c r="F76" s="4"/>
      <c r="G76" s="4"/>
    </row>
    <row r="77" spans="2:34" hidden="1" x14ac:dyDescent="0.3">
      <c r="B77" s="52" t="s">
        <v>63</v>
      </c>
    </row>
    <row r="78" spans="2:34" hidden="1" x14ac:dyDescent="0.3">
      <c r="B78" s="53" t="s">
        <v>64</v>
      </c>
    </row>
    <row r="79" spans="2:34" ht="15" hidden="1" thickBot="1" x14ac:dyDescent="0.35">
      <c r="B79" s="54" t="s">
        <v>65</v>
      </c>
    </row>
    <row r="80" spans="2:34" hidden="1" x14ac:dyDescent="0.3">
      <c r="B80" s="55" t="s">
        <v>66</v>
      </c>
    </row>
    <row r="81" spans="2:2" hidden="1" x14ac:dyDescent="0.3">
      <c r="B81" s="55" t="s">
        <v>67</v>
      </c>
    </row>
    <row r="82" spans="2:2" hidden="1" x14ac:dyDescent="0.3">
      <c r="B82" s="55" t="s">
        <v>68</v>
      </c>
    </row>
    <row r="83" spans="2:2" hidden="1" x14ac:dyDescent="0.3">
      <c r="B83" s="55" t="s">
        <v>69</v>
      </c>
    </row>
    <row r="84" spans="2:2" hidden="1" x14ac:dyDescent="0.3">
      <c r="B84" s="55" t="s">
        <v>70</v>
      </c>
    </row>
    <row r="85" spans="2:2" hidden="1" x14ac:dyDescent="0.3">
      <c r="B85" s="55" t="s">
        <v>71</v>
      </c>
    </row>
    <row r="86" spans="2:2" ht="15" hidden="1" thickBot="1" x14ac:dyDescent="0.35">
      <c r="B86" s="56" t="s">
        <v>11</v>
      </c>
    </row>
    <row r="87" spans="2:2" hidden="1" x14ac:dyDescent="0.3"/>
    <row r="88" spans="2:2" hidden="1" x14ac:dyDescent="0.3"/>
    <row r="89" spans="2:2" hidden="1" x14ac:dyDescent="0.3">
      <c r="B89" s="52" t="s">
        <v>72</v>
      </c>
    </row>
    <row r="90" spans="2:2" ht="15" hidden="1" thickBot="1" x14ac:dyDescent="0.35">
      <c r="B90" s="57" t="s">
        <v>73</v>
      </c>
    </row>
    <row r="91" spans="2:2" hidden="1" x14ac:dyDescent="0.3">
      <c r="B91" s="58" t="s">
        <v>20</v>
      </c>
    </row>
    <row r="92" spans="2:2" hidden="1" x14ac:dyDescent="0.3">
      <c r="B92" s="59" t="s">
        <v>35</v>
      </c>
    </row>
    <row r="93" spans="2:2" hidden="1" x14ac:dyDescent="0.3">
      <c r="B93" s="59" t="s">
        <v>50</v>
      </c>
    </row>
    <row r="94" spans="2:2" hidden="1" x14ac:dyDescent="0.3">
      <c r="B94" s="59" t="s">
        <v>51</v>
      </c>
    </row>
    <row r="95" spans="2:2" ht="15" hidden="1" thickBot="1" x14ac:dyDescent="0.35">
      <c r="B95" s="60" t="s">
        <v>52</v>
      </c>
    </row>
    <row r="96" spans="2:2" ht="15" hidden="1" thickBot="1" x14ac:dyDescent="0.35">
      <c r="B96" s="61" t="s">
        <v>11</v>
      </c>
    </row>
    <row r="97" spans="2:2" hidden="1" x14ac:dyDescent="0.3"/>
    <row r="98" spans="2:2" hidden="1" x14ac:dyDescent="0.3"/>
    <row r="99" spans="2:2" ht="15" hidden="1" thickBot="1" x14ac:dyDescent="0.35">
      <c r="B99" s="57" t="s">
        <v>74</v>
      </c>
    </row>
    <row r="100" spans="2:2" hidden="1" x14ac:dyDescent="0.3">
      <c r="B100" s="58" t="s">
        <v>75</v>
      </c>
    </row>
    <row r="101" spans="2:2" ht="15" hidden="1" thickBot="1" x14ac:dyDescent="0.35">
      <c r="B101" s="60" t="s">
        <v>52</v>
      </c>
    </row>
    <row r="102" spans="2:2" ht="15" hidden="1" thickBot="1" x14ac:dyDescent="0.35">
      <c r="B102" s="61" t="s">
        <v>11</v>
      </c>
    </row>
  </sheetData>
  <mergeCells count="18">
    <mergeCell ref="B4:B6"/>
    <mergeCell ref="C4:F4"/>
    <mergeCell ref="I4:L4"/>
    <mergeCell ref="O4:R4"/>
    <mergeCell ref="T4:W4"/>
    <mergeCell ref="AE5:AF5"/>
    <mergeCell ref="AH5:AH6"/>
    <mergeCell ref="AE4:AH4"/>
    <mergeCell ref="C5:D5"/>
    <mergeCell ref="F5:F6"/>
    <mergeCell ref="I5:J5"/>
    <mergeCell ref="L5:L6"/>
    <mergeCell ref="O5:P5"/>
    <mergeCell ref="T5:U5"/>
    <mergeCell ref="W5:W6"/>
    <mergeCell ref="Z5:AA5"/>
    <mergeCell ref="AC5:AC6"/>
    <mergeCell ref="Z4:A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94E4-7ABB-4837-93ED-0C4C8DCD64B2}">
  <dimension ref="B1:L54"/>
  <sheetViews>
    <sheetView topLeftCell="A3" workbookViewId="0">
      <pane xSplit="2" ySplit="3" topLeftCell="D6" activePane="bottomRight" state="frozen"/>
      <selection activeCell="B2" sqref="B2:B25 R2:AE25"/>
      <selection pane="topRight" activeCell="B2" sqref="B2:B25 R2:AE25"/>
      <selection pane="bottomLeft" activeCell="B2" sqref="B2:B25 R2:AE25"/>
      <selection pane="bottomRight" activeCell="B2" sqref="B2:B25 R2:AE25"/>
    </sheetView>
  </sheetViews>
  <sheetFormatPr defaultRowHeight="14.4" x14ac:dyDescent="0.3"/>
  <cols>
    <col min="1" max="1" width="1.77734375" bestFit="1" customWidth="1"/>
    <col min="2" max="2" width="50.77734375" style="51" bestFit="1" customWidth="1"/>
    <col min="3" max="4" width="7.5546875" bestFit="1" customWidth="1"/>
    <col min="5" max="5" width="8.21875" bestFit="1" customWidth="1"/>
    <col min="6" max="6" width="5.88671875" bestFit="1" customWidth="1"/>
    <col min="8" max="8" width="50.77734375" bestFit="1" customWidth="1"/>
    <col min="9" max="10" width="7.5546875" bestFit="1" customWidth="1"/>
    <col min="11" max="11" width="8.21875" bestFit="1" customWidth="1"/>
    <col min="12" max="12" width="5.88671875" bestFit="1" customWidth="1"/>
  </cols>
  <sheetData>
    <row r="1" spans="2:12" ht="15" thickBot="1" x14ac:dyDescent="0.35">
      <c r="B1" s="1" t="s">
        <v>0</v>
      </c>
    </row>
    <row r="2" spans="2:12" x14ac:dyDescent="0.3">
      <c r="B2" s="2" t="s">
        <v>1</v>
      </c>
    </row>
    <row r="3" spans="2:12" x14ac:dyDescent="0.3">
      <c r="B3" s="306"/>
    </row>
    <row r="4" spans="2:12" x14ac:dyDescent="0.3">
      <c r="B4" s="333" t="s">
        <v>2</v>
      </c>
      <c r="C4" s="357">
        <v>45108</v>
      </c>
      <c r="D4" s="333"/>
      <c r="E4" s="333" t="s">
        <v>185</v>
      </c>
      <c r="F4" s="333" t="s">
        <v>133</v>
      </c>
      <c r="H4" s="333" t="s">
        <v>2</v>
      </c>
      <c r="I4" s="357">
        <v>45108</v>
      </c>
      <c r="J4" s="333"/>
      <c r="K4" s="333" t="s">
        <v>185</v>
      </c>
      <c r="L4" s="333" t="s">
        <v>133</v>
      </c>
    </row>
    <row r="5" spans="2:12" x14ac:dyDescent="0.3">
      <c r="B5" s="333"/>
      <c r="C5" s="7" t="s">
        <v>183</v>
      </c>
      <c r="D5" s="7" t="s">
        <v>184</v>
      </c>
      <c r="E5" s="333"/>
      <c r="F5" s="333"/>
      <c r="H5" s="333"/>
      <c r="I5" s="8" t="s">
        <v>183</v>
      </c>
      <c r="J5" s="8" t="s">
        <v>184</v>
      </c>
      <c r="K5" s="333"/>
      <c r="L5" s="333"/>
    </row>
    <row r="6" spans="2:12" x14ac:dyDescent="0.3">
      <c r="B6" s="9" t="s">
        <v>15</v>
      </c>
      <c r="C6" s="13">
        <f>'P&amp;L Brand wise'!F8</f>
        <v>7330.8284000000003</v>
      </c>
      <c r="D6" s="13">
        <f>'P&amp;L Brand wise'!K8</f>
        <v>8789.9359661392991</v>
      </c>
      <c r="E6" s="13">
        <f>C6-D6</f>
        <v>-1459.1075661392988</v>
      </c>
      <c r="F6" s="291">
        <f>E6/D6</f>
        <v>-0.16599751940857035</v>
      </c>
      <c r="H6" s="9" t="s">
        <v>15</v>
      </c>
      <c r="I6" s="13">
        <f>'P&amp;L Brand wise'!U8</f>
        <v>30942.249963125651</v>
      </c>
      <c r="J6" s="13">
        <f>'P&amp;L Brand wise'!Z8</f>
        <v>39360.424755777458</v>
      </c>
      <c r="K6" s="13">
        <f>I6-J6</f>
        <v>-8418.1747926518074</v>
      </c>
      <c r="L6" s="291">
        <f>K6/J6</f>
        <v>-0.21387408405485153</v>
      </c>
    </row>
    <row r="7" spans="2:12" x14ac:dyDescent="0.3">
      <c r="B7" s="9" t="s">
        <v>16</v>
      </c>
      <c r="C7" s="43">
        <f>'P&amp;L Brand wise'!F9/10^7</f>
        <v>11.546329399999999</v>
      </c>
      <c r="D7" s="43">
        <f>'P&amp;L Brand wise'!K9/10^7</f>
        <v>16.330864119561703</v>
      </c>
      <c r="E7" s="43">
        <f t="shared" ref="E7:E8" si="0">C7-D7</f>
        <v>-4.7845347195617034</v>
      </c>
      <c r="F7" s="291">
        <f t="shared" ref="F7:F13" si="1">E7/D7</f>
        <v>-0.29297498800633665</v>
      </c>
      <c r="H7" s="9" t="s">
        <v>16</v>
      </c>
      <c r="I7" s="43">
        <f>'P&amp;L Brand wise'!U9/10^7</f>
        <v>48.623156764999997</v>
      </c>
      <c r="J7" s="43">
        <f>'P&amp;L Brand wise'!Z9/10^7</f>
        <v>64.170318076747193</v>
      </c>
      <c r="K7" s="43">
        <f t="shared" ref="K7:K8" si="2">I7-J7</f>
        <v>-15.547161311747196</v>
      </c>
      <c r="L7" s="291">
        <f t="shared" ref="L7:L8" si="3">K7/J7</f>
        <v>-0.24227963609519457</v>
      </c>
    </row>
    <row r="8" spans="2:12" x14ac:dyDescent="0.3">
      <c r="B8" s="25" t="s">
        <v>20</v>
      </c>
      <c r="C8" s="43">
        <f>'P&amp;L Brand wise'!F15/10^7</f>
        <v>1.4920294243999996</v>
      </c>
      <c r="D8" s="43">
        <f>'P&amp;L Brand wise'!K15/10^7</f>
        <v>1.9855301054926529</v>
      </c>
      <c r="E8" s="43">
        <f t="shared" si="0"/>
        <v>-0.49350068109265322</v>
      </c>
      <c r="F8" s="291">
        <f t="shared" si="1"/>
        <v>-0.2485485763864583</v>
      </c>
      <c r="H8" s="25" t="s">
        <v>20</v>
      </c>
      <c r="I8" s="43">
        <f>'P&amp;L Brand wise'!U15/10^7</f>
        <v>6.7037351834849996</v>
      </c>
      <c r="J8" s="43">
        <f>'P&amp;L Brand wise'!Z15/10^7</f>
        <v>8.4511459961431346</v>
      </c>
      <c r="K8" s="43">
        <f t="shared" si="2"/>
        <v>-1.7474108126581349</v>
      </c>
      <c r="L8" s="291">
        <f t="shared" si="3"/>
        <v>-0.20676613721448003</v>
      </c>
    </row>
    <row r="9" spans="2:12" x14ac:dyDescent="0.3">
      <c r="B9" s="25"/>
      <c r="C9" s="13"/>
      <c r="D9" s="13"/>
      <c r="E9" s="13"/>
      <c r="F9" s="10"/>
      <c r="H9" s="25"/>
      <c r="I9" s="13"/>
      <c r="J9" s="13"/>
      <c r="K9" s="13"/>
      <c r="L9" s="10"/>
    </row>
    <row r="10" spans="2:12" x14ac:dyDescent="0.3">
      <c r="B10" s="9" t="s">
        <v>21</v>
      </c>
      <c r="C10" s="290">
        <f>C7-C8</f>
        <v>10.054299975599999</v>
      </c>
      <c r="D10" s="290">
        <f>D7-D8</f>
        <v>14.345334014069049</v>
      </c>
      <c r="E10" s="290">
        <f>C10-D10</f>
        <v>-4.29103403846905</v>
      </c>
      <c r="F10" s="291">
        <f t="shared" si="1"/>
        <v>-0.29912402417822126</v>
      </c>
      <c r="H10" s="9" t="s">
        <v>21</v>
      </c>
      <c r="I10" s="290">
        <f>I7-I8</f>
        <v>41.919421581514996</v>
      </c>
      <c r="J10" s="290">
        <f>J7-J8</f>
        <v>55.719172080604061</v>
      </c>
      <c r="K10" s="290">
        <f>I10-J10</f>
        <v>-13.799750499089065</v>
      </c>
      <c r="L10" s="291">
        <f t="shared" ref="L10" si="4">K10/J10</f>
        <v>-0.24766610815979409</v>
      </c>
    </row>
    <row r="11" spans="2:12" x14ac:dyDescent="0.3">
      <c r="B11" s="9"/>
      <c r="C11" s="10"/>
      <c r="D11" s="10"/>
      <c r="E11" s="10"/>
      <c r="F11" s="10"/>
      <c r="H11" s="9"/>
      <c r="I11" s="10"/>
      <c r="J11" s="10"/>
      <c r="K11" s="10"/>
      <c r="L11" s="10"/>
    </row>
    <row r="12" spans="2:12" x14ac:dyDescent="0.3">
      <c r="B12" s="25" t="s">
        <v>88</v>
      </c>
      <c r="C12" s="43">
        <f>'P&amp;L Brand wise'!F21/10^7</f>
        <v>6.0739588164000002</v>
      </c>
      <c r="D12" s="43">
        <f>'P&amp;L Brand wise'!K21/10^7</f>
        <v>9.5756189901582029</v>
      </c>
      <c r="E12" s="43">
        <f t="shared" ref="E12:E14" si="5">C12-D12</f>
        <v>-3.5016601737582027</v>
      </c>
      <c r="F12" s="291">
        <f t="shared" si="1"/>
        <v>-0.36568499408311883</v>
      </c>
      <c r="H12" s="25" t="s">
        <v>88</v>
      </c>
      <c r="I12" s="43">
        <f>'P&amp;L Brand wise'!U21/10^7</f>
        <v>26.79881581898707</v>
      </c>
      <c r="J12" s="43">
        <f>'P&amp;L Brand wise'!Z21/10^7</f>
        <v>37.37532751573076</v>
      </c>
      <c r="K12" s="43">
        <f t="shared" ref="K12:K14" si="6">I12-J12</f>
        <v>-10.57651169674369</v>
      </c>
      <c r="L12" s="291">
        <f t="shared" ref="L12:L13" si="7">K12/J12</f>
        <v>-0.28298111079540861</v>
      </c>
    </row>
    <row r="13" spans="2:12" x14ac:dyDescent="0.3">
      <c r="B13" s="9" t="s">
        <v>33</v>
      </c>
      <c r="C13" s="43">
        <f>C10-C12</f>
        <v>3.9803411591999991</v>
      </c>
      <c r="D13" s="43">
        <f>D10-D12</f>
        <v>4.7697150239108463</v>
      </c>
      <c r="E13" s="43">
        <f t="shared" si="5"/>
        <v>-0.78937386471084725</v>
      </c>
      <c r="F13" s="291">
        <f t="shared" si="1"/>
        <v>-0.16549707073770073</v>
      </c>
      <c r="H13" s="9" t="s">
        <v>33</v>
      </c>
      <c r="I13" s="43">
        <f>I10-I12</f>
        <v>15.120605762527926</v>
      </c>
      <c r="J13" s="43">
        <f>J10-J12</f>
        <v>18.343844564873301</v>
      </c>
      <c r="K13" s="43">
        <f t="shared" si="6"/>
        <v>-3.2232388023453744</v>
      </c>
      <c r="L13" s="291">
        <f t="shared" si="7"/>
        <v>-0.17571228271948874</v>
      </c>
    </row>
    <row r="14" spans="2:12" x14ac:dyDescent="0.3">
      <c r="B14" s="9" t="s">
        <v>34</v>
      </c>
      <c r="C14" s="33">
        <f>C13/C10</f>
        <v>0.39588446424510709</v>
      </c>
      <c r="D14" s="33">
        <f>D13/D10</f>
        <v>0.33249243407180301</v>
      </c>
      <c r="E14" s="33">
        <f t="shared" si="5"/>
        <v>6.3392030173304081E-2</v>
      </c>
      <c r="F14" s="10"/>
      <c r="H14" s="9" t="s">
        <v>34</v>
      </c>
      <c r="I14" s="33">
        <f>I13/I10</f>
        <v>0.36070645042477367</v>
      </c>
      <c r="J14" s="33">
        <f>J13/J10</f>
        <v>0.32921961830905999</v>
      </c>
      <c r="K14" s="33">
        <f t="shared" si="6"/>
        <v>3.1486832115713681E-2</v>
      </c>
      <c r="L14" s="10"/>
    </row>
    <row r="15" spans="2:12" x14ac:dyDescent="0.3">
      <c r="B15" s="25"/>
      <c r="C15" s="10"/>
      <c r="D15" s="10"/>
      <c r="E15" s="10"/>
      <c r="F15" s="10"/>
      <c r="H15" s="25"/>
      <c r="I15" s="10"/>
      <c r="J15" s="10"/>
      <c r="K15" s="10"/>
      <c r="L15" s="10"/>
    </row>
    <row r="16" spans="2:12" x14ac:dyDescent="0.3">
      <c r="B16" s="25" t="s">
        <v>182</v>
      </c>
      <c r="C16" s="43">
        <f>'P&amp;L Brand wise'!F39/10^7</f>
        <v>2.5019367374536685</v>
      </c>
      <c r="D16" s="43">
        <f>'P&amp;L Brand wise'!K39/10^7</f>
        <v>3.2437747622685786</v>
      </c>
      <c r="E16" s="43">
        <f t="shared" ref="E16:E19" si="8">C16-D16</f>
        <v>-0.74183802481491012</v>
      </c>
      <c r="F16" s="291">
        <f t="shared" ref="F16:F18" si="9">E16/D16</f>
        <v>-0.22869591114769494</v>
      </c>
      <c r="H16" s="25" t="s">
        <v>182</v>
      </c>
      <c r="I16" s="43">
        <f>'P&amp;L Brand wise'!U39/10^7</f>
        <v>11.164222974914598</v>
      </c>
      <c r="J16" s="43">
        <f>'P&amp;L Brand wise'!Z39/10^7</f>
        <v>13.999598194198466</v>
      </c>
      <c r="K16" s="43">
        <f t="shared" ref="K16:K19" si="10">I16-J16</f>
        <v>-2.8353752192838684</v>
      </c>
      <c r="L16" s="291">
        <f t="shared" ref="L16" si="11">K16/J16</f>
        <v>-0.20253261414737375</v>
      </c>
    </row>
    <row r="17" spans="2:12" x14ac:dyDescent="0.3">
      <c r="B17" s="25" t="s">
        <v>220</v>
      </c>
      <c r="C17" s="276">
        <f>C16/C10</f>
        <v>0.24884245979585101</v>
      </c>
      <c r="D17" s="276">
        <f>D16/D10</f>
        <v>0.22612054617112975</v>
      </c>
      <c r="E17" s="276">
        <f t="shared" si="8"/>
        <v>2.2721913624721257E-2</v>
      </c>
      <c r="F17" s="10"/>
      <c r="H17" s="25" t="s">
        <v>220</v>
      </c>
      <c r="I17" s="276">
        <f>I16/I10</f>
        <v>0.26632578775461041</v>
      </c>
      <c r="J17" s="276">
        <f>J16/J10</f>
        <v>0.25125280350444673</v>
      </c>
      <c r="K17" s="276">
        <f t="shared" si="10"/>
        <v>1.5072984250163679E-2</v>
      </c>
      <c r="L17" s="10"/>
    </row>
    <row r="18" spans="2:12" x14ac:dyDescent="0.3">
      <c r="B18" s="9" t="s">
        <v>37</v>
      </c>
      <c r="C18" s="290">
        <f>C13-C16</f>
        <v>1.4784044217463306</v>
      </c>
      <c r="D18" s="290">
        <f>D13-D16</f>
        <v>1.5259402616422677</v>
      </c>
      <c r="E18" s="290">
        <f t="shared" si="8"/>
        <v>-4.7535839895937126E-2</v>
      </c>
      <c r="F18" s="291">
        <f t="shared" si="9"/>
        <v>-3.1151835422952582E-2</v>
      </c>
      <c r="H18" s="9" t="s">
        <v>37</v>
      </c>
      <c r="I18" s="290">
        <f>I13-I16</f>
        <v>3.9563827876133288</v>
      </c>
      <c r="J18" s="290">
        <f>J13-J16</f>
        <v>4.3442463706748349</v>
      </c>
      <c r="K18" s="290">
        <f t="shared" si="10"/>
        <v>-0.38786358306150603</v>
      </c>
      <c r="L18" s="291">
        <f t="shared" ref="L18" si="12">K18/J18</f>
        <v>-8.9282133186487617E-2</v>
      </c>
    </row>
    <row r="19" spans="2:12" x14ac:dyDescent="0.3">
      <c r="B19" s="9" t="s">
        <v>38</v>
      </c>
      <c r="C19" s="46">
        <f>C18/C10</f>
        <v>0.14704200444925611</v>
      </c>
      <c r="D19" s="46">
        <f>D18/D10</f>
        <v>0.10637188790067323</v>
      </c>
      <c r="E19" s="46">
        <f t="shared" si="8"/>
        <v>4.067011654858288E-2</v>
      </c>
      <c r="F19" s="10"/>
      <c r="H19" s="9" t="s">
        <v>38</v>
      </c>
      <c r="I19" s="46">
        <f>I18/I10</f>
        <v>9.4380662670163262E-2</v>
      </c>
      <c r="J19" s="46">
        <f>J18/J10</f>
        <v>7.796681480461326E-2</v>
      </c>
      <c r="K19" s="46">
        <f t="shared" si="10"/>
        <v>1.6413847865550002E-2</v>
      </c>
      <c r="L19" s="10"/>
    </row>
    <row r="20" spans="2:12" x14ac:dyDescent="0.3">
      <c r="B20" s="25"/>
      <c r="C20" s="10"/>
      <c r="D20" s="10"/>
      <c r="E20" s="10"/>
      <c r="F20" s="10"/>
      <c r="H20" s="25"/>
      <c r="I20" s="10"/>
      <c r="J20" s="10"/>
      <c r="K20" s="10"/>
      <c r="L20" s="10"/>
    </row>
    <row r="21" spans="2:12" x14ac:dyDescent="0.3">
      <c r="B21" s="9" t="s">
        <v>39</v>
      </c>
      <c r="C21" s="11">
        <f>'P&amp;L Brand wise'!F45/10^7</f>
        <v>1.3659795000000001E-2</v>
      </c>
      <c r="D21" s="11">
        <f>'P&amp;L Brand wise'!K45/10^7</f>
        <v>0</v>
      </c>
      <c r="E21" s="11">
        <f>C21-D21</f>
        <v>1.3659795000000001E-2</v>
      </c>
      <c r="F21" s="291">
        <v>1</v>
      </c>
      <c r="H21" s="9" t="s">
        <v>39</v>
      </c>
      <c r="I21" s="11">
        <f>'P&amp;L Brand wise'!U45/10^7</f>
        <v>2.9563895E-2</v>
      </c>
      <c r="J21" s="11">
        <f>'P&amp;L Brand wise'!Z45/10^7</f>
        <v>0</v>
      </c>
      <c r="K21" s="11">
        <f>I21-J21</f>
        <v>2.9563895E-2</v>
      </c>
      <c r="L21" s="291">
        <v>1</v>
      </c>
    </row>
    <row r="22" spans="2:12" x14ac:dyDescent="0.3">
      <c r="B22" s="25"/>
      <c r="C22" s="10"/>
      <c r="D22" s="10"/>
      <c r="E22" s="10"/>
      <c r="F22" s="10"/>
      <c r="H22" s="25"/>
      <c r="I22" s="10"/>
      <c r="J22" s="10"/>
      <c r="K22" s="10"/>
      <c r="L22" s="10"/>
    </row>
    <row r="23" spans="2:12" x14ac:dyDescent="0.3">
      <c r="B23" s="9" t="s">
        <v>41</v>
      </c>
      <c r="C23" s="10"/>
      <c r="D23" s="10"/>
      <c r="E23" s="10"/>
      <c r="F23" s="10"/>
      <c r="H23" s="9" t="s">
        <v>41</v>
      </c>
      <c r="I23" s="10"/>
      <c r="J23" s="10"/>
      <c r="K23" s="10"/>
      <c r="L23" s="10"/>
    </row>
    <row r="24" spans="2:12" x14ac:dyDescent="0.3">
      <c r="B24" s="39" t="s">
        <v>42</v>
      </c>
      <c r="C24" s="11">
        <f>'P&amp;L Brand wise'!F48/10^7</f>
        <v>8.5153900000000005E-2</v>
      </c>
      <c r="D24" s="11">
        <f>'P&amp;L Brand wise'!K48/10^7</f>
        <v>0.02</v>
      </c>
      <c r="E24" s="11">
        <f t="shared" ref="E24:E36" si="13">C24-D24</f>
        <v>6.5153900000000001E-2</v>
      </c>
      <c r="F24" s="291">
        <f>E24/D24</f>
        <v>3.257695</v>
      </c>
      <c r="H24" s="39" t="s">
        <v>42</v>
      </c>
      <c r="I24" s="11">
        <f>'P&amp;L Brand wise'!U48/10^7</f>
        <v>0.29934046400000003</v>
      </c>
      <c r="J24" s="11">
        <f>'P&amp;L Brand wise'!Z48/10^7</f>
        <v>0.1830611</v>
      </c>
      <c r="K24" s="11">
        <f t="shared" ref="K24:K39" si="14">I24-J24</f>
        <v>0.11627936400000002</v>
      </c>
      <c r="L24" s="291">
        <f>K24/J24</f>
        <v>0.63519428212766127</v>
      </c>
    </row>
    <row r="25" spans="2:12" x14ac:dyDescent="0.3">
      <c r="B25" s="39" t="s">
        <v>43</v>
      </c>
      <c r="C25" s="11">
        <f>'P&amp;L Brand wise'!F49/10^7</f>
        <v>0.27600000000000002</v>
      </c>
      <c r="D25" s="11">
        <f>'P&amp;L Brand wise'!K49/10^7</f>
        <v>0.17100000000000001</v>
      </c>
      <c r="E25" s="11">
        <f t="shared" si="13"/>
        <v>0.10500000000000001</v>
      </c>
      <c r="F25" s="291">
        <f t="shared" ref="F25:F38" si="15">E25/D25</f>
        <v>0.61403508771929827</v>
      </c>
      <c r="H25" s="39" t="s">
        <v>43</v>
      </c>
      <c r="I25" s="11">
        <f>'P&amp;L Brand wise'!U49/10^7</f>
        <v>0.85613300000000003</v>
      </c>
      <c r="J25" s="11">
        <f>'P&amp;L Brand wise'!Z49/10^7</f>
        <v>0.53411804699999998</v>
      </c>
      <c r="K25" s="11">
        <f t="shared" si="14"/>
        <v>0.32201495300000005</v>
      </c>
      <c r="L25" s="291">
        <f t="shared" ref="L25:L27" si="16">K25/J25</f>
        <v>0.60289098039033318</v>
      </c>
    </row>
    <row r="26" spans="2:12" x14ac:dyDescent="0.3">
      <c r="B26" s="39" t="s">
        <v>44</v>
      </c>
      <c r="C26" s="11">
        <f>'P&amp;L Brand wise'!F50/10^7</f>
        <v>3.2500000000000001E-2</v>
      </c>
      <c r="D26" s="11">
        <f>'P&amp;L Brand wise'!K50/10^7</f>
        <v>2.5000000000000001E-2</v>
      </c>
      <c r="E26" s="11">
        <f t="shared" si="13"/>
        <v>7.4999999999999997E-3</v>
      </c>
      <c r="F26" s="291">
        <f t="shared" si="15"/>
        <v>0.3</v>
      </c>
      <c r="H26" s="39" t="s">
        <v>44</v>
      </c>
      <c r="I26" s="11">
        <f>'P&amp;L Brand wise'!U50/10^7</f>
        <v>4.7571095999999993E-2</v>
      </c>
      <c r="J26" s="11">
        <f>'P&amp;L Brand wise'!Z50/10^7</f>
        <v>0.107981096</v>
      </c>
      <c r="K26" s="11">
        <f t="shared" si="14"/>
        <v>-6.0410000000000005E-2</v>
      </c>
      <c r="L26" s="291">
        <f t="shared" si="16"/>
        <v>-0.55944977628306358</v>
      </c>
    </row>
    <row r="27" spans="2:12" x14ac:dyDescent="0.3">
      <c r="B27" s="39" t="s">
        <v>45</v>
      </c>
      <c r="C27" s="11">
        <f>'P&amp;L Brand wise'!F51/10^7</f>
        <v>0.37148930000000002</v>
      </c>
      <c r="D27" s="11">
        <f>'P&amp;L Brand wise'!K51/10^7</f>
        <v>0.38653333333333301</v>
      </c>
      <c r="E27" s="11">
        <f t="shared" si="13"/>
        <v>-1.5044033333332985E-2</v>
      </c>
      <c r="F27" s="291">
        <f t="shared" si="15"/>
        <v>-3.892040358744308E-2</v>
      </c>
      <c r="H27" s="39" t="s">
        <v>45</v>
      </c>
      <c r="I27" s="11">
        <f>'P&amp;L Brand wise'!U51/10^7</f>
        <v>1.6143112669999999</v>
      </c>
      <c r="J27" s="11">
        <f>'P&amp;L Brand wise'!Z51/10^7</f>
        <v>1.3688000333333299</v>
      </c>
      <c r="K27" s="11">
        <f t="shared" si="14"/>
        <v>0.24551123366667005</v>
      </c>
      <c r="L27" s="291">
        <f t="shared" si="16"/>
        <v>0.17936238142016703</v>
      </c>
    </row>
    <row r="28" spans="2:12" x14ac:dyDescent="0.3">
      <c r="B28" s="39" t="s">
        <v>129</v>
      </c>
      <c r="C28" s="11">
        <f>'P&amp;L Brand wise'!F52/10^7</f>
        <v>7.247E-3</v>
      </c>
      <c r="D28" s="11">
        <f>'P&amp;L Brand wise'!K52/10^7</f>
        <v>0</v>
      </c>
      <c r="E28" s="11">
        <f t="shared" si="13"/>
        <v>7.247E-3</v>
      </c>
      <c r="F28" s="291">
        <v>1</v>
      </c>
      <c r="H28" s="39" t="s">
        <v>129</v>
      </c>
      <c r="I28" s="11">
        <f>'P&amp;L Brand wise'!U52/10^7</f>
        <v>2.7420300000000002E-2</v>
      </c>
      <c r="J28" s="11">
        <f>'P&amp;L Brand wise'!Z52/10^7</f>
        <v>0</v>
      </c>
      <c r="K28" s="11">
        <f t="shared" si="14"/>
        <v>2.7420300000000002E-2</v>
      </c>
      <c r="L28" s="291">
        <v>1</v>
      </c>
    </row>
    <row r="29" spans="2:12" x14ac:dyDescent="0.3">
      <c r="B29" s="39" t="s">
        <v>46</v>
      </c>
      <c r="C29" s="11">
        <f>'P&amp;L Brand wise'!F53/10^7</f>
        <v>1.06E-2</v>
      </c>
      <c r="D29" s="11">
        <f>'P&amp;L Brand wise'!K53/10^7</f>
        <v>2.0400000000000001E-2</v>
      </c>
      <c r="E29" s="11">
        <f t="shared" si="13"/>
        <v>-9.8000000000000014E-3</v>
      </c>
      <c r="F29" s="291">
        <f t="shared" si="15"/>
        <v>-0.48039215686274511</v>
      </c>
      <c r="H29" s="39" t="s">
        <v>46</v>
      </c>
      <c r="I29" s="11">
        <f>'P&amp;L Brand wise'!U53/10^7</f>
        <v>1.26E-2</v>
      </c>
      <c r="J29" s="11">
        <f>'P&amp;L Brand wise'!Z53/10^7</f>
        <v>5.0799999999999998E-2</v>
      </c>
      <c r="K29" s="11">
        <f t="shared" si="14"/>
        <v>-3.8199999999999998E-2</v>
      </c>
      <c r="L29" s="291">
        <f t="shared" ref="L29:L31" si="17">K29/J29</f>
        <v>-0.75196850393700787</v>
      </c>
    </row>
    <row r="30" spans="2:12" x14ac:dyDescent="0.3">
      <c r="B30" s="39" t="s">
        <v>130</v>
      </c>
      <c r="C30" s="11">
        <f>'P&amp;L Brand wise'!F55/10^7</f>
        <v>0</v>
      </c>
      <c r="D30" s="11">
        <f>'P&amp;L Brand wise'!K55/10^7</f>
        <v>1.0414629737018999</v>
      </c>
      <c r="E30" s="11">
        <f t="shared" si="13"/>
        <v>-1.0414629737018999</v>
      </c>
      <c r="F30" s="291">
        <f t="shared" si="15"/>
        <v>-1</v>
      </c>
      <c r="H30" s="39" t="s">
        <v>47</v>
      </c>
      <c r="I30" s="11">
        <f>'P&amp;L Brand wise'!U54/10^7</f>
        <v>2.1550000000000001E-4</v>
      </c>
      <c r="J30" s="11">
        <f>'P&amp;L Brand wise'!Z54/10^7</f>
        <v>0</v>
      </c>
      <c r="K30" s="11">
        <f t="shared" si="14"/>
        <v>2.1550000000000001E-4</v>
      </c>
      <c r="L30" s="291">
        <v>1</v>
      </c>
    </row>
    <row r="31" spans="2:12" x14ac:dyDescent="0.3">
      <c r="B31" s="39" t="s">
        <v>131</v>
      </c>
      <c r="C31" s="11">
        <f>'P&amp;L Brand wise'!F56/10^7</f>
        <v>5.3299999999999997E-3</v>
      </c>
      <c r="D31" s="11">
        <f>'P&amp;L Brand wise'!K56/10^7</f>
        <v>0</v>
      </c>
      <c r="E31" s="11">
        <f t="shared" si="13"/>
        <v>5.3299999999999997E-3</v>
      </c>
      <c r="F31" s="291">
        <v>1</v>
      </c>
      <c r="H31" s="39" t="s">
        <v>130</v>
      </c>
      <c r="I31" s="11">
        <f>'P&amp;L Brand wise'!U55/10^7</f>
        <v>0.18121390000000001</v>
      </c>
      <c r="J31" s="11">
        <f>'P&amp;L Brand wise'!Z55/10^7</f>
        <v>1.0714629737018999</v>
      </c>
      <c r="K31" s="11">
        <f t="shared" si="14"/>
        <v>-0.89024907370189987</v>
      </c>
      <c r="L31" s="291">
        <f t="shared" si="17"/>
        <v>-0.8308724571471594</v>
      </c>
    </row>
    <row r="32" spans="2:12" x14ac:dyDescent="0.3">
      <c r="B32" s="39" t="s">
        <v>48</v>
      </c>
      <c r="C32" s="11">
        <f>'P&amp;L Brand wise'!F57/10^7</f>
        <v>1.0271E-3</v>
      </c>
      <c r="D32" s="11">
        <f>'P&amp;L Brand wise'!K57/10^7</f>
        <v>7.0000000000000001E-3</v>
      </c>
      <c r="E32" s="11">
        <f t="shared" si="13"/>
        <v>-5.9728999999999997E-3</v>
      </c>
      <c r="F32" s="291">
        <f t="shared" si="15"/>
        <v>-0.85327142857142857</v>
      </c>
      <c r="H32" s="39" t="s">
        <v>131</v>
      </c>
      <c r="I32" s="11">
        <f>'P&amp;L Brand wise'!U56/10^7</f>
        <v>5.3299999999999997E-3</v>
      </c>
      <c r="J32" s="11">
        <f>'P&amp;L Brand wise'!Z56/10^7</f>
        <v>0</v>
      </c>
      <c r="K32" s="11">
        <f t="shared" si="14"/>
        <v>5.3299999999999997E-3</v>
      </c>
      <c r="L32" s="291">
        <v>1</v>
      </c>
    </row>
    <row r="33" spans="2:12" x14ac:dyDescent="0.3">
      <c r="B33" s="39" t="s">
        <v>50</v>
      </c>
      <c r="C33" s="11">
        <f>'P&amp;L Brand wise'!F60/10^7</f>
        <v>0.02</v>
      </c>
      <c r="D33" s="11">
        <f>'P&amp;L Brand wise'!K60/10^7</f>
        <v>0.02</v>
      </c>
      <c r="E33" s="11">
        <f t="shared" si="13"/>
        <v>0</v>
      </c>
      <c r="F33" s="291">
        <f t="shared" si="15"/>
        <v>0</v>
      </c>
      <c r="H33" s="39" t="s">
        <v>48</v>
      </c>
      <c r="I33" s="11">
        <f>'P&amp;L Brand wise'!U57/10^7</f>
        <v>1.2312E-3</v>
      </c>
      <c r="J33" s="11">
        <f>'P&amp;L Brand wise'!Z57/10^7</f>
        <v>2.8000000000000001E-2</v>
      </c>
      <c r="K33" s="11">
        <f t="shared" si="14"/>
        <v>-2.6768800000000002E-2</v>
      </c>
      <c r="L33" s="291">
        <f t="shared" ref="L33:L39" si="18">K33/J33</f>
        <v>-0.95602857142857145</v>
      </c>
    </row>
    <row r="34" spans="2:12" x14ac:dyDescent="0.3">
      <c r="B34" s="39" t="s">
        <v>51</v>
      </c>
      <c r="C34" s="11">
        <f>'P&amp;L Brand wise'!F61/10^7</f>
        <v>0.12</v>
      </c>
      <c r="D34" s="11">
        <f>'P&amp;L Brand wise'!K61/10^7</f>
        <v>0.12</v>
      </c>
      <c r="E34" s="11">
        <f t="shared" si="13"/>
        <v>0</v>
      </c>
      <c r="F34" s="291">
        <f t="shared" si="15"/>
        <v>0</v>
      </c>
      <c r="H34" s="39" t="s">
        <v>132</v>
      </c>
      <c r="I34" s="11">
        <f>'P&amp;L Brand wise'!U58/10^7</f>
        <v>2.0400000000000001E-2</v>
      </c>
      <c r="J34" s="11">
        <f>'P&amp;L Brand wise'!Z58/10^7</f>
        <v>0</v>
      </c>
      <c r="K34" s="11">
        <f t="shared" si="14"/>
        <v>2.0400000000000001E-2</v>
      </c>
      <c r="L34" s="291">
        <v>1</v>
      </c>
    </row>
    <row r="35" spans="2:12" x14ac:dyDescent="0.3">
      <c r="B35" s="39" t="s">
        <v>52</v>
      </c>
      <c r="C35" s="11">
        <f>'P&amp;L Brand wise'!F62/10^7</f>
        <v>0.20206076450000002</v>
      </c>
      <c r="D35" s="11">
        <f>'P&amp;L Brand wise'!K62/10^7</f>
        <v>0.232662461080789</v>
      </c>
      <c r="E35" s="11">
        <f t="shared" si="13"/>
        <v>-3.0601696580788984E-2</v>
      </c>
      <c r="F35" s="291">
        <f t="shared" si="15"/>
        <v>-0.13152829398706886</v>
      </c>
      <c r="H35" s="39" t="s">
        <v>49</v>
      </c>
      <c r="I35" s="11">
        <f>'P&amp;L Brand wise'!U59/10^7</f>
        <v>0.02</v>
      </c>
      <c r="J35" s="11">
        <f>'P&amp;L Brand wise'!Z59/10^7</f>
        <v>0</v>
      </c>
      <c r="K35" s="11">
        <f t="shared" si="14"/>
        <v>0.02</v>
      </c>
      <c r="L35" s="291">
        <v>1</v>
      </c>
    </row>
    <row r="36" spans="2:12" x14ac:dyDescent="0.3">
      <c r="B36" s="9" t="s">
        <v>53</v>
      </c>
      <c r="C36" s="303">
        <f>SUM(C24:C35)</f>
        <v>1.1314080645</v>
      </c>
      <c r="D36" s="303">
        <f>SUM(D24:D35)</f>
        <v>2.0440587681160216</v>
      </c>
      <c r="E36" s="303">
        <f t="shared" si="13"/>
        <v>-0.91265070361602163</v>
      </c>
      <c r="F36" s="291">
        <f t="shared" si="15"/>
        <v>-0.44648946392925781</v>
      </c>
      <c r="H36" s="39" t="s">
        <v>50</v>
      </c>
      <c r="I36" s="11">
        <f>'P&amp;L Brand wise'!U60/10^7</f>
        <v>0.08</v>
      </c>
      <c r="J36" s="11">
        <f>'P&amp;L Brand wise'!Z60/10^7</f>
        <v>0.08</v>
      </c>
      <c r="K36" s="11">
        <f t="shared" si="14"/>
        <v>0</v>
      </c>
      <c r="L36" s="291">
        <f t="shared" si="18"/>
        <v>0</v>
      </c>
    </row>
    <row r="37" spans="2:12" x14ac:dyDescent="0.3">
      <c r="B37" s="25"/>
      <c r="C37" s="10"/>
      <c r="D37" s="10"/>
      <c r="E37" s="10"/>
      <c r="F37" s="10"/>
      <c r="H37" s="39" t="s">
        <v>51</v>
      </c>
      <c r="I37" s="11">
        <f>'P&amp;L Brand wise'!U61/10^7</f>
        <v>0.48</v>
      </c>
      <c r="J37" s="11">
        <f>'P&amp;L Brand wise'!Z61/10^7</f>
        <v>0.48</v>
      </c>
      <c r="K37" s="11">
        <f t="shared" si="14"/>
        <v>0</v>
      </c>
      <c r="L37" s="291">
        <f t="shared" si="18"/>
        <v>0</v>
      </c>
    </row>
    <row r="38" spans="2:12" x14ac:dyDescent="0.3">
      <c r="B38" s="9" t="s">
        <v>54</v>
      </c>
      <c r="C38" s="290">
        <f>C18+C21-C36</f>
        <v>0.36065615224633052</v>
      </c>
      <c r="D38" s="290">
        <f>D18+D21-D36</f>
        <v>-0.5181185064737539</v>
      </c>
      <c r="E38" s="290">
        <f t="shared" ref="E38:E39" si="19">C38-D38</f>
        <v>0.87877465872008442</v>
      </c>
      <c r="F38" s="291">
        <f t="shared" si="15"/>
        <v>-1.6960881492168822</v>
      </c>
      <c r="H38" s="39" t="s">
        <v>52</v>
      </c>
      <c r="I38" s="11">
        <f>'P&amp;L Brand wise'!U62/10^7</f>
        <v>0.87564346516500002</v>
      </c>
      <c r="J38" s="11">
        <f>'P&amp;L Brand wise'!Z62/10^7</f>
        <v>1.06985290533154</v>
      </c>
      <c r="K38" s="11">
        <f t="shared" si="14"/>
        <v>-0.19420944016653996</v>
      </c>
      <c r="L38" s="291">
        <f t="shared" si="18"/>
        <v>-0.18152910479441639</v>
      </c>
    </row>
    <row r="39" spans="2:12" x14ac:dyDescent="0.3">
      <c r="B39" s="45" t="s">
        <v>55</v>
      </c>
      <c r="C39" s="46">
        <f>C38/C7</f>
        <v>3.1235567577548112E-2</v>
      </c>
      <c r="D39" s="46">
        <f>D38/D7</f>
        <v>-3.1726337484685375E-2</v>
      </c>
      <c r="E39" s="46">
        <f t="shared" si="19"/>
        <v>6.2961905062233481E-2</v>
      </c>
      <c r="F39" s="10"/>
      <c r="H39" s="9" t="s">
        <v>53</v>
      </c>
      <c r="I39" s="303">
        <f>SUM(I24:I38)</f>
        <v>4.5214101921649998</v>
      </c>
      <c r="J39" s="303">
        <f>SUM(J24:J38)</f>
        <v>4.9740761553667703</v>
      </c>
      <c r="K39" s="303">
        <f t="shared" si="14"/>
        <v>-0.45266596320177044</v>
      </c>
      <c r="L39" s="291">
        <f t="shared" si="18"/>
        <v>-9.1005032706097055E-2</v>
      </c>
    </row>
    <row r="40" spans="2:12" x14ac:dyDescent="0.3">
      <c r="B40" s="45"/>
      <c r="C40" s="10"/>
      <c r="D40" s="10"/>
      <c r="E40" s="10"/>
      <c r="F40" s="10"/>
      <c r="H40" s="25"/>
      <c r="I40" s="10"/>
      <c r="J40" s="10"/>
      <c r="K40" s="10"/>
      <c r="L40" s="10"/>
    </row>
    <row r="41" spans="2:12" x14ac:dyDescent="0.3">
      <c r="B41" s="45" t="s">
        <v>56</v>
      </c>
      <c r="C41" s="10"/>
      <c r="D41" s="10"/>
      <c r="E41" s="10"/>
      <c r="F41" s="10"/>
      <c r="H41" s="9" t="s">
        <v>54</v>
      </c>
      <c r="I41" s="290">
        <f>I18+I21-I39</f>
        <v>-0.5354635095516711</v>
      </c>
      <c r="J41" s="290">
        <f>J18+J21-J39</f>
        <v>-0.6298297846919354</v>
      </c>
      <c r="K41" s="290">
        <f t="shared" ref="K41:K42" si="20">I41-J41</f>
        <v>9.43662751402643E-2</v>
      </c>
      <c r="L41" s="291">
        <f t="shared" ref="L41" si="21">K41/J41</f>
        <v>-0.14982821935996735</v>
      </c>
    </row>
    <row r="42" spans="2:12" x14ac:dyDescent="0.3">
      <c r="B42" s="39" t="s">
        <v>57</v>
      </c>
      <c r="C42" s="11">
        <f>'P&amp;L Brand wise'!F70/10^7</f>
        <v>4.9723340999999997E-2</v>
      </c>
      <c r="D42" s="11">
        <f>'P&amp;L Brand wise'!K70/10^7</f>
        <v>4.16664673582606E-2</v>
      </c>
      <c r="E42" s="11">
        <f t="shared" ref="E42:E44" si="22">C42-D42</f>
        <v>8.0568736417393969E-3</v>
      </c>
      <c r="F42" s="291">
        <f t="shared" ref="F42:F46" si="23">E42/D42</f>
        <v>0.19336589234849252</v>
      </c>
      <c r="H42" s="45" t="s">
        <v>55</v>
      </c>
      <c r="I42" s="46">
        <f>I41/I7</f>
        <v>-1.1012520477426289E-2</v>
      </c>
      <c r="J42" s="46">
        <f>J41/J7</f>
        <v>-9.8149705902760825E-3</v>
      </c>
      <c r="K42" s="46">
        <f t="shared" si="20"/>
        <v>-1.1975498871502066E-3</v>
      </c>
      <c r="L42" s="10"/>
    </row>
    <row r="43" spans="2:12" x14ac:dyDescent="0.3">
      <c r="B43" s="39" t="s">
        <v>58</v>
      </c>
      <c r="C43" s="11">
        <f>'P&amp;L Brand wise'!F71/10^7</f>
        <v>0</v>
      </c>
      <c r="D43" s="11">
        <f>'P&amp;L Brand wise'!K71/10^7</f>
        <v>7.0532550000000005E-3</v>
      </c>
      <c r="E43" s="11">
        <f t="shared" si="22"/>
        <v>-7.0532550000000005E-3</v>
      </c>
      <c r="F43" s="291">
        <f t="shared" si="23"/>
        <v>-1</v>
      </c>
      <c r="H43" s="45"/>
      <c r="I43" s="10"/>
      <c r="J43" s="10"/>
      <c r="K43" s="10"/>
      <c r="L43" s="10"/>
    </row>
    <row r="44" spans="2:12" x14ac:dyDescent="0.3">
      <c r="B44" s="39" t="s">
        <v>204</v>
      </c>
      <c r="C44" s="11">
        <f>'P&amp;L Brand wise'!F72/10^7</f>
        <v>9.4803299994520602E-3</v>
      </c>
      <c r="D44" s="11">
        <f>'P&amp;L Brand wise'!K72/10^7</f>
        <v>8.3750000000000005E-3</v>
      </c>
      <c r="E44" s="11">
        <f t="shared" si="22"/>
        <v>1.1053299994520597E-3</v>
      </c>
      <c r="F44" s="291">
        <f t="shared" si="23"/>
        <v>0.1319797014271116</v>
      </c>
      <c r="H44" s="45" t="s">
        <v>56</v>
      </c>
      <c r="I44" s="10"/>
      <c r="J44" s="10"/>
      <c r="K44" s="10"/>
      <c r="L44" s="10"/>
    </row>
    <row r="45" spans="2:12" x14ac:dyDescent="0.3">
      <c r="B45" s="25"/>
      <c r="C45" s="10"/>
      <c r="D45" s="10"/>
      <c r="E45" s="10"/>
      <c r="F45" s="10"/>
      <c r="H45" s="39" t="s">
        <v>57</v>
      </c>
      <c r="I45" s="11">
        <f>'P&amp;L Brand wise'!U70/10^7</f>
        <v>0.12421457299999999</v>
      </c>
      <c r="J45" s="11">
        <f>'P&amp;L Brand wise'!Z70/10^7</f>
        <v>0.16355513755786499</v>
      </c>
      <c r="K45" s="11">
        <f t="shared" ref="K45:K47" si="24">I45-J45</f>
        <v>-3.9340564557864999E-2</v>
      </c>
      <c r="L45" s="291">
        <f t="shared" ref="L45:L47" si="25">K45/J45</f>
        <v>-0.24053395781558071</v>
      </c>
    </row>
    <row r="46" spans="2:12" x14ac:dyDescent="0.3">
      <c r="B46" s="9" t="s">
        <v>62</v>
      </c>
      <c r="C46" s="290">
        <f>C38-C42-C43-C44</f>
        <v>0.30145248124687846</v>
      </c>
      <c r="D46" s="290">
        <f>D38-D42-D43-D44</f>
        <v>-0.57521322883201453</v>
      </c>
      <c r="E46" s="290">
        <f>C46-D46</f>
        <v>0.87666571007889305</v>
      </c>
      <c r="F46" s="291">
        <f t="shared" si="23"/>
        <v>-1.5240708421448959</v>
      </c>
      <c r="H46" s="39" t="s">
        <v>58</v>
      </c>
      <c r="I46" s="11">
        <f>'P&amp;L Brand wise'!U71/10^7</f>
        <v>5.8109393999999995E-2</v>
      </c>
      <c r="J46" s="11">
        <f>'P&amp;L Brand wise'!Z71/10^7</f>
        <v>3.5266275E-2</v>
      </c>
      <c r="K46" s="11">
        <f t="shared" si="24"/>
        <v>2.2843118999999995E-2</v>
      </c>
      <c r="L46" s="291">
        <f t="shared" si="25"/>
        <v>0.64773268512197546</v>
      </c>
    </row>
    <row r="47" spans="2:12" x14ac:dyDescent="0.3">
      <c r="B47" s="50"/>
      <c r="H47" s="39" t="s">
        <v>204</v>
      </c>
      <c r="I47" s="11">
        <f>'P&amp;L Brand wise'!U72/10^7</f>
        <v>9.4803299994520602E-3</v>
      </c>
      <c r="J47" s="11">
        <f>'P&amp;L Brand wise'!Z72/10^7</f>
        <v>1.6750000000000001E-2</v>
      </c>
      <c r="K47" s="11">
        <f t="shared" si="24"/>
        <v>-7.2696700005479408E-3</v>
      </c>
      <c r="L47" s="291">
        <f t="shared" si="25"/>
        <v>-0.43401014928644421</v>
      </c>
    </row>
    <row r="48" spans="2:12" x14ac:dyDescent="0.3">
      <c r="C48" s="277"/>
      <c r="D48" s="277"/>
      <c r="H48" s="25"/>
      <c r="I48" s="10"/>
      <c r="J48" s="10"/>
      <c r="K48" s="10"/>
      <c r="L48" s="10"/>
    </row>
    <row r="49" spans="3:12" x14ac:dyDescent="0.3">
      <c r="C49" s="277"/>
      <c r="D49" s="277"/>
      <c r="H49" s="45" t="s">
        <v>59</v>
      </c>
      <c r="I49" s="10"/>
      <c r="J49" s="10"/>
      <c r="K49" s="10"/>
      <c r="L49" s="10"/>
    </row>
    <row r="50" spans="3:12" x14ac:dyDescent="0.3">
      <c r="C50" s="277"/>
      <c r="D50" s="277"/>
      <c r="H50" s="39" t="s">
        <v>60</v>
      </c>
      <c r="I50" s="11">
        <f>'P&amp;L Brand wise'!U75/10^7</f>
        <v>0.73034109999999997</v>
      </c>
      <c r="J50" s="11">
        <f>'P&amp;L Brand wise'!Z75/10^7</f>
        <v>0</v>
      </c>
      <c r="K50" s="11">
        <f t="shared" ref="K50" si="26">I50-J50</f>
        <v>0.73034109999999997</v>
      </c>
      <c r="L50" s="291">
        <v>1</v>
      </c>
    </row>
    <row r="51" spans="3:12" x14ac:dyDescent="0.3">
      <c r="C51" s="277"/>
      <c r="D51" s="277"/>
      <c r="H51" s="25"/>
      <c r="I51" s="10"/>
      <c r="J51" s="10"/>
      <c r="K51" s="10"/>
      <c r="L51" s="10"/>
    </row>
    <row r="52" spans="3:12" x14ac:dyDescent="0.3">
      <c r="C52" s="4"/>
      <c r="D52" s="4"/>
      <c r="H52" s="9" t="s">
        <v>62</v>
      </c>
      <c r="I52" s="290">
        <f>I41-I45-I46-I47+I50</f>
        <v>3.0732934488768571E-3</v>
      </c>
      <c r="J52" s="290">
        <f>J41-J45-J46-J47+J50</f>
        <v>-0.84540119724980045</v>
      </c>
      <c r="K52" s="290">
        <f>I52-J52</f>
        <v>0.84847449069867731</v>
      </c>
      <c r="L52" s="291">
        <f t="shared" ref="L52" si="27">K52/J52</f>
        <v>-1.0036353076608771</v>
      </c>
    </row>
    <row r="53" spans="3:12" x14ac:dyDescent="0.3">
      <c r="C53" s="277"/>
      <c r="D53" s="277"/>
    </row>
    <row r="54" spans="3:12" x14ac:dyDescent="0.3">
      <c r="C54" s="4"/>
      <c r="D54" s="4"/>
    </row>
  </sheetData>
  <mergeCells count="8">
    <mergeCell ref="B4:B5"/>
    <mergeCell ref="H4:H5"/>
    <mergeCell ref="I4:J4"/>
    <mergeCell ref="K4:K5"/>
    <mergeCell ref="L4:L5"/>
    <mergeCell ref="C4:D4"/>
    <mergeCell ref="E4:E5"/>
    <mergeCell ref="F4:F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1CCE-E73D-46DC-9359-C818AEC2D835}">
  <dimension ref="B1:AE29"/>
  <sheetViews>
    <sheetView showGridLines="0" zoomScaleNormal="120" workbookViewId="0">
      <pane xSplit="2" ySplit="4" topLeftCell="R5" activePane="bottomRight" state="frozen"/>
      <selection activeCell="R12" sqref="R12"/>
      <selection pane="topRight" activeCell="R12" sqref="R12"/>
      <selection pane="bottomLeft" activeCell="R12" sqref="R12"/>
      <selection pane="bottomRight" activeCell="R5" sqref="R5"/>
    </sheetView>
  </sheetViews>
  <sheetFormatPr defaultRowHeight="14.4" x14ac:dyDescent="0.3"/>
  <cols>
    <col min="1" max="1" width="1.77734375" customWidth="1"/>
    <col min="2" max="2" width="16.21875" style="62" bestFit="1" customWidth="1"/>
    <col min="3" max="4" width="6.21875" hidden="1" customWidth="1"/>
    <col min="5" max="5" width="7.88671875" hidden="1" customWidth="1"/>
    <col min="6" max="6" width="4.21875" hidden="1" customWidth="1"/>
    <col min="7" max="7" width="1.109375" hidden="1" customWidth="1"/>
    <col min="8" max="9" width="6.21875" hidden="1" customWidth="1"/>
    <col min="10" max="10" width="7.88671875" hidden="1" customWidth="1"/>
    <col min="11" max="11" width="4.21875" hidden="1" customWidth="1"/>
    <col min="12" max="12" width="1.21875" hidden="1" customWidth="1"/>
    <col min="13" max="14" width="6.21875" hidden="1" customWidth="1"/>
    <col min="15" max="15" width="7.88671875" hidden="1" customWidth="1"/>
    <col min="16" max="16" width="4.21875" hidden="1" customWidth="1"/>
    <col min="17" max="17" width="2.77734375" hidden="1" customWidth="1"/>
    <col min="18" max="19" width="7.6640625" bestFit="1" customWidth="1"/>
    <col min="20" max="20" width="7.88671875" bestFit="1" customWidth="1"/>
    <col min="21" max="21" width="4.21875" bestFit="1" customWidth="1"/>
    <col min="22" max="22" width="1.21875" customWidth="1"/>
    <col min="23" max="24" width="7.6640625" bestFit="1" customWidth="1"/>
    <col min="25" max="25" width="7.88671875" bestFit="1" customWidth="1"/>
    <col min="26" max="26" width="4.21875" bestFit="1" customWidth="1"/>
    <col min="27" max="27" width="1.21875" customWidth="1"/>
    <col min="28" max="29" width="7.6640625" bestFit="1" customWidth="1"/>
    <col min="30" max="30" width="7.88671875" bestFit="1" customWidth="1"/>
    <col min="31" max="31" width="4.21875" bestFit="1" customWidth="1"/>
    <col min="32" max="32" width="2.109375" customWidth="1"/>
  </cols>
  <sheetData>
    <row r="1" spans="2:31" ht="15" thickBot="1" x14ac:dyDescent="0.35">
      <c r="C1" s="63" t="s">
        <v>217</v>
      </c>
      <c r="R1" s="63" t="s">
        <v>218</v>
      </c>
    </row>
    <row r="2" spans="2:31" ht="15" thickBot="1" x14ac:dyDescent="0.35">
      <c r="B2" s="358" t="s">
        <v>2</v>
      </c>
      <c r="C2" s="348" t="s">
        <v>9</v>
      </c>
      <c r="D2" s="349"/>
      <c r="E2" s="349"/>
      <c r="F2" s="349"/>
      <c r="G2" s="349"/>
      <c r="H2" s="349"/>
      <c r="I2" s="349"/>
      <c r="J2" s="349"/>
      <c r="K2" s="349"/>
      <c r="L2" s="223"/>
      <c r="M2" s="341" t="s">
        <v>11</v>
      </c>
      <c r="N2" s="342"/>
      <c r="O2" s="342"/>
      <c r="P2" s="343"/>
      <c r="Q2" s="173"/>
      <c r="R2" s="348" t="s">
        <v>9</v>
      </c>
      <c r="S2" s="349"/>
      <c r="T2" s="349"/>
      <c r="U2" s="349"/>
      <c r="V2" s="349"/>
      <c r="W2" s="349"/>
      <c r="X2" s="349"/>
      <c r="Y2" s="349"/>
      <c r="Z2" s="349"/>
      <c r="AA2" s="223"/>
      <c r="AB2" s="341" t="s">
        <v>11</v>
      </c>
      <c r="AC2" s="342"/>
      <c r="AD2" s="342"/>
      <c r="AE2" s="343"/>
    </row>
    <row r="3" spans="2:31" ht="15" thickBot="1" x14ac:dyDescent="0.35">
      <c r="B3" s="359"/>
      <c r="C3" s="341" t="s">
        <v>12</v>
      </c>
      <c r="D3" s="342"/>
      <c r="E3" s="342"/>
      <c r="F3" s="342"/>
      <c r="G3" s="164"/>
      <c r="H3" s="341" t="s">
        <v>13</v>
      </c>
      <c r="I3" s="342"/>
      <c r="J3" s="342"/>
      <c r="K3" s="342"/>
      <c r="L3" s="224"/>
      <c r="M3" s="345"/>
      <c r="N3" s="346"/>
      <c r="O3" s="346"/>
      <c r="P3" s="347"/>
      <c r="Q3" s="173"/>
      <c r="R3" s="348" t="s">
        <v>12</v>
      </c>
      <c r="S3" s="349"/>
      <c r="T3" s="349"/>
      <c r="U3" s="350"/>
      <c r="V3" s="69"/>
      <c r="W3" s="348" t="s">
        <v>13</v>
      </c>
      <c r="X3" s="349"/>
      <c r="Y3" s="349"/>
      <c r="Z3" s="350"/>
      <c r="AA3" s="224"/>
      <c r="AB3" s="345"/>
      <c r="AC3" s="346"/>
      <c r="AD3" s="346"/>
      <c r="AE3" s="347"/>
    </row>
    <row r="4" spans="2:31" ht="25.2" thickBot="1" x14ac:dyDescent="0.35">
      <c r="B4" s="71" t="s">
        <v>77</v>
      </c>
      <c r="C4" s="72" t="s">
        <v>213</v>
      </c>
      <c r="D4" s="72" t="s">
        <v>214</v>
      </c>
      <c r="E4" s="73" t="s">
        <v>78</v>
      </c>
      <c r="F4" s="154" t="s">
        <v>133</v>
      </c>
      <c r="G4" s="165"/>
      <c r="H4" s="72" t="s">
        <v>213</v>
      </c>
      <c r="I4" s="72" t="s">
        <v>214</v>
      </c>
      <c r="J4" s="73" t="s">
        <v>78</v>
      </c>
      <c r="K4" s="154" t="s">
        <v>133</v>
      </c>
      <c r="L4" s="225"/>
      <c r="M4" s="72" t="s">
        <v>213</v>
      </c>
      <c r="N4" s="72" t="s">
        <v>214</v>
      </c>
      <c r="O4" s="212" t="s">
        <v>78</v>
      </c>
      <c r="P4" s="78" t="s">
        <v>133</v>
      </c>
      <c r="Q4" s="168"/>
      <c r="R4" s="228" t="s">
        <v>215</v>
      </c>
      <c r="S4" s="76" t="s">
        <v>216</v>
      </c>
      <c r="T4" s="77" t="s">
        <v>78</v>
      </c>
      <c r="U4" s="78" t="s">
        <v>133</v>
      </c>
      <c r="V4" s="74"/>
      <c r="W4" s="76" t="s">
        <v>215</v>
      </c>
      <c r="X4" s="76" t="s">
        <v>216</v>
      </c>
      <c r="Y4" s="77" t="s">
        <v>78</v>
      </c>
      <c r="Z4" s="154" t="s">
        <v>133</v>
      </c>
      <c r="AA4" s="225"/>
      <c r="AB4" s="76" t="s">
        <v>215</v>
      </c>
      <c r="AC4" s="76" t="s">
        <v>216</v>
      </c>
      <c r="AD4" s="77" t="s">
        <v>78</v>
      </c>
      <c r="AE4" s="78" t="s">
        <v>133</v>
      </c>
    </row>
    <row r="5" spans="2:31" x14ac:dyDescent="0.3">
      <c r="B5" s="79" t="s">
        <v>80</v>
      </c>
      <c r="C5" s="80">
        <f>'P&amp;L Brand wise'!C8/1000</f>
        <v>0.9125700000000001</v>
      </c>
      <c r="D5" s="80">
        <f>'P&amp;L Brand wise'!H8/1000</f>
        <v>1.712102308452095</v>
      </c>
      <c r="E5" s="81">
        <f>C5-D5</f>
        <v>-0.79953230845209489</v>
      </c>
      <c r="F5" s="218">
        <f>E5/D5</f>
        <v>-0.46698862825256565</v>
      </c>
      <c r="G5" s="82"/>
      <c r="H5" s="80">
        <f>'P&amp;L Brand wise'!D8/1000</f>
        <v>4.9215834000000003</v>
      </c>
      <c r="I5" s="80">
        <f>'P&amp;L Brand wise'!I8/1000</f>
        <v>6.1381771290688603</v>
      </c>
      <c r="J5" s="81">
        <f>H5-I5</f>
        <v>-1.21659372906886</v>
      </c>
      <c r="K5" s="218">
        <f>J5/I5</f>
        <v>-0.19820114400208144</v>
      </c>
      <c r="L5" s="83"/>
      <c r="M5" s="80">
        <f>C5+H5</f>
        <v>5.8341533999999999</v>
      </c>
      <c r="N5" s="80">
        <f>D5+I5</f>
        <v>7.850279437520955</v>
      </c>
      <c r="O5" s="81">
        <f>M5-N5</f>
        <v>-2.0161260375209551</v>
      </c>
      <c r="P5" s="213">
        <f>O5/N5</f>
        <v>-0.25682220022445834</v>
      </c>
      <c r="Q5" s="176"/>
      <c r="R5" s="171">
        <f>'P&amp;L Brand wise'!R8/1000</f>
        <v>3.7508100631256514</v>
      </c>
      <c r="S5" s="80">
        <f>'P&amp;L Brand wise'!W8/1000</f>
        <v>5.4713979096498653</v>
      </c>
      <c r="T5" s="85">
        <f>R5-S5</f>
        <v>-1.7205878465242139</v>
      </c>
      <c r="U5" s="213">
        <f>T5/S5</f>
        <v>-0.31446951490945768</v>
      </c>
      <c r="V5" s="82"/>
      <c r="W5" s="80">
        <f>'P&amp;L Brand wise'!S8/1000</f>
        <v>22.0360649</v>
      </c>
      <c r="X5" s="84">
        <f>'P&amp;L Brand wise'!X8/1000</f>
        <v>29.421531247429304</v>
      </c>
      <c r="Y5" s="85">
        <f>W5-X5</f>
        <v>-7.3854663474293041</v>
      </c>
      <c r="Z5" s="218">
        <f>Y5/X5</f>
        <v>-0.2510225006754061</v>
      </c>
      <c r="AA5" s="83"/>
      <c r="AB5" s="80">
        <f>W5+R5</f>
        <v>25.786874963125651</v>
      </c>
      <c r="AC5" s="84">
        <f>X5+S5</f>
        <v>34.892929157079166</v>
      </c>
      <c r="AD5" s="85">
        <f>AB5-AC5</f>
        <v>-9.1060541939535149</v>
      </c>
      <c r="AE5" s="213">
        <f>AD5/AC5</f>
        <v>-0.26097133184091126</v>
      </c>
    </row>
    <row r="6" spans="2:31" x14ac:dyDescent="0.3">
      <c r="B6" s="86"/>
      <c r="C6" s="87"/>
      <c r="D6" s="87"/>
      <c r="E6" s="88"/>
      <c r="F6" s="169"/>
      <c r="G6" s="89"/>
      <c r="H6" s="87"/>
      <c r="I6" s="87"/>
      <c r="J6" s="88"/>
      <c r="K6" s="169"/>
      <c r="L6" s="90"/>
      <c r="M6" s="87"/>
      <c r="N6" s="87"/>
      <c r="O6" s="88"/>
      <c r="P6" s="88"/>
      <c r="Q6" s="178"/>
      <c r="R6" s="97"/>
      <c r="S6" s="87"/>
      <c r="T6" s="92"/>
      <c r="U6" s="88"/>
      <c r="V6" s="89"/>
      <c r="W6" s="87"/>
      <c r="X6" s="91"/>
      <c r="Y6" s="92"/>
      <c r="Z6" s="169"/>
      <c r="AA6" s="90"/>
      <c r="AB6" s="87"/>
      <c r="AC6" s="91"/>
      <c r="AD6" s="92"/>
      <c r="AE6" s="88"/>
    </row>
    <row r="7" spans="2:31" x14ac:dyDescent="0.3">
      <c r="B7" s="93" t="s">
        <v>81</v>
      </c>
      <c r="C7" s="87">
        <f>'P&amp;L Brand wise'!C11/10^7</f>
        <v>4.5930024419999995</v>
      </c>
      <c r="D7" s="87">
        <f>'P&amp;L Brand wise'!H11/10^7</f>
        <v>8.3603125025449305</v>
      </c>
      <c r="E7" s="94">
        <f>C7-D7</f>
        <v>-3.767310060544931</v>
      </c>
      <c r="F7" s="219">
        <f>E7/D7</f>
        <v>-0.45061833028348386</v>
      </c>
      <c r="G7" s="95"/>
      <c r="H7" s="87">
        <f>'P&amp;L Brand wise'!D11/10^7</f>
        <v>5.2565440079999997</v>
      </c>
      <c r="I7" s="87">
        <f>'P&amp;L Brand wise'!I11/10^7</f>
        <v>6.8435490470201508</v>
      </c>
      <c r="J7" s="94">
        <f>H7-I7</f>
        <v>-1.5870050390201511</v>
      </c>
      <c r="K7" s="219">
        <f>J7/I7</f>
        <v>-0.2318979564720402</v>
      </c>
      <c r="L7" s="96"/>
      <c r="M7" s="87">
        <f>C7+H7</f>
        <v>9.8495464499999983</v>
      </c>
      <c r="N7" s="87">
        <f>D7+I7</f>
        <v>15.203861549565081</v>
      </c>
      <c r="O7" s="94">
        <f>M7-N7</f>
        <v>-5.354315099565083</v>
      </c>
      <c r="P7" s="214">
        <f>O7/N7</f>
        <v>-0.35216810427468326</v>
      </c>
      <c r="Q7" s="180"/>
      <c r="R7" s="97">
        <f>'P&amp;L Brand wise'!R11/10^7</f>
        <v>19.191007098</v>
      </c>
      <c r="S7" s="87">
        <f>'P&amp;L Brand wise'!W11/10^7</f>
        <v>27.624992468454497</v>
      </c>
      <c r="T7" s="98">
        <f>R7-S7</f>
        <v>-8.4339853704544971</v>
      </c>
      <c r="U7" s="214">
        <f>T7/S7</f>
        <v>-0.30530272108075412</v>
      </c>
      <c r="V7" s="99"/>
      <c r="W7" s="87">
        <f>'P&amp;L Brand wise'!S11/10^7</f>
        <v>23.467081917000002</v>
      </c>
      <c r="X7" s="91">
        <f>'P&amp;L Brand wise'!X11/10^7</f>
        <v>31.231914087314497</v>
      </c>
      <c r="Y7" s="98">
        <f>W7-X7</f>
        <v>-7.7648321703144951</v>
      </c>
      <c r="Z7" s="219">
        <f>Y7/X7</f>
        <v>-0.24861851721948564</v>
      </c>
      <c r="AA7" s="96"/>
      <c r="AB7" s="87">
        <f>W7+R7</f>
        <v>42.658089015000002</v>
      </c>
      <c r="AC7" s="91">
        <f>X7+S7</f>
        <v>58.856906555768994</v>
      </c>
      <c r="AD7" s="98">
        <f>AB7-AC7</f>
        <v>-16.198817540768992</v>
      </c>
      <c r="AE7" s="214">
        <f>AD7/AC7</f>
        <v>-0.27522373309613274</v>
      </c>
    </row>
    <row r="8" spans="2:31" x14ac:dyDescent="0.3">
      <c r="B8" s="86"/>
      <c r="C8" s="92"/>
      <c r="D8" s="92"/>
      <c r="E8" s="88"/>
      <c r="F8" s="169"/>
      <c r="G8" s="89"/>
      <c r="H8" s="92"/>
      <c r="I8" s="92"/>
      <c r="J8" s="88"/>
      <c r="K8" s="169"/>
      <c r="L8" s="90"/>
      <c r="M8" s="92"/>
      <c r="N8" s="92"/>
      <c r="O8" s="88"/>
      <c r="P8" s="88"/>
      <c r="Q8" s="178"/>
      <c r="R8" s="88"/>
      <c r="S8" s="92"/>
      <c r="T8" s="92"/>
      <c r="U8" s="88"/>
      <c r="V8" s="89"/>
      <c r="W8" s="92"/>
      <c r="X8" s="100"/>
      <c r="Y8" s="92"/>
      <c r="Z8" s="169"/>
      <c r="AA8" s="90"/>
      <c r="AB8" s="92"/>
      <c r="AC8" s="100"/>
      <c r="AD8" s="92"/>
      <c r="AE8" s="88"/>
    </row>
    <row r="9" spans="2:31" x14ac:dyDescent="0.3">
      <c r="B9" s="86" t="s">
        <v>82</v>
      </c>
      <c r="C9" s="87">
        <f>('P&amp;L Brand wise'!C15)/10^7</f>
        <v>0.316917168498</v>
      </c>
      <c r="D9" s="87">
        <f>'P&amp;L Brand wise'!H15/10^7</f>
        <v>0.72907489641471435</v>
      </c>
      <c r="E9" s="94">
        <f>C9-D9</f>
        <v>-0.41215772791671434</v>
      </c>
      <c r="F9" s="219">
        <f>E9/D9</f>
        <v>-0.56531603261000185</v>
      </c>
      <c r="G9" s="99"/>
      <c r="H9" s="87">
        <f>('P&amp;L Brand wise'!D15)/10^7</f>
        <v>0.8883559373519998</v>
      </c>
      <c r="I9" s="87">
        <f>'P&amp;L Brand wise'!I15/10^7</f>
        <v>1.0659917747485099</v>
      </c>
      <c r="J9" s="94">
        <f>H9-I9</f>
        <v>-0.17763583739651012</v>
      </c>
      <c r="K9" s="219">
        <f>J9/I9</f>
        <v>-0.16663903193663776</v>
      </c>
      <c r="L9" s="96"/>
      <c r="M9" s="87">
        <f>C9+H9</f>
        <v>1.2052731058499999</v>
      </c>
      <c r="N9" s="87">
        <f>D9+I9</f>
        <v>1.7950666711632244</v>
      </c>
      <c r="O9" s="94">
        <f>M9-N9</f>
        <v>-0.58979356531322447</v>
      </c>
      <c r="P9" s="214">
        <f>O9/N9</f>
        <v>-0.32856359866067331</v>
      </c>
      <c r="Q9" s="182"/>
      <c r="R9" s="97">
        <f>('P&amp;L Brand wise'!R15)/10^7</f>
        <v>1.4815633384137847</v>
      </c>
      <c r="S9" s="87">
        <f>'P&amp;L Brand wise'!W15/10^7</f>
        <v>2.3655539825395602</v>
      </c>
      <c r="T9" s="98">
        <f>R9-S9</f>
        <v>-0.88399064412577544</v>
      </c>
      <c r="U9" s="214">
        <f>T9/S9</f>
        <v>-0.37369286461041146</v>
      </c>
      <c r="V9" s="99"/>
      <c r="W9" s="87">
        <f>('P&amp;L Brand wise'!S15)/10^7</f>
        <v>4.160230118384562</v>
      </c>
      <c r="X9" s="87">
        <f>'P&amp;L Brand wise'!X15/10^7</f>
        <v>5.1876254665582584</v>
      </c>
      <c r="Y9" s="98">
        <f>W9-X9</f>
        <v>-1.0273953481736964</v>
      </c>
      <c r="Z9" s="219">
        <f>Y9/X9</f>
        <v>-0.1980473252737199</v>
      </c>
      <c r="AA9" s="96"/>
      <c r="AB9" s="87">
        <f>W9+R9</f>
        <v>5.6417934567983465</v>
      </c>
      <c r="AC9" s="87">
        <f>X9+S9</f>
        <v>7.5531794490978186</v>
      </c>
      <c r="AD9" s="98">
        <f>AB9-AC9</f>
        <v>-1.911385992299472</v>
      </c>
      <c r="AE9" s="214">
        <f>AD9/AC9</f>
        <v>-0.25305714039771365</v>
      </c>
    </row>
    <row r="10" spans="2:31" x14ac:dyDescent="0.3">
      <c r="B10" s="86" t="s">
        <v>83</v>
      </c>
      <c r="C10" s="136">
        <f t="shared" ref="C10:D10" si="0">C9/C7</f>
        <v>6.9000000000000006E-2</v>
      </c>
      <c r="D10" s="136">
        <f t="shared" si="0"/>
        <v>8.7206655994351817E-2</v>
      </c>
      <c r="E10" s="137">
        <f>C10-D10</f>
        <v>-1.8206655994351811E-2</v>
      </c>
      <c r="F10" s="105"/>
      <c r="G10" s="103"/>
      <c r="H10" s="136">
        <f t="shared" ref="H10:I10" si="1">H9/H7</f>
        <v>0.16899999999999998</v>
      </c>
      <c r="I10" s="136">
        <f t="shared" si="1"/>
        <v>0.15576592896819655</v>
      </c>
      <c r="J10" s="137">
        <f>H10-I10</f>
        <v>1.3234071031803435E-2</v>
      </c>
      <c r="K10" s="105"/>
      <c r="L10" s="104"/>
      <c r="M10" s="136">
        <f t="shared" ref="M10:N10" si="2">M9/M7</f>
        <v>0.12236838639915243</v>
      </c>
      <c r="N10" s="136">
        <f t="shared" si="2"/>
        <v>0.11806649681143497</v>
      </c>
      <c r="O10" s="137">
        <f>M10-N10</f>
        <v>4.3018895877174612E-3</v>
      </c>
      <c r="P10" s="102"/>
      <c r="Q10" s="184"/>
      <c r="R10" s="137">
        <f t="shared" ref="R10:S10" si="3">R9/R7</f>
        <v>7.7200916598492972E-2</v>
      </c>
      <c r="S10" s="136">
        <f t="shared" si="3"/>
        <v>8.5630936741098881E-2</v>
      </c>
      <c r="T10" s="101">
        <f>R10-S10</f>
        <v>-8.4300201426059096E-3</v>
      </c>
      <c r="U10" s="102"/>
      <c r="V10" s="103"/>
      <c r="W10" s="136">
        <f>W9/W7</f>
        <v>0.17727939643704962</v>
      </c>
      <c r="X10" s="162">
        <f t="shared" ref="X10" si="4">X9/X7</f>
        <v>0.16610014525703765</v>
      </c>
      <c r="Y10" s="101">
        <f>W10-X10</f>
        <v>1.1179251180011979E-2</v>
      </c>
      <c r="Z10" s="105"/>
      <c r="AA10" s="104"/>
      <c r="AB10" s="101">
        <f t="shared" ref="AB10" si="5">AB9/AB7</f>
        <v>0.13225612274414131</v>
      </c>
      <c r="AC10" s="105">
        <f>AC9/AC7</f>
        <v>0.12833123402333277</v>
      </c>
      <c r="AD10" s="101">
        <f>AB10-AC10</f>
        <v>3.9248887208085392E-3</v>
      </c>
      <c r="AE10" s="102"/>
    </row>
    <row r="11" spans="2:31" x14ac:dyDescent="0.3">
      <c r="B11" s="86"/>
      <c r="C11" s="92"/>
      <c r="D11" s="92"/>
      <c r="E11" s="88"/>
      <c r="F11" s="169"/>
      <c r="G11" s="89"/>
      <c r="H11" s="92"/>
      <c r="I11" s="92"/>
      <c r="J11" s="88"/>
      <c r="K11" s="169"/>
      <c r="L11" s="90"/>
      <c r="M11" s="92"/>
      <c r="N11" s="92"/>
      <c r="O11" s="88"/>
      <c r="P11" s="88"/>
      <c r="Q11" s="178"/>
      <c r="R11" s="88"/>
      <c r="S11" s="92"/>
      <c r="T11" s="92"/>
      <c r="U11" s="88"/>
      <c r="V11" s="89"/>
      <c r="W11" s="92"/>
      <c r="X11" s="100"/>
      <c r="Y11" s="92"/>
      <c r="Z11" s="169"/>
      <c r="AA11" s="90"/>
      <c r="AB11" s="92"/>
      <c r="AC11" s="100"/>
      <c r="AD11" s="92"/>
      <c r="AE11" s="88"/>
    </row>
    <row r="12" spans="2:31" x14ac:dyDescent="0.3">
      <c r="B12" s="86" t="s">
        <v>84</v>
      </c>
      <c r="C12" s="106">
        <f>(C7*10^7)/(C5*10^6)</f>
        <v>50.330412373845284</v>
      </c>
      <c r="D12" s="106">
        <f>(D7*10^7)/(D5*10^6)</f>
        <v>48.830682963703595</v>
      </c>
      <c r="E12" s="107">
        <f>C12-D12</f>
        <v>1.4997294101416898</v>
      </c>
      <c r="F12" s="220">
        <f>E12/D12</f>
        <v>3.0712849362693858E-2</v>
      </c>
      <c r="G12" s="108"/>
      <c r="H12" s="106">
        <f>(H7*10^7)/(H5*10^6)</f>
        <v>10.680595208444501</v>
      </c>
      <c r="I12" s="106">
        <f t="shared" ref="I12" si="6">(I7*10^7)/(I5*10^6)</f>
        <v>11.149155365052643</v>
      </c>
      <c r="J12" s="107">
        <f>H12-I12</f>
        <v>-0.46856015660814165</v>
      </c>
      <c r="K12" s="220">
        <f>J12/I12</f>
        <v>-4.2026516024420764E-2</v>
      </c>
      <c r="L12" s="109"/>
      <c r="M12" s="106">
        <f>(M7*10^7)/(M5*10^6)</f>
        <v>16.882563372433776</v>
      </c>
      <c r="N12" s="106">
        <f>(N7*10^7)/(N5*10^6)</f>
        <v>19.367287076300965</v>
      </c>
      <c r="O12" s="107">
        <f>M12-N12</f>
        <v>-2.4847237038671892</v>
      </c>
      <c r="P12" s="215">
        <f>O12/N12</f>
        <v>-0.12829487651410165</v>
      </c>
      <c r="Q12" s="186"/>
      <c r="R12" s="107">
        <f>(R7*10^7)/(R5*10^6)</f>
        <v>51.164966433964437</v>
      </c>
      <c r="S12" s="106">
        <f>(S7*10^7)/(S5*10^6)</f>
        <v>50.489825314537065</v>
      </c>
      <c r="T12" s="106">
        <f>R12-S12</f>
        <v>0.67514111942737287</v>
      </c>
      <c r="U12" s="215">
        <f>T12/S12</f>
        <v>1.3371825218674024E-2</v>
      </c>
      <c r="V12" s="108"/>
      <c r="W12" s="106">
        <f t="shared" ref="W12:AC12" si="7">(W7*10^7)/(W5*10^6)</f>
        <v>10.649397713926684</v>
      </c>
      <c r="X12" s="110">
        <f t="shared" si="7"/>
        <v>10.615325838978341</v>
      </c>
      <c r="Y12" s="106">
        <f>W12-X12</f>
        <v>3.4071874948342185E-2</v>
      </c>
      <c r="Z12" s="220">
        <f>Y12/X12</f>
        <v>3.2096871509335965E-3</v>
      </c>
      <c r="AA12" s="109"/>
      <c r="AB12" s="106">
        <f t="shared" si="7"/>
        <v>16.54255859851169</v>
      </c>
      <c r="AC12" s="110">
        <f t="shared" si="7"/>
        <v>16.867860617493601</v>
      </c>
      <c r="AD12" s="106">
        <f>AB12-AC12</f>
        <v>-0.3253020189819118</v>
      </c>
      <c r="AE12" s="215">
        <f>AD12/AC12</f>
        <v>-1.928531580611605E-2</v>
      </c>
    </row>
    <row r="13" spans="2:31" x14ac:dyDescent="0.3">
      <c r="B13" s="93" t="s">
        <v>85</v>
      </c>
      <c r="C13" s="111">
        <f>+C7-C9</f>
        <v>4.2760852735019999</v>
      </c>
      <c r="D13" s="111">
        <f>+D7-D9</f>
        <v>7.6312376061302158</v>
      </c>
      <c r="E13" s="112">
        <f>C13-D13</f>
        <v>-3.355152332628216</v>
      </c>
      <c r="F13" s="221">
        <f>E13/D13</f>
        <v>-0.43966031537702394</v>
      </c>
      <c r="G13" s="113"/>
      <c r="H13" s="111">
        <f t="shared" ref="H13:I13" si="8">+H7-H9</f>
        <v>4.3681880706479994</v>
      </c>
      <c r="I13" s="111">
        <f t="shared" si="8"/>
        <v>5.7775572722716406</v>
      </c>
      <c r="J13" s="112">
        <f>H13-I13</f>
        <v>-1.4093692016236412</v>
      </c>
      <c r="K13" s="221">
        <f>J13/I13</f>
        <v>-0.24393859467004478</v>
      </c>
      <c r="L13" s="114"/>
      <c r="M13" s="111">
        <f t="shared" ref="M13:N13" si="9">+M7-M9</f>
        <v>8.6442733441499975</v>
      </c>
      <c r="N13" s="111">
        <f t="shared" si="9"/>
        <v>13.408794878401856</v>
      </c>
      <c r="O13" s="112">
        <f>M13-N13</f>
        <v>-4.764521534251859</v>
      </c>
      <c r="P13" s="216">
        <f>O13/N13</f>
        <v>-0.35532809454235786</v>
      </c>
      <c r="Q13" s="188"/>
      <c r="R13" s="112">
        <f>+R7-R9</f>
        <v>17.709443759586215</v>
      </c>
      <c r="S13" s="111">
        <f>+S7-S9</f>
        <v>25.259438485914938</v>
      </c>
      <c r="T13" s="111">
        <f>R13-S13</f>
        <v>-7.5499947263287233</v>
      </c>
      <c r="U13" s="216">
        <f>T13/S13</f>
        <v>-0.29889796364787441</v>
      </c>
      <c r="V13" s="113"/>
      <c r="W13" s="111">
        <f t="shared" ref="W13:AC13" si="10">+W7-W9</f>
        <v>19.30685179861544</v>
      </c>
      <c r="X13" s="112">
        <f t="shared" si="10"/>
        <v>26.044288620756237</v>
      </c>
      <c r="Y13" s="111">
        <f>W13-X13</f>
        <v>-6.737436822140797</v>
      </c>
      <c r="Z13" s="221">
        <f>Y13/X13</f>
        <v>-0.25869152812149893</v>
      </c>
      <c r="AA13" s="118"/>
      <c r="AB13" s="116">
        <f t="shared" si="10"/>
        <v>37.016295558201655</v>
      </c>
      <c r="AC13" s="117">
        <f t="shared" si="10"/>
        <v>51.303727106671175</v>
      </c>
      <c r="AD13" s="116">
        <f>AB13-AC13</f>
        <v>-14.28743154846952</v>
      </c>
      <c r="AE13" s="216">
        <f>AD13/AC13</f>
        <v>-0.27848720461893467</v>
      </c>
    </row>
    <row r="14" spans="2:31" x14ac:dyDescent="0.3">
      <c r="B14" s="86"/>
      <c r="C14" s="92"/>
      <c r="D14" s="92"/>
      <c r="E14" s="88"/>
      <c r="F14" s="169"/>
      <c r="G14" s="89"/>
      <c r="H14" s="92"/>
      <c r="I14" s="92"/>
      <c r="J14" s="88"/>
      <c r="K14" s="169"/>
      <c r="L14" s="90"/>
      <c r="M14" s="92"/>
      <c r="N14" s="92"/>
      <c r="O14" s="88"/>
      <c r="P14" s="88"/>
      <c r="Q14" s="178"/>
      <c r="R14" s="88"/>
      <c r="S14" s="92"/>
      <c r="T14" s="92"/>
      <c r="U14" s="88"/>
      <c r="V14" s="89"/>
      <c r="W14" s="92"/>
      <c r="X14" s="100"/>
      <c r="Y14" s="92"/>
      <c r="Z14" s="169"/>
      <c r="AA14" s="90"/>
      <c r="AB14" s="92"/>
      <c r="AC14" s="100"/>
      <c r="AD14" s="92"/>
      <c r="AE14" s="88"/>
    </row>
    <row r="15" spans="2:31" x14ac:dyDescent="0.3">
      <c r="B15" s="86" t="s">
        <v>86</v>
      </c>
      <c r="C15" s="149">
        <f>SUM(C17:C17)</f>
        <v>3.0445641600000002</v>
      </c>
      <c r="D15" s="149">
        <f>SUM(D17:D17)</f>
        <v>5.6749138712908582</v>
      </c>
      <c r="E15" s="150">
        <f>C15-D15</f>
        <v>-2.630349711290858</v>
      </c>
      <c r="F15" s="222">
        <f>E15/D15</f>
        <v>-0.46350478103248094</v>
      </c>
      <c r="G15" s="113"/>
      <c r="H15" s="149">
        <f t="shared" ref="H15:N15" si="11">SUM(H17:H17)</f>
        <v>2.4009142564000001</v>
      </c>
      <c r="I15" s="149">
        <f t="shared" si="11"/>
        <v>3.4669227740074917</v>
      </c>
      <c r="J15" s="150">
        <f>H15-I15</f>
        <v>-1.0660085176074916</v>
      </c>
      <c r="K15" s="222">
        <f>J15/I15</f>
        <v>-0.30747974128517119</v>
      </c>
      <c r="L15" s="114"/>
      <c r="M15" s="149">
        <f t="shared" si="11"/>
        <v>5.4454784164000003</v>
      </c>
      <c r="N15" s="149">
        <f t="shared" si="11"/>
        <v>9.1418366452983495</v>
      </c>
      <c r="O15" s="150">
        <f>M15-N15</f>
        <v>-3.6963582288983492</v>
      </c>
      <c r="P15" s="217">
        <f>O15/N15</f>
        <v>-0.40433431183649382</v>
      </c>
      <c r="Q15" s="188"/>
      <c r="R15" s="150">
        <f>SUM(R17:R17)</f>
        <v>13.526279259999999</v>
      </c>
      <c r="S15" s="149">
        <f>SUM(S17:S17)</f>
        <v>19.404608085194202</v>
      </c>
      <c r="T15" s="149">
        <f>R15-S15</f>
        <v>-5.8783288251942025</v>
      </c>
      <c r="U15" s="217">
        <f>T15/S15</f>
        <v>-0.30293468434847659</v>
      </c>
      <c r="V15" s="113"/>
      <c r="W15" s="149">
        <f t="shared" ref="W15:X15" si="12">SUM(W17:W17)</f>
        <v>11.037492766300808</v>
      </c>
      <c r="X15" s="148">
        <f t="shared" si="12"/>
        <v>15.898631390642663</v>
      </c>
      <c r="Y15" s="149">
        <f>W15-X15</f>
        <v>-4.8611386243418551</v>
      </c>
      <c r="Z15" s="222">
        <f>Y15/X15</f>
        <v>-0.3057583074227973</v>
      </c>
      <c r="AA15" s="120"/>
      <c r="AB15" s="119">
        <f>SUM(AB17:AB17)</f>
        <v>24.563772026300807</v>
      </c>
      <c r="AC15" s="121">
        <f>SUM(AC17:AC17)</f>
        <v>35.303239475836861</v>
      </c>
      <c r="AD15" s="119">
        <f>AB15-AC15</f>
        <v>-10.739467449536054</v>
      </c>
      <c r="AE15" s="217">
        <f>AD15/AC15</f>
        <v>-0.3042062884027012</v>
      </c>
    </row>
    <row r="16" spans="2:31" x14ac:dyDescent="0.3">
      <c r="B16" s="86" t="s">
        <v>87</v>
      </c>
      <c r="C16" s="136">
        <f t="shared" ref="C16:D16" si="13">C15/C13</f>
        <v>0.71199799940064878</v>
      </c>
      <c r="D16" s="136">
        <f t="shared" si="13"/>
        <v>0.74364266508124033</v>
      </c>
      <c r="E16" s="137">
        <f>C16-D16</f>
        <v>-3.1644665680591544E-2</v>
      </c>
      <c r="F16" s="105"/>
      <c r="G16" s="103"/>
      <c r="H16" s="136">
        <f t="shared" ref="H16:I16" si="14">H15/H13</f>
        <v>0.54963619184185819</v>
      </c>
      <c r="I16" s="136">
        <f t="shared" si="14"/>
        <v>0.60006722748493924</v>
      </c>
      <c r="J16" s="137">
        <f>H16-I16</f>
        <v>-5.0431035643081046E-2</v>
      </c>
      <c r="K16" s="105"/>
      <c r="L16" s="104"/>
      <c r="M16" s="136">
        <f t="shared" ref="M16:N16" si="15">M15/M13</f>
        <v>0.62995213126679084</v>
      </c>
      <c r="N16" s="136">
        <f t="shared" si="15"/>
        <v>0.68177914034791542</v>
      </c>
      <c r="O16" s="137">
        <f>M16-N16</f>
        <v>-5.1827009081124586E-2</v>
      </c>
      <c r="P16" s="102"/>
      <c r="Q16" s="184"/>
      <c r="R16" s="102">
        <f t="shared" ref="R16:S16" si="16">R15/R13</f>
        <v>0.76378905196715474</v>
      </c>
      <c r="S16" s="101">
        <f t="shared" si="16"/>
        <v>0.76821217130438257</v>
      </c>
      <c r="T16" s="101">
        <f>R16-S16</f>
        <v>-4.4231193372278321E-3</v>
      </c>
      <c r="U16" s="102"/>
      <c r="V16" s="103"/>
      <c r="W16" s="101">
        <f t="shared" ref="W16:X16" si="17">W15/W13</f>
        <v>0.57168785887155071</v>
      </c>
      <c r="X16" s="105">
        <f t="shared" si="17"/>
        <v>0.6104459838450762</v>
      </c>
      <c r="Y16" s="101">
        <f>W16-X16</f>
        <v>-3.8758124973525487E-2</v>
      </c>
      <c r="Z16" s="105"/>
      <c r="AA16" s="104"/>
      <c r="AB16" s="101">
        <f t="shared" ref="AB16:AC16" si="18">AB15/AB13</f>
        <v>0.66359347027793658</v>
      </c>
      <c r="AC16" s="105">
        <f t="shared" si="18"/>
        <v>0.68812231521569656</v>
      </c>
      <c r="AD16" s="101">
        <f>AB16-AC16</f>
        <v>-2.4528844937759975E-2</v>
      </c>
      <c r="AE16" s="102"/>
    </row>
    <row r="17" spans="2:31" x14ac:dyDescent="0.3">
      <c r="B17" s="86" t="s">
        <v>88</v>
      </c>
      <c r="C17" s="87">
        <f>'P&amp;L Brand wise'!C32/10^7</f>
        <v>3.0445641600000002</v>
      </c>
      <c r="D17" s="87">
        <f>'P&amp;L Brand wise'!H32/10^7</f>
        <v>5.6749138712908582</v>
      </c>
      <c r="E17" s="94">
        <f>C17-D17</f>
        <v>-2.630349711290858</v>
      </c>
      <c r="F17" s="219">
        <f>E17/D17</f>
        <v>-0.46350478103248094</v>
      </c>
      <c r="G17" s="99"/>
      <c r="H17" s="87">
        <f>'P&amp;L Brand wise'!D32/10^7</f>
        <v>2.4009142564000001</v>
      </c>
      <c r="I17" s="87">
        <f>'P&amp;L Brand wise'!I32/10^7</f>
        <v>3.4669227740074917</v>
      </c>
      <c r="J17" s="94">
        <f>H17-I17</f>
        <v>-1.0660085176074916</v>
      </c>
      <c r="K17" s="219">
        <f>J17/I17</f>
        <v>-0.30747974128517119</v>
      </c>
      <c r="L17" s="96"/>
      <c r="M17" s="87">
        <f>C17+H17</f>
        <v>5.4454784164000003</v>
      </c>
      <c r="N17" s="87">
        <f>D17+I17</f>
        <v>9.1418366452983495</v>
      </c>
      <c r="O17" s="94">
        <f>M17-N17</f>
        <v>-3.6963582288983492</v>
      </c>
      <c r="P17" s="214">
        <f>O17/N17</f>
        <v>-0.40433431183649382</v>
      </c>
      <c r="Q17" s="182"/>
      <c r="R17" s="97">
        <f>'P&amp;L Brand wise'!R32/10^7</f>
        <v>13.526279259999999</v>
      </c>
      <c r="S17" s="87">
        <f>'P&amp;L Brand wise'!W32/10^7</f>
        <v>19.404608085194202</v>
      </c>
      <c r="T17" s="98">
        <f>R17-S17</f>
        <v>-5.8783288251942025</v>
      </c>
      <c r="U17" s="214">
        <f>T17/S17</f>
        <v>-0.30293468434847659</v>
      </c>
      <c r="V17" s="99"/>
      <c r="W17" s="87">
        <f>'P&amp;L Brand wise'!S32/10^7</f>
        <v>11.037492766300808</v>
      </c>
      <c r="X17" s="91">
        <f>'P&amp;L Brand wise'!X32/10^7</f>
        <v>15.898631390642663</v>
      </c>
      <c r="Y17" s="98">
        <f>W17-X17</f>
        <v>-4.8611386243418551</v>
      </c>
      <c r="Z17" s="219">
        <f>Y17/X17</f>
        <v>-0.3057583074227973</v>
      </c>
      <c r="AA17" s="124"/>
      <c r="AB17" s="122">
        <f>W17+R17</f>
        <v>24.563772026300807</v>
      </c>
      <c r="AC17" s="125">
        <f>X17+S17</f>
        <v>35.303239475836861</v>
      </c>
      <c r="AD17" s="126">
        <f>AB17-AC17</f>
        <v>-10.739467449536054</v>
      </c>
      <c r="AE17" s="214">
        <f>AD17/AC17</f>
        <v>-0.3042062884027012</v>
      </c>
    </row>
    <row r="18" spans="2:31" x14ac:dyDescent="0.3">
      <c r="B18" s="86" t="s">
        <v>89</v>
      </c>
      <c r="C18" s="106">
        <f>(C15*10^7)/(C5*10^6)</f>
        <v>33.362527367763569</v>
      </c>
      <c r="D18" s="106">
        <f>(D15*10^7)/(D5*10^6)</f>
        <v>33.145880612832805</v>
      </c>
      <c r="E18" s="107">
        <f>C18-D18</f>
        <v>0.21664675493076402</v>
      </c>
      <c r="F18" s="220">
        <f>E18/D18</f>
        <v>6.5361592730436239E-3</v>
      </c>
      <c r="G18" s="108"/>
      <c r="H18" s="232">
        <f>(H15*10^7)/(H5*10^6)</f>
        <v>4.8783370335652538</v>
      </c>
      <c r="I18" s="232">
        <f>(I15*10^7)/(I5*10^6)</f>
        <v>5.6481308719310483</v>
      </c>
      <c r="J18" s="107">
        <f>H18-I18</f>
        <v>-0.76979383836579451</v>
      </c>
      <c r="K18" s="220">
        <f>J18/I18</f>
        <v>-0.13629178498525274</v>
      </c>
      <c r="L18" s="109"/>
      <c r="M18" s="232">
        <f>(M15*10^7)/(M5*10^6)</f>
        <v>9.3337936853014529</v>
      </c>
      <c r="N18" s="232">
        <f>(N15*10^7)/(N5*10^6)</f>
        <v>11.645237240351353</v>
      </c>
      <c r="O18" s="107">
        <f>M18-N18</f>
        <v>-2.3114435550499</v>
      </c>
      <c r="P18" s="215">
        <f>O18/N18</f>
        <v>-0.19848831821481727</v>
      </c>
      <c r="Q18" s="186"/>
      <c r="R18" s="107">
        <f>(R15*10^7)/(R5*10^6)</f>
        <v>36.062287965411358</v>
      </c>
      <c r="S18" s="106">
        <f>(S15*10^7)/(S5*10^6)</f>
        <v>35.465539896066474</v>
      </c>
      <c r="T18" s="106">
        <f>R18-S18</f>
        <v>0.59674806934488345</v>
      </c>
      <c r="U18" s="215">
        <f>T18/S18</f>
        <v>1.682613802281548E-2</v>
      </c>
      <c r="V18" s="108"/>
      <c r="W18" s="106">
        <f>(W15*10^7)/(W5*10^6)</f>
        <v>5.0088311213409105</v>
      </c>
      <c r="X18" s="110">
        <f>(X15*10^7)/(X5*10^6)</f>
        <v>5.4037402937795092</v>
      </c>
      <c r="Y18" s="106">
        <f>W18-X18</f>
        <v>-0.39490917243859869</v>
      </c>
      <c r="Z18" s="220">
        <f>Y18/X18</f>
        <v>-7.30807090957344E-2</v>
      </c>
      <c r="AA18" s="109"/>
      <c r="AB18" s="106">
        <f>(AB15*10^7)/(AB5*10^6)</f>
        <v>9.5256878010329515</v>
      </c>
      <c r="AC18" s="110">
        <f>(AC15*10^7)/(AC5*10^6)</f>
        <v>10.11759125091235</v>
      </c>
      <c r="AD18" s="106">
        <f>AB18-AC18</f>
        <v>-0.59190344987939802</v>
      </c>
      <c r="AE18" s="215">
        <f>AD18/AC18</f>
        <v>-5.8502407855824716E-2</v>
      </c>
    </row>
    <row r="19" spans="2:31" x14ac:dyDescent="0.3">
      <c r="B19" s="86"/>
      <c r="C19" s="92"/>
      <c r="D19" s="92"/>
      <c r="E19" s="88"/>
      <c r="F19" s="169"/>
      <c r="G19" s="89"/>
      <c r="H19" s="92"/>
      <c r="I19" s="92"/>
      <c r="J19" s="88"/>
      <c r="K19" s="169"/>
      <c r="L19" s="90"/>
      <c r="M19" s="92"/>
      <c r="N19" s="92"/>
      <c r="O19" s="88"/>
      <c r="P19" s="88"/>
      <c r="Q19" s="178"/>
      <c r="R19" s="88"/>
      <c r="S19" s="92"/>
      <c r="T19" s="92"/>
      <c r="U19" s="88"/>
      <c r="V19" s="89"/>
      <c r="W19" s="92"/>
      <c r="X19" s="100"/>
      <c r="Y19" s="92"/>
      <c r="Z19" s="169"/>
      <c r="AA19" s="90"/>
      <c r="AB19" s="92"/>
      <c r="AC19" s="100"/>
      <c r="AD19" s="92"/>
      <c r="AE19" s="88"/>
    </row>
    <row r="20" spans="2:31" x14ac:dyDescent="0.3">
      <c r="B20" s="86" t="s">
        <v>36</v>
      </c>
      <c r="C20" s="242">
        <f>'P&amp;L Brand wise'!C39/10^7</f>
        <v>0.57085738401251696</v>
      </c>
      <c r="D20" s="242">
        <f>'P&amp;L Brand wise'!H39/10^7</f>
        <v>0.89106343434402546</v>
      </c>
      <c r="E20" s="254">
        <f>C20-D20</f>
        <v>-0.32020605033150851</v>
      </c>
      <c r="F20" s="219">
        <f>E20/D20</f>
        <v>-0.35935269924664198</v>
      </c>
      <c r="G20" s="133"/>
      <c r="H20" s="242">
        <f>'P&amp;L Brand wise'!D39/10^7</f>
        <v>1.4598484532105618</v>
      </c>
      <c r="I20" s="242">
        <f>'P&amp;L Brand wise'!I39/10^7</f>
        <v>2.0397199487845779</v>
      </c>
      <c r="J20" s="254">
        <f>H20-I20</f>
        <v>-0.57987149557401607</v>
      </c>
      <c r="K20" s="219">
        <f>J20/I20</f>
        <v>-0.284289760424978</v>
      </c>
      <c r="L20" s="134"/>
      <c r="M20" s="242">
        <f>C20+H20</f>
        <v>2.0307058372230786</v>
      </c>
      <c r="N20" s="242">
        <f>D20+I20</f>
        <v>2.9307833831286034</v>
      </c>
      <c r="O20" s="254">
        <f>M20-N20</f>
        <v>-0.9000775459055248</v>
      </c>
      <c r="P20" s="214">
        <f>O20/N20</f>
        <v>-0.30711159039829633</v>
      </c>
      <c r="Q20" s="190"/>
      <c r="R20" s="255">
        <f>'P&amp;L Brand wise'!R39/10^7</f>
        <v>2.4558040801756325</v>
      </c>
      <c r="S20" s="242">
        <f>'P&amp;L Brand wise'!W39/10^7</f>
        <v>3.3777615851286202</v>
      </c>
      <c r="T20" s="243">
        <f>R20-S20</f>
        <v>-0.92195750495298778</v>
      </c>
      <c r="U20" s="214">
        <f>T20/S20</f>
        <v>-0.27294925403027848</v>
      </c>
      <c r="V20" s="133"/>
      <c r="W20" s="242">
        <f>'P&amp;L Brand wise'!S39/10^7</f>
        <v>6.9462296744478342</v>
      </c>
      <c r="X20" s="242">
        <f>'P&amp;L Brand wise'!X39/10^7</f>
        <v>9.1461948987814718</v>
      </c>
      <c r="Y20" s="243">
        <f>W20-X20</f>
        <v>-2.1999652243336376</v>
      </c>
      <c r="Z20" s="219">
        <f>Y20/X20</f>
        <v>-0.24053338559696932</v>
      </c>
      <c r="AA20" s="134"/>
      <c r="AB20" s="132">
        <f>W20+R20</f>
        <v>9.4020337546234671</v>
      </c>
      <c r="AC20" s="132">
        <f>+X20+S20</f>
        <v>12.523956483910093</v>
      </c>
      <c r="AD20" s="135">
        <f>AB20-AC20</f>
        <v>-3.1219227292866254</v>
      </c>
      <c r="AE20" s="214">
        <f>AD20/AC20</f>
        <v>-0.24927607607847044</v>
      </c>
    </row>
    <row r="21" spans="2:31" x14ac:dyDescent="0.3">
      <c r="B21" s="86" t="s">
        <v>11</v>
      </c>
      <c r="C21" s="243">
        <f>C20</f>
        <v>0.57085738401251696</v>
      </c>
      <c r="D21" s="243">
        <f>D20</f>
        <v>0.89106343434402546</v>
      </c>
      <c r="E21" s="254">
        <f>C21-D21</f>
        <v>-0.32020605033150851</v>
      </c>
      <c r="F21" s="219">
        <f>E21/D21</f>
        <v>-0.35935269924664198</v>
      </c>
      <c r="G21" s="133"/>
      <c r="H21" s="243">
        <f>H20</f>
        <v>1.4598484532105618</v>
      </c>
      <c r="I21" s="243">
        <f>I20</f>
        <v>2.0397199487845779</v>
      </c>
      <c r="J21" s="254">
        <f>H21-I21</f>
        <v>-0.57987149557401607</v>
      </c>
      <c r="K21" s="219">
        <f>J21/I21</f>
        <v>-0.284289760424978</v>
      </c>
      <c r="L21" s="134"/>
      <c r="M21" s="243">
        <f>M20</f>
        <v>2.0307058372230786</v>
      </c>
      <c r="N21" s="243">
        <f>N20</f>
        <v>2.9307833831286034</v>
      </c>
      <c r="O21" s="254">
        <f>M21-N21</f>
        <v>-0.9000775459055248</v>
      </c>
      <c r="P21" s="214">
        <f>O21/N21</f>
        <v>-0.30711159039829633</v>
      </c>
      <c r="Q21" s="190"/>
      <c r="R21" s="254">
        <f>R20</f>
        <v>2.4558040801756325</v>
      </c>
      <c r="S21" s="243">
        <f>S20</f>
        <v>3.3777615851286202</v>
      </c>
      <c r="T21" s="243">
        <f>R21-S21</f>
        <v>-0.92195750495298778</v>
      </c>
      <c r="U21" s="214">
        <f>T21/S21</f>
        <v>-0.27294925403027848</v>
      </c>
      <c r="V21" s="133"/>
      <c r="W21" s="243">
        <f>W20</f>
        <v>6.9462296744478342</v>
      </c>
      <c r="X21" s="243">
        <f>X20</f>
        <v>9.1461948987814718</v>
      </c>
      <c r="Y21" s="243">
        <f>W21-X21</f>
        <v>-2.1999652243336376</v>
      </c>
      <c r="Z21" s="219">
        <f>Y21/X21</f>
        <v>-0.24053338559696932</v>
      </c>
      <c r="AA21" s="134"/>
      <c r="AB21" s="135">
        <f>AB20</f>
        <v>9.4020337546234671</v>
      </c>
      <c r="AC21" s="135">
        <f>AC20</f>
        <v>12.523956483910093</v>
      </c>
      <c r="AD21" s="135">
        <f>AB21-AC21</f>
        <v>-3.1219227292866254</v>
      </c>
      <c r="AE21" s="214">
        <f>AD21/AC21</f>
        <v>-0.24927607607847044</v>
      </c>
    </row>
    <row r="22" spans="2:31" x14ac:dyDescent="0.3">
      <c r="B22" s="86" t="s">
        <v>91</v>
      </c>
      <c r="C22" s="136">
        <f>C21/C13</f>
        <v>0.13350000000000001</v>
      </c>
      <c r="D22" s="136">
        <f>D21/D13</f>
        <v>0.11676525883930403</v>
      </c>
      <c r="E22" s="137">
        <f>C22-D22</f>
        <v>1.6734741160695982E-2</v>
      </c>
      <c r="F22" s="162"/>
      <c r="G22" s="166"/>
      <c r="H22" s="136">
        <f>H21/H13</f>
        <v>0.33420000000000011</v>
      </c>
      <c r="I22" s="136">
        <f>I21/I13</f>
        <v>0.35304192631267389</v>
      </c>
      <c r="J22" s="137">
        <f>H22-I22</f>
        <v>-1.8841926312673785E-2</v>
      </c>
      <c r="K22" s="162"/>
      <c r="L22" s="226"/>
      <c r="M22" s="136">
        <f>M21/M13</f>
        <v>0.23491920678299194</v>
      </c>
      <c r="N22" s="136">
        <f>N21/N13</f>
        <v>0.21857172174729489</v>
      </c>
      <c r="O22" s="137">
        <f>M22-N22</f>
        <v>1.6347485035697051E-2</v>
      </c>
      <c r="P22" s="137"/>
      <c r="Q22" s="192"/>
      <c r="R22" s="137">
        <f>R21/R13</f>
        <v>0.13867200537263022</v>
      </c>
      <c r="S22" s="136">
        <f>S21/S13</f>
        <v>0.13372275029043554</v>
      </c>
      <c r="T22" s="136">
        <f>R22-S22</f>
        <v>4.9492550821946812E-3</v>
      </c>
      <c r="U22" s="137"/>
      <c r="V22" s="138"/>
      <c r="W22" s="136">
        <f>W21/W13</f>
        <v>0.35978054562712147</v>
      </c>
      <c r="X22" s="137">
        <f>X21/X13</f>
        <v>0.35117852639262825</v>
      </c>
      <c r="Y22" s="140">
        <f>W22-X22</f>
        <v>8.6020192344932189E-3</v>
      </c>
      <c r="Z22" s="162"/>
      <c r="AA22" s="226"/>
      <c r="AB22" s="136">
        <f>AB21/AB13</f>
        <v>0.25399715484334223</v>
      </c>
      <c r="AC22" s="137">
        <f>AC21/AC13</f>
        <v>0.24411396969015856</v>
      </c>
      <c r="AD22" s="140">
        <f>AB22-AC22</f>
        <v>9.8831851531836767E-3</v>
      </c>
      <c r="AE22" s="137"/>
    </row>
    <row r="23" spans="2:31" x14ac:dyDescent="0.3">
      <c r="B23" s="86"/>
      <c r="C23" s="92"/>
      <c r="D23" s="92"/>
      <c r="E23" s="88"/>
      <c r="F23" s="169"/>
      <c r="G23" s="89"/>
      <c r="H23" s="92"/>
      <c r="I23" s="92"/>
      <c r="J23" s="88"/>
      <c r="K23" s="169"/>
      <c r="L23" s="90"/>
      <c r="M23" s="92"/>
      <c r="N23" s="92"/>
      <c r="O23" s="88"/>
      <c r="P23" s="88"/>
      <c r="Q23" s="178"/>
      <c r="R23" s="88"/>
      <c r="S23" s="92"/>
      <c r="T23" s="92"/>
      <c r="U23" s="88"/>
      <c r="V23" s="89"/>
      <c r="W23" s="92"/>
      <c r="X23" s="100"/>
      <c r="Y23" s="92"/>
      <c r="Z23" s="169"/>
      <c r="AA23" s="90"/>
      <c r="AB23" s="92"/>
      <c r="AC23" s="100"/>
      <c r="AD23" s="92"/>
      <c r="AE23" s="88"/>
    </row>
    <row r="24" spans="2:31" x14ac:dyDescent="0.3">
      <c r="B24" s="93" t="s">
        <v>33</v>
      </c>
      <c r="C24" s="111">
        <f>C13-C15-C21</f>
        <v>0.66066372948948271</v>
      </c>
      <c r="D24" s="111">
        <f>D13-D15-D21</f>
        <v>1.065260300495332</v>
      </c>
      <c r="E24" s="112">
        <f>C24-D24</f>
        <v>-0.40459657100584934</v>
      </c>
      <c r="F24" s="221">
        <f>E24/D24</f>
        <v>-0.37981005282719843</v>
      </c>
      <c r="G24" s="115"/>
      <c r="H24" s="111">
        <f>H13-H15-H21</f>
        <v>0.50742536103743752</v>
      </c>
      <c r="I24" s="111">
        <f>I13-I15-I21</f>
        <v>0.27091454947957105</v>
      </c>
      <c r="J24" s="112">
        <f>H24-I24</f>
        <v>0.23651081155786646</v>
      </c>
      <c r="K24" s="221">
        <f>J24/I24</f>
        <v>0.87300889528526826</v>
      </c>
      <c r="L24" s="120"/>
      <c r="M24" s="111">
        <f>M13-M15-M21</f>
        <v>1.1680890905269186</v>
      </c>
      <c r="N24" s="111">
        <f>N13-N15-N21</f>
        <v>1.3361748499749035</v>
      </c>
      <c r="O24" s="112">
        <f>M24-N24</f>
        <v>-0.16808575944798498</v>
      </c>
      <c r="P24" s="216">
        <f>O24/N24</f>
        <v>-0.12579623052412792</v>
      </c>
      <c r="Q24" s="194"/>
      <c r="R24" s="111">
        <f>R13-R15-R21</f>
        <v>1.7273604194105832</v>
      </c>
      <c r="S24" s="111">
        <f>S13-S15-S21</f>
        <v>2.4770688155921161</v>
      </c>
      <c r="T24" s="127">
        <f>R24-S24</f>
        <v>-0.74970839618153295</v>
      </c>
      <c r="U24" s="216">
        <f>T24/S24</f>
        <v>-0.3026594947473526</v>
      </c>
      <c r="V24" s="128"/>
      <c r="W24" s="111">
        <f>W13-W15-W21</f>
        <v>1.3231293578667982</v>
      </c>
      <c r="X24" s="111">
        <f>X13-X15-X21</f>
        <v>0.99946233133210249</v>
      </c>
      <c r="Y24" s="131">
        <f>W24-X24</f>
        <v>0.3236670265346957</v>
      </c>
      <c r="Z24" s="221">
        <f>Y24/X24</f>
        <v>0.32384114577215339</v>
      </c>
      <c r="AA24" s="120"/>
      <c r="AB24" s="111">
        <f>AB13-AB15-AB21</f>
        <v>3.0504897772773809</v>
      </c>
      <c r="AC24" s="111">
        <f>AC13-AC15-AC21</f>
        <v>3.4765311469242217</v>
      </c>
      <c r="AD24" s="131">
        <f>AB24-AC24</f>
        <v>-0.42604136964684081</v>
      </c>
      <c r="AE24" s="216">
        <f>AD24/AC24</f>
        <v>-0.12254783623146043</v>
      </c>
    </row>
    <row r="25" spans="2:31" ht="15" thickBot="1" x14ac:dyDescent="0.35">
      <c r="B25" s="141" t="s">
        <v>91</v>
      </c>
      <c r="C25" s="247">
        <f>C24/C13</f>
        <v>0.15450200059935118</v>
      </c>
      <c r="D25" s="247">
        <f>D24/D13</f>
        <v>0.13959207607945565</v>
      </c>
      <c r="E25" s="248">
        <f>C25-D25</f>
        <v>1.4909924519895534E-2</v>
      </c>
      <c r="F25" s="163"/>
      <c r="G25" s="167"/>
      <c r="H25" s="247">
        <f>H24/H13</f>
        <v>0.11616380815814174</v>
      </c>
      <c r="I25" s="247">
        <f>I24/I13</f>
        <v>4.6890846202386829E-2</v>
      </c>
      <c r="J25" s="248">
        <f>H25-I25</f>
        <v>6.9272961955754914E-2</v>
      </c>
      <c r="K25" s="163"/>
      <c r="L25" s="227"/>
      <c r="M25" s="247">
        <f>M24/M13</f>
        <v>0.13512866195021719</v>
      </c>
      <c r="N25" s="247">
        <f>N24/N13</f>
        <v>9.9649137904789631E-2</v>
      </c>
      <c r="O25" s="248">
        <f>M25-N25</f>
        <v>3.5479524045427563E-2</v>
      </c>
      <c r="P25" s="143"/>
      <c r="Q25" s="196"/>
      <c r="R25" s="248">
        <f>R24/R13</f>
        <v>9.7538942660215053E-2</v>
      </c>
      <c r="S25" s="247">
        <f>S24/S13</f>
        <v>9.8065078405181846E-2</v>
      </c>
      <c r="T25" s="142">
        <f>R25-S25</f>
        <v>-5.2613574496679361E-4</v>
      </c>
      <c r="U25" s="143"/>
      <c r="V25" s="144"/>
      <c r="W25" s="247">
        <f>W24/W13</f>
        <v>6.8531595501327897E-2</v>
      </c>
      <c r="X25" s="248">
        <f>X24/X13</f>
        <v>3.8375489762295587E-2</v>
      </c>
      <c r="Y25" s="146">
        <f>W25-X25</f>
        <v>3.015610573903231E-2</v>
      </c>
      <c r="Z25" s="163"/>
      <c r="AA25" s="227"/>
      <c r="AB25" s="142">
        <f>AB24/AB13</f>
        <v>8.2409374878721159E-2</v>
      </c>
      <c r="AC25" s="143">
        <f>AC24/AC13</f>
        <v>6.7763715094144847E-2</v>
      </c>
      <c r="AD25" s="146">
        <f>AB25-AC25</f>
        <v>1.4645659784576312E-2</v>
      </c>
      <c r="AE25" s="143"/>
    </row>
    <row r="27" spans="2:31" x14ac:dyDescent="0.3">
      <c r="C27" s="147">
        <f>C24*10^7</f>
        <v>6606637.2948948275</v>
      </c>
      <c r="D27" s="147">
        <f>D24*10^7</f>
        <v>10652603.004953321</v>
      </c>
      <c r="H27" s="147">
        <f>H24*10^7</f>
        <v>5074253.6103743752</v>
      </c>
      <c r="I27" s="147">
        <f>I24*10^7</f>
        <v>2709145.4947957103</v>
      </c>
      <c r="M27" s="147"/>
      <c r="N27" s="147"/>
      <c r="R27" s="147">
        <f>R24*10^7</f>
        <v>17273604.19410583</v>
      </c>
      <c r="S27" s="147">
        <f>S24*10^7</f>
        <v>24770688.155921161</v>
      </c>
      <c r="W27" s="147">
        <f>W24*10^7</f>
        <v>13231293.578667982</v>
      </c>
      <c r="X27" s="147">
        <f>X24*10^7</f>
        <v>9994623.3133210242</v>
      </c>
      <c r="AB27" s="147"/>
      <c r="AC27" s="147"/>
    </row>
    <row r="28" spans="2:31" x14ac:dyDescent="0.3">
      <c r="C28">
        <f>'P&amp;L Brand wise'!C41</f>
        <v>6606637.2948948257</v>
      </c>
      <c r="D28">
        <f>'P&amp;L Brand wise'!H41</f>
        <v>10652603.004953319</v>
      </c>
      <c r="H28">
        <f>'P&amp;L Brand wise'!D41</f>
        <v>5074253.6103743799</v>
      </c>
      <c r="I28">
        <f>'P&amp;L Brand wise'!I41</f>
        <v>2709145.4947957098</v>
      </c>
      <c r="R28" s="147">
        <f>'P&amp;L Brand wise'!R41</f>
        <v>17273604.19410583</v>
      </c>
      <c r="S28" s="147">
        <f>'P&amp;L Brand wise'!W41</f>
        <v>24770688.155921161</v>
      </c>
      <c r="W28" s="147">
        <f>'P&amp;L Brand wise'!S41</f>
        <v>13231293.578667983</v>
      </c>
      <c r="X28" s="147">
        <f>'P&amp;L Brand wise'!X41</f>
        <v>9994623.3133210242</v>
      </c>
    </row>
    <row r="29" spans="2:31" x14ac:dyDescent="0.3">
      <c r="C29" s="147">
        <f>C27-C28</f>
        <v>0</v>
      </c>
      <c r="D29" s="147">
        <f>D27-D28</f>
        <v>0</v>
      </c>
      <c r="H29" s="147">
        <f>H27-H28</f>
        <v>0</v>
      </c>
      <c r="I29" s="147">
        <f>I27-I28</f>
        <v>0</v>
      </c>
      <c r="R29" s="147">
        <f>R27-R28</f>
        <v>0</v>
      </c>
      <c r="S29" s="147">
        <f>S27-S28</f>
        <v>0</v>
      </c>
      <c r="W29" s="147">
        <f>W27-W28</f>
        <v>0</v>
      </c>
      <c r="X29" s="147">
        <f>X27-X28</f>
        <v>0</v>
      </c>
    </row>
  </sheetData>
  <mergeCells count="9">
    <mergeCell ref="B2:B3"/>
    <mergeCell ref="C2:K2"/>
    <mergeCell ref="M2:P3"/>
    <mergeCell ref="R2:Z2"/>
    <mergeCell ref="AB2:AE3"/>
    <mergeCell ref="C3:F3"/>
    <mergeCell ref="H3:K3"/>
    <mergeCell ref="R3:U3"/>
    <mergeCell ref="W3:Z3"/>
  </mergeCells>
  <pageMargins left="0.7" right="0.7" top="0.75" bottom="0.75" header="0.3" footer="0.3"/>
  <pageSetup orientation="portrait" horizontalDpi="300" verticalDpi="0" copies="0" r:id="rId1"/>
  <headerFooter>
    <oddHeader>&amp;C&amp;"Calibri"&amp;11&amp;KFF0000 Classification - Confidential&amp;1#_x000D_</oddHeader>
    <oddFooter>&amp;C_x000D_&amp;1#&amp;"Calibri"&amp;11&amp;KFF0000 Classification -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BC23-5BDB-4AA9-9752-C665557EC913}">
  <dimension ref="B2:K29"/>
  <sheetViews>
    <sheetView showGridLines="0" zoomScaleNormal="12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H5" sqref="H5"/>
    </sheetView>
  </sheetViews>
  <sheetFormatPr defaultRowHeight="14.4" x14ac:dyDescent="0.3"/>
  <cols>
    <col min="1" max="1" width="1.77734375" customWidth="1"/>
    <col min="2" max="2" width="16.21875" style="62" bestFit="1" customWidth="1"/>
    <col min="3" max="4" width="6.21875" hidden="1" customWidth="1"/>
    <col min="5" max="5" width="7.88671875" hidden="1" customWidth="1"/>
    <col min="6" max="6" width="3.6640625" hidden="1" customWidth="1"/>
    <col min="7" max="7" width="3.44140625" hidden="1" customWidth="1"/>
    <col min="8" max="9" width="7.6640625" bestFit="1" customWidth="1"/>
    <col min="10" max="10" width="7.88671875" bestFit="1" customWidth="1"/>
    <col min="11" max="11" width="3.6640625" bestFit="1" customWidth="1"/>
  </cols>
  <sheetData>
    <row r="2" spans="2:11" ht="15" thickBot="1" x14ac:dyDescent="0.35">
      <c r="B2" s="361" t="s">
        <v>2</v>
      </c>
      <c r="C2" s="363" t="s">
        <v>10</v>
      </c>
      <c r="D2" s="364"/>
      <c r="E2" s="364"/>
      <c r="F2" s="365"/>
      <c r="G2" s="307"/>
      <c r="H2" s="363" t="s">
        <v>10</v>
      </c>
      <c r="I2" s="364"/>
      <c r="J2" s="364"/>
      <c r="K2" s="366"/>
    </row>
    <row r="3" spans="2:11" ht="15" thickBot="1" x14ac:dyDescent="0.35">
      <c r="B3" s="362"/>
      <c r="C3" s="348" t="s">
        <v>13</v>
      </c>
      <c r="D3" s="349"/>
      <c r="E3" s="349"/>
      <c r="F3" s="350"/>
      <c r="G3" s="173"/>
      <c r="H3" s="348" t="s">
        <v>13</v>
      </c>
      <c r="I3" s="349"/>
      <c r="J3" s="349"/>
      <c r="K3" s="360"/>
    </row>
    <row r="4" spans="2:11" ht="25.2" thickBot="1" x14ac:dyDescent="0.35">
      <c r="B4" s="308" t="s">
        <v>77</v>
      </c>
      <c r="C4" s="76" t="s">
        <v>213</v>
      </c>
      <c r="D4" s="76" t="s">
        <v>214</v>
      </c>
      <c r="E4" s="77" t="s">
        <v>78</v>
      </c>
      <c r="F4" s="78" t="s">
        <v>133</v>
      </c>
      <c r="G4" s="168"/>
      <c r="H4" s="76" t="s">
        <v>215</v>
      </c>
      <c r="I4" s="76" t="s">
        <v>216</v>
      </c>
      <c r="J4" s="77" t="s">
        <v>78</v>
      </c>
      <c r="K4" s="309" t="s">
        <v>133</v>
      </c>
    </row>
    <row r="5" spans="2:11" x14ac:dyDescent="0.3">
      <c r="B5" s="310" t="s">
        <v>80</v>
      </c>
      <c r="C5" s="80">
        <f>'P&amp;L Brand wise'!E8/1000</f>
        <v>1.496675</v>
      </c>
      <c r="D5" s="80">
        <f>'P&amp;L Brand wise'!J8/1000</f>
        <v>0.93965652861834315</v>
      </c>
      <c r="E5" s="81">
        <f>C5-D5</f>
        <v>0.55701847138165683</v>
      </c>
      <c r="F5" s="213">
        <f>E5/D5</f>
        <v>0.59278944424585489</v>
      </c>
      <c r="G5" s="176"/>
      <c r="H5" s="85">
        <f>'P&amp;L Brand wise'!T8/1000</f>
        <v>5.1553750000000003</v>
      </c>
      <c r="I5" s="85">
        <f>'P&amp;L Brand wise'!Y8/1000</f>
        <v>4.4674955986982878</v>
      </c>
      <c r="J5" s="85">
        <f>H5-I5</f>
        <v>0.68787940130171243</v>
      </c>
      <c r="K5" s="311">
        <f>J5/I5</f>
        <v>0.15397427621465204</v>
      </c>
    </row>
    <row r="6" spans="2:11" x14ac:dyDescent="0.3">
      <c r="B6" s="312"/>
      <c r="C6" s="87"/>
      <c r="D6" s="87"/>
      <c r="E6" s="88"/>
      <c r="F6" s="88"/>
      <c r="G6" s="178"/>
      <c r="H6" s="92"/>
      <c r="I6" s="92"/>
      <c r="J6" s="92"/>
      <c r="K6" s="100"/>
    </row>
    <row r="7" spans="2:11" x14ac:dyDescent="0.3">
      <c r="B7" s="313" t="s">
        <v>81</v>
      </c>
      <c r="C7" s="87">
        <f>'P&amp;L Brand wise'!E11/10^7</f>
        <v>1.69678295</v>
      </c>
      <c r="D7" s="87">
        <f>'P&amp;L Brand wise'!J11/10^7</f>
        <v>1.1270025699966195</v>
      </c>
      <c r="E7" s="94">
        <f>C7-D7</f>
        <v>0.56978038000338049</v>
      </c>
      <c r="F7" s="214">
        <f>E7/D7</f>
        <v>0.50557150016533647</v>
      </c>
      <c r="G7" s="180"/>
      <c r="H7" s="98">
        <f>'P&amp;L Brand wise'!T11/10^7</f>
        <v>5.9650677500000002</v>
      </c>
      <c r="I7" s="98">
        <f>'P&amp;L Brand wise'!Y11/10^7</f>
        <v>5.3134115209782049</v>
      </c>
      <c r="J7" s="98">
        <f>H7-I7</f>
        <v>0.65165622902179532</v>
      </c>
      <c r="K7" s="314">
        <f>J7/I7</f>
        <v>0.12264365868311752</v>
      </c>
    </row>
    <row r="8" spans="2:11" x14ac:dyDescent="0.3">
      <c r="B8" s="312"/>
      <c r="C8" s="92"/>
      <c r="D8" s="92"/>
      <c r="E8" s="88"/>
      <c r="F8" s="88"/>
      <c r="G8" s="178"/>
      <c r="H8" s="92"/>
      <c r="I8" s="92"/>
      <c r="J8" s="92"/>
      <c r="K8" s="100"/>
    </row>
    <row r="9" spans="2:11" x14ac:dyDescent="0.3">
      <c r="B9" s="312" t="s">
        <v>82</v>
      </c>
      <c r="C9" s="87">
        <f>('P&amp;L Brand wise'!E15)/10^7</f>
        <v>0.28675631854999994</v>
      </c>
      <c r="D9" s="87">
        <f>'P&amp;L Brand wise'!J15/10^7</f>
        <v>0.19046343432942869</v>
      </c>
      <c r="E9" s="94">
        <f>C9-D9</f>
        <v>9.6292884220571251E-2</v>
      </c>
      <c r="F9" s="214">
        <f>E9/D9</f>
        <v>0.50557150016533614</v>
      </c>
      <c r="G9" s="182"/>
      <c r="H9" s="98">
        <f>('P&amp;L Brand wise'!T15)/10^7</f>
        <v>1.0619417266866531</v>
      </c>
      <c r="I9" s="98">
        <f>'P&amp;L Brand wise'!Y15/10^7</f>
        <v>0.89796654704531653</v>
      </c>
      <c r="J9" s="98">
        <f>H9-I9</f>
        <v>0.16397517964133657</v>
      </c>
      <c r="K9" s="314">
        <f>J9/I9</f>
        <v>0.18260722538148344</v>
      </c>
    </row>
    <row r="10" spans="2:11" x14ac:dyDescent="0.3">
      <c r="B10" s="312" t="s">
        <v>83</v>
      </c>
      <c r="C10" s="136">
        <f t="shared" ref="C10:D10" si="0">C9/C7</f>
        <v>0.16899999999999996</v>
      </c>
      <c r="D10" s="136">
        <f t="shared" si="0"/>
        <v>0.16899999999999998</v>
      </c>
      <c r="E10" s="137">
        <f>C10-D10</f>
        <v>0</v>
      </c>
      <c r="F10" s="102"/>
      <c r="G10" s="184"/>
      <c r="H10" s="136">
        <f t="shared" ref="H10:I10" si="1">H9/H7</f>
        <v>0.17802676703657777</v>
      </c>
      <c r="I10" s="162">
        <f t="shared" si="1"/>
        <v>0.16899999999999998</v>
      </c>
      <c r="J10" s="101">
        <f>H10-I10</f>
        <v>9.0267670365777875E-3</v>
      </c>
      <c r="K10" s="315"/>
    </row>
    <row r="11" spans="2:11" x14ac:dyDescent="0.3">
      <c r="B11" s="312"/>
      <c r="C11" s="92"/>
      <c r="D11" s="92"/>
      <c r="E11" s="88"/>
      <c r="F11" s="88"/>
      <c r="G11" s="178"/>
      <c r="H11" s="92"/>
      <c r="I11" s="92"/>
      <c r="J11" s="92"/>
      <c r="K11" s="100"/>
    </row>
    <row r="12" spans="2:11" x14ac:dyDescent="0.3">
      <c r="B12" s="312" t="s">
        <v>84</v>
      </c>
      <c r="C12" s="106">
        <f t="shared" ref="C12:D12" si="2">(C7*10^7)/(C5*10^6)</f>
        <v>11.33701672039688</v>
      </c>
      <c r="D12" s="106">
        <f t="shared" si="2"/>
        <v>11.993771507699172</v>
      </c>
      <c r="E12" s="107">
        <f>C12-D12</f>
        <v>-0.65675478730229209</v>
      </c>
      <c r="F12" s="215">
        <f>E12/D12</f>
        <v>-5.4757987250357479E-2</v>
      </c>
      <c r="G12" s="186"/>
      <c r="H12" s="106">
        <f t="shared" ref="H12:I12" si="3">(H7*10^7)/(H5*10^6)</f>
        <v>11.570579734742866</v>
      </c>
      <c r="I12" s="110">
        <f t="shared" si="3"/>
        <v>11.893490219724882</v>
      </c>
      <c r="J12" s="106">
        <f>H12-I12</f>
        <v>-0.32291048498201569</v>
      </c>
      <c r="K12" s="316">
        <f>J12/I12</f>
        <v>-2.7150187120554524E-2</v>
      </c>
    </row>
    <row r="13" spans="2:11" x14ac:dyDescent="0.3">
      <c r="B13" s="313" t="s">
        <v>85</v>
      </c>
      <c r="C13" s="111">
        <f t="shared" ref="C13:D13" si="4">+C7-C9</f>
        <v>1.4100266314500001</v>
      </c>
      <c r="D13" s="111">
        <f t="shared" si="4"/>
        <v>0.93653913566719083</v>
      </c>
      <c r="E13" s="112">
        <f>C13-D13</f>
        <v>0.47348749578280924</v>
      </c>
      <c r="F13" s="216">
        <f>E13/D13</f>
        <v>0.50557150016533647</v>
      </c>
      <c r="G13" s="188"/>
      <c r="H13" s="111">
        <f t="shared" ref="H13:I13" si="5">+H7-H9</f>
        <v>4.9031260233133471</v>
      </c>
      <c r="I13" s="112">
        <f t="shared" si="5"/>
        <v>4.415444973932888</v>
      </c>
      <c r="J13" s="111">
        <f>H13-I13</f>
        <v>0.48768104938045909</v>
      </c>
      <c r="K13" s="317">
        <f>J13/I13</f>
        <v>0.11044890203808291</v>
      </c>
    </row>
    <row r="14" spans="2:11" x14ac:dyDescent="0.3">
      <c r="B14" s="312"/>
      <c r="C14" s="92"/>
      <c r="D14" s="92"/>
      <c r="E14" s="88"/>
      <c r="F14" s="88"/>
      <c r="G14" s="178"/>
      <c r="H14" s="92"/>
      <c r="I14" s="92"/>
      <c r="J14" s="92"/>
      <c r="K14" s="100"/>
    </row>
    <row r="15" spans="2:11" x14ac:dyDescent="0.3">
      <c r="B15" s="312" t="s">
        <v>86</v>
      </c>
      <c r="C15" s="149">
        <f t="shared" ref="C15:D15" si="6">SUM(C17:C17)</f>
        <v>0.62848040000000005</v>
      </c>
      <c r="D15" s="149">
        <f t="shared" si="6"/>
        <v>0.43378234485985384</v>
      </c>
      <c r="E15" s="150">
        <f>C15-D15</f>
        <v>0.19469805514014621</v>
      </c>
      <c r="F15" s="217">
        <f>E15/D15</f>
        <v>0.44883812687915908</v>
      </c>
      <c r="G15" s="188"/>
      <c r="H15" s="149">
        <f t="shared" ref="H15:I15" si="7">SUM(H17:H17)</f>
        <v>2.2350437926862634</v>
      </c>
      <c r="I15" s="148">
        <f t="shared" si="7"/>
        <v>2.0720880398938943</v>
      </c>
      <c r="J15" s="149">
        <f>H15-I15</f>
        <v>0.16295575279236907</v>
      </c>
      <c r="K15" s="318">
        <f>J15/I15</f>
        <v>7.8643257262714358E-2</v>
      </c>
    </row>
    <row r="16" spans="2:11" x14ac:dyDescent="0.3">
      <c r="B16" s="312" t="s">
        <v>87</v>
      </c>
      <c r="C16" s="136">
        <f t="shared" ref="C16:D16" si="8">C15/C13</f>
        <v>0.44572236153703182</v>
      </c>
      <c r="D16" s="136">
        <f t="shared" si="8"/>
        <v>0.46317588698610779</v>
      </c>
      <c r="E16" s="137">
        <f>C16-D16</f>
        <v>-1.7453525449075968E-2</v>
      </c>
      <c r="F16" s="102"/>
      <c r="G16" s="184"/>
      <c r="H16" s="101">
        <f t="shared" ref="H16:I16" si="9">H15/H13</f>
        <v>0.4558405764116798</v>
      </c>
      <c r="I16" s="105">
        <f t="shared" si="9"/>
        <v>0.46928181692371118</v>
      </c>
      <c r="J16" s="101">
        <f>H16-I16</f>
        <v>-1.3441240512031383E-2</v>
      </c>
      <c r="K16" s="315"/>
    </row>
    <row r="17" spans="2:11" x14ac:dyDescent="0.3">
      <c r="B17" s="312" t="s">
        <v>88</v>
      </c>
      <c r="C17" s="87">
        <f>'P&amp;L Brand wise'!E32/10^7</f>
        <v>0.62848040000000005</v>
      </c>
      <c r="D17" s="87">
        <f>'P&amp;L Brand wise'!J32/10^7</f>
        <v>0.43378234485985384</v>
      </c>
      <c r="E17" s="94">
        <f>C17-D17</f>
        <v>0.19469805514014621</v>
      </c>
      <c r="F17" s="214">
        <f>E17/D17</f>
        <v>0.44883812687915908</v>
      </c>
      <c r="G17" s="182"/>
      <c r="H17" s="87">
        <f>'P&amp;L Brand wise'!T32/10^7</f>
        <v>2.2350437926862634</v>
      </c>
      <c r="I17" s="87">
        <f>'P&amp;L Brand wise'!Y32/10^7</f>
        <v>2.0720880398938943</v>
      </c>
      <c r="J17" s="98">
        <f>H17-I17</f>
        <v>0.16295575279236907</v>
      </c>
      <c r="K17" s="314">
        <f>J17/I17</f>
        <v>7.8643257262714358E-2</v>
      </c>
    </row>
    <row r="18" spans="2:11" x14ac:dyDescent="0.3">
      <c r="B18" s="312" t="s">
        <v>89</v>
      </c>
      <c r="C18" s="232">
        <f>(C15*10^7)/(C5*10^6)</f>
        <v>4.1991775101474946</v>
      </c>
      <c r="D18" s="232">
        <f>(D15*10^7)/(D5*10^6)</f>
        <v>4.6163926035578218</v>
      </c>
      <c r="E18" s="107">
        <f>C18-D18</f>
        <v>-0.41721509341032714</v>
      </c>
      <c r="F18" s="215">
        <f>E18/D18</f>
        <v>-9.037686549640131E-2</v>
      </c>
      <c r="G18" s="186"/>
      <c r="H18" s="106">
        <f>(H15*10^7)/(H5*10^6)</f>
        <v>4.3353660843028168</v>
      </c>
      <c r="I18" s="110">
        <f>(I15*10^7)/(I5*10^6)</f>
        <v>4.638142319597689</v>
      </c>
      <c r="J18" s="106">
        <f>H18-I18</f>
        <v>-0.30277623529487219</v>
      </c>
      <c r="K18" s="316">
        <f>J18/I18</f>
        <v>-6.5279634481146084E-2</v>
      </c>
    </row>
    <row r="19" spans="2:11" x14ac:dyDescent="0.3">
      <c r="B19" s="312"/>
      <c r="C19" s="92"/>
      <c r="D19" s="92"/>
      <c r="E19" s="88"/>
      <c r="F19" s="88"/>
      <c r="G19" s="178"/>
      <c r="H19" s="92"/>
      <c r="I19" s="92"/>
      <c r="J19" s="92"/>
      <c r="K19" s="100"/>
    </row>
    <row r="20" spans="2:11" x14ac:dyDescent="0.3">
      <c r="B20" s="312" t="s">
        <v>36</v>
      </c>
      <c r="C20" s="242">
        <f>'P&amp;L Brand wise'!E39/10^7</f>
        <v>0.47123090023059006</v>
      </c>
      <c r="D20" s="242">
        <f>'P&amp;L Brand wise'!J39/10^7</f>
        <v>0.31299137913997516</v>
      </c>
      <c r="E20" s="254">
        <f>C20-D20</f>
        <v>0.1582395210906149</v>
      </c>
      <c r="F20" s="214">
        <f>E20/D20</f>
        <v>0.5055715001653367</v>
      </c>
      <c r="G20" s="190"/>
      <c r="H20" s="243">
        <f>'P&amp;L Brand wise'!T39/10^7</f>
        <v>1.7621892202911318</v>
      </c>
      <c r="I20" s="243">
        <f>'P&amp;L Brand wise'!Y39/10^7</f>
        <v>1.4756417102883714</v>
      </c>
      <c r="J20" s="243">
        <f>H20-I20</f>
        <v>0.28654751000276035</v>
      </c>
      <c r="K20" s="314">
        <f>J20/I20</f>
        <v>0.19418501659644938</v>
      </c>
    </row>
    <row r="21" spans="2:11" x14ac:dyDescent="0.3">
      <c r="B21" s="312" t="s">
        <v>11</v>
      </c>
      <c r="C21" s="243">
        <f>C20</f>
        <v>0.47123090023059006</v>
      </c>
      <c r="D21" s="243">
        <f>D20</f>
        <v>0.31299137913997516</v>
      </c>
      <c r="E21" s="254">
        <f>C21-D21</f>
        <v>0.1582395210906149</v>
      </c>
      <c r="F21" s="214">
        <f>E21/D21</f>
        <v>0.5055715001653367</v>
      </c>
      <c r="G21" s="190"/>
      <c r="H21" s="243">
        <f>H20</f>
        <v>1.7621892202911318</v>
      </c>
      <c r="I21" s="243">
        <f>I20</f>
        <v>1.4756417102883714</v>
      </c>
      <c r="J21" s="243">
        <f>H21-I21</f>
        <v>0.28654751000276035</v>
      </c>
      <c r="K21" s="314">
        <f>J21/I21</f>
        <v>0.19418501659644938</v>
      </c>
    </row>
    <row r="22" spans="2:11" x14ac:dyDescent="0.3">
      <c r="B22" s="312" t="s">
        <v>91</v>
      </c>
      <c r="C22" s="136">
        <f>C21/C13</f>
        <v>0.3342</v>
      </c>
      <c r="D22" s="136">
        <f>D21/D13</f>
        <v>0.3342</v>
      </c>
      <c r="E22" s="137">
        <f>C22-D22</f>
        <v>0</v>
      </c>
      <c r="F22" s="137"/>
      <c r="G22" s="192"/>
      <c r="H22" s="136">
        <f>H21/H13</f>
        <v>0.35940116813483636</v>
      </c>
      <c r="I22" s="137">
        <f>I21/I13</f>
        <v>0.33420000000000005</v>
      </c>
      <c r="J22" s="140">
        <f>H22-I22</f>
        <v>2.5201168134836305E-2</v>
      </c>
      <c r="K22" s="319"/>
    </row>
    <row r="23" spans="2:11" x14ac:dyDescent="0.3">
      <c r="B23" s="312"/>
      <c r="C23" s="92"/>
      <c r="D23" s="92"/>
      <c r="E23" s="88"/>
      <c r="F23" s="88"/>
      <c r="G23" s="178"/>
      <c r="H23" s="92"/>
      <c r="I23" s="92"/>
      <c r="J23" s="92"/>
      <c r="K23" s="100"/>
    </row>
    <row r="24" spans="2:11" x14ac:dyDescent="0.3">
      <c r="B24" s="313" t="s">
        <v>94</v>
      </c>
      <c r="C24" s="111">
        <f>C13-C17-C21</f>
        <v>0.31031533121940996</v>
      </c>
      <c r="D24" s="111">
        <f>D13-D17-D21</f>
        <v>0.18976541166736177</v>
      </c>
      <c r="E24" s="112">
        <f>C24-D24</f>
        <v>0.12054991955204819</v>
      </c>
      <c r="F24" s="216">
        <f>E24/D24</f>
        <v>0.63525759775105461</v>
      </c>
      <c r="G24" s="194"/>
      <c r="H24" s="111">
        <f>H13-H17-H21</f>
        <v>0.90589301033595193</v>
      </c>
      <c r="I24" s="111">
        <f>I13-I17-I21</f>
        <v>0.86771522375062227</v>
      </c>
      <c r="J24" s="131">
        <f>H24-I24</f>
        <v>3.8177786585329665E-2</v>
      </c>
      <c r="K24" s="317">
        <f>J24/I24</f>
        <v>4.3998060124276213E-2</v>
      </c>
    </row>
    <row r="25" spans="2:11" x14ac:dyDescent="0.3">
      <c r="B25" s="312" t="s">
        <v>91</v>
      </c>
      <c r="C25" s="136">
        <f>C24/C13</f>
        <v>0.22007763846296816</v>
      </c>
      <c r="D25" s="136">
        <f>D24/D13</f>
        <v>0.20262411301389219</v>
      </c>
      <c r="E25" s="137">
        <f>C25-D25</f>
        <v>1.7453525449075968E-2</v>
      </c>
      <c r="F25" s="320"/>
      <c r="G25" s="321"/>
      <c r="H25" s="136">
        <f>H24/H13</f>
        <v>0.18475825545348387</v>
      </c>
      <c r="I25" s="137">
        <f>I24/I13</f>
        <v>0.19651818307628874</v>
      </c>
      <c r="J25" s="322">
        <f>H25-I25</f>
        <v>-1.1759927622804867E-2</v>
      </c>
      <c r="K25" s="323"/>
    </row>
    <row r="26" spans="2:11" x14ac:dyDescent="0.3">
      <c r="C26" s="147"/>
      <c r="D26" s="147"/>
    </row>
    <row r="27" spans="2:11" x14ac:dyDescent="0.3">
      <c r="C27" s="147">
        <f>C24*10^7</f>
        <v>3103153.3121940996</v>
      </c>
      <c r="D27" s="147">
        <f>D24*10^7</f>
        <v>1897654.1166736176</v>
      </c>
      <c r="H27" s="147">
        <f>H24*10^7</f>
        <v>9058930.1033595186</v>
      </c>
      <c r="I27" s="147">
        <f>I24*10^7</f>
        <v>8677152.237506222</v>
      </c>
    </row>
    <row r="28" spans="2:11" x14ac:dyDescent="0.3">
      <c r="C28">
        <f>'P&amp;L Brand wise'!E41</f>
        <v>3103153.3121940996</v>
      </c>
      <c r="D28">
        <f>'P&amp;L Brand wise'!J41</f>
        <v>1897654.1166736186</v>
      </c>
      <c r="H28" s="147">
        <f>'P&amp;L Brand wise'!T41</f>
        <v>9058930.103359513</v>
      </c>
      <c r="I28" s="147">
        <f>'P&amp;L Brand wise'!Y41</f>
        <v>8677152.2375062276</v>
      </c>
    </row>
    <row r="29" spans="2:11" x14ac:dyDescent="0.3">
      <c r="C29" s="147">
        <f>C27-C28</f>
        <v>0</v>
      </c>
      <c r="D29" s="147">
        <f>D27-D28</f>
        <v>0</v>
      </c>
      <c r="H29" s="147">
        <f>H27-H28</f>
        <v>0</v>
      </c>
      <c r="I29" s="147">
        <f>I27-I28</f>
        <v>0</v>
      </c>
    </row>
  </sheetData>
  <mergeCells count="5">
    <mergeCell ref="C3:F3"/>
    <mergeCell ref="H3:K3"/>
    <mergeCell ref="B2:B3"/>
    <mergeCell ref="C2:F2"/>
    <mergeCell ref="H2:K2"/>
  </mergeCells>
  <pageMargins left="0.7" right="0.7" top="0.75" bottom="0.75" header="0.3" footer="0.3"/>
  <pageSetup orientation="portrait" horizontalDpi="300" verticalDpi="0" copies="0" r:id="rId1"/>
  <headerFooter>
    <oddHeader>&amp;C&amp;"Calibri"&amp;11&amp;KFF0000 Classification - Confidential&amp;1#_x000D_</oddHeader>
    <oddFooter>&amp;C_x000D_&amp;1#&amp;"Calibri"&amp;11&amp;KFF0000 Classification -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D525-EB0E-4208-9231-CF0816FC27A1}">
  <dimension ref="A1:I55"/>
  <sheetViews>
    <sheetView workbookViewId="0"/>
  </sheetViews>
  <sheetFormatPr defaultColWidth="8.77734375" defaultRowHeight="13.2" x14ac:dyDescent="0.3"/>
  <cols>
    <col min="1" max="1" width="50.44140625" style="197" bestFit="1" customWidth="1"/>
    <col min="2" max="2" width="12" style="197" bestFit="1" customWidth="1"/>
    <col min="3" max="3" width="11.77734375" style="197" bestFit="1" customWidth="1"/>
    <col min="4" max="4" width="9" style="197" bestFit="1" customWidth="1"/>
    <col min="5" max="5" width="8.44140625" style="197" bestFit="1" customWidth="1"/>
    <col min="6" max="7" width="10.44140625" style="197" bestFit="1" customWidth="1"/>
    <col min="8" max="8" width="9.5546875" style="197" bestFit="1" customWidth="1"/>
    <col min="9" max="9" width="10.44140625" style="197" bestFit="1" customWidth="1"/>
    <col min="10" max="16384" width="8.77734375" style="197"/>
  </cols>
  <sheetData>
    <row r="1" spans="1:5" x14ac:dyDescent="0.3">
      <c r="A1" s="197" t="s">
        <v>73</v>
      </c>
      <c r="B1" s="367" t="s">
        <v>104</v>
      </c>
      <c r="C1" s="367"/>
      <c r="D1" s="367" t="s">
        <v>105</v>
      </c>
      <c r="E1" s="367"/>
    </row>
    <row r="2" spans="1:5" x14ac:dyDescent="0.3">
      <c r="B2" s="197" t="s">
        <v>12</v>
      </c>
      <c r="C2" s="197" t="s">
        <v>13</v>
      </c>
      <c r="D2" s="197" t="s">
        <v>12</v>
      </c>
      <c r="E2" s="197" t="s">
        <v>13</v>
      </c>
    </row>
    <row r="3" spans="1:5" x14ac:dyDescent="0.3">
      <c r="A3" s="198">
        <v>44986</v>
      </c>
      <c r="B3" s="199">
        <v>879370.52545593213</v>
      </c>
      <c r="C3" s="199">
        <v>6586454.6618635152</v>
      </c>
      <c r="D3" s="199">
        <v>1157676.2285148569</v>
      </c>
      <c r="E3" s="199">
        <v>2178044.736</v>
      </c>
    </row>
    <row r="4" spans="1:5" x14ac:dyDescent="0.3">
      <c r="A4" s="198">
        <v>45017</v>
      </c>
      <c r="B4" s="199">
        <v>2185638.9323354997</v>
      </c>
      <c r="C4" s="199">
        <v>17244845.436248496</v>
      </c>
      <c r="D4" s="199">
        <v>2887348.2</v>
      </c>
      <c r="E4" s="199">
        <v>0</v>
      </c>
    </row>
    <row r="5" spans="1:5" x14ac:dyDescent="0.3">
      <c r="A5" s="198">
        <v>45047</v>
      </c>
      <c r="B5" s="199">
        <v>2392239.1664880612</v>
      </c>
      <c r="C5" s="199">
        <v>18360280.530927468</v>
      </c>
      <c r="D5" s="199">
        <v>3092059.1999999997</v>
      </c>
      <c r="E5" s="199">
        <v>0</v>
      </c>
    </row>
    <row r="6" spans="1:5" x14ac:dyDescent="0.3">
      <c r="B6" s="200">
        <f>SUM(B3:B5)</f>
        <v>5457248.6242794935</v>
      </c>
      <c r="C6" s="200">
        <f t="shared" ref="C6:E6" si="0">SUM(C3:C5)</f>
        <v>42191580.629039481</v>
      </c>
      <c r="D6" s="200">
        <f t="shared" si="0"/>
        <v>7137083.6285148561</v>
      </c>
      <c r="E6" s="200">
        <f t="shared" si="0"/>
        <v>2178044.736</v>
      </c>
    </row>
    <row r="7" spans="1:5" x14ac:dyDescent="0.3">
      <c r="A7" s="198"/>
    </row>
    <row r="8" spans="1:5" x14ac:dyDescent="0.3">
      <c r="A8" s="201" t="s">
        <v>106</v>
      </c>
    </row>
    <row r="9" spans="1:5" hidden="1" x14ac:dyDescent="0.3">
      <c r="B9" s="197" t="s">
        <v>107</v>
      </c>
    </row>
    <row r="10" spans="1:5" hidden="1" x14ac:dyDescent="0.3">
      <c r="C10" s="197">
        <v>2059200</v>
      </c>
      <c r="D10" s="197" t="s">
        <v>108</v>
      </c>
      <c r="E10" s="197" t="s">
        <v>109</v>
      </c>
    </row>
    <row r="11" spans="1:5" hidden="1" x14ac:dyDescent="0.3">
      <c r="C11" s="197">
        <v>1544400</v>
      </c>
      <c r="D11" s="197" t="s">
        <v>110</v>
      </c>
      <c r="E11" s="197" t="s">
        <v>109</v>
      </c>
    </row>
    <row r="12" spans="1:5" hidden="1" x14ac:dyDescent="0.3">
      <c r="C12" s="197">
        <v>1065725</v>
      </c>
      <c r="D12" s="197" t="s">
        <v>110</v>
      </c>
      <c r="E12" s="197" t="s">
        <v>109</v>
      </c>
    </row>
    <row r="13" spans="1:5" hidden="1" x14ac:dyDescent="0.3">
      <c r="C13" s="197">
        <v>632902</v>
      </c>
      <c r="D13" s="197" t="s">
        <v>110</v>
      </c>
      <c r="E13" s="197" t="s">
        <v>109</v>
      </c>
    </row>
    <row r="14" spans="1:5" hidden="1" x14ac:dyDescent="0.3">
      <c r="C14" s="197">
        <v>546013</v>
      </c>
      <c r="D14" s="197" t="s">
        <v>110</v>
      </c>
      <c r="E14" s="197" t="s">
        <v>109</v>
      </c>
    </row>
    <row r="15" spans="1:5" hidden="1" x14ac:dyDescent="0.3">
      <c r="C15" s="197">
        <v>1670715</v>
      </c>
      <c r="D15" s="197" t="s">
        <v>110</v>
      </c>
      <c r="E15" s="197" t="s">
        <v>111</v>
      </c>
    </row>
    <row r="16" spans="1:5" hidden="1" x14ac:dyDescent="0.3">
      <c r="C16" s="197">
        <v>997631</v>
      </c>
      <c r="D16" s="197" t="s">
        <v>108</v>
      </c>
      <c r="E16" s="197" t="s">
        <v>111</v>
      </c>
    </row>
    <row r="17" spans="1:5" hidden="1" x14ac:dyDescent="0.3">
      <c r="C17" s="197">
        <v>374713</v>
      </c>
      <c r="D17" s="197" t="s">
        <v>108</v>
      </c>
      <c r="E17" s="197" t="s">
        <v>111</v>
      </c>
    </row>
    <row r="18" spans="1:5" hidden="1" x14ac:dyDescent="0.3">
      <c r="C18" s="197">
        <v>4582877</v>
      </c>
      <c r="D18" s="197" t="s">
        <v>108</v>
      </c>
      <c r="E18" s="197" t="s">
        <v>111</v>
      </c>
    </row>
    <row r="19" spans="1:5" hidden="1" x14ac:dyDescent="0.3">
      <c r="C19" s="197">
        <v>653054</v>
      </c>
      <c r="D19" s="197" t="s">
        <v>110</v>
      </c>
      <c r="E19" s="197" t="s">
        <v>111</v>
      </c>
    </row>
    <row r="20" spans="1:5" hidden="1" x14ac:dyDescent="0.3">
      <c r="C20" s="197">
        <v>1437297</v>
      </c>
      <c r="D20" s="197" t="s">
        <v>112</v>
      </c>
      <c r="E20" s="197" t="s">
        <v>111</v>
      </c>
    </row>
    <row r="21" spans="1:5" hidden="1" x14ac:dyDescent="0.3">
      <c r="C21" s="197">
        <v>5374924</v>
      </c>
      <c r="D21" s="197" t="s">
        <v>112</v>
      </c>
      <c r="E21" s="197" t="s">
        <v>111</v>
      </c>
    </row>
    <row r="22" spans="1:5" hidden="1" x14ac:dyDescent="0.3"/>
    <row r="23" spans="1:5" x14ac:dyDescent="0.3">
      <c r="A23" s="198" t="s">
        <v>113</v>
      </c>
      <c r="B23" s="202">
        <v>432670</v>
      </c>
      <c r="C23" s="202">
        <v>31283038</v>
      </c>
    </row>
    <row r="24" spans="1:5" x14ac:dyDescent="0.3">
      <c r="A24" s="203" t="s">
        <v>114</v>
      </c>
      <c r="B24" s="204">
        <f>B23</f>
        <v>432670</v>
      </c>
      <c r="C24" s="204">
        <f>C23</f>
        <v>31283038</v>
      </c>
    </row>
    <row r="25" spans="1:5" x14ac:dyDescent="0.3">
      <c r="A25" s="198" t="s">
        <v>115</v>
      </c>
      <c r="B25" s="202">
        <v>432670</v>
      </c>
      <c r="C25" s="202">
        <v>20939451</v>
      </c>
    </row>
    <row r="26" spans="1:5" x14ac:dyDescent="0.3">
      <c r="A26" s="203" t="s">
        <v>116</v>
      </c>
      <c r="B26" s="204">
        <f>B24-B25</f>
        <v>0</v>
      </c>
      <c r="C26" s="204">
        <f>C24-C25</f>
        <v>10343587</v>
      </c>
    </row>
    <row r="27" spans="1:5" x14ac:dyDescent="0.3">
      <c r="A27" s="198"/>
      <c r="B27" s="202"/>
      <c r="C27" s="202"/>
    </row>
    <row r="28" spans="1:5" x14ac:dyDescent="0.3">
      <c r="A28" s="198" t="s">
        <v>117</v>
      </c>
      <c r="B28" s="202">
        <v>0</v>
      </c>
      <c r="C28" s="202">
        <v>13326474</v>
      </c>
    </row>
    <row r="30" spans="1:5" x14ac:dyDescent="0.3">
      <c r="A30" s="198" t="s">
        <v>118</v>
      </c>
      <c r="B30" s="197">
        <v>866.67</v>
      </c>
      <c r="C30" s="197">
        <v>5842.6379999999999</v>
      </c>
    </row>
    <row r="31" spans="1:5" x14ac:dyDescent="0.3">
      <c r="B31" s="197" t="s">
        <v>12</v>
      </c>
      <c r="C31" s="197" t="s">
        <v>13</v>
      </c>
    </row>
    <row r="32" spans="1:5" x14ac:dyDescent="0.3">
      <c r="A32" s="197" t="s">
        <v>119</v>
      </c>
      <c r="B32" s="197">
        <v>44648609</v>
      </c>
      <c r="C32" s="197">
        <v>65024463</v>
      </c>
    </row>
    <row r="33" spans="1:9" x14ac:dyDescent="0.3">
      <c r="A33" s="197" t="s">
        <v>120</v>
      </c>
      <c r="B33" s="197">
        <f>B32*6.9%</f>
        <v>3080754.0210000002</v>
      </c>
      <c r="C33" s="197">
        <f>C32*16.9%</f>
        <v>10989134.247</v>
      </c>
    </row>
    <row r="34" spans="1:9" x14ac:dyDescent="0.3">
      <c r="A34" s="197" t="s">
        <v>121</v>
      </c>
      <c r="B34" s="197">
        <f>B32-B33</f>
        <v>41567854.979000002</v>
      </c>
      <c r="C34" s="197">
        <f>C32-C33</f>
        <v>54035328.752999999</v>
      </c>
    </row>
    <row r="36" spans="1:9" x14ac:dyDescent="0.3">
      <c r="A36" s="197" t="s">
        <v>122</v>
      </c>
    </row>
    <row r="37" spans="1:9" x14ac:dyDescent="0.3">
      <c r="A37" s="197" t="s">
        <v>123</v>
      </c>
      <c r="B37" s="197">
        <f>B30*3620</f>
        <v>3137345.4</v>
      </c>
      <c r="C37" s="197">
        <v>0</v>
      </c>
    </row>
    <row r="38" spans="1:9" x14ac:dyDescent="0.3">
      <c r="A38" s="197" t="s">
        <v>124</v>
      </c>
      <c r="B38" s="197">
        <f>B39-B37</f>
        <v>2411963.2396965004</v>
      </c>
      <c r="C38" s="197">
        <f>C39-C37</f>
        <v>18058606.8692526</v>
      </c>
    </row>
    <row r="39" spans="1:9" x14ac:dyDescent="0.3">
      <c r="A39" s="197" t="s">
        <v>125</v>
      </c>
      <c r="B39" s="197">
        <f>B34*13.35%</f>
        <v>5549308.6396965003</v>
      </c>
      <c r="C39" s="197">
        <f>C34*33.42%</f>
        <v>18058606.8692526</v>
      </c>
    </row>
    <row r="41" spans="1:9" x14ac:dyDescent="0.3">
      <c r="A41" s="201" t="s">
        <v>126</v>
      </c>
    </row>
    <row r="42" spans="1:9" x14ac:dyDescent="0.3">
      <c r="A42" s="197" t="s">
        <v>123</v>
      </c>
      <c r="B42" s="197">
        <f>B37</f>
        <v>3137345.4</v>
      </c>
      <c r="C42" s="197">
        <v>0</v>
      </c>
    </row>
    <row r="43" spans="1:9" x14ac:dyDescent="0.3">
      <c r="A43" s="197" t="s">
        <v>124</v>
      </c>
      <c r="B43" s="197">
        <f>B38</f>
        <v>2411963.2396965004</v>
      </c>
      <c r="C43" s="197">
        <f>C38-C28</f>
        <v>4732132.8692525998</v>
      </c>
    </row>
    <row r="44" spans="1:9" x14ac:dyDescent="0.3">
      <c r="A44" s="201" t="s">
        <v>125</v>
      </c>
      <c r="B44" s="201">
        <f>SUM(B42:B43)</f>
        <v>5549308.6396965003</v>
      </c>
      <c r="C44" s="201">
        <f>SUM(C42:C43)</f>
        <v>4732132.8692525998</v>
      </c>
    </row>
    <row r="46" spans="1:9" x14ac:dyDescent="0.3">
      <c r="A46" s="197" t="s">
        <v>127</v>
      </c>
      <c r="B46" s="197">
        <f>B32*1.75%</f>
        <v>781350.65750000009</v>
      </c>
      <c r="C46" s="197">
        <f>C32*1.75%</f>
        <v>1137928.1025</v>
      </c>
      <c r="D46" s="197">
        <f>SUM(B46:C46)</f>
        <v>1919278.7600000002</v>
      </c>
    </row>
    <row r="47" spans="1:9" x14ac:dyDescent="0.3">
      <c r="A47" s="197" t="s">
        <v>50</v>
      </c>
      <c r="D47" s="197">
        <v>200000</v>
      </c>
    </row>
    <row r="48" spans="1:9" x14ac:dyDescent="0.3">
      <c r="A48" s="197" t="s">
        <v>51</v>
      </c>
      <c r="D48" s="197">
        <v>1200000</v>
      </c>
      <c r="F48" s="368" t="s">
        <v>6</v>
      </c>
      <c r="G48" s="369"/>
      <c r="H48" s="369"/>
      <c r="I48" s="370"/>
    </row>
    <row r="49" spans="5:9" ht="24" x14ac:dyDescent="0.3">
      <c r="F49" s="368" t="s">
        <v>9</v>
      </c>
      <c r="G49" s="370"/>
      <c r="H49" s="205" t="s">
        <v>10</v>
      </c>
      <c r="I49" s="371" t="s">
        <v>11</v>
      </c>
    </row>
    <row r="50" spans="5:9" x14ac:dyDescent="0.3">
      <c r="F50" s="206" t="s">
        <v>12</v>
      </c>
      <c r="G50" s="206" t="s">
        <v>13</v>
      </c>
      <c r="H50" s="206" t="s">
        <v>13</v>
      </c>
      <c r="I50" s="372"/>
    </row>
    <row r="51" spans="5:9" x14ac:dyDescent="0.3">
      <c r="F51" s="207"/>
      <c r="G51" s="207"/>
      <c r="H51" s="207"/>
      <c r="I51" s="207"/>
    </row>
    <row r="52" spans="5:9" x14ac:dyDescent="0.3">
      <c r="E52" s="197" t="s">
        <v>175</v>
      </c>
      <c r="F52" s="208">
        <v>1971.5700631256509</v>
      </c>
      <c r="G52" s="208">
        <v>11981.693500000001</v>
      </c>
      <c r="H52" s="208">
        <v>2948.85</v>
      </c>
      <c r="I52" s="209">
        <v>16902.113563125651</v>
      </c>
    </row>
    <row r="53" spans="5:9" x14ac:dyDescent="0.3">
      <c r="E53" s="197" t="s">
        <v>119</v>
      </c>
      <c r="F53" s="208">
        <v>101331437.34</v>
      </c>
      <c r="G53" s="208">
        <v>125095535.09</v>
      </c>
      <c r="H53" s="208">
        <v>34668229</v>
      </c>
      <c r="I53" s="209">
        <v>261095201.43000001</v>
      </c>
    </row>
    <row r="54" spans="5:9" ht="13.8" thickBot="1" x14ac:dyDescent="0.35">
      <c r="F54" s="210"/>
      <c r="G54" s="210"/>
      <c r="H54" s="210"/>
      <c r="I54" s="210"/>
    </row>
    <row r="55" spans="5:9" ht="13.8" thickBot="1" x14ac:dyDescent="0.35">
      <c r="F55" s="211">
        <f>F53</f>
        <v>101331437.34</v>
      </c>
      <c r="G55" s="211">
        <f t="shared" ref="G55:I55" si="1">G53</f>
        <v>125095535.09</v>
      </c>
      <c r="H55" s="211">
        <f t="shared" si="1"/>
        <v>34668229</v>
      </c>
      <c r="I55" s="211">
        <f t="shared" si="1"/>
        <v>261095201.43000001</v>
      </c>
    </row>
  </sheetData>
  <mergeCells count="5">
    <mergeCell ref="B1:C1"/>
    <mergeCell ref="D1:E1"/>
    <mergeCell ref="F48:I48"/>
    <mergeCell ref="F49:G49"/>
    <mergeCell ref="I49:I5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43C8-256C-4051-B81D-13724764AB9A}">
  <sheetPr>
    <pageSetUpPr fitToPage="1"/>
  </sheetPr>
  <dimension ref="B1:G44"/>
  <sheetViews>
    <sheetView showGridLines="0" zoomScaleNormal="100" zoomScaleSheetLayoutView="100" workbookViewId="0"/>
  </sheetViews>
  <sheetFormatPr defaultColWidth="8.77734375" defaultRowHeight="14.4" x14ac:dyDescent="0.3"/>
  <cols>
    <col min="1" max="1" width="1.77734375" style="51" bestFit="1" customWidth="1"/>
    <col min="2" max="2" width="60" style="51" customWidth="1"/>
    <col min="3" max="3" width="15.21875" style="256" bestFit="1" customWidth="1"/>
    <col min="4" max="4" width="14.21875" style="51" bestFit="1" customWidth="1"/>
    <col min="5" max="5" width="15.5546875" style="51" bestFit="1" customWidth="1"/>
    <col min="6" max="6" width="13.21875" style="51" bestFit="1" customWidth="1"/>
    <col min="7" max="7" width="14.21875" style="51" bestFit="1" customWidth="1"/>
    <col min="8" max="16384" width="8.77734375" style="51"/>
  </cols>
  <sheetData>
    <row r="1" spans="2:4" ht="15" thickBot="1" x14ac:dyDescent="0.35"/>
    <row r="2" spans="2:4" x14ac:dyDescent="0.3">
      <c r="B2" s="353" t="s">
        <v>0</v>
      </c>
      <c r="C2" s="354"/>
    </row>
    <row r="3" spans="2:4" ht="15" thickBot="1" x14ac:dyDescent="0.35">
      <c r="B3" s="355" t="s">
        <v>186</v>
      </c>
      <c r="C3" s="356"/>
    </row>
    <row r="4" spans="2:4" ht="15" thickBot="1" x14ac:dyDescent="0.35">
      <c r="B4" s="257" t="s">
        <v>187</v>
      </c>
      <c r="C4" s="258">
        <v>45108</v>
      </c>
    </row>
    <row r="5" spans="2:4" x14ac:dyDescent="0.3">
      <c r="B5" s="259"/>
      <c r="C5" s="260"/>
    </row>
    <row r="6" spans="2:4" x14ac:dyDescent="0.3">
      <c r="B6" s="261" t="s">
        <v>135</v>
      </c>
      <c r="C6" s="260"/>
    </row>
    <row r="7" spans="2:4" x14ac:dyDescent="0.3">
      <c r="B7" s="261" t="s">
        <v>136</v>
      </c>
      <c r="C7" s="260"/>
    </row>
    <row r="8" spans="2:4" x14ac:dyDescent="0.3">
      <c r="B8" s="262" t="s">
        <v>137</v>
      </c>
      <c r="C8" s="292">
        <f>'BS in INR'!C8/10^7</f>
        <v>0.01</v>
      </c>
    </row>
    <row r="9" spans="2:4" x14ac:dyDescent="0.3">
      <c r="B9" s="262" t="s">
        <v>138</v>
      </c>
      <c r="C9" s="292">
        <f>'BS in INR'!C9/10^7</f>
        <v>-2.9944912551124952E-2</v>
      </c>
      <c r="D9" s="264"/>
    </row>
    <row r="10" spans="2:4" x14ac:dyDescent="0.3">
      <c r="B10" s="261" t="s">
        <v>140</v>
      </c>
      <c r="C10" s="263"/>
    </row>
    <row r="11" spans="2:4" x14ac:dyDescent="0.3">
      <c r="B11" s="262" t="s">
        <v>141</v>
      </c>
      <c r="C11" s="292">
        <f>'BS in INR'!C12/10^7</f>
        <v>65</v>
      </c>
    </row>
    <row r="12" spans="2:4" x14ac:dyDescent="0.3">
      <c r="B12" s="261" t="s">
        <v>142</v>
      </c>
      <c r="C12" s="263"/>
    </row>
    <row r="13" spans="2:4" x14ac:dyDescent="0.3">
      <c r="B13" s="262" t="s">
        <v>145</v>
      </c>
      <c r="C13" s="292">
        <f>'BS in INR'!C16/10^7</f>
        <v>4.1667414999999997</v>
      </c>
    </row>
    <row r="14" spans="2:4" x14ac:dyDescent="0.3">
      <c r="B14" s="262" t="s">
        <v>146</v>
      </c>
      <c r="C14" s="292">
        <f>'BS in INR'!C17/10^7</f>
        <v>0.60764079999999998</v>
      </c>
    </row>
    <row r="15" spans="2:4" x14ac:dyDescent="0.3">
      <c r="B15" s="262" t="s">
        <v>152</v>
      </c>
      <c r="C15" s="292">
        <f>'BS in INR'!C24/10^7</f>
        <v>11.951455595000001</v>
      </c>
    </row>
    <row r="16" spans="2:4" x14ac:dyDescent="0.3">
      <c r="B16" s="262" t="s">
        <v>188</v>
      </c>
      <c r="C16" s="292">
        <f>('BS in INR'!C14+'BS in INR'!C15+'BS in INR'!C18+'BS in INR'!C19+'BS in INR'!C21+'BS in INR'!C22+'BS in INR'!C23+'BS in INR'!C20)/10^7</f>
        <v>0.63584649999999998</v>
      </c>
    </row>
    <row r="17" spans="2:5" x14ac:dyDescent="0.3">
      <c r="B17" s="262" t="s">
        <v>153</v>
      </c>
      <c r="C17" s="292">
        <f>'BS in INR'!C25/10^7</f>
        <v>0.29470469999999999</v>
      </c>
    </row>
    <row r="18" spans="2:5" ht="15" thickBot="1" x14ac:dyDescent="0.35">
      <c r="B18" s="267" t="s">
        <v>11</v>
      </c>
      <c r="C18" s="293">
        <f>SUM(C8:C17)</f>
        <v>82.636444182448869</v>
      </c>
    </row>
    <row r="19" spans="2:5" ht="15" thickTop="1" x14ac:dyDescent="0.3">
      <c r="B19" s="261" t="s">
        <v>154</v>
      </c>
      <c r="C19" s="263"/>
    </row>
    <row r="20" spans="2:5" x14ac:dyDescent="0.3">
      <c r="B20" s="261" t="s">
        <v>155</v>
      </c>
      <c r="C20" s="263"/>
    </row>
    <row r="21" spans="2:5" x14ac:dyDescent="0.3">
      <c r="B21" s="262" t="s">
        <v>156</v>
      </c>
      <c r="C21" s="263"/>
    </row>
    <row r="22" spans="2:5" x14ac:dyDescent="0.3">
      <c r="B22" s="269" t="s">
        <v>157</v>
      </c>
      <c r="C22" s="292">
        <f>'BS in INR'!C30/10^7</f>
        <v>46.59</v>
      </c>
    </row>
    <row r="23" spans="2:5" x14ac:dyDescent="0.3">
      <c r="B23" s="269" t="s">
        <v>158</v>
      </c>
      <c r="C23" s="292">
        <f>'BS in INR'!C31/10^7</f>
        <v>3.8191124876712332E-3</v>
      </c>
    </row>
    <row r="24" spans="2:5" x14ac:dyDescent="0.3">
      <c r="B24" s="269" t="s">
        <v>159</v>
      </c>
      <c r="C24" s="292">
        <f>'BS in INR'!C32/10^7</f>
        <v>0.14103109657534246</v>
      </c>
    </row>
    <row r="25" spans="2:5" x14ac:dyDescent="0.3">
      <c r="B25" s="269" t="s">
        <v>160</v>
      </c>
      <c r="C25" s="292">
        <f>'BS in INR'!C33/10^7</f>
        <v>0.43277080000000001</v>
      </c>
    </row>
    <row r="26" spans="2:5" x14ac:dyDescent="0.3">
      <c r="B26" s="261" t="s">
        <v>161</v>
      </c>
      <c r="C26" s="263"/>
    </row>
    <row r="27" spans="2:5" x14ac:dyDescent="0.3">
      <c r="B27" s="262" t="s">
        <v>162</v>
      </c>
      <c r="C27" s="292">
        <f>'BS in INR'!C35/10^7</f>
        <v>2.5000000000000001E-2</v>
      </c>
    </row>
    <row r="28" spans="2:5" x14ac:dyDescent="0.3">
      <c r="B28" s="262" t="s">
        <v>163</v>
      </c>
      <c r="C28" s="292">
        <f>'BS in INR'!C36/10^7</f>
        <v>12.046579671000002</v>
      </c>
      <c r="D28" s="265"/>
      <c r="E28" s="264">
        <f>SUM(C13:C17)</f>
        <v>17.656389094999998</v>
      </c>
    </row>
    <row r="29" spans="2:5" x14ac:dyDescent="0.3">
      <c r="B29" s="262" t="s">
        <v>164</v>
      </c>
      <c r="C29" s="292">
        <f>'BS in INR'!C37/10^7</f>
        <v>13.569609538999998</v>
      </c>
      <c r="E29" s="264">
        <f>SUM(C27:C33)</f>
        <v>25.997301619999998</v>
      </c>
    </row>
    <row r="30" spans="2:5" x14ac:dyDescent="0.3">
      <c r="B30" s="262" t="s">
        <v>165</v>
      </c>
      <c r="C30" s="292">
        <f>'BS in INR'!C38/10^7</f>
        <v>5.7468904000000001E-2</v>
      </c>
      <c r="D30" s="265"/>
      <c r="E30" s="51">
        <f>E29/E28</f>
        <v>1.4724019435753153</v>
      </c>
    </row>
    <row r="31" spans="2:5" x14ac:dyDescent="0.3">
      <c r="B31" s="262" t="s">
        <v>166</v>
      </c>
      <c r="C31" s="292">
        <f>'BS in INR'!C39/10^7</f>
        <v>5.4976200000000003E-2</v>
      </c>
    </row>
    <row r="32" spans="2:5" x14ac:dyDescent="0.3">
      <c r="B32" s="262" t="s">
        <v>167</v>
      </c>
      <c r="C32" s="292">
        <f>'BS in INR'!C40/10^7</f>
        <v>3.9667305999999999E-2</v>
      </c>
    </row>
    <row r="33" spans="2:7" x14ac:dyDescent="0.3">
      <c r="B33" s="262" t="s">
        <v>168</v>
      </c>
      <c r="C33" s="292">
        <f>'BS in INR'!C41/10^7</f>
        <v>0.20399999999999999</v>
      </c>
    </row>
    <row r="34" spans="2:7" x14ac:dyDescent="0.3">
      <c r="B34" s="262" t="s">
        <v>169</v>
      </c>
      <c r="C34" s="292">
        <f>'BS in INR'!C42/10^7</f>
        <v>9.471521576999999</v>
      </c>
    </row>
    <row r="35" spans="2:7" ht="15" thickBot="1" x14ac:dyDescent="0.35">
      <c r="B35" s="270"/>
      <c r="C35" s="294">
        <f>SUM(C22:C34)</f>
        <v>82.636444206063018</v>
      </c>
      <c r="D35" s="265"/>
      <c r="E35" s="297">
        <f>C35-C18</f>
        <v>2.3614148858541739E-8</v>
      </c>
    </row>
    <row r="36" spans="2:7" x14ac:dyDescent="0.3">
      <c r="D36" s="265"/>
      <c r="E36" s="265"/>
      <c r="G36" s="265"/>
    </row>
    <row r="37" spans="2:7" hidden="1" x14ac:dyDescent="0.3">
      <c r="B37" s="52" t="s">
        <v>63</v>
      </c>
    </row>
    <row r="38" spans="2:7" hidden="1" x14ac:dyDescent="0.3">
      <c r="B38" s="51" t="s">
        <v>170</v>
      </c>
    </row>
    <row r="39" spans="2:7" hidden="1" x14ac:dyDescent="0.3">
      <c r="B39" s="272" t="s">
        <v>73</v>
      </c>
      <c r="C39" s="273" t="s">
        <v>171</v>
      </c>
      <c r="E39" s="265"/>
    </row>
    <row r="40" spans="2:7" hidden="1" x14ac:dyDescent="0.3">
      <c r="B40" s="274" t="s">
        <v>172</v>
      </c>
      <c r="C40" s="275">
        <v>2607235.33</v>
      </c>
    </row>
    <row r="41" spans="2:7" hidden="1" x14ac:dyDescent="0.3">
      <c r="B41" s="274" t="s">
        <v>173</v>
      </c>
      <c r="C41" s="275">
        <v>366100</v>
      </c>
    </row>
    <row r="42" spans="2:7" hidden="1" x14ac:dyDescent="0.3">
      <c r="B42" s="272" t="s">
        <v>174</v>
      </c>
      <c r="C42" s="273">
        <f>SUM(C40:C41)</f>
        <v>2973335.33</v>
      </c>
    </row>
    <row r="43" spans="2:7" x14ac:dyDescent="0.3">
      <c r="E43" s="266"/>
    </row>
    <row r="44" spans="2:7" x14ac:dyDescent="0.3">
      <c r="E44" s="264"/>
    </row>
  </sheetData>
  <mergeCells count="2">
    <mergeCell ref="B2:C2"/>
    <mergeCell ref="B3:C3"/>
  </mergeCells>
  <pageMargins left="0.54" right="0.42" top="0.75" bottom="0.49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3648-30BB-4A71-BBDE-42774C0664D3}">
  <dimension ref="B1:CW32"/>
  <sheetViews>
    <sheetView topLeftCell="BO1" workbookViewId="0">
      <selection activeCell="B2" sqref="B2:K13"/>
    </sheetView>
  </sheetViews>
  <sheetFormatPr defaultRowHeight="14.4" x14ac:dyDescent="0.3"/>
  <cols>
    <col min="1" max="1" width="1.77734375" bestFit="1" customWidth="1"/>
    <col min="2" max="2" width="16.21875" bestFit="1" customWidth="1"/>
    <col min="3" max="4" width="6.21875" bestFit="1" customWidth="1"/>
    <col min="5" max="5" width="7.88671875" bestFit="1" customWidth="1"/>
    <col min="6" max="6" width="4.21875" bestFit="1" customWidth="1"/>
    <col min="7" max="7" width="1.21875" bestFit="1" customWidth="1"/>
    <col min="8" max="9" width="6.21875" bestFit="1" customWidth="1"/>
    <col min="10" max="10" width="7.88671875" bestFit="1" customWidth="1"/>
    <col min="11" max="11" width="4.44140625" bestFit="1" customWidth="1"/>
    <col min="12" max="12" width="1.21875" bestFit="1" customWidth="1"/>
    <col min="13" max="14" width="6.21875" bestFit="1" customWidth="1"/>
    <col min="15" max="15" width="7.88671875" bestFit="1" customWidth="1"/>
    <col min="16" max="16" width="4.21875" bestFit="1" customWidth="1"/>
    <col min="18" max="18" width="16.21875" bestFit="1" customWidth="1"/>
    <col min="19" max="20" width="6.21875" bestFit="1" customWidth="1"/>
    <col min="21" max="21" width="7.88671875" bestFit="1" customWidth="1"/>
    <col min="22" max="22" width="4.21875" bestFit="1" customWidth="1"/>
    <col min="24" max="24" width="16.21875" bestFit="1" customWidth="1"/>
    <col min="25" max="26" width="8.21875" bestFit="1" customWidth="1"/>
    <col min="27" max="27" width="7.88671875" bestFit="1" customWidth="1"/>
    <col min="28" max="28" width="4.21875" bestFit="1" customWidth="1"/>
    <col min="29" max="29" width="1.77734375" bestFit="1" customWidth="1"/>
    <col min="30" max="31" width="8.21875" bestFit="1" customWidth="1"/>
    <col min="32" max="32" width="7.88671875" bestFit="1" customWidth="1"/>
    <col min="33" max="33" width="4.21875" bestFit="1" customWidth="1"/>
    <col min="34" max="34" width="1.77734375" bestFit="1" customWidth="1"/>
    <col min="35" max="36" width="8.21875" bestFit="1" customWidth="1"/>
    <col min="37" max="37" width="7.88671875" bestFit="1" customWidth="1"/>
    <col min="38" max="38" width="4.21875" bestFit="1" customWidth="1"/>
    <col min="39" max="39" width="1.77734375" bestFit="1" customWidth="1"/>
    <col min="40" max="41" width="8.21875" bestFit="1" customWidth="1"/>
    <col min="42" max="42" width="7.88671875" bestFit="1" customWidth="1"/>
    <col min="43" max="43" width="4.21875" bestFit="1" customWidth="1"/>
    <col min="46" max="46" width="16.21875" bestFit="1" customWidth="1"/>
    <col min="47" max="48" width="8.21875" bestFit="1" customWidth="1"/>
    <col min="49" max="49" width="7.88671875" bestFit="1" customWidth="1"/>
    <col min="50" max="50" width="4.21875" bestFit="1" customWidth="1"/>
    <col min="51" max="51" width="1.21875" customWidth="1"/>
    <col min="52" max="53" width="8.21875" bestFit="1" customWidth="1"/>
    <col min="54" max="54" width="7.88671875" bestFit="1" customWidth="1"/>
    <col min="55" max="55" width="4.21875" bestFit="1" customWidth="1"/>
    <col min="56" max="56" width="1.21875" customWidth="1"/>
    <col min="57" max="58" width="8.21875" bestFit="1" customWidth="1"/>
    <col min="59" max="59" width="7.88671875" bestFit="1" customWidth="1"/>
    <col min="60" max="60" width="4.21875" bestFit="1" customWidth="1"/>
    <col min="63" max="63" width="16.21875" bestFit="1" customWidth="1"/>
    <col min="64" max="65" width="8.21875" bestFit="1" customWidth="1"/>
    <col min="66" max="66" width="7.88671875" bestFit="1" customWidth="1"/>
    <col min="67" max="67" width="4.21875" bestFit="1" customWidth="1"/>
    <col min="70" max="70" width="16.21875" bestFit="1" customWidth="1"/>
    <col min="71" max="71" width="6.21875" bestFit="1" customWidth="1"/>
    <col min="72" max="72" width="9.88671875" bestFit="1" customWidth="1"/>
    <col min="73" max="73" width="7.88671875" bestFit="1" customWidth="1"/>
    <col min="74" max="74" width="4.21875" bestFit="1" customWidth="1"/>
    <col min="75" max="75" width="1.6640625" bestFit="1" customWidth="1"/>
    <col min="76" max="76" width="6.21875" bestFit="1" customWidth="1"/>
    <col min="77" max="77" width="9.88671875" bestFit="1" customWidth="1"/>
    <col min="78" max="78" width="7.88671875" bestFit="1" customWidth="1"/>
    <col min="79" max="79" width="4.44140625" bestFit="1" customWidth="1"/>
    <col min="80" max="80" width="1.6640625" bestFit="1" customWidth="1"/>
    <col min="81" max="81" width="6.21875" bestFit="1" customWidth="1"/>
    <col min="82" max="82" width="9.88671875" bestFit="1" customWidth="1"/>
    <col min="83" max="83" width="7.88671875" bestFit="1" customWidth="1"/>
    <col min="84" max="84" width="4.21875" bestFit="1" customWidth="1"/>
    <col min="87" max="87" width="16.21875" bestFit="1" customWidth="1"/>
    <col min="88" max="88" width="8.21875" customWidth="1"/>
    <col min="89" max="89" width="10.77734375" bestFit="1" customWidth="1"/>
    <col min="90" max="90" width="7.88671875" bestFit="1" customWidth="1"/>
    <col min="91" max="91" width="4.21875" bestFit="1" customWidth="1"/>
    <col min="92" max="92" width="1.6640625" bestFit="1" customWidth="1"/>
    <col min="93" max="93" width="8.21875" bestFit="1" customWidth="1"/>
    <col min="94" max="94" width="10.77734375" bestFit="1" customWidth="1"/>
    <col min="95" max="95" width="7.88671875" bestFit="1" customWidth="1"/>
    <col min="96" max="96" width="4.21875" bestFit="1" customWidth="1"/>
    <col min="97" max="97" width="1.6640625" bestFit="1" customWidth="1"/>
    <col min="98" max="98" width="8.21875" bestFit="1" customWidth="1"/>
    <col min="99" max="99" width="10.77734375" customWidth="1"/>
    <col min="100" max="100" width="7.88671875" bestFit="1" customWidth="1"/>
    <col min="101" max="101" width="3.33203125" bestFit="1" customWidth="1"/>
  </cols>
  <sheetData>
    <row r="1" spans="2:101" ht="15" thickBot="1" x14ac:dyDescent="0.35">
      <c r="B1" t="s">
        <v>177</v>
      </c>
      <c r="C1" s="295">
        <f>C5/$M$5</f>
        <v>0.15641858165745182</v>
      </c>
      <c r="D1" s="295">
        <f>D5/$N$5</f>
        <v>0.21809444136077288</v>
      </c>
      <c r="H1" s="295">
        <f>H5/$M$5</f>
        <v>0.84358141834254829</v>
      </c>
      <c r="I1" s="295">
        <f>I5/$N$5</f>
        <v>0.78190555863922717</v>
      </c>
      <c r="R1" t="s">
        <v>178</v>
      </c>
      <c r="X1" t="s">
        <v>179</v>
      </c>
      <c r="AT1" t="s">
        <v>180</v>
      </c>
      <c r="AU1" s="63"/>
      <c r="BK1" t="s">
        <v>181</v>
      </c>
      <c r="BS1" s="63"/>
      <c r="CJ1" s="63"/>
    </row>
    <row r="2" spans="2:101" ht="15" thickBot="1" x14ac:dyDescent="0.35">
      <c r="B2" s="358" t="s">
        <v>2</v>
      </c>
      <c r="C2" s="348" t="s">
        <v>9</v>
      </c>
      <c r="D2" s="349"/>
      <c r="E2" s="349"/>
      <c r="F2" s="349"/>
      <c r="G2" s="349"/>
      <c r="H2" s="349"/>
      <c r="I2" s="349"/>
      <c r="J2" s="349"/>
      <c r="K2" s="349"/>
      <c r="L2" s="229"/>
      <c r="M2" s="341" t="s">
        <v>11</v>
      </c>
      <c r="N2" s="342"/>
      <c r="O2" s="342"/>
      <c r="P2" s="343"/>
      <c r="R2" s="358" t="s">
        <v>2</v>
      </c>
      <c r="S2" s="348" t="s">
        <v>10</v>
      </c>
      <c r="T2" s="349"/>
      <c r="U2" s="349"/>
      <c r="V2" s="350"/>
      <c r="X2" s="358" t="s">
        <v>2</v>
      </c>
      <c r="Y2" s="348" t="s">
        <v>9</v>
      </c>
      <c r="Z2" s="349"/>
      <c r="AA2" s="349"/>
      <c r="AB2" s="349"/>
      <c r="AC2" s="349"/>
      <c r="AD2" s="349"/>
      <c r="AE2" s="349"/>
      <c r="AF2" s="349"/>
      <c r="AG2" s="349"/>
      <c r="AH2" s="223"/>
      <c r="AI2" s="348" t="s">
        <v>10</v>
      </c>
      <c r="AJ2" s="349"/>
      <c r="AK2" s="349"/>
      <c r="AL2" s="350"/>
      <c r="AM2" s="229"/>
      <c r="AN2" s="341" t="s">
        <v>11</v>
      </c>
      <c r="AO2" s="342"/>
      <c r="AP2" s="342"/>
      <c r="AQ2" s="343"/>
      <c r="AT2" s="358" t="s">
        <v>2</v>
      </c>
      <c r="AU2" s="348" t="s">
        <v>9</v>
      </c>
      <c r="AV2" s="349"/>
      <c r="AW2" s="349"/>
      <c r="AX2" s="349"/>
      <c r="AY2" s="349"/>
      <c r="AZ2" s="349"/>
      <c r="BA2" s="349"/>
      <c r="BB2" s="349"/>
      <c r="BC2" s="349"/>
      <c r="BD2" s="229"/>
      <c r="BE2" s="341" t="s">
        <v>11</v>
      </c>
      <c r="BF2" s="342"/>
      <c r="BG2" s="342"/>
      <c r="BH2" s="343"/>
      <c r="BK2" s="358" t="s">
        <v>2</v>
      </c>
      <c r="BL2" s="348" t="s">
        <v>10</v>
      </c>
      <c r="BM2" s="349"/>
      <c r="BN2" s="349"/>
      <c r="BO2" s="350"/>
      <c r="BR2" s="63" t="s">
        <v>97</v>
      </c>
      <c r="BS2" s="63"/>
      <c r="BT2" s="67"/>
      <c r="BU2" s="67"/>
      <c r="BV2" s="67"/>
      <c r="BW2" s="67"/>
      <c r="BX2" s="351"/>
      <c r="BY2" s="351"/>
      <c r="BZ2" s="351"/>
      <c r="CA2" s="68"/>
      <c r="CB2" s="68"/>
      <c r="CC2" s="67"/>
      <c r="CD2" s="67"/>
      <c r="CE2" s="67"/>
      <c r="CF2" s="67"/>
      <c r="CI2" s="63" t="s">
        <v>97</v>
      </c>
      <c r="CJ2" s="63"/>
      <c r="CK2" s="67"/>
      <c r="CL2" s="67"/>
      <c r="CM2" s="67"/>
      <c r="CN2" s="67"/>
      <c r="CO2" s="351"/>
      <c r="CP2" s="351"/>
      <c r="CQ2" s="351"/>
      <c r="CR2" s="68"/>
      <c r="CS2" s="68"/>
      <c r="CT2" s="67"/>
      <c r="CU2" s="67"/>
      <c r="CV2" s="67"/>
      <c r="CW2" s="67"/>
    </row>
    <row r="3" spans="2:101" ht="15" thickBot="1" x14ac:dyDescent="0.35">
      <c r="B3" s="359"/>
      <c r="C3" s="341" t="s">
        <v>12</v>
      </c>
      <c r="D3" s="342"/>
      <c r="E3" s="342"/>
      <c r="F3" s="342"/>
      <c r="G3" s="164"/>
      <c r="H3" s="341" t="s">
        <v>13</v>
      </c>
      <c r="I3" s="342"/>
      <c r="J3" s="342"/>
      <c r="K3" s="342"/>
      <c r="L3" s="224"/>
      <c r="M3" s="345"/>
      <c r="N3" s="346"/>
      <c r="O3" s="346"/>
      <c r="P3" s="347"/>
      <c r="R3" s="359"/>
      <c r="S3" s="348" t="s">
        <v>13</v>
      </c>
      <c r="T3" s="349"/>
      <c r="U3" s="349"/>
      <c r="V3" s="350"/>
      <c r="X3" s="359"/>
      <c r="Y3" s="348" t="s">
        <v>12</v>
      </c>
      <c r="Z3" s="349"/>
      <c r="AA3" s="349"/>
      <c r="AB3" s="350"/>
      <c r="AC3" s="69"/>
      <c r="AD3" s="348" t="s">
        <v>13</v>
      </c>
      <c r="AE3" s="349"/>
      <c r="AF3" s="349"/>
      <c r="AG3" s="350"/>
      <c r="AH3" s="224"/>
      <c r="AI3" s="348" t="s">
        <v>13</v>
      </c>
      <c r="AJ3" s="349"/>
      <c r="AK3" s="349"/>
      <c r="AL3" s="350"/>
      <c r="AM3" s="224"/>
      <c r="AN3" s="345"/>
      <c r="AO3" s="346"/>
      <c r="AP3" s="346"/>
      <c r="AQ3" s="347"/>
      <c r="AT3" s="359"/>
      <c r="AU3" s="348" t="s">
        <v>12</v>
      </c>
      <c r="AV3" s="349"/>
      <c r="AW3" s="349"/>
      <c r="AX3" s="350"/>
      <c r="AY3" s="69"/>
      <c r="AZ3" s="348" t="s">
        <v>13</v>
      </c>
      <c r="BA3" s="349"/>
      <c r="BB3" s="349"/>
      <c r="BC3" s="350"/>
      <c r="BD3" s="224"/>
      <c r="BE3" s="345"/>
      <c r="BF3" s="346"/>
      <c r="BG3" s="346"/>
      <c r="BH3" s="347"/>
      <c r="BK3" s="359"/>
      <c r="BL3" s="348" t="s">
        <v>13</v>
      </c>
      <c r="BM3" s="349"/>
      <c r="BN3" s="349"/>
      <c r="BO3" s="350"/>
      <c r="BR3" s="230" t="s">
        <v>2</v>
      </c>
      <c r="BS3" s="348" t="s">
        <v>12</v>
      </c>
      <c r="BT3" s="349"/>
      <c r="BU3" s="349"/>
      <c r="BV3" s="350"/>
      <c r="BW3" s="164"/>
      <c r="BX3" s="348" t="s">
        <v>13</v>
      </c>
      <c r="BY3" s="349"/>
      <c r="BZ3" s="349"/>
      <c r="CA3" s="350"/>
      <c r="CB3" s="66"/>
      <c r="CC3" s="348" t="s">
        <v>11</v>
      </c>
      <c r="CD3" s="349"/>
      <c r="CE3" s="349"/>
      <c r="CF3" s="350"/>
      <c r="CI3" s="230" t="s">
        <v>2</v>
      </c>
      <c r="CJ3" s="341" t="s">
        <v>12</v>
      </c>
      <c r="CK3" s="342"/>
      <c r="CL3" s="342"/>
      <c r="CM3" s="343"/>
      <c r="CN3" s="164"/>
      <c r="CO3" s="341" t="s">
        <v>13</v>
      </c>
      <c r="CP3" s="342"/>
      <c r="CQ3" s="342"/>
      <c r="CR3" s="342"/>
      <c r="CS3" s="164"/>
      <c r="CT3" s="341" t="s">
        <v>11</v>
      </c>
      <c r="CU3" s="342"/>
      <c r="CV3" s="342"/>
      <c r="CW3" s="343"/>
    </row>
    <row r="4" spans="2:101" ht="25.2" thickBot="1" x14ac:dyDescent="0.35">
      <c r="B4" s="71" t="s">
        <v>77</v>
      </c>
      <c r="C4" s="72" t="s">
        <v>98</v>
      </c>
      <c r="D4" s="72" t="s">
        <v>99</v>
      </c>
      <c r="E4" s="73" t="s">
        <v>78</v>
      </c>
      <c r="F4" s="154" t="s">
        <v>133</v>
      </c>
      <c r="G4" s="165"/>
      <c r="H4" s="72" t="s">
        <v>98</v>
      </c>
      <c r="I4" s="72" t="s">
        <v>99</v>
      </c>
      <c r="J4" s="73" t="s">
        <v>78</v>
      </c>
      <c r="K4" s="154" t="s">
        <v>133</v>
      </c>
      <c r="L4" s="225"/>
      <c r="M4" s="72" t="s">
        <v>98</v>
      </c>
      <c r="N4" s="72" t="s">
        <v>99</v>
      </c>
      <c r="O4" s="212" t="s">
        <v>78</v>
      </c>
      <c r="P4" s="78" t="s">
        <v>133</v>
      </c>
      <c r="R4" s="71" t="s">
        <v>77</v>
      </c>
      <c r="S4" s="76" t="s">
        <v>98</v>
      </c>
      <c r="T4" s="76" t="s">
        <v>99</v>
      </c>
      <c r="U4" s="77" t="s">
        <v>78</v>
      </c>
      <c r="V4" s="78" t="s">
        <v>133</v>
      </c>
      <c r="X4" s="71" t="s">
        <v>77</v>
      </c>
      <c r="Y4" s="228" t="s">
        <v>100</v>
      </c>
      <c r="Z4" s="76" t="s">
        <v>102</v>
      </c>
      <c r="AA4" s="77" t="s">
        <v>78</v>
      </c>
      <c r="AB4" s="78" t="s">
        <v>133</v>
      </c>
      <c r="AC4" s="74"/>
      <c r="AD4" s="76" t="s">
        <v>100</v>
      </c>
      <c r="AE4" s="279" t="s">
        <v>102</v>
      </c>
      <c r="AF4" s="212" t="s">
        <v>78</v>
      </c>
      <c r="AG4" s="154" t="s">
        <v>133</v>
      </c>
      <c r="AH4" s="225"/>
      <c r="AI4" s="76" t="s">
        <v>100</v>
      </c>
      <c r="AJ4" s="279" t="s">
        <v>102</v>
      </c>
      <c r="AK4" s="212" t="s">
        <v>78</v>
      </c>
      <c r="AL4" s="154" t="s">
        <v>133</v>
      </c>
      <c r="AM4" s="225"/>
      <c r="AN4" s="76" t="s">
        <v>100</v>
      </c>
      <c r="AO4" s="76" t="s">
        <v>102</v>
      </c>
      <c r="AP4" s="77" t="s">
        <v>78</v>
      </c>
      <c r="AQ4" s="78" t="s">
        <v>133</v>
      </c>
      <c r="AT4" s="71" t="s">
        <v>77</v>
      </c>
      <c r="AU4" s="228" t="s">
        <v>100</v>
      </c>
      <c r="AV4" s="76" t="s">
        <v>102</v>
      </c>
      <c r="AW4" s="77" t="s">
        <v>78</v>
      </c>
      <c r="AX4" s="78" t="s">
        <v>133</v>
      </c>
      <c r="AY4" s="74"/>
      <c r="AZ4" s="76" t="s">
        <v>100</v>
      </c>
      <c r="BA4" s="279" t="s">
        <v>102</v>
      </c>
      <c r="BB4" s="212" t="s">
        <v>78</v>
      </c>
      <c r="BC4" s="154" t="s">
        <v>133</v>
      </c>
      <c r="BD4" s="225"/>
      <c r="BE4" s="76" t="s">
        <v>100</v>
      </c>
      <c r="BF4" s="76" t="s">
        <v>102</v>
      </c>
      <c r="BG4" s="77" t="s">
        <v>78</v>
      </c>
      <c r="BH4" s="78" t="s">
        <v>133</v>
      </c>
      <c r="BK4" s="71" t="s">
        <v>77</v>
      </c>
      <c r="BL4" s="76" t="s">
        <v>100</v>
      </c>
      <c r="BM4" s="76" t="s">
        <v>102</v>
      </c>
      <c r="BN4" s="77" t="s">
        <v>78</v>
      </c>
      <c r="BO4" s="78" t="s">
        <v>133</v>
      </c>
      <c r="BR4" s="71" t="s">
        <v>77</v>
      </c>
      <c r="BS4" s="76" t="s">
        <v>98</v>
      </c>
      <c r="BT4" s="76" t="s">
        <v>79</v>
      </c>
      <c r="BU4" s="77" t="s">
        <v>78</v>
      </c>
      <c r="BV4" s="78" t="s">
        <v>133</v>
      </c>
      <c r="BW4" s="165"/>
      <c r="BX4" s="76" t="s">
        <v>98</v>
      </c>
      <c r="BY4" s="76" t="s">
        <v>79</v>
      </c>
      <c r="BZ4" s="77" t="s">
        <v>78</v>
      </c>
      <c r="CA4" s="78" t="s">
        <v>133</v>
      </c>
      <c r="CB4" s="74"/>
      <c r="CC4" s="76" t="s">
        <v>98</v>
      </c>
      <c r="CD4" s="76" t="s">
        <v>79</v>
      </c>
      <c r="CE4" s="77" t="s">
        <v>78</v>
      </c>
      <c r="CF4" s="78" t="s">
        <v>133</v>
      </c>
      <c r="CI4" s="71" t="s">
        <v>77</v>
      </c>
      <c r="CJ4" s="72" t="s">
        <v>100</v>
      </c>
      <c r="CK4" s="72" t="s">
        <v>103</v>
      </c>
      <c r="CL4" s="73" t="s">
        <v>78</v>
      </c>
      <c r="CM4" s="78" t="s">
        <v>133</v>
      </c>
      <c r="CN4" s="165"/>
      <c r="CO4" s="72" t="s">
        <v>100</v>
      </c>
      <c r="CP4" s="72" t="s">
        <v>103</v>
      </c>
      <c r="CQ4" s="73" t="s">
        <v>78</v>
      </c>
      <c r="CR4" s="154" t="s">
        <v>133</v>
      </c>
      <c r="CS4" s="165"/>
      <c r="CT4" s="72" t="s">
        <v>100</v>
      </c>
      <c r="CU4" s="72" t="s">
        <v>103</v>
      </c>
      <c r="CV4" s="73" t="s">
        <v>78</v>
      </c>
      <c r="CW4" s="78" t="s">
        <v>133</v>
      </c>
    </row>
    <row r="5" spans="2:101" x14ac:dyDescent="0.3">
      <c r="B5" s="79" t="s">
        <v>80</v>
      </c>
      <c r="C5" s="80">
        <f>'P&amp;L Brand wise'!C8/1000</f>
        <v>0.9125700000000001</v>
      </c>
      <c r="D5" s="80">
        <f>'P&amp;L Brand wise'!H8/1000</f>
        <v>1.712102308452095</v>
      </c>
      <c r="E5" s="81">
        <f>C5-D5</f>
        <v>-0.79953230845209489</v>
      </c>
      <c r="F5" s="218">
        <f>E5/D5</f>
        <v>-0.46698862825256565</v>
      </c>
      <c r="G5" s="82"/>
      <c r="H5" s="80">
        <f>'P&amp;L Brand wise'!D8/1000</f>
        <v>4.9215834000000003</v>
      </c>
      <c r="I5" s="80">
        <f>'P&amp;L Brand wise'!I8/1000</f>
        <v>6.1381771290688603</v>
      </c>
      <c r="J5" s="81">
        <f>H5-I5</f>
        <v>-1.21659372906886</v>
      </c>
      <c r="K5" s="218">
        <f>J5/I5</f>
        <v>-0.19820114400208144</v>
      </c>
      <c r="L5" s="83"/>
      <c r="M5" s="80">
        <f>C5+H5</f>
        <v>5.8341533999999999</v>
      </c>
      <c r="N5" s="80">
        <f>D5+I5</f>
        <v>7.850279437520955</v>
      </c>
      <c r="O5" s="81">
        <f>M5-N5</f>
        <v>-2.0161260375209551</v>
      </c>
      <c r="P5" s="213">
        <f>O5/N5</f>
        <v>-0.25682220022445834</v>
      </c>
      <c r="R5" s="79" t="s">
        <v>80</v>
      </c>
      <c r="S5" s="80">
        <f>'P&amp;L Brand wise'!E8/1000</f>
        <v>1.496675</v>
      </c>
      <c r="T5" s="80">
        <f>'P&amp;L Brand wise'!J8/1000</f>
        <v>0.93965652861834315</v>
      </c>
      <c r="U5" s="81">
        <f>S5-T5</f>
        <v>0.55701847138165683</v>
      </c>
      <c r="V5" s="213">
        <f>U5/T5</f>
        <v>0.59278944424585489</v>
      </c>
      <c r="X5" s="79" t="s">
        <v>80</v>
      </c>
      <c r="Y5" s="171">
        <f>'P&amp;L Brand wise'!R8/1000</f>
        <v>3.7508100631256514</v>
      </c>
      <c r="Z5" s="80">
        <f>'P&amp;L Brand wise'!W8/1000</f>
        <v>5.4713979096498653</v>
      </c>
      <c r="AA5" s="81">
        <f>Y5-Z5</f>
        <v>-1.7205878465242139</v>
      </c>
      <c r="AB5" s="213">
        <f>AA5/Z5</f>
        <v>-0.31446951490945768</v>
      </c>
      <c r="AC5" s="82"/>
      <c r="AD5" s="80">
        <f>'P&amp;L Brand wise'!S8/1000</f>
        <v>22.0360649</v>
      </c>
      <c r="AE5" s="280">
        <f>'P&amp;L Brand wise'!X8/1000</f>
        <v>29.421531247429304</v>
      </c>
      <c r="AF5" s="85">
        <f>AD5-AE5</f>
        <v>-7.3854663474293041</v>
      </c>
      <c r="AG5" s="218">
        <f>AF5/AE5</f>
        <v>-0.2510225006754061</v>
      </c>
      <c r="AH5" s="83"/>
      <c r="AI5" s="85">
        <f>'P&amp;L Brand wise'!T8/1000</f>
        <v>5.1553750000000003</v>
      </c>
      <c r="AJ5" s="155">
        <f>'P&amp;L Brand wise'!Y8/1000</f>
        <v>4.4674955986982878</v>
      </c>
      <c r="AK5" s="85">
        <f>AI5-AJ5</f>
        <v>0.68787940130171243</v>
      </c>
      <c r="AL5" s="218">
        <f>AK5/AJ5</f>
        <v>0.15397427621465204</v>
      </c>
      <c r="AM5" s="83"/>
      <c r="AN5" s="80">
        <f>AI5+AD5+Y5</f>
        <v>30.942249963125651</v>
      </c>
      <c r="AO5" s="84">
        <f>AJ5+AE5+Z5</f>
        <v>39.360424755777458</v>
      </c>
      <c r="AP5" s="85">
        <f>AN5-AO5</f>
        <v>-8.4181747926518078</v>
      </c>
      <c r="AQ5" s="213">
        <f>AP5/AO5</f>
        <v>-0.21387408405485156</v>
      </c>
      <c r="AT5" s="79" t="s">
        <v>80</v>
      </c>
      <c r="AU5" s="171">
        <f>'P&amp;L Brand wise'!R8/1000</f>
        <v>3.7508100631256514</v>
      </c>
      <c r="AV5" s="80">
        <f>'P&amp;L Brand wise'!W8/1000</f>
        <v>5.4713979096498653</v>
      </c>
      <c r="AW5" s="85">
        <f>AU5-AV5</f>
        <v>-1.7205878465242139</v>
      </c>
      <c r="AX5" s="213">
        <f>AW5/AV5</f>
        <v>-0.31446951490945768</v>
      </c>
      <c r="AY5" s="82"/>
      <c r="AZ5" s="80">
        <f>'P&amp;L Brand wise'!S8/1000</f>
        <v>22.0360649</v>
      </c>
      <c r="BA5" s="280">
        <f>'P&amp;L Brand wise'!X8/1000</f>
        <v>29.421531247429304</v>
      </c>
      <c r="BB5" s="85">
        <f>AZ5-BA5</f>
        <v>-7.3854663474293041</v>
      </c>
      <c r="BC5" s="218">
        <f>BB5/BA5</f>
        <v>-0.2510225006754061</v>
      </c>
      <c r="BD5" s="83"/>
      <c r="BE5" s="80">
        <f>AZ5+AU5</f>
        <v>25.786874963125651</v>
      </c>
      <c r="BF5" s="84">
        <f>BA5+AV5</f>
        <v>34.892929157079166</v>
      </c>
      <c r="BG5" s="85">
        <f>BE5-BF5</f>
        <v>-9.1060541939535149</v>
      </c>
      <c r="BH5" s="213">
        <f>BG5/BF5</f>
        <v>-0.26097133184091126</v>
      </c>
      <c r="BK5" s="79" t="s">
        <v>80</v>
      </c>
      <c r="BL5" s="85">
        <f>'P&amp;L Brand wise'!T8/1000</f>
        <v>5.1553750000000003</v>
      </c>
      <c r="BM5" s="85">
        <f>'P&amp;L Brand wise'!Y8/1000</f>
        <v>4.4674955986982878</v>
      </c>
      <c r="BN5" s="85">
        <f>BL5-BM5</f>
        <v>0.68787940130171243</v>
      </c>
      <c r="BO5" s="213">
        <f>BN5/BM5</f>
        <v>0.15397427621465204</v>
      </c>
      <c r="BR5" s="79" t="s">
        <v>80</v>
      </c>
      <c r="BS5" s="80">
        <f>'P&amp;L Brand wise'!C8/1000</f>
        <v>0.9125700000000001</v>
      </c>
      <c r="BT5" s="280">
        <v>1.1291277950540499</v>
      </c>
      <c r="BU5" s="85">
        <f>BS5-BT5</f>
        <v>-0.21655779505404982</v>
      </c>
      <c r="BV5" s="213">
        <f>BU5/BT5</f>
        <v>-0.19179210360655718</v>
      </c>
      <c r="BW5" s="82"/>
      <c r="BX5" s="80">
        <f>('P&amp;L Brand wise'!D8+'P&amp;L Brand wise'!E8)/1000</f>
        <v>6.4182584000000009</v>
      </c>
      <c r="BY5" s="280">
        <v>6.887052341597796</v>
      </c>
      <c r="BZ5" s="85">
        <f>BX5-BY5</f>
        <v>-0.46879394159779508</v>
      </c>
      <c r="CA5" s="213">
        <f>BZ5/BY5</f>
        <v>-6.8068880319999844E-2</v>
      </c>
      <c r="CB5" s="82"/>
      <c r="CC5" s="80">
        <f>BS5+BX5</f>
        <v>7.3308284000000015</v>
      </c>
      <c r="CD5" s="280">
        <f>BT5+BY5</f>
        <v>8.0161801366518457</v>
      </c>
      <c r="CE5" s="85">
        <f>CC5-CD5</f>
        <v>-0.68535173665184423</v>
      </c>
      <c r="CF5" s="213">
        <f>CE5/CD5</f>
        <v>-8.5496049860239065E-2</v>
      </c>
      <c r="CI5" s="79" t="s">
        <v>80</v>
      </c>
      <c r="CJ5" s="80">
        <f>'P&amp;L Brand wise'!R8/1000</f>
        <v>3.7508100631256514</v>
      </c>
      <c r="CK5" s="84">
        <f>Sheet1!BT5*3</f>
        <v>3.38738338516215</v>
      </c>
      <c r="CL5" s="85">
        <f>CJ5-CK5</f>
        <v>0.36342667796350137</v>
      </c>
      <c r="CM5" s="213">
        <f>CL5/CK5</f>
        <v>0.10728832158633989</v>
      </c>
      <c r="CN5" s="82"/>
      <c r="CO5" s="80">
        <f>('P&amp;L Brand wise'!S8+'P&amp;L Brand wise'!T8)/1000</f>
        <v>27.191439900000002</v>
      </c>
      <c r="CP5" s="84">
        <f>Sheet1!BY5*3</f>
        <v>20.66115702479339</v>
      </c>
      <c r="CQ5" s="85">
        <f>CO5-CP5</f>
        <v>6.5302828752066127</v>
      </c>
      <c r="CR5" s="218">
        <f>CQ5/CP5</f>
        <v>0.31606569116000005</v>
      </c>
      <c r="CS5" s="82"/>
      <c r="CT5" s="80">
        <f>CJ5+CO5</f>
        <v>30.942249963125654</v>
      </c>
      <c r="CU5" s="84">
        <f>CK5+CP5</f>
        <v>24.048540409955539</v>
      </c>
      <c r="CV5" s="85">
        <f>CT5-CU5</f>
        <v>6.8937095531701154</v>
      </c>
      <c r="CW5" s="213">
        <f>CV5/CU5</f>
        <v>0.28665812709016963</v>
      </c>
    </row>
    <row r="6" spans="2:101" x14ac:dyDescent="0.3">
      <c r="B6" s="86"/>
      <c r="C6" s="87"/>
      <c r="D6" s="87"/>
      <c r="E6" s="88"/>
      <c r="F6" s="169"/>
      <c r="G6" s="89"/>
      <c r="H6" s="87"/>
      <c r="I6" s="87"/>
      <c r="J6" s="88"/>
      <c r="K6" s="169"/>
      <c r="L6" s="90"/>
      <c r="M6" s="87"/>
      <c r="N6" s="87"/>
      <c r="O6" s="88"/>
      <c r="P6" s="88"/>
      <c r="R6" s="86"/>
      <c r="S6" s="87"/>
      <c r="T6" s="87"/>
      <c r="U6" s="88"/>
      <c r="V6" s="88"/>
      <c r="X6" s="86"/>
      <c r="Y6" s="97"/>
      <c r="Z6" s="87"/>
      <c r="AA6" s="88"/>
      <c r="AB6" s="88"/>
      <c r="AC6" s="89"/>
      <c r="AD6" s="87"/>
      <c r="AE6" s="281"/>
      <c r="AF6" s="92"/>
      <c r="AG6" s="169"/>
      <c r="AH6" s="90"/>
      <c r="AI6" s="92"/>
      <c r="AJ6" s="156"/>
      <c r="AK6" s="92"/>
      <c r="AL6" s="169"/>
      <c r="AM6" s="90"/>
      <c r="AN6" s="87"/>
      <c r="AO6" s="91"/>
      <c r="AP6" s="92"/>
      <c r="AQ6" s="88"/>
      <c r="AT6" s="86"/>
      <c r="AU6" s="97"/>
      <c r="AV6" s="87"/>
      <c r="AW6" s="92"/>
      <c r="AX6" s="88"/>
      <c r="AY6" s="89"/>
      <c r="AZ6" s="87"/>
      <c r="BA6" s="281"/>
      <c r="BB6" s="92"/>
      <c r="BC6" s="169"/>
      <c r="BD6" s="90"/>
      <c r="BE6" s="87"/>
      <c r="BF6" s="91"/>
      <c r="BG6" s="92"/>
      <c r="BH6" s="88"/>
      <c r="BK6" s="86"/>
      <c r="BL6" s="92"/>
      <c r="BM6" s="92"/>
      <c r="BN6" s="92"/>
      <c r="BO6" s="88"/>
      <c r="BR6" s="86"/>
      <c r="BS6" s="87"/>
      <c r="BT6" s="281"/>
      <c r="BU6" s="92"/>
      <c r="BV6" s="88"/>
      <c r="BW6" s="89"/>
      <c r="BX6" s="87"/>
      <c r="BY6" s="281"/>
      <c r="BZ6" s="92"/>
      <c r="CA6" s="88"/>
      <c r="CB6" s="89"/>
      <c r="CC6" s="87"/>
      <c r="CD6" s="281"/>
      <c r="CE6" s="92"/>
      <c r="CF6" s="88"/>
      <c r="CI6" s="86"/>
      <c r="CJ6" s="87"/>
      <c r="CK6" s="91"/>
      <c r="CL6" s="92"/>
      <c r="CM6" s="88"/>
      <c r="CN6" s="89"/>
      <c r="CO6" s="87"/>
      <c r="CP6" s="91"/>
      <c r="CQ6" s="92"/>
      <c r="CR6" s="169"/>
      <c r="CS6" s="89"/>
      <c r="CT6" s="87"/>
      <c r="CU6" s="91"/>
      <c r="CV6" s="92"/>
      <c r="CW6" s="88"/>
    </row>
    <row r="7" spans="2:101" x14ac:dyDescent="0.3">
      <c r="B7" s="93" t="s">
        <v>81</v>
      </c>
      <c r="C7" s="87">
        <f>'P&amp;L Brand wise'!C11/10^7</f>
        <v>4.5930024419999995</v>
      </c>
      <c r="D7" s="87">
        <f>'P&amp;L Brand wise'!H11/10^7</f>
        <v>8.3603125025449305</v>
      </c>
      <c r="E7" s="94">
        <f>C7-D7</f>
        <v>-3.767310060544931</v>
      </c>
      <c r="F7" s="219">
        <f>E7/D7</f>
        <v>-0.45061833028348386</v>
      </c>
      <c r="G7" s="95"/>
      <c r="H7" s="87">
        <f>'P&amp;L Brand wise'!D11/10^7</f>
        <v>5.2565440079999997</v>
      </c>
      <c r="I7" s="87">
        <f>'P&amp;L Brand wise'!I11/10^7</f>
        <v>6.8435490470201508</v>
      </c>
      <c r="J7" s="94">
        <f>H7-I7</f>
        <v>-1.5870050390201511</v>
      </c>
      <c r="K7" s="219">
        <f>J7/I7</f>
        <v>-0.2318979564720402</v>
      </c>
      <c r="L7" s="96"/>
      <c r="M7" s="87">
        <f>C7+H7</f>
        <v>9.8495464499999983</v>
      </c>
      <c r="N7" s="87">
        <f>D7+I7</f>
        <v>15.203861549565081</v>
      </c>
      <c r="O7" s="94">
        <f>M7-N7</f>
        <v>-5.354315099565083</v>
      </c>
      <c r="P7" s="214">
        <f>O7/N7</f>
        <v>-0.35216810427468326</v>
      </c>
      <c r="R7" s="93" t="s">
        <v>81</v>
      </c>
      <c r="S7" s="87">
        <f>'P&amp;L Brand wise'!E11/10^7</f>
        <v>1.69678295</v>
      </c>
      <c r="T7" s="87">
        <f>'P&amp;L Brand wise'!J11/10^7</f>
        <v>1.1270025699966195</v>
      </c>
      <c r="U7" s="94">
        <f>S7-T7</f>
        <v>0.56978038000338049</v>
      </c>
      <c r="V7" s="214">
        <f>U7/T7</f>
        <v>0.50557150016533647</v>
      </c>
      <c r="X7" s="93" t="s">
        <v>81</v>
      </c>
      <c r="Y7" s="97">
        <f>'P&amp;L Brand wise'!R11/10^7</f>
        <v>19.191007098</v>
      </c>
      <c r="Z7" s="87">
        <f>'P&amp;L Brand wise'!W11/10^7</f>
        <v>27.624992468454497</v>
      </c>
      <c r="AA7" s="94">
        <f>Y7-Z7</f>
        <v>-8.4339853704544971</v>
      </c>
      <c r="AB7" s="214">
        <f>AA7/Z7</f>
        <v>-0.30530272108075412</v>
      </c>
      <c r="AC7" s="99"/>
      <c r="AD7" s="87">
        <f>'P&amp;L Brand wise'!S11/10^7</f>
        <v>23.467081917000002</v>
      </c>
      <c r="AE7" s="281">
        <f>'P&amp;L Brand wise'!X11/10^7</f>
        <v>31.231914087314497</v>
      </c>
      <c r="AF7" s="98">
        <f>AD7-AE7</f>
        <v>-7.7648321703144951</v>
      </c>
      <c r="AG7" s="219">
        <f>AF7/AE7</f>
        <v>-0.24861851721948564</v>
      </c>
      <c r="AH7" s="96"/>
      <c r="AI7" s="98">
        <f>'P&amp;L Brand wise'!T11/10^7</f>
        <v>5.9650677500000002</v>
      </c>
      <c r="AJ7" s="157">
        <f>'P&amp;L Brand wise'!Y11/10^7</f>
        <v>5.3134115209782049</v>
      </c>
      <c r="AK7" s="98">
        <f>AI7-AJ7</f>
        <v>0.65165622902179532</v>
      </c>
      <c r="AL7" s="219">
        <f>AK7/AJ7</f>
        <v>0.12264365868311752</v>
      </c>
      <c r="AM7" s="96"/>
      <c r="AN7" s="87">
        <f>AI7+AD7+Y7</f>
        <v>48.623156765000004</v>
      </c>
      <c r="AO7" s="91">
        <f>AJ7+AE7+Z7</f>
        <v>64.170318076747193</v>
      </c>
      <c r="AP7" s="98">
        <f>AN7-AO7</f>
        <v>-15.547161311747189</v>
      </c>
      <c r="AQ7" s="214">
        <f>AP7/AO7</f>
        <v>-0.24227963609519446</v>
      </c>
      <c r="AT7" s="93" t="s">
        <v>81</v>
      </c>
      <c r="AU7" s="97">
        <f>'P&amp;L Brand wise'!R11/10^7</f>
        <v>19.191007098</v>
      </c>
      <c r="AV7" s="87">
        <f>'P&amp;L Brand wise'!W11/10^7</f>
        <v>27.624992468454497</v>
      </c>
      <c r="AW7" s="98">
        <f>AU7-AV7</f>
        <v>-8.4339853704544971</v>
      </c>
      <c r="AX7" s="214">
        <f>AW7/AV7</f>
        <v>-0.30530272108075412</v>
      </c>
      <c r="AY7" s="99"/>
      <c r="AZ7" s="87">
        <f>'P&amp;L Brand wise'!S11/10^7</f>
        <v>23.467081917000002</v>
      </c>
      <c r="BA7" s="281">
        <f>'P&amp;L Brand wise'!X11/10^7</f>
        <v>31.231914087314497</v>
      </c>
      <c r="BB7" s="98">
        <f>AZ7-BA7</f>
        <v>-7.7648321703144951</v>
      </c>
      <c r="BC7" s="219">
        <f>BB7/BA7</f>
        <v>-0.24861851721948564</v>
      </c>
      <c r="BD7" s="96"/>
      <c r="BE7" s="87">
        <f>AZ7+AU7</f>
        <v>42.658089015000002</v>
      </c>
      <c r="BF7" s="91">
        <f>BA7+AV7</f>
        <v>58.856906555768994</v>
      </c>
      <c r="BG7" s="98">
        <f>BE7-BF7</f>
        <v>-16.198817540768992</v>
      </c>
      <c r="BH7" s="214">
        <f>BG7/BF7</f>
        <v>-0.27522373309613274</v>
      </c>
      <c r="BK7" s="93" t="s">
        <v>81</v>
      </c>
      <c r="BL7" s="98">
        <f>'P&amp;L Brand wise'!T11/10^7</f>
        <v>5.9650677500000002</v>
      </c>
      <c r="BM7" s="98">
        <f>'P&amp;L Brand wise'!Y11/10^7</f>
        <v>5.3134115209782049</v>
      </c>
      <c r="BN7" s="98">
        <f>BL7-BM7</f>
        <v>0.65165622902179532</v>
      </c>
      <c r="BO7" s="214">
        <f>BN7/BM7</f>
        <v>0.12264365868311752</v>
      </c>
      <c r="BR7" s="93" t="s">
        <v>81</v>
      </c>
      <c r="BS7" s="87">
        <f>'P&amp;L Brand wise'!C11/10^7</f>
        <v>4.5930024419999995</v>
      </c>
      <c r="BT7" s="281">
        <v>5.083333333333333</v>
      </c>
      <c r="BU7" s="98">
        <f>BS7-BT7</f>
        <v>-0.49033089133333352</v>
      </c>
      <c r="BV7" s="214">
        <f>BU7/BT7</f>
        <v>-9.6458536000000039E-2</v>
      </c>
      <c r="BW7" s="99"/>
      <c r="BX7" s="87">
        <f>('P&amp;L Brand wise'!D11+'P&amp;L Brand wise'!E11)/10^7</f>
        <v>6.9533269579999999</v>
      </c>
      <c r="BY7" s="281">
        <v>7.5</v>
      </c>
      <c r="BZ7" s="98">
        <f>BX7-BY7</f>
        <v>-0.54667304200000011</v>
      </c>
      <c r="CA7" s="214">
        <f>BZ7/BY7</f>
        <v>-7.2889738933333351E-2</v>
      </c>
      <c r="CB7" s="99"/>
      <c r="CC7" s="87">
        <f>BS7+BX7</f>
        <v>11.546329399999999</v>
      </c>
      <c r="CD7" s="281">
        <f>BT7+BY7</f>
        <v>12.583333333333332</v>
      </c>
      <c r="CE7" s="98">
        <f>CC7-CD7</f>
        <v>-1.0370039333333327</v>
      </c>
      <c r="CF7" s="214">
        <f>CE7/CD7</f>
        <v>-8.2410908609271485E-2</v>
      </c>
      <c r="CI7" s="93" t="s">
        <v>81</v>
      </c>
      <c r="CJ7" s="87">
        <f>'P&amp;L Brand wise'!R11/10^7</f>
        <v>19.191007098</v>
      </c>
      <c r="CK7" s="91">
        <f>Sheet1!BT7*3</f>
        <v>15.25</v>
      </c>
      <c r="CL7" s="98">
        <f>CJ7-CK7</f>
        <v>3.941007098</v>
      </c>
      <c r="CM7" s="214">
        <f>CL7/CK7</f>
        <v>0.25842669495081966</v>
      </c>
      <c r="CN7" s="99"/>
      <c r="CO7" s="87">
        <f>('P&amp;L Brand wise'!S9+'P&amp;L Brand wise'!T9)/10^7</f>
        <v>29.432149667000001</v>
      </c>
      <c r="CP7" s="91">
        <f>Sheet1!BY7*3</f>
        <v>22.5</v>
      </c>
      <c r="CQ7" s="98">
        <f>CO7-CP7</f>
        <v>6.9321496670000009</v>
      </c>
      <c r="CR7" s="219">
        <f>CQ7/CP7</f>
        <v>0.30809554075555562</v>
      </c>
      <c r="CS7" s="99"/>
      <c r="CT7" s="87">
        <f>CJ7+CO7</f>
        <v>48.623156765000004</v>
      </c>
      <c r="CU7" s="91">
        <f>CK7+CP7</f>
        <v>37.75</v>
      </c>
      <c r="CV7" s="98">
        <f>CT7-CU7</f>
        <v>10.873156765000004</v>
      </c>
      <c r="CW7" s="214">
        <f>CV7/CU7</f>
        <v>0.28803064278145707</v>
      </c>
    </row>
    <row r="8" spans="2:101" x14ac:dyDescent="0.3">
      <c r="B8" s="86"/>
      <c r="C8" s="92"/>
      <c r="D8" s="92"/>
      <c r="E8" s="88"/>
      <c r="F8" s="169"/>
      <c r="G8" s="89"/>
      <c r="H8" s="92"/>
      <c r="I8" s="92"/>
      <c r="J8" s="88"/>
      <c r="K8" s="169"/>
      <c r="L8" s="90"/>
      <c r="M8" s="92"/>
      <c r="N8" s="92"/>
      <c r="O8" s="88"/>
      <c r="P8" s="88"/>
      <c r="R8" s="86"/>
      <c r="S8" s="92"/>
      <c r="T8" s="92"/>
      <c r="U8" s="88"/>
      <c r="V8" s="88"/>
      <c r="X8" s="86"/>
      <c r="Y8" s="88"/>
      <c r="Z8" s="92"/>
      <c r="AA8" s="88"/>
      <c r="AB8" s="88"/>
      <c r="AC8" s="89"/>
      <c r="AD8" s="92"/>
      <c r="AE8" s="169"/>
      <c r="AF8" s="92"/>
      <c r="AG8" s="169"/>
      <c r="AH8" s="90"/>
      <c r="AI8" s="92"/>
      <c r="AJ8" s="156"/>
      <c r="AK8" s="92"/>
      <c r="AL8" s="169"/>
      <c r="AM8" s="90"/>
      <c r="AN8" s="92"/>
      <c r="AO8" s="100"/>
      <c r="AP8" s="92"/>
      <c r="AQ8" s="88"/>
      <c r="AT8" s="86"/>
      <c r="AU8" s="88"/>
      <c r="AV8" s="92"/>
      <c r="AW8" s="92"/>
      <c r="AX8" s="88"/>
      <c r="AY8" s="89"/>
      <c r="AZ8" s="92"/>
      <c r="BA8" s="169"/>
      <c r="BB8" s="92"/>
      <c r="BC8" s="169"/>
      <c r="BD8" s="90"/>
      <c r="BE8" s="92"/>
      <c r="BF8" s="100"/>
      <c r="BG8" s="92"/>
      <c r="BH8" s="88"/>
      <c r="BK8" s="86"/>
      <c r="BL8" s="92"/>
      <c r="BM8" s="92"/>
      <c r="BN8" s="92"/>
      <c r="BO8" s="88"/>
      <c r="BR8" s="86"/>
      <c r="BS8" s="92"/>
      <c r="BT8" s="169"/>
      <c r="BU8" s="92"/>
      <c r="BV8" s="88"/>
      <c r="BW8" s="89"/>
      <c r="BX8" s="92"/>
      <c r="BY8" s="169"/>
      <c r="BZ8" s="92"/>
      <c r="CA8" s="88"/>
      <c r="CB8" s="89"/>
      <c r="CC8" s="92"/>
      <c r="CD8" s="169"/>
      <c r="CE8" s="92"/>
      <c r="CF8" s="88"/>
      <c r="CI8" s="86"/>
      <c r="CJ8" s="92"/>
      <c r="CK8" s="100"/>
      <c r="CL8" s="92"/>
      <c r="CM8" s="88"/>
      <c r="CN8" s="89"/>
      <c r="CO8" s="92"/>
      <c r="CP8" s="100"/>
      <c r="CQ8" s="92"/>
      <c r="CR8" s="169"/>
      <c r="CS8" s="89"/>
      <c r="CT8" s="92"/>
      <c r="CU8" s="100"/>
      <c r="CV8" s="92"/>
      <c r="CW8" s="88"/>
    </row>
    <row r="9" spans="2:101" x14ac:dyDescent="0.3">
      <c r="B9" s="86" t="s">
        <v>82</v>
      </c>
      <c r="C9" s="87">
        <f>('P&amp;L Brand wise'!C15)/10^7</f>
        <v>0.316917168498</v>
      </c>
      <c r="D9" s="87">
        <f>'P&amp;L Brand wise'!H15/10^7</f>
        <v>0.72907489641471435</v>
      </c>
      <c r="E9" s="94">
        <f>C9-D9</f>
        <v>-0.41215772791671434</v>
      </c>
      <c r="F9" s="219">
        <f>E9/D9</f>
        <v>-0.56531603261000185</v>
      </c>
      <c r="G9" s="99"/>
      <c r="H9" s="87">
        <f>('P&amp;L Brand wise'!D15)/10^7</f>
        <v>0.8883559373519998</v>
      </c>
      <c r="I9" s="87">
        <f>'P&amp;L Brand wise'!I15/10^7</f>
        <v>1.0659917747485099</v>
      </c>
      <c r="J9" s="94">
        <f>H9-I9</f>
        <v>-0.17763583739651012</v>
      </c>
      <c r="K9" s="219">
        <f>J9/I9</f>
        <v>-0.16663903193663776</v>
      </c>
      <c r="L9" s="96"/>
      <c r="M9" s="87">
        <f>C9+H9</f>
        <v>1.2052731058499999</v>
      </c>
      <c r="N9" s="87">
        <f>D9+I9</f>
        <v>1.7950666711632244</v>
      </c>
      <c r="O9" s="94">
        <f>M9-N9</f>
        <v>-0.58979356531322447</v>
      </c>
      <c r="P9" s="214">
        <f>O9/N9</f>
        <v>-0.32856359866067331</v>
      </c>
      <c r="R9" s="86" t="s">
        <v>82</v>
      </c>
      <c r="S9" s="87">
        <f>('P&amp;L Brand wise'!E15)/10^7</f>
        <v>0.28675631854999994</v>
      </c>
      <c r="T9" s="87">
        <f>'P&amp;L Brand wise'!J15/10^7</f>
        <v>0.19046343432942869</v>
      </c>
      <c r="U9" s="94">
        <f>S9-T9</f>
        <v>9.6292884220571251E-2</v>
      </c>
      <c r="V9" s="214">
        <f>U9/T9</f>
        <v>0.50557150016533614</v>
      </c>
      <c r="X9" s="86" t="s">
        <v>82</v>
      </c>
      <c r="Y9" s="97">
        <f>('P&amp;L Brand wise'!R15)/10^7</f>
        <v>1.4815633384137847</v>
      </c>
      <c r="Z9" s="87">
        <f>'P&amp;L Brand wise'!W15/10^7</f>
        <v>2.3655539825395602</v>
      </c>
      <c r="AA9" s="94">
        <f>Y9-Z9</f>
        <v>-0.88399064412577544</v>
      </c>
      <c r="AB9" s="214">
        <f>AA9/Z9</f>
        <v>-0.37369286461041146</v>
      </c>
      <c r="AC9" s="99"/>
      <c r="AD9" s="87">
        <f>('P&amp;L Brand wise'!S15)/10^7</f>
        <v>4.160230118384562</v>
      </c>
      <c r="AE9" s="282">
        <f>'P&amp;L Brand wise'!X15/10^7</f>
        <v>5.1876254665582584</v>
      </c>
      <c r="AF9" s="98">
        <f>AD9-AE9</f>
        <v>-1.0273953481736964</v>
      </c>
      <c r="AG9" s="219">
        <f>AF9/AE9</f>
        <v>-0.1980473252737199</v>
      </c>
      <c r="AH9" s="96"/>
      <c r="AI9" s="98">
        <f>('P&amp;L Brand wise'!T15)/10^7</f>
        <v>1.0619417266866531</v>
      </c>
      <c r="AJ9" s="157">
        <f>'P&amp;L Brand wise'!Y15/10^7</f>
        <v>0.89796654704531653</v>
      </c>
      <c r="AK9" s="98">
        <f>AI9-AJ9</f>
        <v>0.16397517964133657</v>
      </c>
      <c r="AL9" s="219">
        <f>AK9/AJ9</f>
        <v>0.18260722538148344</v>
      </c>
      <c r="AM9" s="96"/>
      <c r="AN9" s="87">
        <f>AI9+AD9+Y9</f>
        <v>6.7037351834849996</v>
      </c>
      <c r="AO9" s="87">
        <f>AJ9+AE9+Z9</f>
        <v>8.4511459961431363</v>
      </c>
      <c r="AP9" s="98">
        <f>AN9-AO9</f>
        <v>-1.7474108126581367</v>
      </c>
      <c r="AQ9" s="214">
        <f>AP9/AO9</f>
        <v>-0.2067661372144802</v>
      </c>
      <c r="AT9" s="86" t="s">
        <v>82</v>
      </c>
      <c r="AU9" s="97">
        <f>('P&amp;L Brand wise'!R15)/10^7</f>
        <v>1.4815633384137847</v>
      </c>
      <c r="AV9" s="87">
        <f>'P&amp;L Brand wise'!W15/10^7</f>
        <v>2.3655539825395602</v>
      </c>
      <c r="AW9" s="98">
        <f>AU9-AV9</f>
        <v>-0.88399064412577544</v>
      </c>
      <c r="AX9" s="214">
        <f>AW9/AV9</f>
        <v>-0.37369286461041146</v>
      </c>
      <c r="AY9" s="99"/>
      <c r="AZ9" s="87">
        <f>('P&amp;L Brand wise'!S15)/10^7</f>
        <v>4.160230118384562</v>
      </c>
      <c r="BA9" s="282">
        <f>'P&amp;L Brand wise'!X15/10^7</f>
        <v>5.1876254665582584</v>
      </c>
      <c r="BB9" s="98">
        <f>AZ9-BA9</f>
        <v>-1.0273953481736964</v>
      </c>
      <c r="BC9" s="219">
        <f>BB9/BA9</f>
        <v>-0.1980473252737199</v>
      </c>
      <c r="BD9" s="96"/>
      <c r="BE9" s="87">
        <f>AZ9+AU9</f>
        <v>5.6417934567983465</v>
      </c>
      <c r="BF9" s="87">
        <f>BA9+AV9</f>
        <v>7.5531794490978186</v>
      </c>
      <c r="BG9" s="98">
        <f>BE9-BF9</f>
        <v>-1.911385992299472</v>
      </c>
      <c r="BH9" s="214">
        <f>BG9/BF9</f>
        <v>-0.25305714039771365</v>
      </c>
      <c r="BK9" s="86" t="s">
        <v>82</v>
      </c>
      <c r="BL9" s="98">
        <f>('P&amp;L Brand wise'!T15)/10^7</f>
        <v>1.0619417266866531</v>
      </c>
      <c r="BM9" s="98">
        <f>'P&amp;L Brand wise'!Y15/10^7</f>
        <v>0.89796654704531653</v>
      </c>
      <c r="BN9" s="98">
        <f>BL9-BM9</f>
        <v>0.16397517964133657</v>
      </c>
      <c r="BO9" s="214">
        <f>BN9/BM9</f>
        <v>0.18260722538148344</v>
      </c>
      <c r="BR9" s="86" t="s">
        <v>82</v>
      </c>
      <c r="BS9" s="87">
        <f>'P&amp;L Brand wise'!C15/10^7</f>
        <v>0.316917168498</v>
      </c>
      <c r="BT9" s="281">
        <v>0.41666666666666669</v>
      </c>
      <c r="BU9" s="98">
        <f>BS9-BT9</f>
        <v>-9.9749498168666684E-2</v>
      </c>
      <c r="BV9" s="214">
        <f>BU9/BT9</f>
        <v>-0.23939879560480004</v>
      </c>
      <c r="BW9" s="99"/>
      <c r="BX9" s="87">
        <f>('P&amp;L Brand wise'!D15+'P&amp;L Brand wise'!E15)/10^7</f>
        <v>1.1751122559019997</v>
      </c>
      <c r="BY9" s="281">
        <v>1.25</v>
      </c>
      <c r="BZ9" s="98">
        <f>BX9-BY9</f>
        <v>-7.4887744098000253E-2</v>
      </c>
      <c r="CA9" s="214">
        <f>BZ9/BY9</f>
        <v>-5.9910195278400205E-2</v>
      </c>
      <c r="CB9" s="99"/>
      <c r="CC9" s="87">
        <f>BS9+BX9</f>
        <v>1.4920294243999996</v>
      </c>
      <c r="CD9" s="282">
        <f>BT9+BY9</f>
        <v>1.6666666666666667</v>
      </c>
      <c r="CE9" s="98">
        <f>CC9-CD9</f>
        <v>-0.1746372422666671</v>
      </c>
      <c r="CF9" s="214">
        <f>CE9/CD9</f>
        <v>-0.10478234536000025</v>
      </c>
      <c r="CI9" s="86" t="s">
        <v>82</v>
      </c>
      <c r="CJ9" s="87">
        <f>('P&amp;L Brand wise'!R15)/10^7</f>
        <v>1.4815633384137847</v>
      </c>
      <c r="CK9" s="91">
        <f>Sheet1!BT9*3</f>
        <v>1.25</v>
      </c>
      <c r="CL9" s="98">
        <f>CJ9-CK9</f>
        <v>0.23156333841378474</v>
      </c>
      <c r="CM9" s="214">
        <f>CL9/CK9</f>
        <v>0.1852506707310278</v>
      </c>
      <c r="CN9" s="99"/>
      <c r="CO9" s="87">
        <f>('P&amp;L Brand wise'!S15+'P&amp;L Brand wise'!T15)/10^7</f>
        <v>5.2221718450712142</v>
      </c>
      <c r="CP9" s="91">
        <f>Sheet1!BY9*3</f>
        <v>3.75</v>
      </c>
      <c r="CQ9" s="98">
        <f>CO9-CP9</f>
        <v>1.4721718450712142</v>
      </c>
      <c r="CR9" s="219">
        <f>CQ9/CP9</f>
        <v>0.39257915868565713</v>
      </c>
      <c r="CS9" s="99"/>
      <c r="CT9" s="87">
        <f>CJ9+CO9</f>
        <v>6.7037351834849987</v>
      </c>
      <c r="CU9" s="87">
        <f>CK9+CP9</f>
        <v>5</v>
      </c>
      <c r="CV9" s="98">
        <f>CT9-CU9</f>
        <v>1.7037351834849987</v>
      </c>
      <c r="CW9" s="214">
        <f>CV9/CU9</f>
        <v>0.34074703669699974</v>
      </c>
    </row>
    <row r="10" spans="2:101" x14ac:dyDescent="0.3">
      <c r="B10" s="86" t="s">
        <v>83</v>
      </c>
      <c r="C10" s="136">
        <f t="shared" ref="C10:D10" si="0">C9/C7</f>
        <v>6.9000000000000006E-2</v>
      </c>
      <c r="D10" s="136">
        <f t="shared" si="0"/>
        <v>8.7206655994351817E-2</v>
      </c>
      <c r="E10" s="137">
        <f>C10-D10</f>
        <v>-1.8206655994351811E-2</v>
      </c>
      <c r="F10" s="105"/>
      <c r="G10" s="103"/>
      <c r="H10" s="136">
        <f t="shared" ref="H10:I10" si="1">H9/H7</f>
        <v>0.16899999999999998</v>
      </c>
      <c r="I10" s="136">
        <f t="shared" si="1"/>
        <v>0.15576592896819655</v>
      </c>
      <c r="J10" s="137">
        <f>H10-I10</f>
        <v>1.3234071031803435E-2</v>
      </c>
      <c r="K10" s="105"/>
      <c r="L10" s="104"/>
      <c r="M10" s="136">
        <f t="shared" ref="M10:N10" si="2">M9/M7</f>
        <v>0.12236838639915243</v>
      </c>
      <c r="N10" s="136">
        <f t="shared" si="2"/>
        <v>0.11806649681143497</v>
      </c>
      <c r="O10" s="137">
        <f>M10-N10</f>
        <v>4.3018895877174612E-3</v>
      </c>
      <c r="P10" s="102"/>
      <c r="R10" s="86" t="s">
        <v>83</v>
      </c>
      <c r="S10" s="136">
        <f>S9/S7</f>
        <v>0.16899999999999996</v>
      </c>
      <c r="T10" s="136">
        <f>T9/T7</f>
        <v>0.16899999999999998</v>
      </c>
      <c r="U10" s="137">
        <f>S10-T10</f>
        <v>0</v>
      </c>
      <c r="V10" s="102"/>
      <c r="X10" s="86" t="s">
        <v>83</v>
      </c>
      <c r="Y10" s="137">
        <f>Y9/Y7</f>
        <v>7.7200916598492972E-2</v>
      </c>
      <c r="Z10" s="136">
        <f>Z9/Z7</f>
        <v>8.5630936741098881E-2</v>
      </c>
      <c r="AA10" s="137">
        <f>Y10-Z10</f>
        <v>-8.4300201426059096E-3</v>
      </c>
      <c r="AB10" s="102"/>
      <c r="AC10" s="103"/>
      <c r="AD10" s="136">
        <f>AD9/AD7</f>
        <v>0.17727939643704962</v>
      </c>
      <c r="AE10" s="162">
        <f>AE9/AE7</f>
        <v>0.16610014525703765</v>
      </c>
      <c r="AF10" s="136">
        <f>AD10-AE10</f>
        <v>1.1179251180011979E-2</v>
      </c>
      <c r="AG10" s="105"/>
      <c r="AH10" s="104"/>
      <c r="AI10" s="136">
        <f>AI9/AI7</f>
        <v>0.17802676703657777</v>
      </c>
      <c r="AJ10" s="162">
        <f>AJ9/AJ7</f>
        <v>0.16899999999999998</v>
      </c>
      <c r="AK10" s="136">
        <f>AI10-AJ10</f>
        <v>9.0267670365777875E-3</v>
      </c>
      <c r="AL10" s="105"/>
      <c r="AM10" s="104"/>
      <c r="AN10" s="136">
        <f>AN9/AN7</f>
        <v>0.13787124550314045</v>
      </c>
      <c r="AO10" s="162">
        <f>AO9/AO7</f>
        <v>0.13169867704310945</v>
      </c>
      <c r="AP10" s="136">
        <f>AN10-AO10</f>
        <v>6.1725684600310027E-3</v>
      </c>
      <c r="AQ10" s="102"/>
      <c r="AT10" s="86" t="s">
        <v>83</v>
      </c>
      <c r="AU10" s="137">
        <f>AU9/AU7</f>
        <v>7.7200916598492972E-2</v>
      </c>
      <c r="AV10" s="136">
        <f>AV9/AV7</f>
        <v>8.5630936741098881E-2</v>
      </c>
      <c r="AW10" s="136">
        <f>AU10-AV10</f>
        <v>-8.4300201426059096E-3</v>
      </c>
      <c r="AX10" s="102"/>
      <c r="AY10" s="103"/>
      <c r="AZ10" s="136">
        <f>AZ9/AZ7</f>
        <v>0.17727939643704962</v>
      </c>
      <c r="BA10" s="162">
        <f>BA9/BA7</f>
        <v>0.16610014525703765</v>
      </c>
      <c r="BB10" s="136">
        <f>AZ10-BA10</f>
        <v>1.1179251180011979E-2</v>
      </c>
      <c r="BC10" s="105"/>
      <c r="BD10" s="104"/>
      <c r="BE10" s="136">
        <f>BE9/BE7</f>
        <v>0.13225612274414131</v>
      </c>
      <c r="BF10" s="162">
        <f>BF9/BF7</f>
        <v>0.12833123402333277</v>
      </c>
      <c r="BG10" s="136">
        <f>BE10-BF10</f>
        <v>3.9248887208085392E-3</v>
      </c>
      <c r="BH10" s="102"/>
      <c r="BK10" s="86" t="s">
        <v>83</v>
      </c>
      <c r="BL10" s="136">
        <f>BL9/BL7</f>
        <v>0.17802676703657777</v>
      </c>
      <c r="BM10" s="162">
        <f>BM9/BM7</f>
        <v>0.16899999999999998</v>
      </c>
      <c r="BN10" s="136">
        <f>BL10-BM10</f>
        <v>9.0267670365777875E-3</v>
      </c>
      <c r="BO10" s="102"/>
      <c r="BR10" s="86" t="s">
        <v>83</v>
      </c>
      <c r="BS10" s="136">
        <f>BS9/BS7</f>
        <v>6.9000000000000006E-2</v>
      </c>
      <c r="BT10" s="162">
        <f>BT9/BT7</f>
        <v>8.1967213114754106E-2</v>
      </c>
      <c r="BU10" s="136">
        <f>BS10-BT10</f>
        <v>-1.29672131147541E-2</v>
      </c>
      <c r="BV10" s="102"/>
      <c r="BW10" s="103"/>
      <c r="BX10" s="136">
        <f>BX9/BX7</f>
        <v>0.16899999999999996</v>
      </c>
      <c r="BY10" s="162">
        <f>BY9/BY7</f>
        <v>0.16666666666666666</v>
      </c>
      <c r="BZ10" s="136">
        <f>BX10-BY10</f>
        <v>2.3333333333332984E-3</v>
      </c>
      <c r="CA10" s="102"/>
      <c r="CB10" s="103"/>
      <c r="CC10" s="101">
        <f>CC9/CC7</f>
        <v>0.12922110332310455</v>
      </c>
      <c r="CD10" s="105">
        <f>CD9/CD7</f>
        <v>0.13245033112582782</v>
      </c>
      <c r="CE10" s="136">
        <f>CC10-CD10</f>
        <v>-3.2292278027232779E-3</v>
      </c>
      <c r="CF10" s="102"/>
      <c r="CI10" s="86" t="s">
        <v>83</v>
      </c>
      <c r="CJ10" s="136">
        <f>CJ9/CJ7</f>
        <v>7.7200916598492972E-2</v>
      </c>
      <c r="CK10" s="162">
        <f>CK9/CK7</f>
        <v>8.1967213114754092E-2</v>
      </c>
      <c r="CL10" s="136">
        <f>CJ10-CK10</f>
        <v>-4.7662965162611204E-3</v>
      </c>
      <c r="CM10" s="102"/>
      <c r="CN10" s="103"/>
      <c r="CO10" s="136">
        <f>CO9/CO7</f>
        <v>0.17743086740709371</v>
      </c>
      <c r="CP10" s="162">
        <f>CP9/CP7</f>
        <v>0.16666666666666666</v>
      </c>
      <c r="CQ10" s="136">
        <f>CO10-CP10</f>
        <v>1.0764200740427055E-2</v>
      </c>
      <c r="CR10" s="105"/>
      <c r="CS10" s="103"/>
      <c r="CT10" s="136">
        <f>CT9/CT7</f>
        <v>0.13787124550314042</v>
      </c>
      <c r="CU10" s="162">
        <f>CU9/CU7</f>
        <v>0.13245033112582782</v>
      </c>
      <c r="CV10" s="136">
        <f>CT10-CU10</f>
        <v>5.4209143773125967E-3</v>
      </c>
      <c r="CW10" s="102"/>
    </row>
    <row r="11" spans="2:101" x14ac:dyDescent="0.3">
      <c r="B11" s="86"/>
      <c r="C11" s="92"/>
      <c r="D11" s="92"/>
      <c r="E11" s="88"/>
      <c r="F11" s="169"/>
      <c r="G11" s="89"/>
      <c r="H11" s="92"/>
      <c r="I11" s="92"/>
      <c r="J11" s="88"/>
      <c r="K11" s="169"/>
      <c r="L11" s="90"/>
      <c r="M11" s="92"/>
      <c r="N11" s="92"/>
      <c r="O11" s="88"/>
      <c r="P11" s="88"/>
      <c r="R11" s="86"/>
      <c r="S11" s="92"/>
      <c r="T11" s="92"/>
      <c r="U11" s="88"/>
      <c r="V11" s="88"/>
      <c r="X11" s="86"/>
      <c r="Y11" s="88"/>
      <c r="Z11" s="92"/>
      <c r="AA11" s="88"/>
      <c r="AB11" s="88"/>
      <c r="AC11" s="89"/>
      <c r="AD11" s="92"/>
      <c r="AE11" s="169"/>
      <c r="AF11" s="92"/>
      <c r="AG11" s="169"/>
      <c r="AH11" s="90"/>
      <c r="AI11" s="92"/>
      <c r="AJ11" s="156"/>
      <c r="AK11" s="92"/>
      <c r="AL11" s="169"/>
      <c r="AM11" s="90"/>
      <c r="AN11" s="92"/>
      <c r="AO11" s="100"/>
      <c r="AP11" s="92"/>
      <c r="AQ11" s="88"/>
      <c r="AT11" s="86"/>
      <c r="AU11" s="88"/>
      <c r="AV11" s="92"/>
      <c r="AW11" s="92"/>
      <c r="AX11" s="88"/>
      <c r="AY11" s="89"/>
      <c r="AZ11" s="92"/>
      <c r="BA11" s="169"/>
      <c r="BB11" s="92"/>
      <c r="BC11" s="169"/>
      <c r="BD11" s="90"/>
      <c r="BE11" s="92"/>
      <c r="BF11" s="100"/>
      <c r="BG11" s="92"/>
      <c r="BH11" s="88"/>
      <c r="BK11" s="86"/>
      <c r="BL11" s="92"/>
      <c r="BM11" s="92"/>
      <c r="BN11" s="92"/>
      <c r="BO11" s="88"/>
      <c r="BR11" s="86"/>
      <c r="BS11" s="92"/>
      <c r="BT11" s="169"/>
      <c r="BU11" s="92"/>
      <c r="BV11" s="88"/>
      <c r="BW11" s="89"/>
      <c r="BX11" s="92"/>
      <c r="BY11" s="169"/>
      <c r="BZ11" s="92"/>
      <c r="CA11" s="88"/>
      <c r="CB11" s="89"/>
      <c r="CC11" s="92"/>
      <c r="CD11" s="169"/>
      <c r="CE11" s="92"/>
      <c r="CF11" s="88"/>
      <c r="CI11" s="86"/>
      <c r="CJ11" s="92"/>
      <c r="CK11" s="100"/>
      <c r="CL11" s="92"/>
      <c r="CM11" s="88"/>
      <c r="CN11" s="89"/>
      <c r="CO11" s="92"/>
      <c r="CP11" s="100"/>
      <c r="CQ11" s="92"/>
      <c r="CR11" s="169"/>
      <c r="CS11" s="89"/>
      <c r="CT11" s="92"/>
      <c r="CU11" s="100"/>
      <c r="CV11" s="92"/>
      <c r="CW11" s="88"/>
    </row>
    <row r="12" spans="2:101" x14ac:dyDescent="0.3">
      <c r="B12" s="86" t="s">
        <v>84</v>
      </c>
      <c r="C12" s="106">
        <f>(C7*10^7)/(C5*10^6)</f>
        <v>50.330412373845284</v>
      </c>
      <c r="D12" s="106">
        <f>(D7*10^7)/(D5*10^6)</f>
        <v>48.830682963703595</v>
      </c>
      <c r="E12" s="107">
        <f>C12-D12</f>
        <v>1.4997294101416898</v>
      </c>
      <c r="F12" s="220">
        <f>E12/D12</f>
        <v>3.0712849362693858E-2</v>
      </c>
      <c r="G12" s="108"/>
      <c r="H12" s="106">
        <f>(H7*10^7)/(H5*10^6)</f>
        <v>10.680595208444501</v>
      </c>
      <c r="I12" s="106">
        <f t="shared" ref="I12" si="3">(I7*10^7)/(I5*10^6)</f>
        <v>11.149155365052643</v>
      </c>
      <c r="J12" s="107">
        <f>H12-I12</f>
        <v>-0.46856015660814165</v>
      </c>
      <c r="K12" s="220">
        <f>J12/I12</f>
        <v>-4.2026516024420764E-2</v>
      </c>
      <c r="L12" s="109"/>
      <c r="M12" s="106">
        <f>(M7*10^7)/(M5*10^6)</f>
        <v>16.882563372433776</v>
      </c>
      <c r="N12" s="106">
        <f>(N7*10^7)/(N5*10^6)</f>
        <v>19.367287076300965</v>
      </c>
      <c r="O12" s="107">
        <f>M12-N12</f>
        <v>-2.4847237038671892</v>
      </c>
      <c r="P12" s="215">
        <f>O12/N12</f>
        <v>-0.12829487651410165</v>
      </c>
      <c r="R12" s="86" t="s">
        <v>84</v>
      </c>
      <c r="S12" s="106">
        <f>(S7*10^7)/(S5*10^6)</f>
        <v>11.33701672039688</v>
      </c>
      <c r="T12" s="106">
        <f>(T7*10^7)/(T5*10^6)</f>
        <v>11.993771507699172</v>
      </c>
      <c r="U12" s="107">
        <f>S12-T12</f>
        <v>-0.65675478730229209</v>
      </c>
      <c r="V12" s="215">
        <f>U12/T12</f>
        <v>-5.4757987250357479E-2</v>
      </c>
      <c r="X12" s="86" t="s">
        <v>84</v>
      </c>
      <c r="Y12" s="107">
        <f>(Y7*10^7)/(Y5*10^6)</f>
        <v>51.164966433964437</v>
      </c>
      <c r="Z12" s="106">
        <f>(Z7*10^7)/(Z5*10^6)</f>
        <v>50.489825314537065</v>
      </c>
      <c r="AA12" s="107">
        <f>Y12-Z12</f>
        <v>0.67514111942737287</v>
      </c>
      <c r="AB12" s="215">
        <f>AA12/Z12</f>
        <v>1.3371825218674024E-2</v>
      </c>
      <c r="AC12" s="108"/>
      <c r="AD12" s="106">
        <f>(AD7*10^7)/(AD5*10^6)</f>
        <v>10.649397713926684</v>
      </c>
      <c r="AE12" s="110">
        <f>(AE7*10^7)/(AE5*10^6)</f>
        <v>10.615325838978341</v>
      </c>
      <c r="AF12" s="106">
        <f>AD12-AE12</f>
        <v>3.4071874948342185E-2</v>
      </c>
      <c r="AG12" s="220">
        <f>AF12/AE12</f>
        <v>3.2096871509335965E-3</v>
      </c>
      <c r="AH12" s="109"/>
      <c r="AI12" s="106">
        <f>(AI7*10^7)/(AI5*10^6)</f>
        <v>11.570579734742866</v>
      </c>
      <c r="AJ12" s="110">
        <f>(AJ7*10^7)/(AJ5*10^6)</f>
        <v>11.893490219724882</v>
      </c>
      <c r="AK12" s="106">
        <f>AI12-AJ12</f>
        <v>-0.32291048498201569</v>
      </c>
      <c r="AL12" s="220">
        <f>AK12/AJ12</f>
        <v>-2.7150187120554524E-2</v>
      </c>
      <c r="AM12" s="109"/>
      <c r="AN12" s="106">
        <f>(AN7*10^7)/(AN5*10^6)</f>
        <v>15.714163263157968</v>
      </c>
      <c r="AO12" s="110">
        <f>(AO7*10^7)/(AO5*10^6)</f>
        <v>16.303258533135637</v>
      </c>
      <c r="AP12" s="106">
        <f>AN12-AO12</f>
        <v>-0.58909526997766903</v>
      </c>
      <c r="AQ12" s="215">
        <f>AP12/AO12</f>
        <v>-3.6133590642653403E-2</v>
      </c>
      <c r="AT12" s="86" t="s">
        <v>84</v>
      </c>
      <c r="AU12" s="107">
        <f>(AU7*10^7)/(AU5*10^6)</f>
        <v>51.164966433964437</v>
      </c>
      <c r="AV12" s="106">
        <f>(AV7*10^7)/(AV5*10^6)</f>
        <v>50.489825314537065</v>
      </c>
      <c r="AW12" s="106">
        <f>AU12-AV12</f>
        <v>0.67514111942737287</v>
      </c>
      <c r="AX12" s="215">
        <f>AW12/AV12</f>
        <v>1.3371825218674024E-2</v>
      </c>
      <c r="AY12" s="108"/>
      <c r="AZ12" s="106">
        <f>(AZ7*10^7)/(AZ5*10^6)</f>
        <v>10.649397713926684</v>
      </c>
      <c r="BA12" s="110">
        <f>(BA7*10^7)/(BA5*10^6)</f>
        <v>10.615325838978341</v>
      </c>
      <c r="BB12" s="106">
        <f>AZ12-BA12</f>
        <v>3.4071874948342185E-2</v>
      </c>
      <c r="BC12" s="220">
        <f>BB12/BA12</f>
        <v>3.2096871509335965E-3</v>
      </c>
      <c r="BD12" s="109"/>
      <c r="BE12" s="106">
        <f>(BE7*10^7)/(BE5*10^6)</f>
        <v>16.54255859851169</v>
      </c>
      <c r="BF12" s="110">
        <f>(BF7*10^7)/(BF5*10^6)</f>
        <v>16.867860617493601</v>
      </c>
      <c r="BG12" s="106">
        <f>BE12-BF12</f>
        <v>-0.3253020189819118</v>
      </c>
      <c r="BH12" s="215">
        <f>BG12/BF12</f>
        <v>-1.928531580611605E-2</v>
      </c>
      <c r="BK12" s="86" t="s">
        <v>84</v>
      </c>
      <c r="BL12" s="106">
        <f>(BL7*10^7)/(BL5*10^6)</f>
        <v>11.570579734742866</v>
      </c>
      <c r="BM12" s="110">
        <f>(BM7*10^7)/(BM5*10^6)</f>
        <v>11.893490219724882</v>
      </c>
      <c r="BN12" s="106">
        <f>BL12-BM12</f>
        <v>-0.32291048498201569</v>
      </c>
      <c r="BO12" s="215">
        <f>BN12/BM12</f>
        <v>-2.7150187120554524E-2</v>
      </c>
      <c r="BR12" s="86" t="s">
        <v>84</v>
      </c>
      <c r="BS12" s="106">
        <f>(BS7*10^7)/(BS5*10^6)</f>
        <v>50.330412373845284</v>
      </c>
      <c r="BT12" s="110">
        <f>(BT7*10^7)/(BT5*10^6)</f>
        <v>45.02</v>
      </c>
      <c r="BU12" s="106">
        <f>BS12-BT12</f>
        <v>5.3104123738452813</v>
      </c>
      <c r="BV12" s="215">
        <f>BU12/BT12</f>
        <v>0.11795673864605244</v>
      </c>
      <c r="BW12" s="108"/>
      <c r="BX12" s="106">
        <f>(BX7*10^7)/(BX5*10^6)</f>
        <v>10.833666276197292</v>
      </c>
      <c r="BY12" s="110">
        <f>(BY7*10^7)/(BY5*10^6)</f>
        <v>10.889999999999999</v>
      </c>
      <c r="BZ12" s="106">
        <f>BX12-BY12</f>
        <v>-5.633372380270707E-2</v>
      </c>
      <c r="CA12" s="215">
        <f>BZ12/BY12</f>
        <v>-5.1729773923514305E-3</v>
      </c>
      <c r="CB12" s="108"/>
      <c r="CC12" s="106">
        <f>(CC7*10^7)/(CC5*10^6)</f>
        <v>15.750374677983183</v>
      </c>
      <c r="CD12" s="110">
        <f>(CD7*10^7)/(CD5*10^6)</f>
        <v>15.697418369878438</v>
      </c>
      <c r="CE12" s="106">
        <f>CC12-CD12</f>
        <v>5.2956308104745276E-2</v>
      </c>
      <c r="CF12" s="215">
        <f>CE12/CD12</f>
        <v>3.3735679878649609E-3</v>
      </c>
      <c r="CI12" s="86" t="s">
        <v>84</v>
      </c>
      <c r="CJ12" s="106">
        <f>(CJ7*10^7)/(CJ5*10^6)</f>
        <v>51.164966433964437</v>
      </c>
      <c r="CK12" s="110">
        <f>(CK7*10^7)/(CK5*10^6)</f>
        <v>45.02</v>
      </c>
      <c r="CL12" s="106">
        <f>CJ12-CK12</f>
        <v>6.1449664339644343</v>
      </c>
      <c r="CM12" s="215">
        <f>CL12/CK12</f>
        <v>0.13649414557895234</v>
      </c>
      <c r="CN12" s="108"/>
      <c r="CO12" s="106">
        <f>(CO7*10^7)/(CO5*10^6)</f>
        <v>10.82404969182967</v>
      </c>
      <c r="CP12" s="110">
        <f>(CP7*10^7)/(CP5*10^6)</f>
        <v>10.889999999999999</v>
      </c>
      <c r="CQ12" s="106">
        <f>CO12-CP12</f>
        <v>-6.5950308170329208E-2</v>
      </c>
      <c r="CR12" s="220">
        <f>CQ12/CP12</f>
        <v>-6.0560429908474945E-3</v>
      </c>
      <c r="CS12" s="108"/>
      <c r="CT12" s="106">
        <f>(CT7*10^7)/(CT5*10^6)</f>
        <v>15.714163263157964</v>
      </c>
      <c r="CU12" s="110">
        <f>(CU7*10^7)/(CU5*10^6)</f>
        <v>15.697418369878438</v>
      </c>
      <c r="CV12" s="106">
        <f>CT12-CU12</f>
        <v>1.6744893279525996E-2</v>
      </c>
      <c r="CW12" s="215">
        <f>CV12/CU12</f>
        <v>1.0667291197167519E-3</v>
      </c>
    </row>
    <row r="13" spans="2:101" x14ac:dyDescent="0.3">
      <c r="B13" s="93" t="s">
        <v>85</v>
      </c>
      <c r="C13" s="111">
        <f>+C7-C9</f>
        <v>4.2760852735019999</v>
      </c>
      <c r="D13" s="111">
        <f>+D7-D9</f>
        <v>7.6312376061302158</v>
      </c>
      <c r="E13" s="112">
        <f>C13-D13</f>
        <v>-3.355152332628216</v>
      </c>
      <c r="F13" s="221">
        <f>E13/D13</f>
        <v>-0.43966031537702394</v>
      </c>
      <c r="G13" s="113"/>
      <c r="H13" s="111">
        <f t="shared" ref="H13:I13" si="4">+H7-H9</f>
        <v>4.3681880706479994</v>
      </c>
      <c r="I13" s="111">
        <f t="shared" si="4"/>
        <v>5.7775572722716406</v>
      </c>
      <c r="J13" s="112">
        <f>H13-I13</f>
        <v>-1.4093692016236412</v>
      </c>
      <c r="K13" s="221">
        <f>J13/I13</f>
        <v>-0.24393859467004478</v>
      </c>
      <c r="L13" s="114"/>
      <c r="M13" s="111">
        <f t="shared" ref="M13:N13" si="5">+M7-M9</f>
        <v>8.6442733441499975</v>
      </c>
      <c r="N13" s="111">
        <f t="shared" si="5"/>
        <v>13.408794878401856</v>
      </c>
      <c r="O13" s="112">
        <f>M13-N13</f>
        <v>-4.764521534251859</v>
      </c>
      <c r="P13" s="216">
        <f>O13/N13</f>
        <v>-0.35532809454235786</v>
      </c>
      <c r="R13" s="93" t="s">
        <v>85</v>
      </c>
      <c r="S13" s="111">
        <f>+S7-S9</f>
        <v>1.4100266314500001</v>
      </c>
      <c r="T13" s="111">
        <f>+T7-T9</f>
        <v>0.93653913566719083</v>
      </c>
      <c r="U13" s="112">
        <f>S13-T13</f>
        <v>0.47348749578280924</v>
      </c>
      <c r="V13" s="216">
        <f>U13/T13</f>
        <v>0.50557150016533647</v>
      </c>
      <c r="X13" s="93" t="s">
        <v>85</v>
      </c>
      <c r="Y13" s="112">
        <f>+Y7-Y9</f>
        <v>17.709443759586215</v>
      </c>
      <c r="Z13" s="111">
        <f>+Z7-Z9</f>
        <v>25.259438485914938</v>
      </c>
      <c r="AA13" s="112">
        <f>Y13-Z13</f>
        <v>-7.5499947263287233</v>
      </c>
      <c r="AB13" s="216">
        <f>AA13/Z13</f>
        <v>-0.29889796364787441</v>
      </c>
      <c r="AC13" s="113"/>
      <c r="AD13" s="111">
        <f>+AD7-AD9</f>
        <v>19.30685179861544</v>
      </c>
      <c r="AE13" s="170">
        <f>+AE7-AE9</f>
        <v>26.044288620756237</v>
      </c>
      <c r="AF13" s="111">
        <f>AD13-AE13</f>
        <v>-6.737436822140797</v>
      </c>
      <c r="AG13" s="221">
        <f>AF13/AE13</f>
        <v>-0.25869152812149893</v>
      </c>
      <c r="AH13" s="118"/>
      <c r="AI13" s="111">
        <f>+AI7-AI9</f>
        <v>4.9031260233133471</v>
      </c>
      <c r="AJ13" s="170">
        <f>+AJ7-AJ9</f>
        <v>4.415444973932888</v>
      </c>
      <c r="AK13" s="111">
        <f>AI13-AJ13</f>
        <v>0.48768104938045909</v>
      </c>
      <c r="AL13" s="221">
        <f>AK13/AJ13</f>
        <v>0.11044890203808291</v>
      </c>
      <c r="AM13" s="118"/>
      <c r="AN13" s="111">
        <f>+AN7-AN9</f>
        <v>41.919421581515003</v>
      </c>
      <c r="AO13" s="112">
        <f>+AO7-AO9</f>
        <v>55.719172080604054</v>
      </c>
      <c r="AP13" s="111">
        <f>AN13-AO13</f>
        <v>-13.79975049908905</v>
      </c>
      <c r="AQ13" s="216">
        <f>AP13/AO13</f>
        <v>-0.24766610815979387</v>
      </c>
      <c r="AT13" s="93" t="s">
        <v>85</v>
      </c>
      <c r="AU13" s="112">
        <f>+AU7-AU9</f>
        <v>17.709443759586215</v>
      </c>
      <c r="AV13" s="111">
        <f>+AV7-AV9</f>
        <v>25.259438485914938</v>
      </c>
      <c r="AW13" s="111">
        <f>AU13-AV13</f>
        <v>-7.5499947263287233</v>
      </c>
      <c r="AX13" s="216">
        <f>AW13/AV13</f>
        <v>-0.29889796364787441</v>
      </c>
      <c r="AY13" s="113"/>
      <c r="AZ13" s="111">
        <f>+AZ7-AZ9</f>
        <v>19.30685179861544</v>
      </c>
      <c r="BA13" s="170">
        <f>+BA7-BA9</f>
        <v>26.044288620756237</v>
      </c>
      <c r="BB13" s="111">
        <f>AZ13-BA13</f>
        <v>-6.737436822140797</v>
      </c>
      <c r="BC13" s="221">
        <f>BB13/BA13</f>
        <v>-0.25869152812149893</v>
      </c>
      <c r="BD13" s="118"/>
      <c r="BE13" s="111">
        <f>+BE7-BE9</f>
        <v>37.016295558201655</v>
      </c>
      <c r="BF13" s="112">
        <f>+BF7-BF9</f>
        <v>51.303727106671175</v>
      </c>
      <c r="BG13" s="111">
        <f>BE13-BF13</f>
        <v>-14.28743154846952</v>
      </c>
      <c r="BH13" s="216">
        <f>BG13/BF13</f>
        <v>-0.27848720461893467</v>
      </c>
      <c r="BK13" s="93" t="s">
        <v>85</v>
      </c>
      <c r="BL13" s="111">
        <f>+BL7-BL9</f>
        <v>4.9031260233133471</v>
      </c>
      <c r="BM13" s="112">
        <f>+BM7-BM9</f>
        <v>4.415444973932888</v>
      </c>
      <c r="BN13" s="111">
        <f>BL13-BM13</f>
        <v>0.48768104938045909</v>
      </c>
      <c r="BO13" s="216">
        <f>BN13/BM13</f>
        <v>0.11044890203808291</v>
      </c>
      <c r="BR13" s="93" t="s">
        <v>85</v>
      </c>
      <c r="BS13" s="111">
        <f>+BS7-BS9</f>
        <v>4.2760852735019999</v>
      </c>
      <c r="BT13" s="170">
        <f>+BT7-BT9</f>
        <v>4.6666666666666661</v>
      </c>
      <c r="BU13" s="111">
        <f>BS13-BT13</f>
        <v>-0.39058139316466622</v>
      </c>
      <c r="BV13" s="216">
        <f>BU13/BT13</f>
        <v>-8.3696012820999921E-2</v>
      </c>
      <c r="BW13" s="113"/>
      <c r="BX13" s="111">
        <f>+BX7-BX9</f>
        <v>5.7782147020980004</v>
      </c>
      <c r="BY13" s="170">
        <f>+BY7-BY9</f>
        <v>6.25</v>
      </c>
      <c r="BZ13" s="111">
        <f>BX13-BY13</f>
        <v>-0.47178529790199963</v>
      </c>
      <c r="CA13" s="216">
        <f>BZ13/BY13</f>
        <v>-7.5485647664319935E-2</v>
      </c>
      <c r="CB13" s="113"/>
      <c r="CC13" s="111">
        <f>+CC7-CC9</f>
        <v>10.054299975599999</v>
      </c>
      <c r="CD13" s="170">
        <f>+CD7-CD9</f>
        <v>10.916666666666666</v>
      </c>
      <c r="CE13" s="111">
        <f>CC13-CD13</f>
        <v>-0.86236669106666675</v>
      </c>
      <c r="CF13" s="216">
        <f>CE13/CD13</f>
        <v>-7.8995422082442757E-2</v>
      </c>
      <c r="CI13" s="93" t="s">
        <v>85</v>
      </c>
      <c r="CJ13" s="111">
        <f>+CJ7-CJ9</f>
        <v>17.709443759586215</v>
      </c>
      <c r="CK13" s="112">
        <f>+CK7-CK9</f>
        <v>14</v>
      </c>
      <c r="CL13" s="111">
        <f>CJ13-CK13</f>
        <v>3.7094437595862146</v>
      </c>
      <c r="CM13" s="216">
        <f>CL13/CK13</f>
        <v>0.26496026854187249</v>
      </c>
      <c r="CN13" s="113"/>
      <c r="CO13" s="111">
        <f>+CO7-CO9</f>
        <v>24.209977821928788</v>
      </c>
      <c r="CP13" s="112">
        <f>+CP7-CP9</f>
        <v>18.75</v>
      </c>
      <c r="CQ13" s="111">
        <f>CO13-CP13</f>
        <v>5.4599778219287884</v>
      </c>
      <c r="CR13" s="221">
        <f>CQ13/CP13</f>
        <v>0.29119881716953538</v>
      </c>
      <c r="CS13" s="113"/>
      <c r="CT13" s="111">
        <f>+CT7-CT9</f>
        <v>41.919421581515003</v>
      </c>
      <c r="CU13" s="112">
        <f>+CU7-CU9</f>
        <v>32.75</v>
      </c>
      <c r="CV13" s="111">
        <f>CT13-CU13</f>
        <v>9.1694215815150031</v>
      </c>
      <c r="CW13" s="216">
        <f>CV13/CU13</f>
        <v>0.27998233836687031</v>
      </c>
    </row>
    <row r="14" spans="2:101" x14ac:dyDescent="0.3">
      <c r="B14" s="86"/>
      <c r="C14" s="92"/>
      <c r="D14" s="92"/>
      <c r="E14" s="88"/>
      <c r="F14" s="169"/>
      <c r="G14" s="89"/>
      <c r="H14" s="92"/>
      <c r="I14" s="92"/>
      <c r="J14" s="88"/>
      <c r="K14" s="169"/>
      <c r="L14" s="90"/>
      <c r="M14" s="92"/>
      <c r="N14" s="92"/>
      <c r="O14" s="88"/>
      <c r="P14" s="88"/>
      <c r="R14" s="86"/>
      <c r="S14" s="92"/>
      <c r="T14" s="92"/>
      <c r="U14" s="88"/>
      <c r="V14" s="88"/>
      <c r="X14" s="86"/>
      <c r="Y14" s="88"/>
      <c r="Z14" s="92"/>
      <c r="AA14" s="88"/>
      <c r="AB14" s="88"/>
      <c r="AC14" s="89"/>
      <c r="AD14" s="92"/>
      <c r="AE14" s="169"/>
      <c r="AF14" s="92"/>
      <c r="AG14" s="169"/>
      <c r="AH14" s="90"/>
      <c r="AI14" s="92"/>
      <c r="AJ14" s="156"/>
      <c r="AK14" s="92"/>
      <c r="AL14" s="169"/>
      <c r="AM14" s="90"/>
      <c r="AN14" s="92"/>
      <c r="AO14" s="100"/>
      <c r="AP14" s="92"/>
      <c r="AQ14" s="88"/>
      <c r="AT14" s="86"/>
      <c r="AU14" s="88"/>
      <c r="AV14" s="92"/>
      <c r="AW14" s="92"/>
      <c r="AX14" s="88"/>
      <c r="AY14" s="89"/>
      <c r="AZ14" s="92"/>
      <c r="BA14" s="169"/>
      <c r="BB14" s="92"/>
      <c r="BC14" s="169"/>
      <c r="BD14" s="90"/>
      <c r="BE14" s="92"/>
      <c r="BF14" s="100"/>
      <c r="BG14" s="92"/>
      <c r="BH14" s="88"/>
      <c r="BK14" s="86"/>
      <c r="BL14" s="92"/>
      <c r="BM14" s="92"/>
      <c r="BN14" s="92"/>
      <c r="BO14" s="88"/>
      <c r="BR14" s="86"/>
      <c r="BS14" s="92"/>
      <c r="BT14" s="169"/>
      <c r="BU14" s="92"/>
      <c r="BV14" s="88"/>
      <c r="BW14" s="89"/>
      <c r="BX14" s="92"/>
      <c r="BY14" s="169"/>
      <c r="BZ14" s="92"/>
      <c r="CA14" s="88"/>
      <c r="CB14" s="89"/>
      <c r="CC14" s="92"/>
      <c r="CD14" s="169"/>
      <c r="CE14" s="92"/>
      <c r="CF14" s="88"/>
      <c r="CI14" s="86"/>
      <c r="CJ14" s="92"/>
      <c r="CK14" s="100"/>
      <c r="CL14" s="92"/>
      <c r="CM14" s="88"/>
      <c r="CN14" s="89"/>
      <c r="CO14" s="92"/>
      <c r="CP14" s="100"/>
      <c r="CQ14" s="92"/>
      <c r="CR14" s="169"/>
      <c r="CS14" s="89"/>
      <c r="CT14" s="92"/>
      <c r="CU14" s="100"/>
      <c r="CV14" s="92"/>
      <c r="CW14" s="88"/>
    </row>
    <row r="15" spans="2:101" x14ac:dyDescent="0.3">
      <c r="B15" s="86" t="s">
        <v>86</v>
      </c>
      <c r="C15" s="149">
        <f>SUM(C17:C17)</f>
        <v>3.0445641600000002</v>
      </c>
      <c r="D15" s="149">
        <f>SUM(D17:D17)</f>
        <v>5.6749138712908582</v>
      </c>
      <c r="E15" s="150">
        <f>C15-D15</f>
        <v>-2.630349711290858</v>
      </c>
      <c r="F15" s="222">
        <f>E15/D15</f>
        <v>-0.46350478103248094</v>
      </c>
      <c r="G15" s="113"/>
      <c r="H15" s="149">
        <f t="shared" ref="H15:N15" si="6">SUM(H17:H17)</f>
        <v>2.4009142564000001</v>
      </c>
      <c r="I15" s="149">
        <f t="shared" si="6"/>
        <v>3.4669227740074917</v>
      </c>
      <c r="J15" s="150">
        <f>H15-I15</f>
        <v>-1.0660085176074916</v>
      </c>
      <c r="K15" s="222">
        <f>J15/I15</f>
        <v>-0.30747974128517119</v>
      </c>
      <c r="L15" s="114"/>
      <c r="M15" s="149">
        <f t="shared" si="6"/>
        <v>5.4454784164000003</v>
      </c>
      <c r="N15" s="149">
        <f t="shared" si="6"/>
        <v>9.1418366452983495</v>
      </c>
      <c r="O15" s="150">
        <f>M15-N15</f>
        <v>-3.6963582288983492</v>
      </c>
      <c r="P15" s="217">
        <f>O15/N15</f>
        <v>-0.40433431183649382</v>
      </c>
      <c r="R15" s="86" t="s">
        <v>86</v>
      </c>
      <c r="S15" s="149">
        <f>SUM(S17:S17)</f>
        <v>0.62848040000000005</v>
      </c>
      <c r="T15" s="149">
        <f>SUM(T17:T17)</f>
        <v>0.43378234485985384</v>
      </c>
      <c r="U15" s="150">
        <f>S15-T15</f>
        <v>0.19469805514014621</v>
      </c>
      <c r="V15" s="217">
        <f>U15/T15</f>
        <v>0.44883812687915908</v>
      </c>
      <c r="X15" s="86" t="s">
        <v>86</v>
      </c>
      <c r="Y15" s="150">
        <f>SUM(Y17:Y17)</f>
        <v>13.526279259999999</v>
      </c>
      <c r="Z15" s="149">
        <f>SUM(Z17:Z17)</f>
        <v>19.404608085194202</v>
      </c>
      <c r="AA15" s="150">
        <f>Y15-Z15</f>
        <v>-5.8783288251942025</v>
      </c>
      <c r="AB15" s="217">
        <f>AA15/Z15</f>
        <v>-0.30293468434847659</v>
      </c>
      <c r="AC15" s="113"/>
      <c r="AD15" s="149">
        <f>SUM(AD17:AD17)</f>
        <v>11.037492766300808</v>
      </c>
      <c r="AE15" s="283">
        <f>SUM(AE17:AE17)</f>
        <v>15.898631390642663</v>
      </c>
      <c r="AF15" s="149">
        <f>AD15-AE15</f>
        <v>-4.8611386243418551</v>
      </c>
      <c r="AG15" s="222">
        <f>AF15/AE15</f>
        <v>-0.3057583074227973</v>
      </c>
      <c r="AH15" s="120"/>
      <c r="AI15" s="149">
        <f>SUM(AI17:AI17)</f>
        <v>2.2350437926862634</v>
      </c>
      <c r="AJ15" s="283">
        <f>SUM(AJ17:AJ17)</f>
        <v>2.0720880398938943</v>
      </c>
      <c r="AK15" s="149">
        <f>AI15-AJ15</f>
        <v>0.16295575279236907</v>
      </c>
      <c r="AL15" s="222">
        <f>AK15/AJ15</f>
        <v>7.8643257262714358E-2</v>
      </c>
      <c r="AM15" s="120"/>
      <c r="AN15" s="149">
        <f>SUM(AN17:AN17)</f>
        <v>26.79881581898707</v>
      </c>
      <c r="AO15" s="148">
        <f>SUM(AO17:AO17)</f>
        <v>37.37532751573076</v>
      </c>
      <c r="AP15" s="149">
        <f>AN15-AO15</f>
        <v>-10.57651169674369</v>
      </c>
      <c r="AQ15" s="217">
        <f>AP15/AO15</f>
        <v>-0.28298111079540861</v>
      </c>
      <c r="AT15" s="86" t="s">
        <v>86</v>
      </c>
      <c r="AU15" s="150">
        <f>SUM(AU17:AU17)</f>
        <v>13.526279259999999</v>
      </c>
      <c r="AV15" s="149">
        <f>SUM(AV17:AV17)</f>
        <v>19.404608085194202</v>
      </c>
      <c r="AW15" s="149">
        <f>AU15-AV15</f>
        <v>-5.8783288251942025</v>
      </c>
      <c r="AX15" s="217">
        <f>AW15/AV15</f>
        <v>-0.30293468434847659</v>
      </c>
      <c r="AY15" s="113"/>
      <c r="AZ15" s="149">
        <f>SUM(AZ17:AZ17)</f>
        <v>11.037492766300808</v>
      </c>
      <c r="BA15" s="283">
        <f>SUM(BA17:BA17)</f>
        <v>15.898631390642663</v>
      </c>
      <c r="BB15" s="149">
        <f>AZ15-BA15</f>
        <v>-4.8611386243418551</v>
      </c>
      <c r="BC15" s="222">
        <f>BB15/BA15</f>
        <v>-0.3057583074227973</v>
      </c>
      <c r="BD15" s="120"/>
      <c r="BE15" s="149">
        <f>SUM(BE17:BE17)</f>
        <v>24.563772026300807</v>
      </c>
      <c r="BF15" s="148">
        <f>SUM(BF17:BF17)</f>
        <v>35.303239475836861</v>
      </c>
      <c r="BG15" s="149">
        <f>BE15-BF15</f>
        <v>-10.739467449536054</v>
      </c>
      <c r="BH15" s="217">
        <f>BG15/BF15</f>
        <v>-0.3042062884027012</v>
      </c>
      <c r="BK15" s="86" t="s">
        <v>86</v>
      </c>
      <c r="BL15" s="149">
        <f>SUM(BL17:BL17)</f>
        <v>2.2350437926862634</v>
      </c>
      <c r="BM15" s="148">
        <f>SUM(BM17:BM17)</f>
        <v>2.0720880398938943</v>
      </c>
      <c r="BN15" s="149">
        <f>BL15-BM15</f>
        <v>0.16295575279236907</v>
      </c>
      <c r="BO15" s="217">
        <f>BN15/BM15</f>
        <v>7.8643257262714358E-2</v>
      </c>
      <c r="BR15" s="86" t="s">
        <v>86</v>
      </c>
      <c r="BS15" s="149">
        <f>SUM(BS17:BS17)</f>
        <v>3.0445641600000002</v>
      </c>
      <c r="BT15" s="283">
        <f>SUM(BT17:BT17)</f>
        <v>3.5916666666666668</v>
      </c>
      <c r="BU15" s="149">
        <f>BS15-BT15</f>
        <v>-0.5471025066666666</v>
      </c>
      <c r="BV15" s="217">
        <f>BU15/BT15</f>
        <v>-0.15232552389791182</v>
      </c>
      <c r="BW15" s="115"/>
      <c r="BX15" s="119">
        <f>SUM(BX17:BX17)</f>
        <v>3.0293946564000001</v>
      </c>
      <c r="BY15" s="285">
        <f>SUM(BY17:BY17)</f>
        <v>3.8166666666666664</v>
      </c>
      <c r="BZ15" s="149">
        <f>BX15-BY15</f>
        <v>-0.78727201026666638</v>
      </c>
      <c r="CA15" s="217">
        <f>BZ15/BY15</f>
        <v>-0.20627214242794753</v>
      </c>
      <c r="CB15" s="115"/>
      <c r="CC15" s="119">
        <f>SUM(CC17:CC17)</f>
        <v>6.0739588164000002</v>
      </c>
      <c r="CD15" s="285">
        <f>SUM(CD17:CD17)</f>
        <v>7.4083333333333332</v>
      </c>
      <c r="CE15" s="149">
        <f>CC15-CD15</f>
        <v>-1.334374516933333</v>
      </c>
      <c r="CF15" s="217">
        <f>CE15/CD15</f>
        <v>-0.18011804503037115</v>
      </c>
      <c r="CI15" s="86" t="s">
        <v>86</v>
      </c>
      <c r="CJ15" s="149">
        <f>SUM(CJ17:CJ17)</f>
        <v>13.526279259999999</v>
      </c>
      <c r="CK15" s="148">
        <f>SUM(CK17:CK17)</f>
        <v>10.775</v>
      </c>
      <c r="CL15" s="149">
        <f>CJ15-CK15</f>
        <v>2.7512792599999987</v>
      </c>
      <c r="CM15" s="217">
        <f>CL15/CK15</f>
        <v>0.2553391424593966</v>
      </c>
      <c r="CN15" s="115"/>
      <c r="CO15" s="149">
        <f>SUM(CO17:CO17)</f>
        <v>13.272536558987072</v>
      </c>
      <c r="CP15" s="148">
        <f>SUM(CP17:CP17)</f>
        <v>11.45</v>
      </c>
      <c r="CQ15" s="149">
        <f>CO15-CP15</f>
        <v>1.822536558987073</v>
      </c>
      <c r="CR15" s="222">
        <f>CQ15/CP15</f>
        <v>0.1591734986014911</v>
      </c>
      <c r="CS15" s="115"/>
      <c r="CT15" s="149">
        <f>SUM(CT17:CT17)</f>
        <v>26.798815818987073</v>
      </c>
      <c r="CU15" s="148">
        <f>SUM(CU17:CU17)</f>
        <v>22.225000000000001</v>
      </c>
      <c r="CV15" s="149">
        <f>CT15-CU15</f>
        <v>4.5738158189870717</v>
      </c>
      <c r="CW15" s="217">
        <f>CV15/CU15</f>
        <v>0.20579598735599872</v>
      </c>
    </row>
    <row r="16" spans="2:101" x14ac:dyDescent="0.3">
      <c r="B16" s="86" t="s">
        <v>87</v>
      </c>
      <c r="C16" s="136">
        <f t="shared" ref="C16:D16" si="7">C15/C13</f>
        <v>0.71199799940064878</v>
      </c>
      <c r="D16" s="136">
        <f t="shared" si="7"/>
        <v>0.74364266508124033</v>
      </c>
      <c r="E16" s="137">
        <f>C16-D16</f>
        <v>-3.1644665680591544E-2</v>
      </c>
      <c r="F16" s="105"/>
      <c r="G16" s="103"/>
      <c r="H16" s="136">
        <f t="shared" ref="H16:I16" si="8">H15/H13</f>
        <v>0.54963619184185819</v>
      </c>
      <c r="I16" s="136">
        <f t="shared" si="8"/>
        <v>0.60006722748493924</v>
      </c>
      <c r="J16" s="137">
        <f>H16-I16</f>
        <v>-5.0431035643081046E-2</v>
      </c>
      <c r="K16" s="105"/>
      <c r="L16" s="104"/>
      <c r="M16" s="136">
        <f t="shared" ref="M16:N16" si="9">M15/M13</f>
        <v>0.62995213126679084</v>
      </c>
      <c r="N16" s="136">
        <f t="shared" si="9"/>
        <v>0.68177914034791542</v>
      </c>
      <c r="O16" s="137">
        <f>M16-N16</f>
        <v>-5.1827009081124586E-2</v>
      </c>
      <c r="P16" s="102"/>
      <c r="R16" s="86" t="s">
        <v>87</v>
      </c>
      <c r="S16" s="136">
        <f>S15/S13</f>
        <v>0.44572236153703182</v>
      </c>
      <c r="T16" s="136">
        <f>T15/T13</f>
        <v>0.46317588698610779</v>
      </c>
      <c r="U16" s="137">
        <f>S16-T16</f>
        <v>-1.7453525449075968E-2</v>
      </c>
      <c r="V16" s="102"/>
      <c r="X16" s="86" t="s">
        <v>87</v>
      </c>
      <c r="Y16" s="137">
        <f>Y15/Y13</f>
        <v>0.76378905196715474</v>
      </c>
      <c r="Z16" s="136">
        <f>Z15/Z13</f>
        <v>0.76821217130438257</v>
      </c>
      <c r="AA16" s="137">
        <f>Y16-Z16</f>
        <v>-4.4231193372278321E-3</v>
      </c>
      <c r="AB16" s="137"/>
      <c r="AC16" s="166"/>
      <c r="AD16" s="136">
        <f>AD15/AD13</f>
        <v>0.57168785887155071</v>
      </c>
      <c r="AE16" s="162">
        <f>AE15/AE13</f>
        <v>0.6104459838450762</v>
      </c>
      <c r="AF16" s="136">
        <f>AD16-AE16</f>
        <v>-3.8758124973525487E-2</v>
      </c>
      <c r="AG16" s="162"/>
      <c r="AH16" s="226"/>
      <c r="AI16" s="136">
        <f>AI15/AI13</f>
        <v>0.4558405764116798</v>
      </c>
      <c r="AJ16" s="162">
        <f>AJ15/AJ13</f>
        <v>0.46928181692371118</v>
      </c>
      <c r="AK16" s="136">
        <f>AI16-AJ16</f>
        <v>-1.3441240512031383E-2</v>
      </c>
      <c r="AL16" s="162"/>
      <c r="AM16" s="226"/>
      <c r="AN16" s="136">
        <f>AN15/AN13</f>
        <v>0.63929354957522622</v>
      </c>
      <c r="AO16" s="162">
        <f>AO15/AO13</f>
        <v>0.67078038169094012</v>
      </c>
      <c r="AP16" s="136">
        <f>AN16-AO16</f>
        <v>-3.1486832115713903E-2</v>
      </c>
      <c r="AQ16" s="102"/>
      <c r="AT16" s="86" t="s">
        <v>87</v>
      </c>
      <c r="AU16" s="137">
        <f>AU15/AU13</f>
        <v>0.76378905196715474</v>
      </c>
      <c r="AV16" s="136">
        <f>AV15/AV13</f>
        <v>0.76821217130438257</v>
      </c>
      <c r="AW16" s="136">
        <f>AU16-AV16</f>
        <v>-4.4231193372278321E-3</v>
      </c>
      <c r="AX16" s="102"/>
      <c r="AY16" s="103"/>
      <c r="AZ16" s="136">
        <f>AZ15/AZ13</f>
        <v>0.57168785887155071</v>
      </c>
      <c r="BA16" s="162">
        <f>BA15/BA13</f>
        <v>0.6104459838450762</v>
      </c>
      <c r="BB16" s="136">
        <f>AZ16-BA16</f>
        <v>-3.8758124973525487E-2</v>
      </c>
      <c r="BC16" s="105"/>
      <c r="BD16" s="104"/>
      <c r="BE16" s="136">
        <f>BE15/BE13</f>
        <v>0.66359347027793658</v>
      </c>
      <c r="BF16" s="162">
        <f>BF15/BF13</f>
        <v>0.68812231521569656</v>
      </c>
      <c r="BG16" s="136">
        <f>BE16-BF16</f>
        <v>-2.4528844937759975E-2</v>
      </c>
      <c r="BH16" s="102"/>
      <c r="BK16" s="86" t="s">
        <v>87</v>
      </c>
      <c r="BL16" s="136">
        <f>BL15/BL13</f>
        <v>0.4558405764116798</v>
      </c>
      <c r="BM16" s="162">
        <f>BM15/BM13</f>
        <v>0.46928181692371118</v>
      </c>
      <c r="BN16" s="136">
        <f>BL16-BM16</f>
        <v>-1.3441240512031383E-2</v>
      </c>
      <c r="BO16" s="102"/>
      <c r="BR16" s="86" t="s">
        <v>87</v>
      </c>
      <c r="BS16" s="136">
        <f>BS15/BS13</f>
        <v>0.71199799940064878</v>
      </c>
      <c r="BT16" s="162">
        <f>BT15/BT13</f>
        <v>0.7696428571428573</v>
      </c>
      <c r="BU16" s="136">
        <f>BS16-BT16</f>
        <v>-5.7644857742208511E-2</v>
      </c>
      <c r="BV16" s="102"/>
      <c r="BW16" s="103"/>
      <c r="BX16" s="101">
        <f>BX15/BX13</f>
        <v>0.52427865916786776</v>
      </c>
      <c r="BY16" s="105">
        <f>BY15/BY13</f>
        <v>0.61066666666666658</v>
      </c>
      <c r="BZ16" s="136">
        <f>BX16-BY16</f>
        <v>-8.6388007498798824E-2</v>
      </c>
      <c r="CA16" s="102"/>
      <c r="CB16" s="103"/>
      <c r="CC16" s="101">
        <f>CC15/CC13</f>
        <v>0.60411553575489285</v>
      </c>
      <c r="CD16" s="105">
        <f>CD15/CD13</f>
        <v>0.67862595419847327</v>
      </c>
      <c r="CE16" s="136">
        <f>CC16-CD16</f>
        <v>-7.4510418443580417E-2</v>
      </c>
      <c r="CF16" s="102"/>
      <c r="CI16" s="86" t="s">
        <v>87</v>
      </c>
      <c r="CJ16" s="136">
        <f>CJ15/CJ13</f>
        <v>0.76378905196715474</v>
      </c>
      <c r="CK16" s="162">
        <f>CK15/CK13</f>
        <v>0.76964285714285718</v>
      </c>
      <c r="CL16" s="136">
        <f>CJ16-CK16</f>
        <v>-5.8538051757024423E-3</v>
      </c>
      <c r="CM16" s="137"/>
      <c r="CN16" s="166"/>
      <c r="CO16" s="136">
        <f>CO15/CO13</f>
        <v>0.54822588672366079</v>
      </c>
      <c r="CP16" s="162">
        <f>CP15/CP13</f>
        <v>0.61066666666666658</v>
      </c>
      <c r="CQ16" s="136">
        <f>CO16-CP16</f>
        <v>-6.2440779943005786E-2</v>
      </c>
      <c r="CR16" s="162"/>
      <c r="CS16" s="166"/>
      <c r="CT16" s="136">
        <f>CT15/CT13</f>
        <v>0.63929354957522633</v>
      </c>
      <c r="CU16" s="162">
        <f>CU15/CU13</f>
        <v>0.67862595419847338</v>
      </c>
      <c r="CV16" s="136">
        <f>CT16-CU16</f>
        <v>-3.9332404623247053E-2</v>
      </c>
      <c r="CW16" s="102"/>
    </row>
    <row r="17" spans="2:101" x14ac:dyDescent="0.3">
      <c r="B17" s="86" t="s">
        <v>88</v>
      </c>
      <c r="C17" s="87">
        <f>'P&amp;L Brand wise'!C32/10^7</f>
        <v>3.0445641600000002</v>
      </c>
      <c r="D17" s="87">
        <f>'P&amp;L Brand wise'!H32/10^7</f>
        <v>5.6749138712908582</v>
      </c>
      <c r="E17" s="94">
        <f>C17-D17</f>
        <v>-2.630349711290858</v>
      </c>
      <c r="F17" s="219">
        <f>E17/D17</f>
        <v>-0.46350478103248094</v>
      </c>
      <c r="G17" s="99"/>
      <c r="H17" s="87">
        <f>'P&amp;L Brand wise'!D32/10^7</f>
        <v>2.4009142564000001</v>
      </c>
      <c r="I17" s="87">
        <f>'P&amp;L Brand wise'!I32/10^7</f>
        <v>3.4669227740074917</v>
      </c>
      <c r="J17" s="94">
        <f>H17-I17</f>
        <v>-1.0660085176074916</v>
      </c>
      <c r="K17" s="219">
        <f>J17/I17</f>
        <v>-0.30747974128517119</v>
      </c>
      <c r="L17" s="96"/>
      <c r="M17" s="87">
        <f>C17+H17</f>
        <v>5.4454784164000003</v>
      </c>
      <c r="N17" s="87">
        <f>D17+I17</f>
        <v>9.1418366452983495</v>
      </c>
      <c r="O17" s="94">
        <f>M17-N17</f>
        <v>-3.6963582288983492</v>
      </c>
      <c r="P17" s="214">
        <f>O17/N17</f>
        <v>-0.40433431183649382</v>
      </c>
      <c r="R17" s="86" t="s">
        <v>88</v>
      </c>
      <c r="S17" s="87">
        <f>'P&amp;L Brand wise'!E32/10^7</f>
        <v>0.62848040000000005</v>
      </c>
      <c r="T17" s="87">
        <f>'P&amp;L Brand wise'!J32/10^7</f>
        <v>0.43378234485985384</v>
      </c>
      <c r="U17" s="94">
        <f>S17-T17</f>
        <v>0.19469805514014621</v>
      </c>
      <c r="V17" s="214">
        <f>U17/T17</f>
        <v>0.44883812687915908</v>
      </c>
      <c r="X17" s="86" t="s">
        <v>88</v>
      </c>
      <c r="Y17" s="97">
        <f>'P&amp;L Brand wise'!R32/10^7</f>
        <v>13.526279259999999</v>
      </c>
      <c r="Z17" s="87">
        <f>'P&amp;L Brand wise'!W32/10^7</f>
        <v>19.404608085194202</v>
      </c>
      <c r="AA17" s="94">
        <f>Y17-Z17</f>
        <v>-5.8783288251942025</v>
      </c>
      <c r="AB17" s="214">
        <f>AA17/Z17</f>
        <v>-0.30293468434847659</v>
      </c>
      <c r="AC17" s="99"/>
      <c r="AD17" s="87">
        <f>'P&amp;L Brand wise'!S32/10^7</f>
        <v>11.037492766300808</v>
      </c>
      <c r="AE17" s="281">
        <f>'P&amp;L Brand wise'!X32/10^7</f>
        <v>15.898631390642663</v>
      </c>
      <c r="AF17" s="98">
        <f>AD17-AE17</f>
        <v>-4.8611386243418551</v>
      </c>
      <c r="AG17" s="219">
        <f>AF17/AE17</f>
        <v>-0.3057583074227973</v>
      </c>
      <c r="AH17" s="124"/>
      <c r="AI17" s="87">
        <f>'P&amp;L Brand wise'!T32/10^7</f>
        <v>2.2350437926862634</v>
      </c>
      <c r="AJ17" s="282">
        <f>'P&amp;L Brand wise'!Y32/10^7</f>
        <v>2.0720880398938943</v>
      </c>
      <c r="AK17" s="98">
        <f>AI17-AJ17</f>
        <v>0.16295575279236907</v>
      </c>
      <c r="AL17" s="219">
        <f>AK17/AJ17</f>
        <v>7.8643257262714358E-2</v>
      </c>
      <c r="AM17" s="124"/>
      <c r="AN17" s="87">
        <f>AI17+AD17+Y17</f>
        <v>26.79881581898707</v>
      </c>
      <c r="AO17" s="91">
        <f>AJ17+AE17+Z17</f>
        <v>37.37532751573076</v>
      </c>
      <c r="AP17" s="98">
        <f>AN17-AO17</f>
        <v>-10.57651169674369</v>
      </c>
      <c r="AQ17" s="214">
        <f>AP17/AO17</f>
        <v>-0.28298111079540861</v>
      </c>
      <c r="AT17" s="86" t="s">
        <v>88</v>
      </c>
      <c r="AU17" s="97">
        <f>'P&amp;L Brand wise'!R32/10^7</f>
        <v>13.526279259999999</v>
      </c>
      <c r="AV17" s="87">
        <f>'P&amp;L Brand wise'!W32/10^7</f>
        <v>19.404608085194202</v>
      </c>
      <c r="AW17" s="98">
        <f>AU17-AV17</f>
        <v>-5.8783288251942025</v>
      </c>
      <c r="AX17" s="214">
        <f>AW17/AV17</f>
        <v>-0.30293468434847659</v>
      </c>
      <c r="AY17" s="99"/>
      <c r="AZ17" s="87">
        <f>'P&amp;L Brand wise'!S32/10^7</f>
        <v>11.037492766300808</v>
      </c>
      <c r="BA17" s="281">
        <f>'P&amp;L Brand wise'!X32/10^7</f>
        <v>15.898631390642663</v>
      </c>
      <c r="BB17" s="98">
        <f>AZ17-BA17</f>
        <v>-4.8611386243418551</v>
      </c>
      <c r="BC17" s="219">
        <f>BB17/BA17</f>
        <v>-0.3057583074227973</v>
      </c>
      <c r="BD17" s="124"/>
      <c r="BE17" s="87">
        <f>AZ17+AU17</f>
        <v>24.563772026300807</v>
      </c>
      <c r="BF17" s="91">
        <f>BA17+AV17</f>
        <v>35.303239475836861</v>
      </c>
      <c r="BG17" s="98">
        <f>BE17-BF17</f>
        <v>-10.739467449536054</v>
      </c>
      <c r="BH17" s="214">
        <f>BG17/BF17</f>
        <v>-0.3042062884027012</v>
      </c>
      <c r="BK17" s="86" t="s">
        <v>88</v>
      </c>
      <c r="BL17" s="87">
        <f>'P&amp;L Brand wise'!T32/10^7</f>
        <v>2.2350437926862634</v>
      </c>
      <c r="BM17" s="87">
        <f>'P&amp;L Brand wise'!Y32/10^7</f>
        <v>2.0720880398938943</v>
      </c>
      <c r="BN17" s="98">
        <f>BL17-BM17</f>
        <v>0.16295575279236907</v>
      </c>
      <c r="BO17" s="214">
        <f>BN17/BM17</f>
        <v>7.8643257262714358E-2</v>
      </c>
      <c r="BR17" s="86" t="s">
        <v>88</v>
      </c>
      <c r="BS17" s="87">
        <f>'P&amp;L Brand wise'!C21/10^7</f>
        <v>3.0445641600000002</v>
      </c>
      <c r="BT17" s="281">
        <v>3.5916666666666668</v>
      </c>
      <c r="BU17" s="98">
        <f>BS17-BT17</f>
        <v>-0.5471025066666666</v>
      </c>
      <c r="BV17" s="214">
        <f>BU17/BT17</f>
        <v>-0.15232552389791182</v>
      </c>
      <c r="BW17" s="123"/>
      <c r="BX17" s="122">
        <f>('P&amp;L Brand wise'!D21+'P&amp;L Brand wise'!E21)/10^7</f>
        <v>3.0293946564000001</v>
      </c>
      <c r="BY17" s="286">
        <v>3.8166666666666664</v>
      </c>
      <c r="BZ17" s="98">
        <f>BX17-BY17</f>
        <v>-0.78727201026666638</v>
      </c>
      <c r="CA17" s="214">
        <f>BZ17/BY17</f>
        <v>-0.20627214242794753</v>
      </c>
      <c r="CB17" s="123"/>
      <c r="CC17" s="122">
        <f>BS17+BX17</f>
        <v>6.0739588164000002</v>
      </c>
      <c r="CD17" s="286">
        <f>BT17+BY17</f>
        <v>7.4083333333333332</v>
      </c>
      <c r="CE17" s="98">
        <f>CC17-CD17</f>
        <v>-1.334374516933333</v>
      </c>
      <c r="CF17" s="214">
        <f>CE17/CD17</f>
        <v>-0.18011804503037115</v>
      </c>
      <c r="CI17" s="86" t="s">
        <v>88</v>
      </c>
      <c r="CJ17" s="87">
        <f>'P&amp;L Brand wise'!R32/10^7</f>
        <v>13.526279259999999</v>
      </c>
      <c r="CK17" s="91">
        <f>Sheet1!BT17*3</f>
        <v>10.775</v>
      </c>
      <c r="CL17" s="98">
        <f>CJ17-CK17</f>
        <v>2.7512792599999987</v>
      </c>
      <c r="CM17" s="214">
        <f>CL17/CK17</f>
        <v>0.2553391424593966</v>
      </c>
      <c r="CN17" s="123"/>
      <c r="CO17" s="87">
        <f>('P&amp;L Brand wise'!S32+'P&amp;L Brand wise'!T32)/10^7</f>
        <v>13.272536558987072</v>
      </c>
      <c r="CP17" s="91">
        <f>Sheet1!BY17*3</f>
        <v>11.45</v>
      </c>
      <c r="CQ17" s="98">
        <f>CO17-CP17</f>
        <v>1.822536558987073</v>
      </c>
      <c r="CR17" s="219">
        <f>CQ17/CP17</f>
        <v>0.1591734986014911</v>
      </c>
      <c r="CS17" s="123"/>
      <c r="CT17" s="87">
        <f>CJ17+CO17</f>
        <v>26.798815818987073</v>
      </c>
      <c r="CU17" s="91">
        <f>CK17+CP17</f>
        <v>22.225000000000001</v>
      </c>
      <c r="CV17" s="98">
        <f>CT17-CU17</f>
        <v>4.5738158189870717</v>
      </c>
      <c r="CW17" s="214">
        <f>CV17/CU17</f>
        <v>0.20579598735599872</v>
      </c>
    </row>
    <row r="18" spans="2:101" x14ac:dyDescent="0.3">
      <c r="B18" s="86"/>
      <c r="C18" s="92"/>
      <c r="D18" s="92"/>
      <c r="E18" s="88"/>
      <c r="F18" s="169"/>
      <c r="G18" s="89"/>
      <c r="H18" s="92"/>
      <c r="I18" s="92"/>
      <c r="J18" s="88"/>
      <c r="K18" s="169"/>
      <c r="L18" s="90"/>
      <c r="M18" s="92"/>
      <c r="N18" s="92"/>
      <c r="O18" s="88"/>
      <c r="P18" s="88"/>
      <c r="R18" s="86"/>
      <c r="S18" s="92"/>
      <c r="T18" s="92"/>
      <c r="U18" s="88"/>
      <c r="V18" s="88"/>
      <c r="X18" s="86"/>
      <c r="Y18" s="88"/>
      <c r="Z18" s="92"/>
      <c r="AA18" s="88"/>
      <c r="AB18" s="88"/>
      <c r="AC18" s="89"/>
      <c r="AD18" s="92"/>
      <c r="AE18" s="169"/>
      <c r="AF18" s="92"/>
      <c r="AG18" s="169"/>
      <c r="AH18" s="90"/>
      <c r="AI18" s="92"/>
      <c r="AJ18" s="156"/>
      <c r="AK18" s="92"/>
      <c r="AL18" s="169"/>
      <c r="AM18" s="90"/>
      <c r="AN18" s="92"/>
      <c r="AO18" s="100"/>
      <c r="AP18" s="92"/>
      <c r="AQ18" s="88"/>
      <c r="AT18" s="86"/>
      <c r="AU18" s="88"/>
      <c r="AV18" s="92"/>
      <c r="AW18" s="92"/>
      <c r="AX18" s="88"/>
      <c r="AY18" s="89"/>
      <c r="AZ18" s="92"/>
      <c r="BA18" s="169"/>
      <c r="BB18" s="92"/>
      <c r="BC18" s="169"/>
      <c r="BD18" s="90"/>
      <c r="BE18" s="92"/>
      <c r="BF18" s="100"/>
      <c r="BG18" s="92"/>
      <c r="BH18" s="88"/>
      <c r="BK18" s="86"/>
      <c r="BL18" s="92"/>
      <c r="BM18" s="92"/>
      <c r="BN18" s="92"/>
      <c r="BO18" s="88"/>
      <c r="BR18" s="86"/>
      <c r="BS18" s="92"/>
      <c r="BT18" s="169"/>
      <c r="BU18" s="92"/>
      <c r="BV18" s="88"/>
      <c r="BW18" s="89"/>
      <c r="BX18" s="92"/>
      <c r="BY18" s="169"/>
      <c r="BZ18" s="92"/>
      <c r="CA18" s="88"/>
      <c r="CB18" s="89"/>
      <c r="CC18" s="92"/>
      <c r="CD18" s="169"/>
      <c r="CE18" s="92"/>
      <c r="CF18" s="88"/>
      <c r="CI18" s="86"/>
      <c r="CJ18" s="92"/>
      <c r="CK18" s="100"/>
      <c r="CL18" s="92"/>
      <c r="CM18" s="88"/>
      <c r="CN18" s="89"/>
      <c r="CO18" s="92"/>
      <c r="CP18" s="100"/>
      <c r="CQ18" s="92"/>
      <c r="CR18" s="169"/>
      <c r="CS18" s="89"/>
      <c r="CT18" s="92"/>
      <c r="CU18" s="100"/>
      <c r="CV18" s="92"/>
      <c r="CW18" s="88"/>
    </row>
    <row r="19" spans="2:101" x14ac:dyDescent="0.3">
      <c r="B19" s="86" t="s">
        <v>89</v>
      </c>
      <c r="C19" s="106">
        <f>(C15*10^7)/(C5*10^6)</f>
        <v>33.362527367763569</v>
      </c>
      <c r="D19" s="106">
        <f>(D15*10^7)/(D5*10^6)</f>
        <v>33.145880612832805</v>
      </c>
      <c r="E19" s="107">
        <f>C19-D19</f>
        <v>0.21664675493076402</v>
      </c>
      <c r="F19" s="220">
        <f>E19/D19</f>
        <v>6.5361592730436239E-3</v>
      </c>
      <c r="G19" s="108"/>
      <c r="H19" s="232">
        <f>(H15*10^7)/(H5*10^6)</f>
        <v>4.8783370335652538</v>
      </c>
      <c r="I19" s="232">
        <f>(I15*10^7)/(I5*10^6)</f>
        <v>5.6481308719310483</v>
      </c>
      <c r="J19" s="107">
        <f>H19-I19</f>
        <v>-0.76979383836579451</v>
      </c>
      <c r="K19" s="220">
        <f>J19/I19</f>
        <v>-0.13629178498525274</v>
      </c>
      <c r="L19" s="109"/>
      <c r="M19" s="232">
        <f>(M15*10^7)/(M5*10^6)</f>
        <v>9.3337936853014529</v>
      </c>
      <c r="N19" s="232">
        <f>(N15*10^7)/(N5*10^6)</f>
        <v>11.645237240351353</v>
      </c>
      <c r="O19" s="107">
        <f>M19-N19</f>
        <v>-2.3114435550499</v>
      </c>
      <c r="P19" s="215">
        <f>O19/N19</f>
        <v>-0.19848831821481727</v>
      </c>
      <c r="R19" s="86" t="s">
        <v>89</v>
      </c>
      <c r="S19" s="232">
        <f>(S15*10^7)/(S5*10^6)</f>
        <v>4.1991775101474946</v>
      </c>
      <c r="T19" s="232">
        <f>(T15*10^7)/(T5*10^6)</f>
        <v>4.6163926035578218</v>
      </c>
      <c r="U19" s="107">
        <f>S19-T19</f>
        <v>-0.41721509341032714</v>
      </c>
      <c r="V19" s="215">
        <f>U19/T19</f>
        <v>-9.037686549640131E-2</v>
      </c>
      <c r="X19" s="86" t="s">
        <v>89</v>
      </c>
      <c r="Y19" s="107">
        <f>(Y15*10^7)/(Y5*10^6)</f>
        <v>36.062287965411358</v>
      </c>
      <c r="Z19" s="106">
        <f>(Z15*10^7)/(Z5*10^6)</f>
        <v>35.465539896066474</v>
      </c>
      <c r="AA19" s="107">
        <f>Y19-Z19</f>
        <v>0.59674806934488345</v>
      </c>
      <c r="AB19" s="215">
        <f>AA19/Z19</f>
        <v>1.682613802281548E-2</v>
      </c>
      <c r="AC19" s="108"/>
      <c r="AD19" s="106">
        <f>(AD15*10^7)/(AD5*10^6)</f>
        <v>5.0088311213409105</v>
      </c>
      <c r="AE19" s="110">
        <f>(AE15*10^7)/(AE5*10^6)</f>
        <v>5.4037402937795092</v>
      </c>
      <c r="AF19" s="106">
        <f>AD19-AE19</f>
        <v>-0.39490917243859869</v>
      </c>
      <c r="AG19" s="220">
        <f>AF19/AE19</f>
        <v>-7.30807090957344E-2</v>
      </c>
      <c r="AH19" s="109"/>
      <c r="AI19" s="106">
        <f>(AI15*10^7)/(AI5*10^6)</f>
        <v>4.3353660843028168</v>
      </c>
      <c r="AJ19" s="110">
        <f>(AJ15*10^7)/(AJ5*10^6)</f>
        <v>4.638142319597689</v>
      </c>
      <c r="AK19" s="106">
        <f>AI19-AJ19</f>
        <v>-0.30277623529487219</v>
      </c>
      <c r="AL19" s="220">
        <f>AK19/AJ19</f>
        <v>-6.5279634481146084E-2</v>
      </c>
      <c r="AM19" s="109"/>
      <c r="AN19" s="106">
        <f>(AN15*10^7)/(AN5*10^6)</f>
        <v>8.6609137509145668</v>
      </c>
      <c r="AO19" s="110">
        <f>(AO15*10^7)/(AO5*10^6)</f>
        <v>9.4956616316099804</v>
      </c>
      <c r="AP19" s="106">
        <f>AN19-AO19</f>
        <v>-0.83474788069541361</v>
      </c>
      <c r="AQ19" s="215">
        <f>AP19/AO19</f>
        <v>-8.7908343102352404E-2</v>
      </c>
      <c r="AT19" s="86" t="s">
        <v>89</v>
      </c>
      <c r="AU19" s="107">
        <f>(AU15*10^7)/(AU5*10^6)</f>
        <v>36.062287965411358</v>
      </c>
      <c r="AV19" s="106">
        <f>(AV15*10^7)/(AV5*10^6)</f>
        <v>35.465539896066474</v>
      </c>
      <c r="AW19" s="106">
        <f>AU19-AV19</f>
        <v>0.59674806934488345</v>
      </c>
      <c r="AX19" s="215">
        <f>AW19/AV19</f>
        <v>1.682613802281548E-2</v>
      </c>
      <c r="AY19" s="108"/>
      <c r="AZ19" s="106">
        <f>(AZ15*10^7)/(AZ5*10^6)</f>
        <v>5.0088311213409105</v>
      </c>
      <c r="BA19" s="110">
        <f>(BA15*10^7)/(BA5*10^6)</f>
        <v>5.4037402937795092</v>
      </c>
      <c r="BB19" s="106">
        <f>AZ19-BA19</f>
        <v>-0.39490917243859869</v>
      </c>
      <c r="BC19" s="220">
        <f>BB19/BA19</f>
        <v>-7.30807090957344E-2</v>
      </c>
      <c r="BD19" s="109"/>
      <c r="BE19" s="106">
        <f>(BE15*10^7)/(BE5*10^6)</f>
        <v>9.5256878010329515</v>
      </c>
      <c r="BF19" s="110">
        <f>(BF15*10^7)/(BF5*10^6)</f>
        <v>10.11759125091235</v>
      </c>
      <c r="BG19" s="106">
        <f>BE19-BF19</f>
        <v>-0.59190344987939802</v>
      </c>
      <c r="BH19" s="215">
        <f>BG19/BF19</f>
        <v>-5.8502407855824716E-2</v>
      </c>
      <c r="BK19" s="86" t="s">
        <v>89</v>
      </c>
      <c r="BL19" s="106">
        <f>(BL15*10^7)/(BL5*10^6)</f>
        <v>4.3353660843028168</v>
      </c>
      <c r="BM19" s="110">
        <f>(BM15*10^7)/(BM5*10^6)</f>
        <v>4.638142319597689</v>
      </c>
      <c r="BN19" s="106">
        <f>BL19-BM19</f>
        <v>-0.30277623529487219</v>
      </c>
      <c r="BO19" s="215">
        <f>BN19/BM19</f>
        <v>-6.5279634481146084E-2</v>
      </c>
      <c r="BR19" s="86" t="s">
        <v>89</v>
      </c>
      <c r="BS19" s="106">
        <f>(BS15*10^7)/(BS5*10^6)</f>
        <v>33.362527367763569</v>
      </c>
      <c r="BT19" s="110">
        <f>(BT15*10^7)/(BT5*10^6)</f>
        <v>31.809213114754101</v>
      </c>
      <c r="BU19" s="106">
        <f>BS19-BT19</f>
        <v>1.5533142530094679</v>
      </c>
      <c r="BV19" s="215">
        <f>BU19/BT19</f>
        <v>4.8832212460137608E-2</v>
      </c>
      <c r="BW19" s="108"/>
      <c r="BX19" s="106">
        <f>(BX15*10^7)/(BX5*10^6)</f>
        <v>4.7199636842293531</v>
      </c>
      <c r="BY19" s="110">
        <f>(BY15*10^7)/(BY5*10^6)</f>
        <v>5.5417999999999994</v>
      </c>
      <c r="BZ19" s="106">
        <f>BX19-BY19</f>
        <v>-0.82183631577064631</v>
      </c>
      <c r="CA19" s="215">
        <f>BZ19/BY19</f>
        <v>-0.14829772199838434</v>
      </c>
      <c r="CB19" s="108"/>
      <c r="CC19" s="106">
        <f>(CC15*10^7)/(CC5*10^6)</f>
        <v>8.2855012898678666</v>
      </c>
      <c r="CD19" s="110">
        <f>(CD15*10^7)/(CD5*10^6)</f>
        <v>9.2417251197496224</v>
      </c>
      <c r="CE19" s="106">
        <f>CC19-CD19</f>
        <v>-0.9562238298817558</v>
      </c>
      <c r="CF19" s="215">
        <f>CE19/CD19</f>
        <v>-0.10346810984870126</v>
      </c>
      <c r="CI19" s="86" t="s">
        <v>89</v>
      </c>
      <c r="CJ19" s="106">
        <f>(CJ15*10^7)/(CJ5*10^6)</f>
        <v>36.062287965411358</v>
      </c>
      <c r="CK19" s="110">
        <f>(CK15*10^7)/(CK5*10^6)</f>
        <v>31.809213114754101</v>
      </c>
      <c r="CL19" s="106">
        <f>CJ19-CK19</f>
        <v>4.2530748506572564</v>
      </c>
      <c r="CM19" s="215">
        <f>CL19/CK19</f>
        <v>0.13370575484888522</v>
      </c>
      <c r="CN19" s="108"/>
      <c r="CO19" s="106">
        <f>(CO15*10^7)/(CO5*10^6)</f>
        <v>4.8811451720830243</v>
      </c>
      <c r="CP19" s="110">
        <f>(CP15*10^7)/(CP5*10^6)</f>
        <v>5.5417999999999994</v>
      </c>
      <c r="CQ19" s="106">
        <f>CO19-CP19</f>
        <v>-0.66065482791697505</v>
      </c>
      <c r="CR19" s="220">
        <f>CQ19/CP19</f>
        <v>-0.11921304051336662</v>
      </c>
      <c r="CS19" s="108"/>
      <c r="CT19" s="106">
        <f>(CT15*10^7)/(CT5*10^6)</f>
        <v>8.6609137509145668</v>
      </c>
      <c r="CU19" s="110">
        <f>(CU15*10^7)/(CU5*10^6)</f>
        <v>9.2417251197496224</v>
      </c>
      <c r="CV19" s="106">
        <f>CT19-CU19</f>
        <v>-0.58081136883505557</v>
      </c>
      <c r="CW19" s="215">
        <f>CV19/CU19</f>
        <v>-6.2846639702998544E-2</v>
      </c>
    </row>
    <row r="20" spans="2:101" x14ac:dyDescent="0.3">
      <c r="B20" s="93" t="s">
        <v>90</v>
      </c>
      <c r="C20" s="111">
        <f>C13-C15</f>
        <v>1.2315211135019997</v>
      </c>
      <c r="D20" s="111">
        <f>D13-D15</f>
        <v>1.9563237348393576</v>
      </c>
      <c r="E20" s="112">
        <f>C20-D20</f>
        <v>-0.72480262133735796</v>
      </c>
      <c r="F20" s="221">
        <f>E20/D20</f>
        <v>-0.37049216774792887</v>
      </c>
      <c r="G20" s="113"/>
      <c r="H20" s="111">
        <f>H13-H15</f>
        <v>1.9672738142479993</v>
      </c>
      <c r="I20" s="111">
        <f>I13-I15</f>
        <v>2.3106344982641489</v>
      </c>
      <c r="J20" s="112">
        <f>H20-I20</f>
        <v>-0.34336068401614961</v>
      </c>
      <c r="K20" s="221">
        <f>J20/I20</f>
        <v>-0.14860017206273748</v>
      </c>
      <c r="L20" s="114"/>
      <c r="M20" s="111">
        <f>M13-M15</f>
        <v>3.1987949277499972</v>
      </c>
      <c r="N20" s="111">
        <f>N13-N15</f>
        <v>4.266958233103507</v>
      </c>
      <c r="O20" s="112">
        <f>M20-N20</f>
        <v>-1.0681633053535098</v>
      </c>
      <c r="P20" s="216">
        <f>O20/N20</f>
        <v>-0.25033366791982808</v>
      </c>
      <c r="R20" s="93" t="s">
        <v>90</v>
      </c>
      <c r="S20" s="111">
        <f>S13-S15</f>
        <v>0.78154623145000002</v>
      </c>
      <c r="T20" s="111">
        <f>T13-T15</f>
        <v>0.50275679080733693</v>
      </c>
      <c r="U20" s="112">
        <f>S20-T20</f>
        <v>0.27878944064266309</v>
      </c>
      <c r="V20" s="216">
        <f>U20/T20</f>
        <v>0.55452148183812178</v>
      </c>
      <c r="X20" s="93" t="s">
        <v>90</v>
      </c>
      <c r="Y20" s="112">
        <f>Y13-Y15</f>
        <v>4.1831644995862156</v>
      </c>
      <c r="Z20" s="111">
        <f>Z13-Z15</f>
        <v>5.8548304007207363</v>
      </c>
      <c r="AA20" s="112">
        <f>Y20-Z20</f>
        <v>-1.6716659011345207</v>
      </c>
      <c r="AB20" s="216">
        <f>AA20/Z20</f>
        <v>-0.28551909905515566</v>
      </c>
      <c r="AC20" s="151"/>
      <c r="AD20" s="111">
        <f>AD13-AD15</f>
        <v>8.2693590323146324</v>
      </c>
      <c r="AE20" s="170">
        <f>AE13-AE15</f>
        <v>10.145657230113574</v>
      </c>
      <c r="AF20" s="111">
        <f>AD20-AE20</f>
        <v>-1.8762981977989419</v>
      </c>
      <c r="AG20" s="221">
        <f>AF20/AE20</f>
        <v>-0.18493609189061258</v>
      </c>
      <c r="AH20" s="120"/>
      <c r="AI20" s="111">
        <f>AI13-AI15</f>
        <v>2.6680822306270837</v>
      </c>
      <c r="AJ20" s="170">
        <f>AJ13-AJ15</f>
        <v>2.3433569340389937</v>
      </c>
      <c r="AK20" s="111">
        <f>AI20-AJ20</f>
        <v>0.32472529658809002</v>
      </c>
      <c r="AL20" s="221">
        <f>AK20/AJ20</f>
        <v>0.13857269964776375</v>
      </c>
      <c r="AM20" s="120"/>
      <c r="AN20" s="111">
        <f>AN13-AN15</f>
        <v>15.120605762527934</v>
      </c>
      <c r="AO20" s="152">
        <f>AO13-AO15</f>
        <v>18.343844564873294</v>
      </c>
      <c r="AP20" s="111">
        <f>AN20-AO20</f>
        <v>-3.2232388023453602</v>
      </c>
      <c r="AQ20" s="216">
        <f>AP20/AO20</f>
        <v>-0.17571228271948805</v>
      </c>
      <c r="AT20" s="93" t="s">
        <v>90</v>
      </c>
      <c r="AU20" s="112">
        <f>AU13-AU15</f>
        <v>4.1831644995862156</v>
      </c>
      <c r="AV20" s="111">
        <f>AV13-AV15</f>
        <v>5.8548304007207363</v>
      </c>
      <c r="AW20" s="111">
        <f>AU20-AV20</f>
        <v>-1.6716659011345207</v>
      </c>
      <c r="AX20" s="216">
        <f>AW20/AV20</f>
        <v>-0.28551909905515566</v>
      </c>
      <c r="AY20" s="151"/>
      <c r="AZ20" s="111">
        <f>AZ13-AZ15</f>
        <v>8.2693590323146324</v>
      </c>
      <c r="BA20" s="170">
        <f>BA13-BA15</f>
        <v>10.145657230113574</v>
      </c>
      <c r="BB20" s="111">
        <f>AZ20-BA20</f>
        <v>-1.8762981977989419</v>
      </c>
      <c r="BC20" s="221">
        <f>BB20/BA20</f>
        <v>-0.18493609189061258</v>
      </c>
      <c r="BD20" s="120"/>
      <c r="BE20" s="111">
        <f>BE13-BE15</f>
        <v>12.452523531900848</v>
      </c>
      <c r="BF20" s="152">
        <f>BF13-BF15</f>
        <v>16.000487630834314</v>
      </c>
      <c r="BG20" s="111">
        <f>BE20-BF20</f>
        <v>-3.5479640989334662</v>
      </c>
      <c r="BH20" s="216">
        <f>BG20/BF20</f>
        <v>-0.22174099819909454</v>
      </c>
      <c r="BK20" s="93" t="s">
        <v>90</v>
      </c>
      <c r="BL20" s="111">
        <f>BL13-BL15</f>
        <v>2.6680822306270837</v>
      </c>
      <c r="BM20" s="152">
        <f>BM13-BM15</f>
        <v>2.3433569340389937</v>
      </c>
      <c r="BN20" s="111">
        <f>BL20-BM20</f>
        <v>0.32472529658809002</v>
      </c>
      <c r="BO20" s="216">
        <f>BN20/BM20</f>
        <v>0.13857269964776375</v>
      </c>
      <c r="BR20" s="93" t="s">
        <v>90</v>
      </c>
      <c r="BS20" s="111">
        <f>BS13-BS15</f>
        <v>1.2315211135019997</v>
      </c>
      <c r="BT20" s="170">
        <f>BT13-BT15</f>
        <v>1.0749999999999993</v>
      </c>
      <c r="BU20" s="111">
        <f>BS20-BT20</f>
        <v>0.15652111350200038</v>
      </c>
      <c r="BV20" s="216">
        <f>BU20/BT20</f>
        <v>0.14560103581581441</v>
      </c>
      <c r="BW20" s="115"/>
      <c r="BX20" s="127">
        <f>BX13-BX15</f>
        <v>2.7488200456980003</v>
      </c>
      <c r="BY20" s="160">
        <f>BY13-BY15</f>
        <v>2.4333333333333336</v>
      </c>
      <c r="BZ20" s="111">
        <f>BX20-BY20</f>
        <v>0.31548671236466674</v>
      </c>
      <c r="CA20" s="216">
        <f>BZ20/BY20</f>
        <v>0.12965207357452058</v>
      </c>
      <c r="CB20" s="128"/>
      <c r="CC20" s="127">
        <f>CC13-CC15</f>
        <v>3.9803411591999991</v>
      </c>
      <c r="CD20" s="160">
        <f>CD13-CD15</f>
        <v>3.5083333333333329</v>
      </c>
      <c r="CE20" s="111">
        <f>CC20-CD20</f>
        <v>0.47200782586666623</v>
      </c>
      <c r="CF20" s="216">
        <f>CE20/CD20</f>
        <v>0.13453904775296902</v>
      </c>
      <c r="CI20" s="93" t="s">
        <v>90</v>
      </c>
      <c r="CJ20" s="111">
        <f>CJ13-CJ15</f>
        <v>4.1831644995862156</v>
      </c>
      <c r="CK20" s="152">
        <f>CK13-CK15</f>
        <v>3.2249999999999996</v>
      </c>
      <c r="CL20" s="111">
        <f>CJ20-CK20</f>
        <v>0.95816449958621597</v>
      </c>
      <c r="CM20" s="216">
        <f>CL20/CK20</f>
        <v>0.29710527118952434</v>
      </c>
      <c r="CN20" s="115"/>
      <c r="CO20" s="111">
        <f>CO13-CO15</f>
        <v>10.937441262941716</v>
      </c>
      <c r="CP20" s="152">
        <f>CP13-CP15</f>
        <v>7.3000000000000007</v>
      </c>
      <c r="CQ20" s="111">
        <f>CO20-CP20</f>
        <v>3.6374412629417154</v>
      </c>
      <c r="CR20" s="221">
        <f>CQ20/CP20</f>
        <v>0.49827962506050893</v>
      </c>
      <c r="CS20" s="115"/>
      <c r="CT20" s="111">
        <f>CT13-CT15</f>
        <v>15.12060576252793</v>
      </c>
      <c r="CU20" s="152">
        <f>CU13-CU15</f>
        <v>10.524999999999999</v>
      </c>
      <c r="CV20" s="111">
        <f>CT20-CU20</f>
        <v>4.5956057625279314</v>
      </c>
      <c r="CW20" s="216">
        <f>CV20/CU20</f>
        <v>0.43663712708103869</v>
      </c>
    </row>
    <row r="21" spans="2:101" x14ac:dyDescent="0.3">
      <c r="B21" s="86" t="s">
        <v>91</v>
      </c>
      <c r="C21" s="136">
        <f>C20/C13</f>
        <v>0.28800200059935116</v>
      </c>
      <c r="D21" s="136">
        <f>D20/D13</f>
        <v>0.25635733491875967</v>
      </c>
      <c r="E21" s="137">
        <f>C21-D21</f>
        <v>3.1644665680591488E-2</v>
      </c>
      <c r="F21" s="105"/>
      <c r="G21" s="103"/>
      <c r="H21" s="136">
        <f>H20/H13</f>
        <v>0.45036380815814181</v>
      </c>
      <c r="I21" s="136">
        <f>I20/I13</f>
        <v>0.39993277251506076</v>
      </c>
      <c r="J21" s="137">
        <f>H21-I21</f>
        <v>5.0431035643081046E-2</v>
      </c>
      <c r="K21" s="105"/>
      <c r="L21" s="104"/>
      <c r="M21" s="136">
        <f>M20/M13</f>
        <v>0.37004786873320916</v>
      </c>
      <c r="N21" s="136">
        <f>N20/N13</f>
        <v>0.31822085965208452</v>
      </c>
      <c r="O21" s="137">
        <f>M21-N21</f>
        <v>5.1827009081124642E-2</v>
      </c>
      <c r="P21" s="102"/>
      <c r="R21" s="86" t="s">
        <v>91</v>
      </c>
      <c r="S21" s="136">
        <f>S20/S13</f>
        <v>0.55427763846296818</v>
      </c>
      <c r="T21" s="136">
        <f>T20/T13</f>
        <v>0.53682411301389221</v>
      </c>
      <c r="U21" s="137">
        <f>S21-T21</f>
        <v>1.7453525449075968E-2</v>
      </c>
      <c r="V21" s="102"/>
      <c r="X21" s="86" t="s">
        <v>91</v>
      </c>
      <c r="Y21" s="137">
        <f>Y20/Y13</f>
        <v>0.23621094803284529</v>
      </c>
      <c r="Z21" s="136">
        <f>Z20/Z13</f>
        <v>0.23178782869561737</v>
      </c>
      <c r="AA21" s="137">
        <f>Y21-Z21</f>
        <v>4.4231193372279154E-3</v>
      </c>
      <c r="AB21" s="102"/>
      <c r="AC21" s="103"/>
      <c r="AD21" s="136">
        <f>AD20/AD13</f>
        <v>0.42831214112844934</v>
      </c>
      <c r="AE21" s="162">
        <f>AE20/AE13</f>
        <v>0.38955401615492385</v>
      </c>
      <c r="AF21" s="136">
        <f>AD21-AE21</f>
        <v>3.8758124973525487E-2</v>
      </c>
      <c r="AG21" s="105"/>
      <c r="AH21" s="104"/>
      <c r="AI21" s="136">
        <f>AI20/AI13</f>
        <v>0.54415942358832026</v>
      </c>
      <c r="AJ21" s="162">
        <f>AJ20/AJ13</f>
        <v>0.53071818307628882</v>
      </c>
      <c r="AK21" s="136">
        <f>AI21-AJ21</f>
        <v>1.3441240512031438E-2</v>
      </c>
      <c r="AL21" s="105"/>
      <c r="AM21" s="104"/>
      <c r="AN21" s="136">
        <f>AN20/AN13</f>
        <v>0.36070645042477378</v>
      </c>
      <c r="AO21" s="162">
        <f>AO20/AO13</f>
        <v>0.32921961830905988</v>
      </c>
      <c r="AP21" s="136">
        <f>AN21-AO21</f>
        <v>3.1486832115713903E-2</v>
      </c>
      <c r="AQ21" s="102"/>
      <c r="AT21" s="86" t="s">
        <v>91</v>
      </c>
      <c r="AU21" s="137">
        <f>AU20/AU13</f>
        <v>0.23621094803284529</v>
      </c>
      <c r="AV21" s="136">
        <f>AV20/AV13</f>
        <v>0.23178782869561737</v>
      </c>
      <c r="AW21" s="136">
        <f>AU21-AV21</f>
        <v>4.4231193372279154E-3</v>
      </c>
      <c r="AX21" s="102"/>
      <c r="AY21" s="103"/>
      <c r="AZ21" s="136">
        <f>AZ20/AZ13</f>
        <v>0.42831214112844934</v>
      </c>
      <c r="BA21" s="162">
        <f>BA20/BA13</f>
        <v>0.38955401615492385</v>
      </c>
      <c r="BB21" s="136">
        <f>AZ21-BA21</f>
        <v>3.8758124973525487E-2</v>
      </c>
      <c r="BC21" s="105"/>
      <c r="BD21" s="104"/>
      <c r="BE21" s="136">
        <f>BE20/BE13</f>
        <v>0.33640652972206336</v>
      </c>
      <c r="BF21" s="162">
        <f>BF20/BF13</f>
        <v>0.31187768478430339</v>
      </c>
      <c r="BG21" s="136">
        <f>BE21-BF21</f>
        <v>2.4528844937759975E-2</v>
      </c>
      <c r="BH21" s="102"/>
      <c r="BK21" s="86" t="s">
        <v>91</v>
      </c>
      <c r="BL21" s="136">
        <f>BL20/BL13</f>
        <v>0.54415942358832026</v>
      </c>
      <c r="BM21" s="162">
        <f>BM20/BM13</f>
        <v>0.53071818307628882</v>
      </c>
      <c r="BN21" s="136">
        <f>BL21-BM21</f>
        <v>1.3441240512031438E-2</v>
      </c>
      <c r="BO21" s="102"/>
      <c r="BR21" s="86" t="s">
        <v>91</v>
      </c>
      <c r="BS21" s="136">
        <f>BS20/BS13</f>
        <v>0.28800200059935116</v>
      </c>
      <c r="BT21" s="162">
        <f>BT20/BT13</f>
        <v>0.23035714285714273</v>
      </c>
      <c r="BU21" s="136">
        <f>BS21-BT21</f>
        <v>5.7644857742208427E-2</v>
      </c>
      <c r="BV21" s="102"/>
      <c r="BW21" s="103"/>
      <c r="BX21" s="101">
        <f>BX20/BX13</f>
        <v>0.47572134083213224</v>
      </c>
      <c r="BY21" s="105">
        <f>BY20/BY13</f>
        <v>0.38933333333333336</v>
      </c>
      <c r="BZ21" s="136">
        <f>BX21-BY21</f>
        <v>8.638800749879888E-2</v>
      </c>
      <c r="CA21" s="102"/>
      <c r="CB21" s="103"/>
      <c r="CC21" s="101">
        <f>CC20/CC13</f>
        <v>0.39588446424510709</v>
      </c>
      <c r="CD21" s="105">
        <f>CD20/CD13</f>
        <v>0.32137404580152668</v>
      </c>
      <c r="CE21" s="136">
        <f>CC21-CD21</f>
        <v>7.4510418443580417E-2</v>
      </c>
      <c r="CF21" s="102"/>
      <c r="CI21" s="86" t="s">
        <v>91</v>
      </c>
      <c r="CJ21" s="136">
        <f>CJ20/CJ13</f>
        <v>0.23621094803284529</v>
      </c>
      <c r="CK21" s="162">
        <f>CK20/CK13</f>
        <v>0.23035714285714284</v>
      </c>
      <c r="CL21" s="136">
        <f>CJ21-CK21</f>
        <v>5.8538051757024423E-3</v>
      </c>
      <c r="CM21" s="137"/>
      <c r="CN21" s="166"/>
      <c r="CO21" s="136">
        <f>CO20/CO13</f>
        <v>0.45177411327633921</v>
      </c>
      <c r="CP21" s="162">
        <f>CP20/CP13</f>
        <v>0.38933333333333336</v>
      </c>
      <c r="CQ21" s="136">
        <f>CO21-CP21</f>
        <v>6.2440779943005842E-2</v>
      </c>
      <c r="CR21" s="162"/>
      <c r="CS21" s="166"/>
      <c r="CT21" s="136">
        <f>CT20/CT13</f>
        <v>0.36070645042477367</v>
      </c>
      <c r="CU21" s="162">
        <f>CU20/CU13</f>
        <v>0.32137404580152668</v>
      </c>
      <c r="CV21" s="136">
        <f>CT21-CU21</f>
        <v>3.9332404623246997E-2</v>
      </c>
      <c r="CW21" s="102"/>
    </row>
    <row r="22" spans="2:101" x14ac:dyDescent="0.3">
      <c r="B22" s="86"/>
      <c r="C22" s="92"/>
      <c r="D22" s="92"/>
      <c r="E22" s="88"/>
      <c r="F22" s="169"/>
      <c r="G22" s="89"/>
      <c r="H22" s="92"/>
      <c r="I22" s="92"/>
      <c r="J22" s="88"/>
      <c r="K22" s="169"/>
      <c r="L22" s="90"/>
      <c r="M22" s="92"/>
      <c r="N22" s="92"/>
      <c r="O22" s="88"/>
      <c r="P22" s="88"/>
      <c r="R22" s="86"/>
      <c r="S22" s="92"/>
      <c r="T22" s="92"/>
      <c r="U22" s="88"/>
      <c r="V22" s="88"/>
      <c r="X22" s="86"/>
      <c r="Y22" s="88"/>
      <c r="Z22" s="92"/>
      <c r="AA22" s="88"/>
      <c r="AB22" s="88"/>
      <c r="AC22" s="89"/>
      <c r="AD22" s="92"/>
      <c r="AE22" s="169"/>
      <c r="AF22" s="92"/>
      <c r="AG22" s="169"/>
      <c r="AH22" s="90"/>
      <c r="AI22" s="92"/>
      <c r="AJ22" s="156"/>
      <c r="AK22" s="92"/>
      <c r="AL22" s="169"/>
      <c r="AM22" s="90"/>
      <c r="AN22" s="92"/>
      <c r="AO22" s="100"/>
      <c r="AP22" s="92"/>
      <c r="AQ22" s="88"/>
      <c r="AT22" s="86"/>
      <c r="AU22" s="88"/>
      <c r="AV22" s="92"/>
      <c r="AW22" s="92"/>
      <c r="AX22" s="88"/>
      <c r="AY22" s="89"/>
      <c r="AZ22" s="92"/>
      <c r="BA22" s="169"/>
      <c r="BB22" s="92"/>
      <c r="BC22" s="169"/>
      <c r="BD22" s="90"/>
      <c r="BE22" s="92"/>
      <c r="BF22" s="100"/>
      <c r="BG22" s="92"/>
      <c r="BH22" s="88"/>
      <c r="BK22" s="86"/>
      <c r="BL22" s="92"/>
      <c r="BM22" s="92"/>
      <c r="BN22" s="92"/>
      <c r="BO22" s="88"/>
      <c r="BR22" s="86"/>
      <c r="BS22" s="92"/>
      <c r="BT22" s="169"/>
      <c r="BU22" s="92"/>
      <c r="BV22" s="88"/>
      <c r="BW22" s="89"/>
      <c r="BX22" s="92"/>
      <c r="BY22" s="169"/>
      <c r="BZ22" s="92"/>
      <c r="CA22" s="88"/>
      <c r="CB22" s="89"/>
      <c r="CC22" s="92"/>
      <c r="CD22" s="169"/>
      <c r="CE22" s="92"/>
      <c r="CF22" s="88"/>
      <c r="CI22" s="86"/>
      <c r="CJ22" s="92"/>
      <c r="CK22" s="100"/>
      <c r="CL22" s="92"/>
      <c r="CM22" s="88"/>
      <c r="CN22" s="89"/>
      <c r="CO22" s="92"/>
      <c r="CP22" s="100"/>
      <c r="CQ22" s="92"/>
      <c r="CR22" s="169"/>
      <c r="CS22" s="89"/>
      <c r="CT22" s="92"/>
      <c r="CU22" s="100"/>
      <c r="CV22" s="92"/>
      <c r="CW22" s="88"/>
    </row>
    <row r="23" spans="2:101" x14ac:dyDescent="0.3">
      <c r="B23" s="86" t="s">
        <v>36</v>
      </c>
      <c r="C23" s="242">
        <f>'P&amp;L Brand wise'!C39/10^7</f>
        <v>0.57085738401251696</v>
      </c>
      <c r="D23" s="242">
        <f>'P&amp;L Brand wise'!H39/10^7</f>
        <v>0.89106343434402546</v>
      </c>
      <c r="E23" s="254">
        <f>C23-D23</f>
        <v>-0.32020605033150851</v>
      </c>
      <c r="F23" s="219">
        <f>E23/D23</f>
        <v>-0.35935269924664198</v>
      </c>
      <c r="G23" s="133"/>
      <c r="H23" s="242">
        <f>'P&amp;L Brand wise'!D39/10^7</f>
        <v>1.4598484532105618</v>
      </c>
      <c r="I23" s="242">
        <f>'P&amp;L Brand wise'!I39/10^7</f>
        <v>2.0397199487845779</v>
      </c>
      <c r="J23" s="254">
        <f>H23-I23</f>
        <v>-0.57987149557401607</v>
      </c>
      <c r="K23" s="219">
        <f>J23/I23</f>
        <v>-0.284289760424978</v>
      </c>
      <c r="L23" s="134"/>
      <c r="M23" s="242">
        <f>C23+H23</f>
        <v>2.0307058372230786</v>
      </c>
      <c r="N23" s="242">
        <f>D23+I23</f>
        <v>2.9307833831286034</v>
      </c>
      <c r="O23" s="254">
        <f>M23-N23</f>
        <v>-0.9000775459055248</v>
      </c>
      <c r="P23" s="214">
        <f>O23/N23</f>
        <v>-0.30711159039829633</v>
      </c>
      <c r="R23" s="86" t="s">
        <v>36</v>
      </c>
      <c r="S23" s="242">
        <f>'P&amp;L Brand wise'!E39/10^7</f>
        <v>0.47123090023059006</v>
      </c>
      <c r="T23" s="242">
        <f>'P&amp;L Brand wise'!J39/10^7</f>
        <v>0.31299137913997516</v>
      </c>
      <c r="U23" s="254">
        <f>S23-T23</f>
        <v>0.1582395210906149</v>
      </c>
      <c r="V23" s="214">
        <f>U23/T23</f>
        <v>0.5055715001653367</v>
      </c>
      <c r="X23" s="86" t="s">
        <v>36</v>
      </c>
      <c r="Y23" s="255">
        <f>'P&amp;L Brand wise'!R39/10^7</f>
        <v>2.4558040801756325</v>
      </c>
      <c r="Z23" s="242">
        <f>'P&amp;L Brand wise'!W39/10^7</f>
        <v>3.3777615851286202</v>
      </c>
      <c r="AA23" s="254">
        <f>Y23-Z23</f>
        <v>-0.92195750495298778</v>
      </c>
      <c r="AB23" s="214">
        <f>AA23/Z23</f>
        <v>-0.27294925403027848</v>
      </c>
      <c r="AC23" s="133"/>
      <c r="AD23" s="242">
        <f>'P&amp;L Brand wise'!S39/10^7</f>
        <v>6.9462296744478342</v>
      </c>
      <c r="AE23" s="284">
        <f>'P&amp;L Brand wise'!X39/10^7</f>
        <v>9.1461948987814718</v>
      </c>
      <c r="AF23" s="243">
        <f>AD23-AE23</f>
        <v>-2.1999652243336376</v>
      </c>
      <c r="AG23" s="219">
        <f>AF23/AE23</f>
        <v>-0.24053338559696932</v>
      </c>
      <c r="AH23" s="134"/>
      <c r="AI23" s="243">
        <f>'P&amp;L Brand wise'!T39/10^7</f>
        <v>1.7621892202911318</v>
      </c>
      <c r="AJ23" s="244">
        <f>'P&amp;L Brand wise'!Y39/10^7</f>
        <v>1.4756417102883714</v>
      </c>
      <c r="AK23" s="243">
        <f>AI23-AJ23</f>
        <v>0.28654751000276035</v>
      </c>
      <c r="AL23" s="219">
        <f>AK23/AJ23</f>
        <v>0.19418501659644938</v>
      </c>
      <c r="AM23" s="134"/>
      <c r="AN23" s="242">
        <f>AI23+AD23+Y23</f>
        <v>11.164222974914598</v>
      </c>
      <c r="AO23" s="242">
        <f>AJ23+AE23+Z23</f>
        <v>13.999598194198464</v>
      </c>
      <c r="AP23" s="243">
        <f>AN23-AO23</f>
        <v>-2.8353752192838666</v>
      </c>
      <c r="AQ23" s="214">
        <f>AP23/AO23</f>
        <v>-0.20253261414737367</v>
      </c>
      <c r="AT23" s="86" t="s">
        <v>36</v>
      </c>
      <c r="AU23" s="255">
        <f>'P&amp;L Brand wise'!R39/10^7</f>
        <v>2.4558040801756325</v>
      </c>
      <c r="AV23" s="242">
        <f>'P&amp;L Brand wise'!W39/10^7</f>
        <v>3.3777615851286202</v>
      </c>
      <c r="AW23" s="243">
        <f>AU23-AV23</f>
        <v>-0.92195750495298778</v>
      </c>
      <c r="AX23" s="214">
        <f>AW23/AV23</f>
        <v>-0.27294925403027848</v>
      </c>
      <c r="AY23" s="133"/>
      <c r="AZ23" s="242">
        <f>'P&amp;L Brand wise'!S39/10^7</f>
        <v>6.9462296744478342</v>
      </c>
      <c r="BA23" s="284">
        <f>'P&amp;L Brand wise'!X39/10^7</f>
        <v>9.1461948987814718</v>
      </c>
      <c r="BB23" s="243">
        <f>AZ23-BA23</f>
        <v>-2.1999652243336376</v>
      </c>
      <c r="BC23" s="219">
        <f>BB23/BA23</f>
        <v>-0.24053338559696932</v>
      </c>
      <c r="BD23" s="134"/>
      <c r="BE23" s="242">
        <f>AZ23+AU23</f>
        <v>9.4020337546234671</v>
      </c>
      <c r="BF23" s="242">
        <f>BA23+AV23</f>
        <v>12.523956483910093</v>
      </c>
      <c r="BG23" s="243">
        <f>BE23-BF23</f>
        <v>-3.1219227292866254</v>
      </c>
      <c r="BH23" s="214">
        <f>BG23/BF23</f>
        <v>-0.24927607607847044</v>
      </c>
      <c r="BK23" s="86" t="s">
        <v>36</v>
      </c>
      <c r="BL23" s="243">
        <f>'P&amp;L Brand wise'!T39/10^7</f>
        <v>1.7621892202911318</v>
      </c>
      <c r="BM23" s="243">
        <f>'P&amp;L Brand wise'!Y39/10^7</f>
        <v>1.4756417102883714</v>
      </c>
      <c r="BN23" s="243">
        <f>BL23-BM23</f>
        <v>0.28654751000276035</v>
      </c>
      <c r="BO23" s="214">
        <f>BN23/BM23</f>
        <v>0.19418501659644938</v>
      </c>
      <c r="BR23" s="86" t="s">
        <v>36</v>
      </c>
      <c r="BS23" s="242">
        <f>'P&amp;L Brand wise'!C39/10^7</f>
        <v>0.57085738401251696</v>
      </c>
      <c r="BT23" s="284">
        <v>0.623</v>
      </c>
      <c r="BU23" s="243">
        <f>BS23-BT23</f>
        <v>-5.2142615987483043E-2</v>
      </c>
      <c r="BV23" s="214">
        <f>BU23/BT23</f>
        <v>-8.3696012821000074E-2</v>
      </c>
      <c r="BW23" s="133"/>
      <c r="BX23" s="132">
        <f>('P&amp;L Brand wise'!D39+'P&amp;L Brand wise'!E39)/10^7</f>
        <v>1.9310793534411519</v>
      </c>
      <c r="BY23" s="287">
        <v>2.0887500000000001</v>
      </c>
      <c r="BZ23" s="243">
        <f>BX23-BY23</f>
        <v>-0.15767064655884822</v>
      </c>
      <c r="CA23" s="214">
        <f>BZ23/BY23</f>
        <v>-7.5485647664319908E-2</v>
      </c>
      <c r="CB23" s="133"/>
      <c r="CC23" s="132">
        <f>BS23+BX23</f>
        <v>2.501936737453669</v>
      </c>
      <c r="CD23" s="287">
        <f>BT23+BY23</f>
        <v>2.7117500000000003</v>
      </c>
      <c r="CE23" s="243">
        <f>CC23-CD23</f>
        <v>-0.20981326254633137</v>
      </c>
      <c r="CF23" s="214">
        <f>CE23/CD23</f>
        <v>-7.7371904691188848E-2</v>
      </c>
      <c r="CI23" s="86" t="s">
        <v>36</v>
      </c>
      <c r="CJ23" s="242">
        <f>'P&amp;L Brand wise'!R39/10^7</f>
        <v>2.4558040801756325</v>
      </c>
      <c r="CK23" s="242">
        <f>Sheet1!BT23*3</f>
        <v>1.869</v>
      </c>
      <c r="CL23" s="243">
        <f>CJ23-CK23</f>
        <v>0.58680408017563246</v>
      </c>
      <c r="CM23" s="214">
        <f>CL23/CK23</f>
        <v>0.31396687007792001</v>
      </c>
      <c r="CN23" s="133"/>
      <c r="CO23" s="242">
        <f>('P&amp;L Brand wise'!S39+'P&amp;L Brand wise'!T39)/10^7</f>
        <v>8.7084188947389656</v>
      </c>
      <c r="CP23" s="242">
        <f>Sheet1!BY23*3</f>
        <v>6.2662500000000003</v>
      </c>
      <c r="CQ23" s="243">
        <f>CO23-CP23</f>
        <v>2.4421688947389653</v>
      </c>
      <c r="CR23" s="219">
        <f>CQ23/CP23</f>
        <v>0.38973371549793978</v>
      </c>
      <c r="CS23" s="133"/>
      <c r="CT23" s="242">
        <f>CJ23+CO23</f>
        <v>11.164222974914598</v>
      </c>
      <c r="CU23" s="242">
        <f>CK23+CP23</f>
        <v>8.135250000000001</v>
      </c>
      <c r="CV23" s="243">
        <f>CT23-CU23</f>
        <v>3.0289729749145966</v>
      </c>
      <c r="CW23" s="214">
        <f>CV23/CU23</f>
        <v>0.37232696904392565</v>
      </c>
    </row>
    <row r="24" spans="2:101" x14ac:dyDescent="0.3">
      <c r="B24" s="86" t="s">
        <v>11</v>
      </c>
      <c r="C24" s="243">
        <f>C23</f>
        <v>0.57085738401251696</v>
      </c>
      <c r="D24" s="243">
        <f>D23</f>
        <v>0.89106343434402546</v>
      </c>
      <c r="E24" s="254">
        <f>C24-D24</f>
        <v>-0.32020605033150851</v>
      </c>
      <c r="F24" s="219">
        <f>E24/D24</f>
        <v>-0.35935269924664198</v>
      </c>
      <c r="G24" s="133"/>
      <c r="H24" s="243">
        <f>H23</f>
        <v>1.4598484532105618</v>
      </c>
      <c r="I24" s="243">
        <f>I23</f>
        <v>2.0397199487845779</v>
      </c>
      <c r="J24" s="254">
        <f>H24-I24</f>
        <v>-0.57987149557401607</v>
      </c>
      <c r="K24" s="219">
        <f>J24/I24</f>
        <v>-0.284289760424978</v>
      </c>
      <c r="L24" s="134"/>
      <c r="M24" s="243">
        <f>M23</f>
        <v>2.0307058372230786</v>
      </c>
      <c r="N24" s="243">
        <f>N23</f>
        <v>2.9307833831286034</v>
      </c>
      <c r="O24" s="254">
        <f>M24-N24</f>
        <v>-0.9000775459055248</v>
      </c>
      <c r="P24" s="214">
        <f>O24/N24</f>
        <v>-0.30711159039829633</v>
      </c>
      <c r="R24" s="86" t="s">
        <v>11</v>
      </c>
      <c r="S24" s="243">
        <f>S23</f>
        <v>0.47123090023059006</v>
      </c>
      <c r="T24" s="243">
        <f>T23</f>
        <v>0.31299137913997516</v>
      </c>
      <c r="U24" s="254">
        <f>S24-T24</f>
        <v>0.1582395210906149</v>
      </c>
      <c r="V24" s="214">
        <f>U24/T24</f>
        <v>0.5055715001653367</v>
      </c>
      <c r="X24" s="86" t="s">
        <v>11</v>
      </c>
      <c r="Y24" s="254">
        <f>Y23</f>
        <v>2.4558040801756325</v>
      </c>
      <c r="Z24" s="243">
        <f>Z23</f>
        <v>3.3777615851286202</v>
      </c>
      <c r="AA24" s="254">
        <f>Y24-Z24</f>
        <v>-0.92195750495298778</v>
      </c>
      <c r="AB24" s="214">
        <f>AA24/Z24</f>
        <v>-0.27294925403027848</v>
      </c>
      <c r="AC24" s="133"/>
      <c r="AD24" s="243">
        <f>AD23</f>
        <v>6.9462296744478342</v>
      </c>
      <c r="AE24" s="244">
        <f>AE23</f>
        <v>9.1461948987814718</v>
      </c>
      <c r="AF24" s="243">
        <f>AD24-AE24</f>
        <v>-2.1999652243336376</v>
      </c>
      <c r="AG24" s="219">
        <f>AF24/AE24</f>
        <v>-0.24053338559696932</v>
      </c>
      <c r="AH24" s="134"/>
      <c r="AI24" s="243">
        <f>AI23</f>
        <v>1.7621892202911318</v>
      </c>
      <c r="AJ24" s="244">
        <f>AJ23</f>
        <v>1.4756417102883714</v>
      </c>
      <c r="AK24" s="243">
        <f>AI24-AJ24</f>
        <v>0.28654751000276035</v>
      </c>
      <c r="AL24" s="219">
        <f>AK24/AJ24</f>
        <v>0.19418501659644938</v>
      </c>
      <c r="AM24" s="134"/>
      <c r="AN24" s="243">
        <f>AN23</f>
        <v>11.164222974914598</v>
      </c>
      <c r="AO24" s="243">
        <f>AO23</f>
        <v>13.999598194198464</v>
      </c>
      <c r="AP24" s="243">
        <f>AN24-AO24</f>
        <v>-2.8353752192838666</v>
      </c>
      <c r="AQ24" s="214">
        <f>AP24/AO24</f>
        <v>-0.20253261414737367</v>
      </c>
      <c r="AT24" s="86" t="s">
        <v>11</v>
      </c>
      <c r="AU24" s="254">
        <f>AU23</f>
        <v>2.4558040801756325</v>
      </c>
      <c r="AV24" s="243">
        <f>AV23</f>
        <v>3.3777615851286202</v>
      </c>
      <c r="AW24" s="243">
        <f>AU24-AV24</f>
        <v>-0.92195750495298778</v>
      </c>
      <c r="AX24" s="214">
        <f>AW24/AV24</f>
        <v>-0.27294925403027848</v>
      </c>
      <c r="AY24" s="133"/>
      <c r="AZ24" s="243">
        <f>AZ23</f>
        <v>6.9462296744478342</v>
      </c>
      <c r="BA24" s="244">
        <f>BA23</f>
        <v>9.1461948987814718</v>
      </c>
      <c r="BB24" s="243">
        <f>AZ24-BA24</f>
        <v>-2.1999652243336376</v>
      </c>
      <c r="BC24" s="219">
        <f>BB24/BA24</f>
        <v>-0.24053338559696932</v>
      </c>
      <c r="BD24" s="134"/>
      <c r="BE24" s="243">
        <f>BE23</f>
        <v>9.4020337546234671</v>
      </c>
      <c r="BF24" s="243">
        <f>BF23</f>
        <v>12.523956483910093</v>
      </c>
      <c r="BG24" s="243">
        <f>BE24-BF24</f>
        <v>-3.1219227292866254</v>
      </c>
      <c r="BH24" s="214">
        <f>BG24/BF24</f>
        <v>-0.24927607607847044</v>
      </c>
      <c r="BK24" s="86" t="s">
        <v>11</v>
      </c>
      <c r="BL24" s="243">
        <f>BL23</f>
        <v>1.7621892202911318</v>
      </c>
      <c r="BM24" s="243">
        <f>BM23</f>
        <v>1.4756417102883714</v>
      </c>
      <c r="BN24" s="243">
        <f>BL24-BM24</f>
        <v>0.28654751000276035</v>
      </c>
      <c r="BO24" s="214">
        <f>BN24/BM24</f>
        <v>0.19418501659644938</v>
      </c>
      <c r="BR24" s="86" t="s">
        <v>11</v>
      </c>
      <c r="BS24" s="243">
        <f>BS23</f>
        <v>0.57085738401251696</v>
      </c>
      <c r="BT24" s="244">
        <f>BT23</f>
        <v>0.623</v>
      </c>
      <c r="BU24" s="243">
        <f>BS24-BT24</f>
        <v>-5.2142615987483043E-2</v>
      </c>
      <c r="BV24" s="214">
        <f>BU24/BT24</f>
        <v>-8.3696012821000074E-2</v>
      </c>
      <c r="BW24" s="133"/>
      <c r="BX24" s="135">
        <f>BX23</f>
        <v>1.9310793534411519</v>
      </c>
      <c r="BY24" s="161">
        <f>BY23</f>
        <v>2.0887500000000001</v>
      </c>
      <c r="BZ24" s="243">
        <f>BX24-BY24</f>
        <v>-0.15767064655884822</v>
      </c>
      <c r="CA24" s="214">
        <f>BZ24/BY24</f>
        <v>-7.5485647664319908E-2</v>
      </c>
      <c r="CB24" s="133"/>
      <c r="CC24" s="135">
        <f>CC23</f>
        <v>2.501936737453669</v>
      </c>
      <c r="CD24" s="161">
        <f>CD23</f>
        <v>2.7117500000000003</v>
      </c>
      <c r="CE24" s="243">
        <f>CC24-CD24</f>
        <v>-0.20981326254633137</v>
      </c>
      <c r="CF24" s="214">
        <f>CE24/CD24</f>
        <v>-7.7371904691188848E-2</v>
      </c>
      <c r="CI24" s="86" t="s">
        <v>11</v>
      </c>
      <c r="CJ24" s="243">
        <f>CJ23</f>
        <v>2.4558040801756325</v>
      </c>
      <c r="CK24" s="243">
        <f>CK23</f>
        <v>1.869</v>
      </c>
      <c r="CL24" s="243">
        <f>CJ24-CK24</f>
        <v>0.58680408017563246</v>
      </c>
      <c r="CM24" s="214">
        <f>CL24/CK24</f>
        <v>0.31396687007792001</v>
      </c>
      <c r="CN24" s="133"/>
      <c r="CO24" s="243">
        <f>CO23</f>
        <v>8.7084188947389656</v>
      </c>
      <c r="CP24" s="243">
        <f>CP23</f>
        <v>6.2662500000000003</v>
      </c>
      <c r="CQ24" s="243">
        <f>CO24-CP24</f>
        <v>2.4421688947389653</v>
      </c>
      <c r="CR24" s="219">
        <f>CQ24/CP24</f>
        <v>0.38973371549793978</v>
      </c>
      <c r="CS24" s="133"/>
      <c r="CT24" s="243">
        <f>CT23</f>
        <v>11.164222974914598</v>
      </c>
      <c r="CU24" s="243">
        <f>CU23</f>
        <v>8.135250000000001</v>
      </c>
      <c r="CV24" s="243">
        <f>CT24-CU24</f>
        <v>3.0289729749145966</v>
      </c>
      <c r="CW24" s="214">
        <f>CV24/CU24</f>
        <v>0.37232696904392565</v>
      </c>
    </row>
    <row r="25" spans="2:101" x14ac:dyDescent="0.3">
      <c r="B25" s="86" t="s">
        <v>91</v>
      </c>
      <c r="C25" s="136">
        <f>C24/C13</f>
        <v>0.13350000000000001</v>
      </c>
      <c r="D25" s="136">
        <f>D24/D13</f>
        <v>0.11676525883930403</v>
      </c>
      <c r="E25" s="137">
        <f>C25-D25</f>
        <v>1.6734741160695982E-2</v>
      </c>
      <c r="F25" s="162"/>
      <c r="G25" s="166"/>
      <c r="H25" s="136">
        <f>H24/H13</f>
        <v>0.33420000000000011</v>
      </c>
      <c r="I25" s="136">
        <f>I24/I13</f>
        <v>0.35304192631267389</v>
      </c>
      <c r="J25" s="137">
        <f>H25-I25</f>
        <v>-1.8841926312673785E-2</v>
      </c>
      <c r="K25" s="162"/>
      <c r="L25" s="226"/>
      <c r="M25" s="136">
        <f>M24/M13</f>
        <v>0.23491920678299194</v>
      </c>
      <c r="N25" s="136">
        <f>N24/N13</f>
        <v>0.21857172174729489</v>
      </c>
      <c r="O25" s="137">
        <f>M25-N25</f>
        <v>1.6347485035697051E-2</v>
      </c>
      <c r="P25" s="137"/>
      <c r="R25" s="86" t="s">
        <v>91</v>
      </c>
      <c r="S25" s="136">
        <f>S24/S13</f>
        <v>0.3342</v>
      </c>
      <c r="T25" s="136">
        <f>T24/T13</f>
        <v>0.3342</v>
      </c>
      <c r="U25" s="137">
        <f>S25-T25</f>
        <v>0</v>
      </c>
      <c r="V25" s="137"/>
      <c r="X25" s="86" t="s">
        <v>91</v>
      </c>
      <c r="Y25" s="137">
        <f>Y24/Y13</f>
        <v>0.13867200537263022</v>
      </c>
      <c r="Z25" s="136">
        <f>Z24/Z13</f>
        <v>0.13372275029043554</v>
      </c>
      <c r="AA25" s="137">
        <f>Y25-Z25</f>
        <v>4.9492550821946812E-3</v>
      </c>
      <c r="AB25" s="137"/>
      <c r="AC25" s="138"/>
      <c r="AD25" s="136">
        <f>AD24/AD13</f>
        <v>0.35978054562712147</v>
      </c>
      <c r="AE25" s="162">
        <f>AE24/AE13</f>
        <v>0.35117852639262825</v>
      </c>
      <c r="AF25" s="136">
        <f>AD25-AE25</f>
        <v>8.6020192344932189E-3</v>
      </c>
      <c r="AG25" s="162"/>
      <c r="AH25" s="226"/>
      <c r="AI25" s="136">
        <f>AI24/AI13</f>
        <v>0.35940116813483636</v>
      </c>
      <c r="AJ25" s="162">
        <f>AJ24/AJ13</f>
        <v>0.33420000000000005</v>
      </c>
      <c r="AK25" s="136">
        <f>AI25-AJ25</f>
        <v>2.5201168134836305E-2</v>
      </c>
      <c r="AL25" s="162"/>
      <c r="AM25" s="226"/>
      <c r="AN25" s="136">
        <f>AN24/AN13</f>
        <v>0.26632578775461035</v>
      </c>
      <c r="AO25" s="137">
        <f>AO24/AO13</f>
        <v>0.25125280350444673</v>
      </c>
      <c r="AP25" s="136">
        <f>AN25-AO25</f>
        <v>1.5072984250163624E-2</v>
      </c>
      <c r="AQ25" s="137"/>
      <c r="AT25" s="86" t="s">
        <v>91</v>
      </c>
      <c r="AU25" s="137">
        <f>AU24/AU13</f>
        <v>0.13867200537263022</v>
      </c>
      <c r="AV25" s="136">
        <f>AV24/AV13</f>
        <v>0.13372275029043554</v>
      </c>
      <c r="AW25" s="136">
        <f>AU25-AV25</f>
        <v>4.9492550821946812E-3</v>
      </c>
      <c r="AX25" s="137"/>
      <c r="AY25" s="138"/>
      <c r="AZ25" s="136">
        <f>AZ24/AZ13</f>
        <v>0.35978054562712147</v>
      </c>
      <c r="BA25" s="162">
        <f>BA24/BA13</f>
        <v>0.35117852639262825</v>
      </c>
      <c r="BB25" s="136">
        <f>AZ25-BA25</f>
        <v>8.6020192344932189E-3</v>
      </c>
      <c r="BC25" s="162"/>
      <c r="BD25" s="226"/>
      <c r="BE25" s="136">
        <f>BE24/BE13</f>
        <v>0.25399715484334223</v>
      </c>
      <c r="BF25" s="137">
        <f>BF24/BF13</f>
        <v>0.24411396969015856</v>
      </c>
      <c r="BG25" s="136">
        <f>BE25-BF25</f>
        <v>9.8831851531836767E-3</v>
      </c>
      <c r="BH25" s="137"/>
      <c r="BK25" s="86" t="s">
        <v>91</v>
      </c>
      <c r="BL25" s="136">
        <f>BL24/BL13</f>
        <v>0.35940116813483636</v>
      </c>
      <c r="BM25" s="137">
        <f>BM24/BM13</f>
        <v>0.33420000000000005</v>
      </c>
      <c r="BN25" s="136">
        <f>BL25-BM25</f>
        <v>2.5201168134836305E-2</v>
      </c>
      <c r="BO25" s="137"/>
      <c r="BR25" s="86" t="s">
        <v>91</v>
      </c>
      <c r="BS25" s="136">
        <f>BS24/BS13</f>
        <v>0.13350000000000001</v>
      </c>
      <c r="BT25" s="162">
        <f>BT24/BT13</f>
        <v>0.13350000000000001</v>
      </c>
      <c r="BU25" s="136">
        <f>BS25-BT25</f>
        <v>0</v>
      </c>
      <c r="BV25" s="137"/>
      <c r="BW25" s="166"/>
      <c r="BX25" s="136">
        <f>BX24/BX13</f>
        <v>0.33420000000000005</v>
      </c>
      <c r="BY25" s="162">
        <f>BY24/BY13</f>
        <v>0.3342</v>
      </c>
      <c r="BZ25" s="136">
        <f>BX25-BY25</f>
        <v>0</v>
      </c>
      <c r="CA25" s="137"/>
      <c r="CB25" s="138"/>
      <c r="CC25" s="136">
        <f>CC24/CC13</f>
        <v>0.24884245979585104</v>
      </c>
      <c r="CD25" s="162">
        <f>CD24/CD13</f>
        <v>0.24840458015267181</v>
      </c>
      <c r="CE25" s="136">
        <f>CC25-CD25</f>
        <v>4.3787964317923422E-4</v>
      </c>
      <c r="CF25" s="137"/>
      <c r="CI25" s="86" t="s">
        <v>91</v>
      </c>
      <c r="CJ25" s="136">
        <f>CJ24/CJ13</f>
        <v>0.13867200537263022</v>
      </c>
      <c r="CK25" s="137">
        <f>CK24/CK13</f>
        <v>0.13350000000000001</v>
      </c>
      <c r="CL25" s="136">
        <f>CJ25-CK25</f>
        <v>5.1720053726302118E-3</v>
      </c>
      <c r="CM25" s="137"/>
      <c r="CN25" s="166"/>
      <c r="CO25" s="136">
        <f>CO24/CO13</f>
        <v>0.35970371219634489</v>
      </c>
      <c r="CP25" s="137">
        <f>CP24/CP13</f>
        <v>0.3342</v>
      </c>
      <c r="CQ25" s="136">
        <f>CO25-CP25</f>
        <v>2.5503712196344897E-2</v>
      </c>
      <c r="CR25" s="162"/>
      <c r="CS25" s="166"/>
      <c r="CT25" s="136">
        <f>CT24/CT13</f>
        <v>0.26632578775461035</v>
      </c>
      <c r="CU25" s="137">
        <f>CU24/CU13</f>
        <v>0.24840458015267178</v>
      </c>
      <c r="CV25" s="136">
        <f>CT25-CU25</f>
        <v>1.7921207601938577E-2</v>
      </c>
      <c r="CW25" s="137"/>
    </row>
    <row r="26" spans="2:101" x14ac:dyDescent="0.3">
      <c r="B26" s="86"/>
      <c r="C26" s="92"/>
      <c r="D26" s="92"/>
      <c r="E26" s="88"/>
      <c r="F26" s="169"/>
      <c r="G26" s="89"/>
      <c r="H26" s="92"/>
      <c r="I26" s="92"/>
      <c r="J26" s="88"/>
      <c r="K26" s="169"/>
      <c r="L26" s="90"/>
      <c r="M26" s="92"/>
      <c r="N26" s="92"/>
      <c r="O26" s="88"/>
      <c r="P26" s="88"/>
      <c r="R26" s="86"/>
      <c r="S26" s="92"/>
      <c r="T26" s="92"/>
      <c r="U26" s="88"/>
      <c r="V26" s="88"/>
      <c r="X26" s="86"/>
      <c r="Y26" s="88"/>
      <c r="Z26" s="92"/>
      <c r="AA26" s="88"/>
      <c r="AB26" s="88"/>
      <c r="AC26" s="89"/>
      <c r="AD26" s="92"/>
      <c r="AE26" s="169"/>
      <c r="AF26" s="92"/>
      <c r="AG26" s="169"/>
      <c r="AH26" s="90"/>
      <c r="AI26" s="92"/>
      <c r="AJ26" s="156"/>
      <c r="AK26" s="92"/>
      <c r="AL26" s="169"/>
      <c r="AM26" s="90"/>
      <c r="AN26" s="92"/>
      <c r="AO26" s="100"/>
      <c r="AP26" s="92"/>
      <c r="AQ26" s="88"/>
      <c r="AT26" s="86"/>
      <c r="AU26" s="88"/>
      <c r="AV26" s="92"/>
      <c r="AW26" s="92"/>
      <c r="AX26" s="88"/>
      <c r="AY26" s="89"/>
      <c r="AZ26" s="92"/>
      <c r="BA26" s="169"/>
      <c r="BB26" s="92"/>
      <c r="BC26" s="169"/>
      <c r="BD26" s="90"/>
      <c r="BE26" s="92"/>
      <c r="BF26" s="100"/>
      <c r="BG26" s="92"/>
      <c r="BH26" s="88"/>
      <c r="BK26" s="86"/>
      <c r="BL26" s="92"/>
      <c r="BM26" s="92"/>
      <c r="BN26" s="92"/>
      <c r="BO26" s="88"/>
      <c r="BR26" s="86"/>
      <c r="BS26" s="92"/>
      <c r="BT26" s="169"/>
      <c r="BU26" s="92"/>
      <c r="BV26" s="88"/>
      <c r="BW26" s="89"/>
      <c r="BX26" s="92"/>
      <c r="BY26" s="169"/>
      <c r="BZ26" s="92"/>
      <c r="CA26" s="88"/>
      <c r="CB26" s="89"/>
      <c r="CC26" s="92"/>
      <c r="CD26" s="169"/>
      <c r="CE26" s="92"/>
      <c r="CF26" s="88"/>
      <c r="CI26" s="86"/>
      <c r="CJ26" s="92"/>
      <c r="CK26" s="100"/>
      <c r="CL26" s="92"/>
      <c r="CM26" s="88"/>
      <c r="CN26" s="89"/>
      <c r="CO26" s="92"/>
      <c r="CP26" s="100"/>
      <c r="CQ26" s="92"/>
      <c r="CR26" s="169"/>
      <c r="CS26" s="89"/>
      <c r="CT26" s="92"/>
      <c r="CU26" s="100"/>
      <c r="CV26" s="92"/>
      <c r="CW26" s="88"/>
    </row>
    <row r="27" spans="2:101" x14ac:dyDescent="0.3">
      <c r="B27" s="93" t="s">
        <v>94</v>
      </c>
      <c r="C27" s="111">
        <f>C20-C24</f>
        <v>0.66066372948948271</v>
      </c>
      <c r="D27" s="111">
        <f>D20-D24</f>
        <v>1.065260300495332</v>
      </c>
      <c r="E27" s="112">
        <f>C27-D27</f>
        <v>-0.40459657100584934</v>
      </c>
      <c r="F27" s="221">
        <f>E27/D27</f>
        <v>-0.37981005282719843</v>
      </c>
      <c r="G27" s="115"/>
      <c r="H27" s="111">
        <f t="shared" ref="H27:N27" si="10">H20-H24</f>
        <v>0.50742536103743752</v>
      </c>
      <c r="I27" s="111">
        <f t="shared" si="10"/>
        <v>0.27091454947957105</v>
      </c>
      <c r="J27" s="112">
        <f>H27-I27</f>
        <v>0.23651081155786646</v>
      </c>
      <c r="K27" s="221">
        <f>J27/I27</f>
        <v>0.87300889528526826</v>
      </c>
      <c r="L27" s="120"/>
      <c r="M27" s="111">
        <f t="shared" si="10"/>
        <v>1.1680890905269186</v>
      </c>
      <c r="N27" s="111">
        <f t="shared" si="10"/>
        <v>1.3361748499749035</v>
      </c>
      <c r="O27" s="112">
        <f>M27-N27</f>
        <v>-0.16808575944798498</v>
      </c>
      <c r="P27" s="216">
        <f>O27/N27</f>
        <v>-0.12579623052412792</v>
      </c>
      <c r="R27" s="93" t="s">
        <v>94</v>
      </c>
      <c r="S27" s="111">
        <f>S20-S24</f>
        <v>0.31031533121940996</v>
      </c>
      <c r="T27" s="111">
        <f>T20-T24</f>
        <v>0.18976541166736177</v>
      </c>
      <c r="U27" s="112">
        <f>S27-T27</f>
        <v>0.12054991955204819</v>
      </c>
      <c r="V27" s="216">
        <f>U27/T27</f>
        <v>0.63525759775105461</v>
      </c>
      <c r="X27" s="93" t="s">
        <v>94</v>
      </c>
      <c r="Y27" s="112">
        <f>Y20-Y24</f>
        <v>1.7273604194105832</v>
      </c>
      <c r="Z27" s="111">
        <f>Z20-Z24</f>
        <v>2.4770688155921161</v>
      </c>
      <c r="AA27" s="112">
        <f>Y27-Z27</f>
        <v>-0.74970839618153295</v>
      </c>
      <c r="AB27" s="216">
        <f>AA27/Z27</f>
        <v>-0.3026594947473526</v>
      </c>
      <c r="AC27" s="128"/>
      <c r="AD27" s="111">
        <f>AD20-AD24</f>
        <v>1.3231293578667982</v>
      </c>
      <c r="AE27" s="159">
        <f>AE20-AE24</f>
        <v>0.99946233133210249</v>
      </c>
      <c r="AF27" s="111">
        <f>AD27-AE27</f>
        <v>0.3236670265346957</v>
      </c>
      <c r="AG27" s="221">
        <f>AF27/AE27</f>
        <v>0.32384114577215339</v>
      </c>
      <c r="AH27" s="120"/>
      <c r="AI27" s="111">
        <f>AI20-AI24</f>
        <v>0.90589301033595193</v>
      </c>
      <c r="AJ27" s="159">
        <f>AJ20-AJ24</f>
        <v>0.86771522375062227</v>
      </c>
      <c r="AK27" s="111">
        <f>AI27-AJ27</f>
        <v>3.8177786585329665E-2</v>
      </c>
      <c r="AL27" s="221">
        <f>AK27/AJ27</f>
        <v>4.3998060124276213E-2</v>
      </c>
      <c r="AM27" s="120"/>
      <c r="AN27" s="111">
        <f>AN20-AN24</f>
        <v>3.9563827876133359</v>
      </c>
      <c r="AO27" s="111">
        <f>AO20-AO24</f>
        <v>4.3442463706748295</v>
      </c>
      <c r="AP27" s="111">
        <f>AN27-AO27</f>
        <v>-0.3878635830614936</v>
      </c>
      <c r="AQ27" s="216">
        <f>AP27/AO27</f>
        <v>-8.9282133186484855E-2</v>
      </c>
      <c r="AT27" s="93" t="s">
        <v>94</v>
      </c>
      <c r="AU27" s="112">
        <f>AU20-AU24</f>
        <v>1.7273604194105832</v>
      </c>
      <c r="AV27" s="111">
        <f>AV20-AV24</f>
        <v>2.4770688155921161</v>
      </c>
      <c r="AW27" s="111">
        <f>AU27-AV27</f>
        <v>-0.74970839618153295</v>
      </c>
      <c r="AX27" s="216">
        <f>AW27/AV27</f>
        <v>-0.3026594947473526</v>
      </c>
      <c r="AY27" s="128"/>
      <c r="AZ27" s="111">
        <f>AZ20-AZ24</f>
        <v>1.3231293578667982</v>
      </c>
      <c r="BA27" s="159">
        <f>BA20-BA24</f>
        <v>0.99946233133210249</v>
      </c>
      <c r="BB27" s="111">
        <f>AZ27-BA27</f>
        <v>0.3236670265346957</v>
      </c>
      <c r="BC27" s="221">
        <f>BB27/BA27</f>
        <v>0.32384114577215339</v>
      </c>
      <c r="BD27" s="120"/>
      <c r="BE27" s="111">
        <f>BE20-BE24</f>
        <v>3.0504897772773809</v>
      </c>
      <c r="BF27" s="111">
        <f>BF20-BF24</f>
        <v>3.4765311469242217</v>
      </c>
      <c r="BG27" s="111">
        <f>BE27-BF27</f>
        <v>-0.42604136964684081</v>
      </c>
      <c r="BH27" s="216">
        <f>BG27/BF27</f>
        <v>-0.12254783623146043</v>
      </c>
      <c r="BK27" s="93" t="s">
        <v>94</v>
      </c>
      <c r="BL27" s="111">
        <f>BL20-BL24</f>
        <v>0.90589301033595193</v>
      </c>
      <c r="BM27" s="111">
        <f>BM20-BM24</f>
        <v>0.86771522375062227</v>
      </c>
      <c r="BN27" s="111">
        <f>BL27-BM27</f>
        <v>3.8177786585329665E-2</v>
      </c>
      <c r="BO27" s="216">
        <f>BN27/BM27</f>
        <v>4.3998060124276213E-2</v>
      </c>
      <c r="BR27" s="93" t="s">
        <v>94</v>
      </c>
      <c r="BS27" s="111">
        <f>BS20-BS24</f>
        <v>0.66066372948948271</v>
      </c>
      <c r="BT27" s="159">
        <f>BT20-BT24</f>
        <v>0.45199999999999929</v>
      </c>
      <c r="BU27" s="111">
        <f>BS27-BT27</f>
        <v>0.20866372948948342</v>
      </c>
      <c r="BV27" s="216">
        <f>BU27/BT27</f>
        <v>0.46164541922452157</v>
      </c>
      <c r="BW27" s="115"/>
      <c r="BX27" s="127">
        <f>BX20-BX24</f>
        <v>0.81774069225684842</v>
      </c>
      <c r="BY27" s="288">
        <f>BY20-BY24</f>
        <v>0.34458333333333346</v>
      </c>
      <c r="BZ27" s="111">
        <f>BX27-BY27</f>
        <v>0.47315735892351496</v>
      </c>
      <c r="CA27" s="216">
        <f>BZ27/BY27</f>
        <v>1.373128973901373</v>
      </c>
      <c r="CB27" s="128"/>
      <c r="CC27" s="127">
        <f>CC20-CC24</f>
        <v>1.4784044217463301</v>
      </c>
      <c r="CD27" s="288">
        <f>CD20-CD24</f>
        <v>0.79658333333333253</v>
      </c>
      <c r="CE27" s="111">
        <f>CC27-CD27</f>
        <v>0.6818210884129976</v>
      </c>
      <c r="CF27" s="216">
        <f>CE27/CD27</f>
        <v>0.85593190301872368</v>
      </c>
      <c r="CI27" s="93" t="s">
        <v>94</v>
      </c>
      <c r="CJ27" s="111">
        <f>CJ20-CJ24</f>
        <v>1.7273604194105832</v>
      </c>
      <c r="CK27" s="111">
        <f>CK20-CK24</f>
        <v>1.3559999999999997</v>
      </c>
      <c r="CL27" s="111">
        <f>CJ27-CK27</f>
        <v>0.37136041941058351</v>
      </c>
      <c r="CM27" s="216">
        <f>CL27/CK27</f>
        <v>0.27386461608450119</v>
      </c>
      <c r="CN27" s="115"/>
      <c r="CO27" s="111">
        <f>CO20-CO24</f>
        <v>2.2290223682027506</v>
      </c>
      <c r="CP27" s="111">
        <f>CP20-CP24</f>
        <v>1.0337500000000004</v>
      </c>
      <c r="CQ27" s="111">
        <f>CO27-CP27</f>
        <v>1.1952723682027502</v>
      </c>
      <c r="CR27" s="221">
        <f>CQ27/CP27</f>
        <v>1.1562489656133008</v>
      </c>
      <c r="CS27" s="115"/>
      <c r="CT27" s="111">
        <f>CT20-CT24</f>
        <v>3.9563827876133324</v>
      </c>
      <c r="CU27" s="111">
        <f>CU20-CU24</f>
        <v>2.3897499999999976</v>
      </c>
      <c r="CV27" s="111">
        <f>CT27-CU27</f>
        <v>1.5666327876133348</v>
      </c>
      <c r="CW27" s="216">
        <f>CV27/CU27</f>
        <v>0.65556346379886443</v>
      </c>
    </row>
    <row r="28" spans="2:101" ht="15" thickBot="1" x14ac:dyDescent="0.35">
      <c r="B28" s="141" t="s">
        <v>91</v>
      </c>
      <c r="C28" s="247">
        <f>C27/C13</f>
        <v>0.15450200059935118</v>
      </c>
      <c r="D28" s="247">
        <f>D27/D13</f>
        <v>0.13959207607945565</v>
      </c>
      <c r="E28" s="248">
        <f>C28-D28</f>
        <v>1.4909924519895534E-2</v>
      </c>
      <c r="F28" s="163"/>
      <c r="G28" s="167"/>
      <c r="H28" s="247">
        <f>H27/H13</f>
        <v>0.11616380815814174</v>
      </c>
      <c r="I28" s="247">
        <f>I27/I13</f>
        <v>4.6890846202386829E-2</v>
      </c>
      <c r="J28" s="248">
        <f>H28-I28</f>
        <v>6.9272961955754914E-2</v>
      </c>
      <c r="K28" s="163"/>
      <c r="L28" s="227"/>
      <c r="M28" s="247">
        <f>M27/M13</f>
        <v>0.13512866195021719</v>
      </c>
      <c r="N28" s="247">
        <f>N27/N13</f>
        <v>9.9649137904789631E-2</v>
      </c>
      <c r="O28" s="248">
        <f>M28-N28</f>
        <v>3.5479524045427563E-2</v>
      </c>
      <c r="P28" s="143"/>
      <c r="R28" s="141" t="s">
        <v>91</v>
      </c>
      <c r="S28" s="247">
        <f>S27/S13</f>
        <v>0.22007763846296816</v>
      </c>
      <c r="T28" s="247">
        <f>T27/T13</f>
        <v>0.20262411301389219</v>
      </c>
      <c r="U28" s="248">
        <f>S28-T28</f>
        <v>1.7453525449075968E-2</v>
      </c>
      <c r="V28" s="143"/>
      <c r="X28" s="141" t="s">
        <v>91</v>
      </c>
      <c r="Y28" s="248">
        <f>Y27/Y13</f>
        <v>9.7538942660215053E-2</v>
      </c>
      <c r="Z28" s="247">
        <f>Z27/Z13</f>
        <v>9.8065078405181846E-2</v>
      </c>
      <c r="AA28" s="248">
        <f>Y28-Z28</f>
        <v>-5.2613574496679361E-4</v>
      </c>
      <c r="AB28" s="143"/>
      <c r="AC28" s="144"/>
      <c r="AD28" s="247">
        <f>AD27/AD13</f>
        <v>6.8531595501327897E-2</v>
      </c>
      <c r="AE28" s="250">
        <f>AE27/AE13</f>
        <v>3.8375489762295587E-2</v>
      </c>
      <c r="AF28" s="247">
        <f>AD28-AE28</f>
        <v>3.015610573903231E-2</v>
      </c>
      <c r="AG28" s="163"/>
      <c r="AH28" s="227"/>
      <c r="AI28" s="247">
        <f>AI27/AI13</f>
        <v>0.18475825545348387</v>
      </c>
      <c r="AJ28" s="250">
        <f>AJ27/AJ13</f>
        <v>0.19651818307628874</v>
      </c>
      <c r="AK28" s="247">
        <f>AI28-AJ28</f>
        <v>-1.1759927622804867E-2</v>
      </c>
      <c r="AL28" s="163"/>
      <c r="AM28" s="227"/>
      <c r="AN28" s="247">
        <f>AN27/AN13</f>
        <v>9.4380662670163415E-2</v>
      </c>
      <c r="AO28" s="248">
        <f>AO27/AO13</f>
        <v>7.7966814804613177E-2</v>
      </c>
      <c r="AP28" s="247">
        <f>AN28-AO28</f>
        <v>1.6413847865550238E-2</v>
      </c>
      <c r="AQ28" s="143"/>
      <c r="AT28" s="141" t="s">
        <v>91</v>
      </c>
      <c r="AU28" s="248">
        <f>AU27/AU13</f>
        <v>9.7538942660215053E-2</v>
      </c>
      <c r="AV28" s="247">
        <f>AV27/AV13</f>
        <v>9.8065078405181846E-2</v>
      </c>
      <c r="AW28" s="247">
        <f>AU28-AV28</f>
        <v>-5.2613574496679361E-4</v>
      </c>
      <c r="AX28" s="143"/>
      <c r="AY28" s="144"/>
      <c r="AZ28" s="247">
        <f>AZ27/AZ13</f>
        <v>6.8531595501327897E-2</v>
      </c>
      <c r="BA28" s="250">
        <f>BA27/BA13</f>
        <v>3.8375489762295587E-2</v>
      </c>
      <c r="BB28" s="247">
        <f>AZ28-BA28</f>
        <v>3.015610573903231E-2</v>
      </c>
      <c r="BC28" s="163"/>
      <c r="BD28" s="227"/>
      <c r="BE28" s="247">
        <f>BE27/BE13</f>
        <v>8.2409374878721159E-2</v>
      </c>
      <c r="BF28" s="248">
        <f>BF27/BF13</f>
        <v>6.7763715094144847E-2</v>
      </c>
      <c r="BG28" s="247">
        <f>BE28-BF28</f>
        <v>1.4645659784576312E-2</v>
      </c>
      <c r="BH28" s="143"/>
      <c r="BK28" s="141" t="s">
        <v>91</v>
      </c>
      <c r="BL28" s="247">
        <f>BL27/BL13</f>
        <v>0.18475825545348387</v>
      </c>
      <c r="BM28" s="248">
        <f>BM27/BM13</f>
        <v>0.19651818307628874</v>
      </c>
      <c r="BN28" s="247">
        <f>BL28-BM28</f>
        <v>-1.1759927622804867E-2</v>
      </c>
      <c r="BO28" s="143"/>
      <c r="BR28" s="141" t="s">
        <v>91</v>
      </c>
      <c r="BS28" s="247">
        <f>BS27/BS13</f>
        <v>0.15450200059935118</v>
      </c>
      <c r="BT28" s="250">
        <f>BT27/BT13</f>
        <v>9.6857142857142711E-2</v>
      </c>
      <c r="BU28" s="247">
        <f>BS28-BT28</f>
        <v>5.7644857742208469E-2</v>
      </c>
      <c r="BV28" s="143"/>
      <c r="BW28" s="167"/>
      <c r="BX28" s="247">
        <f>BX27/BX13</f>
        <v>0.14152134083213222</v>
      </c>
      <c r="BY28" s="250">
        <f>BY27/BY13</f>
        <v>5.5133333333333354E-2</v>
      </c>
      <c r="BZ28" s="247">
        <f>BX28-BY28</f>
        <v>8.6388007498798866E-2</v>
      </c>
      <c r="CA28" s="248"/>
      <c r="CB28" s="252"/>
      <c r="CC28" s="247">
        <f>CC27/CC13</f>
        <v>0.14704200444925605</v>
      </c>
      <c r="CD28" s="250">
        <f>CD27/CD13</f>
        <v>7.2969465648854898E-2</v>
      </c>
      <c r="CE28" s="247">
        <f>CC28-CD28</f>
        <v>7.4072538800401155E-2</v>
      </c>
      <c r="CF28" s="143"/>
      <c r="CI28" s="141" t="s">
        <v>91</v>
      </c>
      <c r="CJ28" s="142">
        <f>CJ27/CJ13</f>
        <v>9.7538942660215053E-2</v>
      </c>
      <c r="CK28" s="143">
        <f>CK27/CK13</f>
        <v>9.6857142857142836E-2</v>
      </c>
      <c r="CL28" s="247">
        <f>CJ28-CK28</f>
        <v>6.8179980307221666E-4</v>
      </c>
      <c r="CM28" s="143"/>
      <c r="CN28" s="167"/>
      <c r="CO28" s="142">
        <f>CO27/CO13</f>
        <v>9.2070401079994313E-2</v>
      </c>
      <c r="CP28" s="143">
        <f>CP27/CP13</f>
        <v>5.5133333333333354E-2</v>
      </c>
      <c r="CQ28" s="247">
        <f>CO28-CP28</f>
        <v>3.6937067746660959E-2</v>
      </c>
      <c r="CR28" s="163"/>
      <c r="CS28" s="167"/>
      <c r="CT28" s="142">
        <f>CT27/CT13</f>
        <v>9.4380662670163332E-2</v>
      </c>
      <c r="CU28" s="143">
        <f>CU27/CU13</f>
        <v>7.2969465648854884E-2</v>
      </c>
      <c r="CV28" s="247">
        <f>CT28-CU28</f>
        <v>2.1411197021308448E-2</v>
      </c>
      <c r="CW28" s="143"/>
    </row>
    <row r="29" spans="2:101" x14ac:dyDescent="0.3">
      <c r="BX29" s="147"/>
      <c r="BY29" s="147"/>
      <c r="CO29" s="147"/>
      <c r="CP29" s="147"/>
    </row>
    <row r="30" spans="2:101" x14ac:dyDescent="0.3">
      <c r="M30" s="278"/>
      <c r="N30" s="278"/>
      <c r="Y30" s="147">
        <f>Y27*10^7</f>
        <v>17273604.19410583</v>
      </c>
      <c r="Z30" s="147">
        <f>Z27*10^7</f>
        <v>24770688.155921161</v>
      </c>
      <c r="AD30" s="147">
        <f>AD27*10^7</f>
        <v>13231293.578667982</v>
      </c>
      <c r="AE30" s="147">
        <f>AE27*10^7</f>
        <v>9994623.3133210242</v>
      </c>
      <c r="AI30" s="147">
        <f>AI27*10^7</f>
        <v>9058930.1033595186</v>
      </c>
      <c r="AJ30" s="147">
        <f>AJ27*10^7</f>
        <v>8677152.237506222</v>
      </c>
      <c r="AN30" s="147"/>
      <c r="AO30" s="147"/>
      <c r="AU30" s="147">
        <f>AU27*10^7</f>
        <v>17273604.19410583</v>
      </c>
      <c r="AV30" s="147">
        <f>AV27*10^7</f>
        <v>24770688.155921161</v>
      </c>
      <c r="AZ30" s="147">
        <f>AZ27*10^7</f>
        <v>13231293.578667982</v>
      </c>
      <c r="BA30" s="147">
        <f>BA27*10^7</f>
        <v>9994623.3133210242</v>
      </c>
      <c r="BE30" s="147"/>
      <c r="BF30" s="147"/>
      <c r="BL30" s="147">
        <f>BL27*10^7</f>
        <v>9058930.1033595186</v>
      </c>
      <c r="BM30" s="147">
        <f>BM27*10^7</f>
        <v>8677152.237506222</v>
      </c>
      <c r="BS30" s="296">
        <f>BS27*10^7</f>
        <v>6606637.2948948275</v>
      </c>
      <c r="BT30" s="147"/>
      <c r="BX30" s="296">
        <f>BX27*10^7</f>
        <v>8177406.9225684842</v>
      </c>
      <c r="CC30" s="296">
        <f>CC27*10^7</f>
        <v>14784044.217463301</v>
      </c>
      <c r="CD30" s="147"/>
      <c r="CJ30" s="147">
        <f>CJ27*10^7</f>
        <v>17273604.19410583</v>
      </c>
      <c r="CK30" s="147"/>
      <c r="CO30" s="147">
        <f>CO27*10^7</f>
        <v>22290223.682027504</v>
      </c>
      <c r="CT30" s="147">
        <f>CT27*10^7</f>
        <v>39563827.876133323</v>
      </c>
      <c r="CU30" s="147"/>
    </row>
    <row r="31" spans="2:101" x14ac:dyDescent="0.3">
      <c r="Y31" s="147">
        <f>'P&amp;L Brand wise'!R41</f>
        <v>17273604.19410583</v>
      </c>
      <c r="Z31" s="147">
        <f>'P&amp;L Brand wise'!W41</f>
        <v>24770688.155921161</v>
      </c>
      <c r="AD31" s="147">
        <f>'P&amp;L Brand wise'!S41</f>
        <v>13231293.578667983</v>
      </c>
      <c r="AE31" s="147">
        <f>'P&amp;L Brand wise'!X41</f>
        <v>9994623.3133210242</v>
      </c>
      <c r="AI31" s="147">
        <f>'P&amp;L Brand wise'!T41</f>
        <v>9058930.103359513</v>
      </c>
      <c r="AJ31" s="147">
        <f>'P&amp;L Brand wise'!Y41</f>
        <v>8677152.2375062276</v>
      </c>
      <c r="AU31" s="147">
        <f>'P&amp;L Brand wise'!R41</f>
        <v>17273604.19410583</v>
      </c>
      <c r="AV31" s="147">
        <f>'P&amp;L Brand wise'!W41</f>
        <v>24770688.155921161</v>
      </c>
      <c r="AZ31" s="147">
        <f>'P&amp;L Brand wise'!S41</f>
        <v>13231293.578667983</v>
      </c>
      <c r="BA31" s="147">
        <f>'P&amp;L Brand wise'!X41</f>
        <v>9994623.3133210242</v>
      </c>
      <c r="BL31" s="147">
        <f>'P&amp;L Brand wise'!T41</f>
        <v>9058930.103359513</v>
      </c>
      <c r="BM31" s="147">
        <f>'P&amp;L Brand wise'!Y41</f>
        <v>8677152.2375062276</v>
      </c>
      <c r="BS31" s="296">
        <f>'P&amp;L Brand wise'!C41</f>
        <v>6606637.2948948257</v>
      </c>
      <c r="BX31" s="296">
        <f>('P&amp;L Brand wise'!D41+'P&amp;L Brand wise'!E41)</f>
        <v>8177406.9225684796</v>
      </c>
      <c r="CC31" s="296">
        <f>('P&amp;L Brand wise'!F41)</f>
        <v>14784044.217463305</v>
      </c>
      <c r="CJ31" s="147">
        <f>'P&amp;L Brand wise'!R41</f>
        <v>17273604.19410583</v>
      </c>
      <c r="CO31" s="147">
        <f>'P&amp;L Brand wise'!S41+'P&amp;L Brand wise'!T41</f>
        <v>22290223.682027496</v>
      </c>
      <c r="CT31" s="147">
        <f>CJ31+CO31</f>
        <v>39563827.876133323</v>
      </c>
    </row>
    <row r="32" spans="2:101" x14ac:dyDescent="0.3">
      <c r="Y32" s="147">
        <f>Y30-Y31</f>
        <v>0</v>
      </c>
      <c r="Z32" s="147">
        <f>Z30-Z31</f>
        <v>0</v>
      </c>
      <c r="AD32" s="147">
        <f>AD30-AD31</f>
        <v>0</v>
      </c>
      <c r="AE32" s="147">
        <f>AE30-AE31</f>
        <v>0</v>
      </c>
      <c r="AI32" s="147">
        <f>AI30-AI31</f>
        <v>0</v>
      </c>
      <c r="AJ32" s="147">
        <f>AJ30-AJ31</f>
        <v>0</v>
      </c>
      <c r="AU32" s="147">
        <f>AU30-AU31</f>
        <v>0</v>
      </c>
      <c r="AV32" s="147">
        <f>AV30-AV31</f>
        <v>0</v>
      </c>
      <c r="AZ32" s="147">
        <f>AZ30-AZ31</f>
        <v>0</v>
      </c>
      <c r="BA32" s="147">
        <f>BA30-BA31</f>
        <v>0</v>
      </c>
      <c r="BL32" s="147">
        <f>BL30-BL31</f>
        <v>0</v>
      </c>
      <c r="BM32" s="147">
        <f>BM30-BM31</f>
        <v>0</v>
      </c>
      <c r="BS32" s="147">
        <f>BS30-BS31</f>
        <v>0</v>
      </c>
      <c r="BX32" s="147">
        <f>BX30-BX31</f>
        <v>0</v>
      </c>
      <c r="CC32" s="296">
        <f>CC30-CC31</f>
        <v>0</v>
      </c>
      <c r="CJ32" s="147">
        <f>CJ30-CJ31</f>
        <v>0</v>
      </c>
      <c r="CO32" s="147">
        <f>CO30-CO31</f>
        <v>0</v>
      </c>
      <c r="CT32" s="147">
        <f>CT30-CT31</f>
        <v>0</v>
      </c>
    </row>
  </sheetData>
  <mergeCells count="31">
    <mergeCell ref="CJ3:CM3"/>
    <mergeCell ref="CO3:CR3"/>
    <mergeCell ref="CT3:CW3"/>
    <mergeCell ref="CO2:CQ2"/>
    <mergeCell ref="BL3:BO3"/>
    <mergeCell ref="BL2:BO2"/>
    <mergeCell ref="BK2:BK3"/>
    <mergeCell ref="BX3:CA3"/>
    <mergeCell ref="CC3:CF3"/>
    <mergeCell ref="BX2:BZ2"/>
    <mergeCell ref="BS3:BV3"/>
    <mergeCell ref="BE2:BH3"/>
    <mergeCell ref="AU3:AX3"/>
    <mergeCell ref="AZ3:BC3"/>
    <mergeCell ref="AU2:BC2"/>
    <mergeCell ref="AN2:AQ3"/>
    <mergeCell ref="X2:X3"/>
    <mergeCell ref="AT2:AT3"/>
    <mergeCell ref="S3:V3"/>
    <mergeCell ref="R2:R3"/>
    <mergeCell ref="S2:V2"/>
    <mergeCell ref="Y3:AB3"/>
    <mergeCell ref="AD3:AG3"/>
    <mergeCell ref="AI3:AL3"/>
    <mergeCell ref="Y2:AG2"/>
    <mergeCell ref="AI2:AL2"/>
    <mergeCell ref="B2:B3"/>
    <mergeCell ref="C2:K2"/>
    <mergeCell ref="M2:P3"/>
    <mergeCell ref="C3:F3"/>
    <mergeCell ref="H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2AA1-FF55-4016-92BE-8E94E254A034}">
  <dimension ref="B2:F13"/>
  <sheetViews>
    <sheetView workbookViewId="0">
      <selection activeCell="B2" sqref="B2:K13"/>
    </sheetView>
  </sheetViews>
  <sheetFormatPr defaultRowHeight="14.4" x14ac:dyDescent="0.3"/>
  <cols>
    <col min="1" max="1" width="1.77734375" bestFit="1" customWidth="1"/>
    <col min="2" max="2" width="12.88671875" bestFit="1" customWidth="1"/>
    <col min="3" max="3" width="13.77734375" bestFit="1" customWidth="1"/>
    <col min="4" max="4" width="11.77734375" customWidth="1"/>
    <col min="5" max="5" width="14.33203125" bestFit="1" customWidth="1"/>
    <col min="6" max="6" width="10.21875" customWidth="1"/>
  </cols>
  <sheetData>
    <row r="2" spans="2:6" x14ac:dyDescent="0.3">
      <c r="B2" s="298" t="s">
        <v>2</v>
      </c>
      <c r="C2" s="298" t="s">
        <v>189</v>
      </c>
      <c r="D2" s="298" t="s">
        <v>190</v>
      </c>
      <c r="E2" s="298" t="s">
        <v>191</v>
      </c>
      <c r="F2" s="298" t="s">
        <v>11</v>
      </c>
    </row>
    <row r="3" spans="2:6" ht="15.6" x14ac:dyDescent="0.3">
      <c r="B3" s="299" t="s">
        <v>192</v>
      </c>
      <c r="C3" s="300"/>
      <c r="D3" s="300"/>
      <c r="E3" s="300"/>
      <c r="F3" s="300"/>
    </row>
    <row r="4" spans="2:6" x14ac:dyDescent="0.3">
      <c r="B4" s="10" t="s">
        <v>193</v>
      </c>
      <c r="C4" s="12">
        <v>5509.6418732782367</v>
      </c>
      <c r="D4" s="12">
        <v>1377.4104683195592</v>
      </c>
      <c r="E4" s="12">
        <v>1129.12779505405</v>
      </c>
      <c r="F4" s="12">
        <f>SUM(C4:E4)</f>
        <v>8016.1801366518457</v>
      </c>
    </row>
    <row r="5" spans="2:6" x14ac:dyDescent="0.3">
      <c r="B5" s="301">
        <v>45078</v>
      </c>
      <c r="C5" s="12">
        <f>'P&amp;L Brand wise'!D8</f>
        <v>4921.5834000000004</v>
      </c>
      <c r="D5" s="12">
        <f>'P&amp;L Brand wise'!E8</f>
        <v>1496.675</v>
      </c>
      <c r="E5" s="12">
        <f>'P&amp;L Brand wise'!C8</f>
        <v>912.57</v>
      </c>
      <c r="F5" s="12">
        <f>SUM(C5:E5)</f>
        <v>7330.8284000000003</v>
      </c>
    </row>
    <row r="6" spans="2:6" x14ac:dyDescent="0.3">
      <c r="B6" s="10" t="s">
        <v>78</v>
      </c>
      <c r="C6" s="12">
        <f>C5-C4</f>
        <v>-588.05847327823631</v>
      </c>
      <c r="D6" s="12">
        <f>D5-D4</f>
        <v>119.26453168044077</v>
      </c>
      <c r="E6" s="12">
        <f t="shared" ref="E6:F6" si="0">E5-E4</f>
        <v>-216.55779505404996</v>
      </c>
      <c r="F6" s="12">
        <f t="shared" si="0"/>
        <v>-685.35173665184539</v>
      </c>
    </row>
    <row r="7" spans="2:6" x14ac:dyDescent="0.3">
      <c r="B7" s="10" t="s">
        <v>133</v>
      </c>
      <c r="C7" s="291">
        <f>C6/C4</f>
        <v>-0.1067326128999999</v>
      </c>
      <c r="D7" s="291">
        <f>D6/D4</f>
        <v>8.6586049999999998E-2</v>
      </c>
      <c r="E7" s="291">
        <f>E6/E4</f>
        <v>-0.1917921036065573</v>
      </c>
      <c r="F7" s="291">
        <f>F6/F4</f>
        <v>-8.5496049860239218E-2</v>
      </c>
    </row>
    <row r="8" spans="2:6" x14ac:dyDescent="0.3">
      <c r="B8" s="10"/>
      <c r="C8" s="10"/>
      <c r="D8" s="10"/>
      <c r="E8" s="10"/>
      <c r="F8" s="10"/>
    </row>
    <row r="9" spans="2:6" ht="15.6" x14ac:dyDescent="0.3">
      <c r="B9" s="299" t="s">
        <v>194</v>
      </c>
      <c r="C9" s="10"/>
      <c r="D9" s="10"/>
      <c r="E9" s="10"/>
      <c r="F9" s="10"/>
    </row>
    <row r="10" spans="2:6" x14ac:dyDescent="0.3">
      <c r="B10" s="10" t="s">
        <v>193</v>
      </c>
      <c r="C10" s="11">
        <v>6</v>
      </c>
      <c r="D10" s="11">
        <v>1.5</v>
      </c>
      <c r="E10" s="11">
        <v>5.083333333333333</v>
      </c>
      <c r="F10" s="11">
        <f>SUM(C10:E10)</f>
        <v>12.583333333333332</v>
      </c>
    </row>
    <row r="11" spans="2:6" x14ac:dyDescent="0.3">
      <c r="B11" s="301">
        <v>45078</v>
      </c>
      <c r="C11" s="11">
        <f>'P&amp;L Brand wise'!D11/10^7</f>
        <v>5.2565440079999997</v>
      </c>
      <c r="D11" s="11">
        <f>'P&amp;L Brand wise'!E11/10^7</f>
        <v>1.69678295</v>
      </c>
      <c r="E11" s="11">
        <f>'P&amp;L Brand wise'!C11/10^7</f>
        <v>4.5930024419999995</v>
      </c>
      <c r="F11" s="11">
        <f>SUM(C11:E11)</f>
        <v>11.546329399999999</v>
      </c>
    </row>
    <row r="12" spans="2:6" x14ac:dyDescent="0.3">
      <c r="B12" s="10" t="s">
        <v>78</v>
      </c>
      <c r="C12" s="11">
        <f>C11-C10</f>
        <v>-0.74345599200000034</v>
      </c>
      <c r="D12" s="11">
        <f>D11-D10</f>
        <v>0.19678295000000001</v>
      </c>
      <c r="E12" s="11">
        <f>E11-E10</f>
        <v>-0.49033089133333352</v>
      </c>
      <c r="F12" s="11">
        <f>F11-F10</f>
        <v>-1.0370039333333327</v>
      </c>
    </row>
    <row r="13" spans="2:6" x14ac:dyDescent="0.3">
      <c r="B13" s="10" t="s">
        <v>133</v>
      </c>
      <c r="C13" s="291">
        <f>C12/C10</f>
        <v>-0.12390933200000005</v>
      </c>
      <c r="D13" s="291">
        <f>D12/D10</f>
        <v>0.13118863333333333</v>
      </c>
      <c r="E13" s="291">
        <f>E12/E10</f>
        <v>-9.6458536000000039E-2</v>
      </c>
      <c r="F13" s="291">
        <f>F12/F10</f>
        <v>-8.2410908609271485E-2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A86C-FE16-4E9C-92EA-75CE9B2E132A}">
  <dimension ref="B1:Y32"/>
  <sheetViews>
    <sheetView showGridLines="0" zoomScaleNormal="120" workbookViewId="0">
      <pane xSplit="2" ySplit="4" topLeftCell="C5" activePane="bottomRight" state="frozen"/>
      <selection activeCell="U2" sqref="U2:Y28"/>
      <selection pane="topRight" activeCell="U2" sqref="U2:Y28"/>
      <selection pane="bottomLeft" activeCell="U2" sqref="U2:Y28"/>
      <selection pane="bottomRight" activeCell="C5" sqref="C5"/>
    </sheetView>
  </sheetViews>
  <sheetFormatPr defaultRowHeight="14.4" x14ac:dyDescent="0.3"/>
  <cols>
    <col min="1" max="1" width="1.77734375" customWidth="1"/>
    <col min="2" max="2" width="16.21875" style="62" bestFit="1" customWidth="1"/>
    <col min="3" max="4" width="6.21875" bestFit="1" customWidth="1"/>
    <col min="5" max="5" width="7.88671875" bestFit="1" customWidth="1"/>
    <col min="6" max="6" width="4.21875" bestFit="1" customWidth="1"/>
    <col min="7" max="7" width="1.109375" customWidth="1"/>
    <col min="8" max="9" width="6.21875" bestFit="1" customWidth="1"/>
    <col min="10" max="10" width="7.88671875" bestFit="1" customWidth="1"/>
    <col min="11" max="11" width="5" bestFit="1" customWidth="1"/>
    <col min="12" max="12" width="1.109375" customWidth="1"/>
    <col min="13" max="14" width="6.21875" bestFit="1" customWidth="1"/>
    <col min="15" max="15" width="7.88671875" bestFit="1" customWidth="1"/>
    <col min="16" max="16" width="4.21875" bestFit="1" customWidth="1"/>
    <col min="17" max="17" width="1.6640625" hidden="1" customWidth="1"/>
    <col min="20" max="20" width="16.21875" style="62" bestFit="1" customWidth="1"/>
    <col min="21" max="21" width="1.21875" customWidth="1"/>
    <col min="22" max="23" width="6.21875" bestFit="1" customWidth="1"/>
    <col min="24" max="24" width="7.88671875" bestFit="1" customWidth="1"/>
    <col min="25" max="25" width="5" bestFit="1" customWidth="1"/>
  </cols>
  <sheetData>
    <row r="1" spans="2:25" ht="15" thickBot="1" x14ac:dyDescent="0.35">
      <c r="C1" s="63" t="s">
        <v>95</v>
      </c>
    </row>
    <row r="2" spans="2:25" ht="15" thickBot="1" x14ac:dyDescent="0.35">
      <c r="B2" s="358" t="s">
        <v>2</v>
      </c>
      <c r="C2" s="348" t="s">
        <v>9</v>
      </c>
      <c r="D2" s="349"/>
      <c r="E2" s="349"/>
      <c r="F2" s="349"/>
      <c r="G2" s="349"/>
      <c r="H2" s="349"/>
      <c r="I2" s="349"/>
      <c r="J2" s="349"/>
      <c r="K2" s="349"/>
      <c r="L2" s="229"/>
      <c r="M2" s="341" t="s">
        <v>11</v>
      </c>
      <c r="N2" s="342"/>
      <c r="O2" s="342"/>
      <c r="P2" s="343"/>
      <c r="Q2" s="172"/>
      <c r="T2" s="358" t="s">
        <v>2</v>
      </c>
      <c r="U2" s="223"/>
      <c r="V2" s="348" t="s">
        <v>10</v>
      </c>
      <c r="W2" s="349"/>
      <c r="X2" s="349"/>
      <c r="Y2" s="350"/>
    </row>
    <row r="3" spans="2:25" ht="15" thickBot="1" x14ac:dyDescent="0.35">
      <c r="B3" s="359"/>
      <c r="C3" s="341" t="s">
        <v>12</v>
      </c>
      <c r="D3" s="342"/>
      <c r="E3" s="342"/>
      <c r="F3" s="342"/>
      <c r="G3" s="69"/>
      <c r="H3" s="341" t="s">
        <v>13</v>
      </c>
      <c r="I3" s="342"/>
      <c r="J3" s="342"/>
      <c r="K3" s="342"/>
      <c r="L3" s="224"/>
      <c r="M3" s="345"/>
      <c r="N3" s="346"/>
      <c r="O3" s="346"/>
      <c r="P3" s="347"/>
      <c r="Q3" s="172"/>
      <c r="T3" s="359"/>
      <c r="U3" s="224"/>
      <c r="V3" s="348" t="s">
        <v>13</v>
      </c>
      <c r="W3" s="349"/>
      <c r="X3" s="349"/>
      <c r="Y3" s="350"/>
    </row>
    <row r="4" spans="2:25" ht="25.2" thickBot="1" x14ac:dyDescent="0.35">
      <c r="B4" s="71" t="s">
        <v>77</v>
      </c>
      <c r="C4" s="72" t="s">
        <v>98</v>
      </c>
      <c r="D4" s="72" t="s">
        <v>99</v>
      </c>
      <c r="E4" s="73" t="s">
        <v>78</v>
      </c>
      <c r="F4" s="78" t="s">
        <v>133</v>
      </c>
      <c r="G4" s="74"/>
      <c r="H4" s="72" t="s">
        <v>98</v>
      </c>
      <c r="I4" s="72" t="s">
        <v>99</v>
      </c>
      <c r="J4" s="73" t="s">
        <v>78</v>
      </c>
      <c r="K4" s="154" t="s">
        <v>133</v>
      </c>
      <c r="L4" s="225"/>
      <c r="M4" s="72" t="s">
        <v>98</v>
      </c>
      <c r="N4" s="72" t="s">
        <v>99</v>
      </c>
      <c r="O4" s="212" t="s">
        <v>78</v>
      </c>
      <c r="P4" s="78" t="s">
        <v>133</v>
      </c>
      <c r="Q4" s="174"/>
      <c r="T4" s="71" t="s">
        <v>77</v>
      </c>
      <c r="U4" s="225"/>
      <c r="V4" s="76" t="s">
        <v>98</v>
      </c>
      <c r="W4" s="76" t="s">
        <v>99</v>
      </c>
      <c r="X4" s="77" t="s">
        <v>78</v>
      </c>
      <c r="Y4" s="78" t="s">
        <v>133</v>
      </c>
    </row>
    <row r="5" spans="2:25" x14ac:dyDescent="0.3">
      <c r="B5" s="79" t="s">
        <v>80</v>
      </c>
      <c r="C5" s="80">
        <f>'P&amp;L Brand wise'!C8/1000</f>
        <v>0.9125700000000001</v>
      </c>
      <c r="D5" s="80">
        <f>'P&amp;L Brand wise'!H8/1000</f>
        <v>1.712102308452095</v>
      </c>
      <c r="E5" s="81">
        <f>C5-D5</f>
        <v>-0.79953230845209489</v>
      </c>
      <c r="F5" s="213">
        <f>E5/D5</f>
        <v>-0.46698862825256565</v>
      </c>
      <c r="G5" s="82"/>
      <c r="H5" s="80">
        <f>'P&amp;L Brand wise'!D8/1000</f>
        <v>4.9215834000000003</v>
      </c>
      <c r="I5" s="80">
        <f>'P&amp;L Brand wise'!I8/1000</f>
        <v>6.1381771290688603</v>
      </c>
      <c r="J5" s="81">
        <f>H5-I5</f>
        <v>-1.21659372906886</v>
      </c>
      <c r="K5" s="218">
        <f>J5/I5</f>
        <v>-0.19820114400208144</v>
      </c>
      <c r="L5" s="83"/>
      <c r="M5" s="80">
        <f>C5+H5</f>
        <v>5.8341533999999999</v>
      </c>
      <c r="N5" s="80">
        <f>D5+I5</f>
        <v>7.850279437520955</v>
      </c>
      <c r="O5" s="85">
        <f>M5-N5</f>
        <v>-2.0161260375209551</v>
      </c>
      <c r="P5" s="213">
        <f>O5/N5</f>
        <v>-0.25682220022445834</v>
      </c>
      <c r="Q5" s="175"/>
      <c r="T5" s="79" t="s">
        <v>80</v>
      </c>
      <c r="U5" s="83"/>
      <c r="V5" s="80">
        <f>'P&amp;L Brand wise'!E8/1000</f>
        <v>1.496675</v>
      </c>
      <c r="W5" s="80">
        <f>'P&amp;L Brand wise'!J8/1000</f>
        <v>0.93965652861834315</v>
      </c>
      <c r="X5" s="81">
        <f>V5-W5</f>
        <v>0.55701847138165683</v>
      </c>
      <c r="Y5" s="213">
        <f>X5/W5</f>
        <v>0.59278944424585489</v>
      </c>
    </row>
    <row r="6" spans="2:25" x14ac:dyDescent="0.3">
      <c r="B6" s="86"/>
      <c r="C6" s="87"/>
      <c r="D6" s="87"/>
      <c r="E6" s="88"/>
      <c r="F6" s="88"/>
      <c r="G6" s="89"/>
      <c r="H6" s="87"/>
      <c r="I6" s="87"/>
      <c r="J6" s="88"/>
      <c r="K6" s="169"/>
      <c r="L6" s="90"/>
      <c r="M6" s="87"/>
      <c r="N6" s="87"/>
      <c r="O6" s="92"/>
      <c r="P6" s="88"/>
      <c r="Q6" s="177"/>
      <c r="T6" s="86"/>
      <c r="U6" s="90"/>
      <c r="V6" s="87"/>
      <c r="W6" s="87"/>
      <c r="X6" s="88"/>
      <c r="Y6" s="88"/>
    </row>
    <row r="7" spans="2:25" x14ac:dyDescent="0.3">
      <c r="B7" s="93" t="s">
        <v>81</v>
      </c>
      <c r="C7" s="87">
        <f>'P&amp;L Brand wise'!C11/10^7</f>
        <v>4.5930024419999995</v>
      </c>
      <c r="D7" s="87">
        <f>'P&amp;L Brand wise'!H11/10^7</f>
        <v>8.3603125025449305</v>
      </c>
      <c r="E7" s="94">
        <f>C7-D7</f>
        <v>-3.767310060544931</v>
      </c>
      <c r="F7" s="214">
        <f>E7/D7</f>
        <v>-0.45061833028348386</v>
      </c>
      <c r="G7" s="95"/>
      <c r="H7" s="87">
        <f>'P&amp;L Brand wise'!D11/10^7</f>
        <v>5.2565440079999997</v>
      </c>
      <c r="I7" s="87">
        <f>'P&amp;L Brand wise'!I11/10^7</f>
        <v>6.8435490470201508</v>
      </c>
      <c r="J7" s="94">
        <f>H7-I7</f>
        <v>-1.5870050390201511</v>
      </c>
      <c r="K7" s="219">
        <f>J7/I7</f>
        <v>-0.2318979564720402</v>
      </c>
      <c r="L7" s="96"/>
      <c r="M7" s="87">
        <f>C7+H7</f>
        <v>9.8495464499999983</v>
      </c>
      <c r="N7" s="87">
        <f>D7+I7</f>
        <v>15.203861549565081</v>
      </c>
      <c r="O7" s="87">
        <f>M7-N7</f>
        <v>-5.354315099565083</v>
      </c>
      <c r="P7" s="214">
        <f>O7/N7</f>
        <v>-0.35216810427468326</v>
      </c>
      <c r="Q7" s="179"/>
      <c r="T7" s="93" t="s">
        <v>81</v>
      </c>
      <c r="U7" s="96"/>
      <c r="V7" s="87">
        <f>'P&amp;L Brand wise'!E11/10^7</f>
        <v>1.69678295</v>
      </c>
      <c r="W7" s="87">
        <f>'P&amp;L Brand wise'!J11/10^7</f>
        <v>1.1270025699966195</v>
      </c>
      <c r="X7" s="94">
        <f>V7-W7</f>
        <v>0.56978038000338049</v>
      </c>
      <c r="Y7" s="214">
        <f>X7/W7</f>
        <v>0.50557150016533647</v>
      </c>
    </row>
    <row r="8" spans="2:25" x14ac:dyDescent="0.3">
      <c r="B8" s="86"/>
      <c r="C8" s="92"/>
      <c r="D8" s="92"/>
      <c r="E8" s="88"/>
      <c r="F8" s="88"/>
      <c r="G8" s="89"/>
      <c r="H8" s="92"/>
      <c r="I8" s="92"/>
      <c r="J8" s="88"/>
      <c r="K8" s="169"/>
      <c r="L8" s="90"/>
      <c r="M8" s="92"/>
      <c r="N8" s="92"/>
      <c r="O8" s="92"/>
      <c r="P8" s="88"/>
      <c r="Q8" s="177"/>
      <c r="T8" s="86"/>
      <c r="U8" s="90"/>
      <c r="V8" s="92"/>
      <c r="W8" s="92"/>
      <c r="X8" s="88"/>
      <c r="Y8" s="88"/>
    </row>
    <row r="9" spans="2:25" x14ac:dyDescent="0.3">
      <c r="B9" s="86" t="s">
        <v>82</v>
      </c>
      <c r="C9" s="87">
        <f>('P&amp;L Brand wise'!C15+'P&amp;L Brand wise'!C16)/10^7</f>
        <v>0.316917168498</v>
      </c>
      <c r="D9" s="87">
        <f>'P&amp;L Brand wise'!H15/10^7</f>
        <v>0.72907489641471435</v>
      </c>
      <c r="E9" s="94">
        <f>C9-D9</f>
        <v>-0.41215772791671434</v>
      </c>
      <c r="F9" s="214">
        <f>E9/D9</f>
        <v>-0.56531603261000185</v>
      </c>
      <c r="G9" s="99"/>
      <c r="H9" s="87">
        <f>('P&amp;L Brand wise'!D15+'P&amp;L Brand wise'!D16)/10^7</f>
        <v>0.8883559373519998</v>
      </c>
      <c r="I9" s="87">
        <f>'P&amp;L Brand wise'!I15/10^7</f>
        <v>1.0659917747485099</v>
      </c>
      <c r="J9" s="94">
        <f>H9-I9</f>
        <v>-0.17763583739651012</v>
      </c>
      <c r="K9" s="219">
        <f>J9/I9</f>
        <v>-0.16663903193663776</v>
      </c>
      <c r="L9" s="96"/>
      <c r="M9" s="87">
        <f>C9+H9</f>
        <v>1.2052731058499999</v>
      </c>
      <c r="N9" s="87">
        <f>D9+I9</f>
        <v>1.7950666711632244</v>
      </c>
      <c r="O9" s="98">
        <f>M9-N9</f>
        <v>-0.58979356531322447</v>
      </c>
      <c r="P9" s="214">
        <f>O9/N9</f>
        <v>-0.32856359866067331</v>
      </c>
      <c r="Q9" s="181"/>
      <c r="T9" s="86" t="s">
        <v>82</v>
      </c>
      <c r="U9" s="96"/>
      <c r="V9" s="87">
        <f>('P&amp;L Brand wise'!E15+'P&amp;L Brand wise'!E16)/10^7</f>
        <v>0.28675631854999994</v>
      </c>
      <c r="W9" s="87">
        <f>'P&amp;L Brand wise'!J15/10^7</f>
        <v>0.19046343432942869</v>
      </c>
      <c r="X9" s="94">
        <f>V9-W9</f>
        <v>9.6292884220571251E-2</v>
      </c>
      <c r="Y9" s="214">
        <f>X9/W9</f>
        <v>0.50557150016533614</v>
      </c>
    </row>
    <row r="10" spans="2:25" x14ac:dyDescent="0.3">
      <c r="B10" s="86" t="s">
        <v>83</v>
      </c>
      <c r="C10" s="136">
        <f t="shared" ref="C10:D10" si="0">C9/C7</f>
        <v>6.9000000000000006E-2</v>
      </c>
      <c r="D10" s="136">
        <f t="shared" si="0"/>
        <v>8.7206655994351817E-2</v>
      </c>
      <c r="E10" s="102"/>
      <c r="F10" s="102"/>
      <c r="G10" s="103"/>
      <c r="H10" s="136">
        <f t="shared" ref="H10:I10" si="1">H9/H7</f>
        <v>0.16899999999999998</v>
      </c>
      <c r="I10" s="136">
        <f t="shared" si="1"/>
        <v>0.15576592896819655</v>
      </c>
      <c r="J10" s="102"/>
      <c r="K10" s="105"/>
      <c r="L10" s="104"/>
      <c r="M10" s="136">
        <f t="shared" ref="M10:N10" si="2">M9/M7</f>
        <v>0.12236838639915243</v>
      </c>
      <c r="N10" s="136">
        <f t="shared" si="2"/>
        <v>0.11806649681143497</v>
      </c>
      <c r="O10" s="101"/>
      <c r="P10" s="102"/>
      <c r="Q10" s="183"/>
      <c r="T10" s="86" t="s">
        <v>83</v>
      </c>
      <c r="U10" s="104"/>
      <c r="V10" s="136">
        <f>V9/V7</f>
        <v>0.16899999999999996</v>
      </c>
      <c r="W10" s="136">
        <f>W9/W7</f>
        <v>0.16899999999999998</v>
      </c>
      <c r="X10" s="102"/>
      <c r="Y10" s="102"/>
    </row>
    <row r="11" spans="2:25" x14ac:dyDescent="0.3">
      <c r="B11" s="86"/>
      <c r="C11" s="92"/>
      <c r="D11" s="92"/>
      <c r="E11" s="88"/>
      <c r="F11" s="88"/>
      <c r="G11" s="89"/>
      <c r="H11" s="92"/>
      <c r="I11" s="92"/>
      <c r="J11" s="88"/>
      <c r="K11" s="169"/>
      <c r="L11" s="90"/>
      <c r="M11" s="92"/>
      <c r="N11" s="92"/>
      <c r="O11" s="92"/>
      <c r="P11" s="88"/>
      <c r="Q11" s="177"/>
      <c r="T11" s="86"/>
      <c r="U11" s="90"/>
      <c r="V11" s="92"/>
      <c r="W11" s="92"/>
      <c r="X11" s="88"/>
      <c r="Y11" s="88"/>
    </row>
    <row r="12" spans="2:25" x14ac:dyDescent="0.3">
      <c r="B12" s="86" t="s">
        <v>84</v>
      </c>
      <c r="C12" s="106">
        <f>(C7*10^7)/(C5*10^6)</f>
        <v>50.330412373845284</v>
      </c>
      <c r="D12" s="106">
        <f>(D7*10^7)/(D5*10^6)</f>
        <v>48.830682963703595</v>
      </c>
      <c r="E12" s="107">
        <f>C12-D12</f>
        <v>1.4997294101416898</v>
      </c>
      <c r="F12" s="215">
        <f>E12/D12</f>
        <v>3.0712849362693858E-2</v>
      </c>
      <c r="G12" s="108"/>
      <c r="H12" s="106">
        <f>(H7*10^7)/(H5*10^6)</f>
        <v>10.680595208444501</v>
      </c>
      <c r="I12" s="106">
        <f t="shared" ref="I12" si="3">(I7*10^7)/(I5*10^6)</f>
        <v>11.149155365052643</v>
      </c>
      <c r="J12" s="107">
        <f>H12-I12</f>
        <v>-0.46856015660814165</v>
      </c>
      <c r="K12" s="220">
        <f>J12/I12</f>
        <v>-4.2026516024420764E-2</v>
      </c>
      <c r="L12" s="109"/>
      <c r="M12" s="106">
        <f>(M7*10^7)/(M5*10^6)</f>
        <v>16.882563372433776</v>
      </c>
      <c r="N12" s="106">
        <f>(N7*10^7)/(N5*10^6)</f>
        <v>19.367287076300965</v>
      </c>
      <c r="O12" s="106">
        <f>M12-N12</f>
        <v>-2.4847237038671892</v>
      </c>
      <c r="P12" s="215">
        <f>O12/N12</f>
        <v>-0.12829487651410165</v>
      </c>
      <c r="Q12" s="185"/>
      <c r="T12" s="86" t="s">
        <v>84</v>
      </c>
      <c r="U12" s="109"/>
      <c r="V12" s="106">
        <f>(V7*10^7)/(V5*10^6)</f>
        <v>11.33701672039688</v>
      </c>
      <c r="W12" s="106">
        <f>(W7*10^7)/(W5*10^6)</f>
        <v>11.993771507699172</v>
      </c>
      <c r="X12" s="107">
        <f>V12-W12</f>
        <v>-0.65675478730229209</v>
      </c>
      <c r="Y12" s="215">
        <f>X12/W12</f>
        <v>-5.4757987250357479E-2</v>
      </c>
    </row>
    <row r="13" spans="2:25" x14ac:dyDescent="0.3">
      <c r="B13" s="93" t="s">
        <v>85</v>
      </c>
      <c r="C13" s="111">
        <f>+C7-C9</f>
        <v>4.2760852735019999</v>
      </c>
      <c r="D13" s="111">
        <f>+D7-D9</f>
        <v>7.6312376061302158</v>
      </c>
      <c r="E13" s="112">
        <f>C13-D13</f>
        <v>-3.355152332628216</v>
      </c>
      <c r="F13" s="216">
        <f>E13/D13</f>
        <v>-0.43966031537702394</v>
      </c>
      <c r="G13" s="113"/>
      <c r="H13" s="111">
        <f t="shared" ref="H13:I13" si="4">+H7-H9</f>
        <v>4.3681880706479994</v>
      </c>
      <c r="I13" s="111">
        <f t="shared" si="4"/>
        <v>5.7775572722716406</v>
      </c>
      <c r="J13" s="112">
        <f>H13-I13</f>
        <v>-1.4093692016236412</v>
      </c>
      <c r="K13" s="221">
        <f>J13/I13</f>
        <v>-0.24393859467004478</v>
      </c>
      <c r="L13" s="114"/>
      <c r="M13" s="111">
        <f t="shared" ref="M13:N13" si="5">+M7-M9</f>
        <v>8.6442733441499975</v>
      </c>
      <c r="N13" s="111">
        <f t="shared" si="5"/>
        <v>13.408794878401856</v>
      </c>
      <c r="O13" s="111">
        <f>M13-N13</f>
        <v>-4.764521534251859</v>
      </c>
      <c r="P13" s="216">
        <f>O13/N13</f>
        <v>-0.35532809454235786</v>
      </c>
      <c r="Q13" s="187"/>
      <c r="T13" s="93" t="s">
        <v>85</v>
      </c>
      <c r="U13" s="114"/>
      <c r="V13" s="111">
        <f>+V7-V9</f>
        <v>1.4100266314500001</v>
      </c>
      <c r="W13" s="111">
        <f>+W7-W9</f>
        <v>0.93653913566719083</v>
      </c>
      <c r="X13" s="112">
        <f>V13-W13</f>
        <v>0.47348749578280924</v>
      </c>
      <c r="Y13" s="216">
        <f>X13/W13</f>
        <v>0.50557150016533647</v>
      </c>
    </row>
    <row r="14" spans="2:25" x14ac:dyDescent="0.3">
      <c r="B14" s="86"/>
      <c r="C14" s="92"/>
      <c r="D14" s="92"/>
      <c r="E14" s="88"/>
      <c r="F14" s="88"/>
      <c r="G14" s="89"/>
      <c r="H14" s="92"/>
      <c r="I14" s="92"/>
      <c r="J14" s="88"/>
      <c r="K14" s="169"/>
      <c r="L14" s="90"/>
      <c r="M14" s="92"/>
      <c r="N14" s="92"/>
      <c r="O14" s="92"/>
      <c r="P14" s="88"/>
      <c r="Q14" s="177"/>
      <c r="T14" s="86"/>
      <c r="U14" s="90"/>
      <c r="V14" s="92"/>
      <c r="W14" s="92"/>
      <c r="X14" s="88"/>
      <c r="Y14" s="88"/>
    </row>
    <row r="15" spans="2:25" x14ac:dyDescent="0.3">
      <c r="B15" s="86" t="s">
        <v>86</v>
      </c>
      <c r="C15" s="149">
        <f>SUM(C17:C17)</f>
        <v>3.0445641600000002</v>
      </c>
      <c r="D15" s="149">
        <f>SUM(D17:D17)</f>
        <v>5.6749138712908582</v>
      </c>
      <c r="E15" s="150">
        <f>C15-D15</f>
        <v>-2.630349711290858</v>
      </c>
      <c r="F15" s="217">
        <f>E15/D15</f>
        <v>-0.46350478103248094</v>
      </c>
      <c r="G15" s="113"/>
      <c r="H15" s="149">
        <f t="shared" ref="H15:N15" si="6">SUM(H17:H17)</f>
        <v>2.4009142564000001</v>
      </c>
      <c r="I15" s="149">
        <f t="shared" si="6"/>
        <v>3.4669227740074917</v>
      </c>
      <c r="J15" s="150">
        <f>H15-I15</f>
        <v>-1.0660085176074916</v>
      </c>
      <c r="K15" s="222">
        <f>J15/I15</f>
        <v>-0.30747974128517119</v>
      </c>
      <c r="L15" s="114"/>
      <c r="M15" s="149">
        <f t="shared" si="6"/>
        <v>5.4454784164000003</v>
      </c>
      <c r="N15" s="149">
        <f t="shared" si="6"/>
        <v>9.1418366452983495</v>
      </c>
      <c r="O15" s="149">
        <f>M15-N15</f>
        <v>-3.6963582288983492</v>
      </c>
      <c r="P15" s="217">
        <f>O15/N15</f>
        <v>-0.40433431183649382</v>
      </c>
      <c r="Q15" s="187"/>
      <c r="T15" s="86" t="s">
        <v>86</v>
      </c>
      <c r="U15" s="114"/>
      <c r="V15" s="149">
        <f>SUM(V17:V17)</f>
        <v>0.62848040000000005</v>
      </c>
      <c r="W15" s="149">
        <f>SUM(W17:W17)</f>
        <v>0.43378234485985384</v>
      </c>
      <c r="X15" s="150">
        <f>V15-W15</f>
        <v>0.19469805514014621</v>
      </c>
      <c r="Y15" s="217">
        <f>X15/W15</f>
        <v>0.44883812687915908</v>
      </c>
    </row>
    <row r="16" spans="2:25" x14ac:dyDescent="0.3">
      <c r="B16" s="86" t="s">
        <v>87</v>
      </c>
      <c r="C16" s="136">
        <f t="shared" ref="C16:D16" si="7">C15/C13</f>
        <v>0.71199799940064878</v>
      </c>
      <c r="D16" s="136">
        <f t="shared" si="7"/>
        <v>0.74364266508124033</v>
      </c>
      <c r="E16" s="102"/>
      <c r="F16" s="102"/>
      <c r="G16" s="103"/>
      <c r="H16" s="136">
        <f t="shared" ref="H16:I16" si="8">H15/H13</f>
        <v>0.54963619184185819</v>
      </c>
      <c r="I16" s="136">
        <f t="shared" si="8"/>
        <v>0.60006722748493924</v>
      </c>
      <c r="J16" s="102"/>
      <c r="K16" s="105"/>
      <c r="L16" s="104"/>
      <c r="M16" s="136">
        <f t="shared" ref="M16:N16" si="9">M15/M13</f>
        <v>0.62995213126679084</v>
      </c>
      <c r="N16" s="136">
        <f t="shared" si="9"/>
        <v>0.68177914034791542</v>
      </c>
      <c r="O16" s="101"/>
      <c r="P16" s="102"/>
      <c r="Q16" s="183"/>
      <c r="T16" s="86" t="s">
        <v>87</v>
      </c>
      <c r="U16" s="104"/>
      <c r="V16" s="136">
        <f>V15/V13</f>
        <v>0.44572236153703182</v>
      </c>
      <c r="W16" s="136">
        <f>W15/W13</f>
        <v>0.46317588698610779</v>
      </c>
      <c r="X16" s="102"/>
      <c r="Y16" s="102"/>
    </row>
    <row r="17" spans="2:25" x14ac:dyDescent="0.3">
      <c r="B17" s="86" t="s">
        <v>88</v>
      </c>
      <c r="C17" s="87">
        <f>'P&amp;L Brand wise'!C32/10^7</f>
        <v>3.0445641600000002</v>
      </c>
      <c r="D17" s="87">
        <f>'P&amp;L Brand wise'!H32/10^7</f>
        <v>5.6749138712908582</v>
      </c>
      <c r="E17" s="94">
        <f>C17-D17</f>
        <v>-2.630349711290858</v>
      </c>
      <c r="F17" s="214">
        <f>E17/D17</f>
        <v>-0.46350478103248094</v>
      </c>
      <c r="G17" s="99"/>
      <c r="H17" s="87">
        <f>'P&amp;L Brand wise'!D32/10^7</f>
        <v>2.4009142564000001</v>
      </c>
      <c r="I17" s="87">
        <f>'P&amp;L Brand wise'!I32/10^7</f>
        <v>3.4669227740074917</v>
      </c>
      <c r="J17" s="94">
        <f>H17-I17</f>
        <v>-1.0660085176074916</v>
      </c>
      <c r="K17" s="219">
        <f>J17/I17</f>
        <v>-0.30747974128517119</v>
      </c>
      <c r="L17" s="96"/>
      <c r="M17" s="87">
        <f>C17+H17</f>
        <v>5.4454784164000003</v>
      </c>
      <c r="N17" s="87">
        <f>D17+I17</f>
        <v>9.1418366452983495</v>
      </c>
      <c r="O17" s="98">
        <f>M17-N17</f>
        <v>-3.6963582288983492</v>
      </c>
      <c r="P17" s="214">
        <f>O17/N17</f>
        <v>-0.40433431183649382</v>
      </c>
      <c r="Q17" s="181"/>
      <c r="T17" s="86" t="s">
        <v>88</v>
      </c>
      <c r="U17" s="96"/>
      <c r="V17" s="87">
        <f>'P&amp;L Brand wise'!E32/10^7</f>
        <v>0.62848040000000005</v>
      </c>
      <c r="W17" s="87">
        <f>'P&amp;L Brand wise'!J32/10^7</f>
        <v>0.43378234485985384</v>
      </c>
      <c r="X17" s="94">
        <f>V17-W17</f>
        <v>0.19469805514014621</v>
      </c>
      <c r="Y17" s="214">
        <f>X17/W17</f>
        <v>0.44883812687915908</v>
      </c>
    </row>
    <row r="18" spans="2:25" x14ac:dyDescent="0.3">
      <c r="B18" s="86"/>
      <c r="C18" s="92"/>
      <c r="D18" s="92"/>
      <c r="E18" s="88"/>
      <c r="F18" s="88"/>
      <c r="G18" s="89"/>
      <c r="H18" s="92"/>
      <c r="I18" s="92"/>
      <c r="J18" s="88"/>
      <c r="K18" s="169"/>
      <c r="L18" s="90"/>
      <c r="M18" s="92"/>
      <c r="N18" s="92"/>
      <c r="O18" s="92"/>
      <c r="P18" s="88"/>
      <c r="Q18" s="177"/>
      <c r="T18" s="86"/>
      <c r="U18" s="90"/>
      <c r="V18" s="92"/>
      <c r="W18" s="92"/>
      <c r="X18" s="88"/>
      <c r="Y18" s="88"/>
    </row>
    <row r="19" spans="2:25" x14ac:dyDescent="0.3">
      <c r="B19" s="86" t="s">
        <v>89</v>
      </c>
      <c r="C19" s="106">
        <f>(C15*10^7)/(C5*10^6)</f>
        <v>33.362527367763569</v>
      </c>
      <c r="D19" s="106">
        <f>(D15*10^7)/(D5*10^6)</f>
        <v>33.145880612832805</v>
      </c>
      <c r="E19" s="107">
        <f>C19-D19</f>
        <v>0.21664675493076402</v>
      </c>
      <c r="F19" s="215">
        <f>E19/D19</f>
        <v>6.5361592730436239E-3</v>
      </c>
      <c r="G19" s="108"/>
      <c r="H19" s="232">
        <f>(H15*10^7)/(H5*10^6)</f>
        <v>4.8783370335652538</v>
      </c>
      <c r="I19" s="232">
        <f>(I15*10^7)/(I5*10^6)</f>
        <v>5.6481308719310483</v>
      </c>
      <c r="J19" s="107">
        <f>H19-I19</f>
        <v>-0.76979383836579451</v>
      </c>
      <c r="K19" s="220">
        <f>J19/I19</f>
        <v>-0.13629178498525274</v>
      </c>
      <c r="L19" s="109"/>
      <c r="M19" s="232">
        <f>(M15*10^7)/(M5*10^6)</f>
        <v>9.3337936853014529</v>
      </c>
      <c r="N19" s="232">
        <f>(N15*10^7)/(N5*10^6)</f>
        <v>11.645237240351353</v>
      </c>
      <c r="O19" s="232">
        <f>M19-N19</f>
        <v>-2.3114435550499</v>
      </c>
      <c r="P19" s="215">
        <f>O19/N19</f>
        <v>-0.19848831821481727</v>
      </c>
      <c r="Q19" s="185"/>
      <c r="T19" s="86" t="s">
        <v>89</v>
      </c>
      <c r="U19" s="109"/>
      <c r="V19" s="232">
        <f>(V15*10^7)/(V5*10^6)</f>
        <v>4.1991775101474946</v>
      </c>
      <c r="W19" s="232">
        <f>(W15*10^7)/(W5*10^6)</f>
        <v>4.6163926035578218</v>
      </c>
      <c r="X19" s="253">
        <f>V19-W19</f>
        <v>-0.41721509341032714</v>
      </c>
      <c r="Y19" s="215">
        <f>X19/W19</f>
        <v>-9.037686549640131E-2</v>
      </c>
    </row>
    <row r="20" spans="2:25" x14ac:dyDescent="0.3">
      <c r="B20" s="93" t="s">
        <v>90</v>
      </c>
      <c r="C20" s="111">
        <f>C13-C15</f>
        <v>1.2315211135019997</v>
      </c>
      <c r="D20" s="111">
        <f>D13-D15</f>
        <v>1.9563237348393576</v>
      </c>
      <c r="E20" s="112">
        <f>C20-D20</f>
        <v>-0.72480262133735796</v>
      </c>
      <c r="F20" s="216">
        <f>E20/D20</f>
        <v>-0.37049216774792887</v>
      </c>
      <c r="G20" s="151"/>
      <c r="H20" s="111">
        <f>H13-H15</f>
        <v>1.9672738142479993</v>
      </c>
      <c r="I20" s="111">
        <f>I13-I15</f>
        <v>2.3106344982641489</v>
      </c>
      <c r="J20" s="112">
        <f>H20-I20</f>
        <v>-0.34336068401614961</v>
      </c>
      <c r="K20" s="221">
        <f>J20/I20</f>
        <v>-0.14860017206273748</v>
      </c>
      <c r="L20" s="114"/>
      <c r="M20" s="111">
        <f>M13-M15</f>
        <v>3.1987949277499972</v>
      </c>
      <c r="N20" s="111">
        <f>N13-N15</f>
        <v>4.266958233103507</v>
      </c>
      <c r="O20" s="111">
        <f>M20-N20</f>
        <v>-1.0681633053535098</v>
      </c>
      <c r="P20" s="216">
        <f>O20/N20</f>
        <v>-0.25033366791982808</v>
      </c>
      <c r="Q20" s="187"/>
      <c r="T20" s="93" t="s">
        <v>90</v>
      </c>
      <c r="U20" s="114"/>
      <c r="V20" s="111">
        <f>V13-V15</f>
        <v>0.78154623145000002</v>
      </c>
      <c r="W20" s="111">
        <f>W13-W15</f>
        <v>0.50275679080733693</v>
      </c>
      <c r="X20" s="112">
        <f>V20-W20</f>
        <v>0.27878944064266309</v>
      </c>
      <c r="Y20" s="216">
        <f>X20/W20</f>
        <v>0.55452148183812178</v>
      </c>
    </row>
    <row r="21" spans="2:25" x14ac:dyDescent="0.3">
      <c r="B21" s="86" t="s">
        <v>91</v>
      </c>
      <c r="C21" s="136">
        <f>C20/C13</f>
        <v>0.28800200059935116</v>
      </c>
      <c r="D21" s="136">
        <f>D20/D13</f>
        <v>0.25635733491875967</v>
      </c>
      <c r="E21" s="102"/>
      <c r="F21" s="102"/>
      <c r="G21" s="103"/>
      <c r="H21" s="136">
        <f>H20/H13</f>
        <v>0.45036380815814181</v>
      </c>
      <c r="I21" s="136">
        <f>I20/I13</f>
        <v>0.39993277251506076</v>
      </c>
      <c r="J21" s="102"/>
      <c r="K21" s="105"/>
      <c r="L21" s="104"/>
      <c r="M21" s="136">
        <f>M20/M13</f>
        <v>0.37004786873320916</v>
      </c>
      <c r="N21" s="136">
        <f>N20/N13</f>
        <v>0.31822085965208452</v>
      </c>
      <c r="O21" s="101"/>
      <c r="P21" s="102"/>
      <c r="Q21" s="183"/>
      <c r="T21" s="86" t="s">
        <v>91</v>
      </c>
      <c r="U21" s="104"/>
      <c r="V21" s="136">
        <f>V20/V13</f>
        <v>0.55427763846296818</v>
      </c>
      <c r="W21" s="136">
        <f>W20/W13</f>
        <v>0.53682411301389221</v>
      </c>
      <c r="X21" s="102"/>
      <c r="Y21" s="102"/>
    </row>
    <row r="22" spans="2:25" x14ac:dyDescent="0.3">
      <c r="B22" s="86"/>
      <c r="C22" s="92"/>
      <c r="D22" s="92"/>
      <c r="E22" s="88"/>
      <c r="F22" s="88"/>
      <c r="G22" s="89"/>
      <c r="H22" s="92"/>
      <c r="I22" s="92"/>
      <c r="J22" s="88"/>
      <c r="K22" s="169"/>
      <c r="L22" s="90"/>
      <c r="M22" s="92"/>
      <c r="N22" s="92"/>
      <c r="O22" s="92"/>
      <c r="P22" s="88"/>
      <c r="Q22" s="177"/>
      <c r="T22" s="86"/>
      <c r="U22" s="90"/>
      <c r="V22" s="92"/>
      <c r="W22" s="92"/>
      <c r="X22" s="88"/>
      <c r="Y22" s="88"/>
    </row>
    <row r="23" spans="2:25" x14ac:dyDescent="0.3">
      <c r="B23" s="86" t="s">
        <v>36</v>
      </c>
      <c r="C23" s="242">
        <f>'P&amp;L Brand wise'!C39/10^7</f>
        <v>0.57085738401251696</v>
      </c>
      <c r="D23" s="242">
        <f>'P&amp;L Brand wise'!H39/10^7</f>
        <v>0.89106343434402546</v>
      </c>
      <c r="E23" s="254">
        <f>C23-D23</f>
        <v>-0.32020605033150851</v>
      </c>
      <c r="F23" s="214">
        <f>E23/D23</f>
        <v>-0.35935269924664198</v>
      </c>
      <c r="G23" s="133"/>
      <c r="H23" s="242">
        <f>'P&amp;L Brand wise'!D39/10^7</f>
        <v>1.4598484532105618</v>
      </c>
      <c r="I23" s="242">
        <f>'P&amp;L Brand wise'!I39/10^7</f>
        <v>2.0397199487845779</v>
      </c>
      <c r="J23" s="254">
        <f>H23-I23</f>
        <v>-0.57987149557401607</v>
      </c>
      <c r="K23" s="219">
        <f>J23/I23</f>
        <v>-0.284289760424978</v>
      </c>
      <c r="L23" s="134"/>
      <c r="M23" s="242">
        <f>C23+H23</f>
        <v>2.0307058372230786</v>
      </c>
      <c r="N23" s="242">
        <f>D23+I23</f>
        <v>2.9307833831286034</v>
      </c>
      <c r="O23" s="243">
        <f>M23-N23</f>
        <v>-0.9000775459055248</v>
      </c>
      <c r="P23" s="214">
        <f>O23/N23</f>
        <v>-0.30711159039829633</v>
      </c>
      <c r="Q23" s="189"/>
      <c r="T23" s="86" t="s">
        <v>36</v>
      </c>
      <c r="U23" s="134"/>
      <c r="V23" s="242">
        <f>'P&amp;L Brand wise'!E39/10^7</f>
        <v>0.47123090023059006</v>
      </c>
      <c r="W23" s="242">
        <f>'P&amp;L Brand wise'!J39/10^7</f>
        <v>0.31299137913997516</v>
      </c>
      <c r="X23" s="254">
        <f>V23-W23</f>
        <v>0.1582395210906149</v>
      </c>
      <c r="Y23" s="214">
        <f>X23/W23</f>
        <v>0.5055715001653367</v>
      </c>
    </row>
    <row r="24" spans="2:25" x14ac:dyDescent="0.3">
      <c r="B24" s="86" t="s">
        <v>11</v>
      </c>
      <c r="C24" s="243">
        <f>C23</f>
        <v>0.57085738401251696</v>
      </c>
      <c r="D24" s="243">
        <f>D23</f>
        <v>0.89106343434402546</v>
      </c>
      <c r="E24" s="254">
        <f>C24-D24</f>
        <v>-0.32020605033150851</v>
      </c>
      <c r="F24" s="214">
        <f>E24/D24</f>
        <v>-0.35935269924664198</v>
      </c>
      <c r="G24" s="133"/>
      <c r="H24" s="243">
        <f>H23</f>
        <v>1.4598484532105618</v>
      </c>
      <c r="I24" s="243">
        <f>I23</f>
        <v>2.0397199487845779</v>
      </c>
      <c r="J24" s="254">
        <f>H24-I24</f>
        <v>-0.57987149557401607</v>
      </c>
      <c r="K24" s="219">
        <f>J24/I24</f>
        <v>-0.284289760424978</v>
      </c>
      <c r="L24" s="134"/>
      <c r="M24" s="243">
        <f>M23</f>
        <v>2.0307058372230786</v>
      </c>
      <c r="N24" s="243">
        <f>N23</f>
        <v>2.9307833831286034</v>
      </c>
      <c r="O24" s="243">
        <f>M24-N24</f>
        <v>-0.9000775459055248</v>
      </c>
      <c r="P24" s="214">
        <f>O24/N24</f>
        <v>-0.30711159039829633</v>
      </c>
      <c r="Q24" s="189"/>
      <c r="T24" s="86" t="s">
        <v>11</v>
      </c>
      <c r="U24" s="134"/>
      <c r="V24" s="243">
        <f>V23</f>
        <v>0.47123090023059006</v>
      </c>
      <c r="W24" s="243">
        <f>W23</f>
        <v>0.31299137913997516</v>
      </c>
      <c r="X24" s="254">
        <f>V24-W24</f>
        <v>0.1582395210906149</v>
      </c>
      <c r="Y24" s="214">
        <f>X24/W24</f>
        <v>0.5055715001653367</v>
      </c>
    </row>
    <row r="25" spans="2:25" x14ac:dyDescent="0.3">
      <c r="B25" s="86" t="s">
        <v>91</v>
      </c>
      <c r="C25" s="136">
        <f>C24/C13</f>
        <v>0.13350000000000001</v>
      </c>
      <c r="D25" s="136">
        <f>D24/D13</f>
        <v>0.11676525883930403</v>
      </c>
      <c r="E25" s="137"/>
      <c r="F25" s="137"/>
      <c r="G25" s="138"/>
      <c r="H25" s="136">
        <f>H24/H13</f>
        <v>0.33420000000000011</v>
      </c>
      <c r="I25" s="136">
        <f>I24/I13</f>
        <v>0.35304192631267389</v>
      </c>
      <c r="J25" s="137"/>
      <c r="K25" s="162"/>
      <c r="L25" s="226"/>
      <c r="M25" s="136">
        <f>M24/M13</f>
        <v>0.23491920678299194</v>
      </c>
      <c r="N25" s="136">
        <f>N24/N13</f>
        <v>0.21857172174729489</v>
      </c>
      <c r="O25" s="136"/>
      <c r="P25" s="137"/>
      <c r="Q25" s="191"/>
      <c r="T25" s="86" t="s">
        <v>91</v>
      </c>
      <c r="U25" s="226"/>
      <c r="V25" s="136">
        <f>V24/V13</f>
        <v>0.3342</v>
      </c>
      <c r="W25" s="136">
        <f>W24/W13</f>
        <v>0.3342</v>
      </c>
      <c r="X25" s="137"/>
      <c r="Y25" s="137"/>
    </row>
    <row r="26" spans="2:25" x14ac:dyDescent="0.3">
      <c r="B26" s="86"/>
      <c r="C26" s="92"/>
      <c r="D26" s="92"/>
      <c r="E26" s="88"/>
      <c r="F26" s="88"/>
      <c r="G26" s="89"/>
      <c r="H26" s="92"/>
      <c r="I26" s="92"/>
      <c r="J26" s="88"/>
      <c r="K26" s="169"/>
      <c r="L26" s="90"/>
      <c r="M26" s="92"/>
      <c r="N26" s="92"/>
      <c r="O26" s="92"/>
      <c r="P26" s="88"/>
      <c r="Q26" s="177"/>
      <c r="T26" s="86"/>
      <c r="U26" s="90"/>
      <c r="V26" s="92"/>
      <c r="W26" s="92"/>
      <c r="X26" s="88"/>
      <c r="Y26" s="88"/>
    </row>
    <row r="27" spans="2:25" x14ac:dyDescent="0.3">
      <c r="B27" s="93" t="s">
        <v>94</v>
      </c>
      <c r="C27" s="111">
        <f>C20-C24</f>
        <v>0.66066372948948271</v>
      </c>
      <c r="D27" s="111">
        <f>D20-D24</f>
        <v>1.065260300495332</v>
      </c>
      <c r="E27" s="112">
        <f>C27-D27</f>
        <v>-0.40459657100584934</v>
      </c>
      <c r="F27" s="216">
        <f>E27/D27</f>
        <v>-0.37981005282719843</v>
      </c>
      <c r="G27" s="128"/>
      <c r="H27" s="111">
        <f t="shared" ref="H27:N27" si="10">H20-H24</f>
        <v>0.50742536103743752</v>
      </c>
      <c r="I27" s="111">
        <f t="shared" si="10"/>
        <v>0.27091454947957105</v>
      </c>
      <c r="J27" s="112">
        <f>H27-I27</f>
        <v>0.23651081155786646</v>
      </c>
      <c r="K27" s="221">
        <f>J27/I27</f>
        <v>0.87300889528526826</v>
      </c>
      <c r="L27" s="120"/>
      <c r="M27" s="111">
        <f t="shared" si="10"/>
        <v>1.1680890905269186</v>
      </c>
      <c r="N27" s="111">
        <f t="shared" si="10"/>
        <v>1.3361748499749035</v>
      </c>
      <c r="O27" s="111">
        <f>M27-N27</f>
        <v>-0.16808575944798498</v>
      </c>
      <c r="P27" s="216">
        <f>O27/N27</f>
        <v>-0.12579623052412792</v>
      </c>
      <c r="Q27" s="193"/>
      <c r="T27" s="93" t="s">
        <v>94</v>
      </c>
      <c r="U27" s="120"/>
      <c r="V27" s="111">
        <f>V20-V24</f>
        <v>0.31031533121940996</v>
      </c>
      <c r="W27" s="111">
        <f>W20-W24</f>
        <v>0.18976541166736177</v>
      </c>
      <c r="X27" s="112">
        <f>V27-W27</f>
        <v>0.12054991955204819</v>
      </c>
      <c r="Y27" s="216">
        <f>X27/W27</f>
        <v>0.63525759775105461</v>
      </c>
    </row>
    <row r="28" spans="2:25" ht="15" thickBot="1" x14ac:dyDescent="0.35">
      <c r="B28" s="141" t="s">
        <v>91</v>
      </c>
      <c r="C28" s="247">
        <f>C27/C13</f>
        <v>0.15450200059935118</v>
      </c>
      <c r="D28" s="247">
        <f>D27/D13</f>
        <v>0.13959207607945565</v>
      </c>
      <c r="E28" s="143"/>
      <c r="F28" s="143"/>
      <c r="G28" s="144"/>
      <c r="H28" s="247">
        <f>H27/H13</f>
        <v>0.11616380815814174</v>
      </c>
      <c r="I28" s="247">
        <f>I27/I13</f>
        <v>4.6890846202386829E-2</v>
      </c>
      <c r="J28" s="143"/>
      <c r="K28" s="163"/>
      <c r="L28" s="227"/>
      <c r="M28" s="247">
        <f>M27/M13</f>
        <v>0.13512866195021719</v>
      </c>
      <c r="N28" s="247">
        <f>N27/N13</f>
        <v>9.9649137904789631E-2</v>
      </c>
      <c r="O28" s="142"/>
      <c r="P28" s="143"/>
      <c r="Q28" s="195"/>
      <c r="T28" s="141" t="s">
        <v>91</v>
      </c>
      <c r="U28" s="227"/>
      <c r="V28" s="247">
        <f>V27/V13</f>
        <v>0.22007763846296816</v>
      </c>
      <c r="W28" s="247">
        <f>W27/W13</f>
        <v>0.20262411301389219</v>
      </c>
      <c r="X28" s="143"/>
      <c r="Y28" s="143"/>
    </row>
    <row r="29" spans="2:25" x14ac:dyDescent="0.3">
      <c r="V29" s="147"/>
      <c r="W29" s="147"/>
    </row>
    <row r="30" spans="2:25" x14ac:dyDescent="0.3">
      <c r="C30" s="147">
        <f>C27*10^7</f>
        <v>6606637.2948948275</v>
      </c>
      <c r="D30" s="147">
        <f>D27*10^7</f>
        <v>10652603.004953321</v>
      </c>
      <c r="H30" s="147">
        <f>H27*10^7</f>
        <v>5074253.6103743752</v>
      </c>
      <c r="I30" s="147">
        <f>I27*10^7</f>
        <v>2709145.4947957103</v>
      </c>
      <c r="M30" s="147"/>
      <c r="N30" s="147"/>
      <c r="V30" s="147">
        <f>V27*10^7</f>
        <v>3103153.3121940996</v>
      </c>
      <c r="W30" s="147">
        <f>W27*10^7</f>
        <v>1897654.1166736176</v>
      </c>
    </row>
    <row r="31" spans="2:25" x14ac:dyDescent="0.3">
      <c r="C31">
        <f>'P&amp;L Brand wise'!C41</f>
        <v>6606637.2948948257</v>
      </c>
      <c r="D31">
        <f>'P&amp;L Brand wise'!H41</f>
        <v>10652603.004953319</v>
      </c>
      <c r="H31">
        <f>'P&amp;L Brand wise'!D41</f>
        <v>5074253.6103743799</v>
      </c>
      <c r="I31">
        <f>'P&amp;L Brand wise'!I41</f>
        <v>2709145.4947957098</v>
      </c>
      <c r="V31">
        <f>'P&amp;L Brand wise'!E41</f>
        <v>3103153.3121940996</v>
      </c>
      <c r="W31">
        <f>'P&amp;L Brand wise'!J41</f>
        <v>1897654.1166736186</v>
      </c>
    </row>
    <row r="32" spans="2:25" x14ac:dyDescent="0.3">
      <c r="C32" s="147">
        <f>C30-C31</f>
        <v>0</v>
      </c>
      <c r="D32" s="147">
        <f>D30-D31</f>
        <v>0</v>
      </c>
      <c r="H32" s="147">
        <f>H30-H31</f>
        <v>0</v>
      </c>
      <c r="I32" s="147">
        <f>I30-I31</f>
        <v>0</v>
      </c>
      <c r="V32" s="147">
        <f>V30-V31</f>
        <v>0</v>
      </c>
      <c r="W32" s="147">
        <f>W30-W31</f>
        <v>0</v>
      </c>
    </row>
  </sheetData>
  <mergeCells count="8">
    <mergeCell ref="T2:T3"/>
    <mergeCell ref="V2:Y2"/>
    <mergeCell ref="V3:Y3"/>
    <mergeCell ref="B2:B3"/>
    <mergeCell ref="C2:K2"/>
    <mergeCell ref="M2:P3"/>
    <mergeCell ref="C3:F3"/>
    <mergeCell ref="H3:K3"/>
  </mergeCells>
  <pageMargins left="0.7" right="0.7" top="0.75" bottom="0.75" header="0.3" footer="0.3"/>
  <pageSetup orientation="portrait" horizontalDpi="300" verticalDpi="0" copies="0" r:id="rId1"/>
  <headerFooter>
    <oddHeader>&amp;C&amp;"Calibri"&amp;11&amp;KFF0000 Classification - Confidential&amp;1#_x000D_</oddHeader>
    <oddFooter>&amp;C_x000D_&amp;1#&amp;"Calibri"&amp;11&amp;KFF0000 Classification -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0BF5-B5C3-412E-BB23-F486B7D83D97}">
  <dimension ref="B1:Y32"/>
  <sheetViews>
    <sheetView showGridLines="0" zoomScaleNormal="12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RowHeight="14.4" x14ac:dyDescent="0.3"/>
  <cols>
    <col min="1" max="1" width="1.77734375" customWidth="1"/>
    <col min="2" max="2" width="16.21875" style="62" bestFit="1" customWidth="1"/>
    <col min="3" max="3" width="1.6640625" hidden="1" customWidth="1"/>
    <col min="4" max="4" width="2.109375" hidden="1" customWidth="1"/>
    <col min="5" max="6" width="8.21875" bestFit="1" customWidth="1"/>
    <col min="7" max="7" width="7.88671875" bestFit="1" customWidth="1"/>
    <col min="8" max="8" width="4.21875" bestFit="1" customWidth="1"/>
    <col min="9" max="9" width="1.21875" customWidth="1"/>
    <col min="10" max="11" width="8.21875" bestFit="1" customWidth="1"/>
    <col min="12" max="12" width="7.88671875" bestFit="1" customWidth="1"/>
    <col min="13" max="13" width="4.21875" bestFit="1" customWidth="1"/>
    <col min="14" max="14" width="1.21875" customWidth="1"/>
    <col min="15" max="16" width="8.21875" bestFit="1" customWidth="1"/>
    <col min="17" max="17" width="7.88671875" bestFit="1" customWidth="1"/>
    <col min="18" max="18" width="4.21875" bestFit="1" customWidth="1"/>
    <col min="21" max="21" width="16.21875" style="62" bestFit="1" customWidth="1"/>
    <col min="22" max="23" width="8.21875" bestFit="1" customWidth="1"/>
    <col min="24" max="24" width="7.88671875" bestFit="1" customWidth="1"/>
    <col min="25" max="25" width="3.6640625" bestFit="1" customWidth="1"/>
  </cols>
  <sheetData>
    <row r="1" spans="2:25" ht="15" thickBot="1" x14ac:dyDescent="0.35">
      <c r="E1" s="63" t="s">
        <v>96</v>
      </c>
    </row>
    <row r="2" spans="2:25" ht="15" thickBot="1" x14ac:dyDescent="0.35">
      <c r="B2" s="358" t="s">
        <v>2</v>
      </c>
      <c r="C2" s="172"/>
      <c r="D2" s="173"/>
      <c r="E2" s="348" t="s">
        <v>9</v>
      </c>
      <c r="F2" s="349"/>
      <c r="G2" s="349"/>
      <c r="H2" s="349"/>
      <c r="I2" s="349"/>
      <c r="J2" s="349"/>
      <c r="K2" s="349"/>
      <c r="L2" s="349"/>
      <c r="M2" s="349"/>
      <c r="N2" s="229"/>
      <c r="O2" s="341" t="s">
        <v>11</v>
      </c>
      <c r="P2" s="342"/>
      <c r="Q2" s="342"/>
      <c r="R2" s="343"/>
      <c r="U2" s="358" t="s">
        <v>2</v>
      </c>
      <c r="V2" s="348" t="s">
        <v>10</v>
      </c>
      <c r="W2" s="349"/>
      <c r="X2" s="349"/>
      <c r="Y2" s="350"/>
    </row>
    <row r="3" spans="2:25" ht="15" thickBot="1" x14ac:dyDescent="0.35">
      <c r="B3" s="359"/>
      <c r="C3" s="172"/>
      <c r="D3" s="173"/>
      <c r="E3" s="348" t="s">
        <v>12</v>
      </c>
      <c r="F3" s="349"/>
      <c r="G3" s="349"/>
      <c r="H3" s="350"/>
      <c r="I3" s="69"/>
      <c r="J3" s="348" t="s">
        <v>13</v>
      </c>
      <c r="K3" s="349"/>
      <c r="L3" s="349"/>
      <c r="M3" s="350"/>
      <c r="N3" s="224"/>
      <c r="O3" s="345"/>
      <c r="P3" s="346"/>
      <c r="Q3" s="346"/>
      <c r="R3" s="347"/>
      <c r="U3" s="359"/>
      <c r="V3" s="348" t="s">
        <v>13</v>
      </c>
      <c r="W3" s="349"/>
      <c r="X3" s="349"/>
      <c r="Y3" s="350"/>
    </row>
    <row r="4" spans="2:25" ht="25.2" thickBot="1" x14ac:dyDescent="0.35">
      <c r="B4" s="71" t="s">
        <v>77</v>
      </c>
      <c r="C4" s="174"/>
      <c r="D4" s="168"/>
      <c r="E4" s="228" t="s">
        <v>100</v>
      </c>
      <c r="F4" s="76" t="s">
        <v>102</v>
      </c>
      <c r="G4" s="77" t="s">
        <v>78</v>
      </c>
      <c r="H4" s="78" t="s">
        <v>133</v>
      </c>
      <c r="I4" s="74"/>
      <c r="J4" s="76" t="s">
        <v>100</v>
      </c>
      <c r="K4" s="76" t="s">
        <v>102</v>
      </c>
      <c r="L4" s="77" t="s">
        <v>78</v>
      </c>
      <c r="M4" s="154" t="s">
        <v>133</v>
      </c>
      <c r="N4" s="225"/>
      <c r="O4" s="76" t="s">
        <v>100</v>
      </c>
      <c r="P4" s="76" t="s">
        <v>101</v>
      </c>
      <c r="Q4" s="77" t="s">
        <v>78</v>
      </c>
      <c r="R4" s="78" t="s">
        <v>133</v>
      </c>
      <c r="U4" s="71" t="s">
        <v>77</v>
      </c>
      <c r="V4" s="76" t="s">
        <v>100</v>
      </c>
      <c r="W4" s="76" t="s">
        <v>102</v>
      </c>
      <c r="X4" s="77" t="s">
        <v>78</v>
      </c>
      <c r="Y4" s="78" t="s">
        <v>133</v>
      </c>
    </row>
    <row r="5" spans="2:25" x14ac:dyDescent="0.3">
      <c r="B5" s="79" t="s">
        <v>80</v>
      </c>
      <c r="C5" s="175"/>
      <c r="D5" s="176"/>
      <c r="E5" s="171">
        <f>'P&amp;L Brand wise'!R8/1000</f>
        <v>3.7508100631256514</v>
      </c>
      <c r="F5" s="80">
        <f>'P&amp;L Brand wise'!W8/1000</f>
        <v>5.4713979096498653</v>
      </c>
      <c r="G5" s="85">
        <f>E5-F5</f>
        <v>-1.7205878465242139</v>
      </c>
      <c r="H5" s="213">
        <f>G5/F5</f>
        <v>-0.31446951490945768</v>
      </c>
      <c r="I5" s="82"/>
      <c r="J5" s="80">
        <f>'P&amp;L Brand wise'!S8/1000</f>
        <v>22.0360649</v>
      </c>
      <c r="K5" s="84">
        <f>'P&amp;L Brand wise'!X8/1000</f>
        <v>29.421531247429304</v>
      </c>
      <c r="L5" s="85">
        <f>J5-K5</f>
        <v>-7.3854663474293041</v>
      </c>
      <c r="M5" s="218">
        <f>L5/K5</f>
        <v>-0.2510225006754061</v>
      </c>
      <c r="N5" s="83"/>
      <c r="O5" s="80">
        <f>J5+E5</f>
        <v>25.786874963125651</v>
      </c>
      <c r="P5" s="84">
        <f>K5+F5</f>
        <v>34.892929157079166</v>
      </c>
      <c r="Q5" s="85">
        <f>O5-P5</f>
        <v>-9.1060541939535149</v>
      </c>
      <c r="R5" s="213">
        <f>Q5/P5</f>
        <v>-0.26097133184091126</v>
      </c>
      <c r="U5" s="79" t="s">
        <v>80</v>
      </c>
      <c r="V5" s="85">
        <f>'P&amp;L Brand wise'!T8/1000</f>
        <v>5.1553750000000003</v>
      </c>
      <c r="W5" s="85">
        <f>'P&amp;L Brand wise'!Y8/1000</f>
        <v>4.4674955986982878</v>
      </c>
      <c r="X5" s="85">
        <f>V5-W5</f>
        <v>0.68787940130171243</v>
      </c>
      <c r="Y5" s="213">
        <f>X5/W5</f>
        <v>0.15397427621465204</v>
      </c>
    </row>
    <row r="6" spans="2:25" x14ac:dyDescent="0.3">
      <c r="B6" s="86"/>
      <c r="C6" s="177"/>
      <c r="D6" s="178"/>
      <c r="E6" s="97"/>
      <c r="F6" s="87"/>
      <c r="G6" s="92"/>
      <c r="H6" s="88"/>
      <c r="I6" s="89"/>
      <c r="J6" s="87"/>
      <c r="K6" s="91"/>
      <c r="L6" s="92"/>
      <c r="M6" s="169"/>
      <c r="N6" s="90"/>
      <c r="O6" s="87"/>
      <c r="P6" s="91"/>
      <c r="Q6" s="92"/>
      <c r="R6" s="88"/>
      <c r="U6" s="86"/>
      <c r="V6" s="92"/>
      <c r="W6" s="92"/>
      <c r="X6" s="92"/>
      <c r="Y6" s="88"/>
    </row>
    <row r="7" spans="2:25" x14ac:dyDescent="0.3">
      <c r="B7" s="93" t="s">
        <v>81</v>
      </c>
      <c r="C7" s="179"/>
      <c r="D7" s="180"/>
      <c r="E7" s="97">
        <f>'P&amp;L Brand wise'!R11/10^7</f>
        <v>19.191007098</v>
      </c>
      <c r="F7" s="87">
        <f>'P&amp;L Brand wise'!W11/10^7</f>
        <v>27.624992468454497</v>
      </c>
      <c r="G7" s="98">
        <f>E7-F7</f>
        <v>-8.4339853704544971</v>
      </c>
      <c r="H7" s="214">
        <f>G7/F7</f>
        <v>-0.30530272108075412</v>
      </c>
      <c r="I7" s="99"/>
      <c r="J7" s="87">
        <f>'P&amp;L Brand wise'!S11/10^7</f>
        <v>23.467081917000002</v>
      </c>
      <c r="K7" s="91">
        <f>'P&amp;L Brand wise'!X11/10^7</f>
        <v>31.231914087314497</v>
      </c>
      <c r="L7" s="98">
        <f>J7-K7</f>
        <v>-7.7648321703144951</v>
      </c>
      <c r="M7" s="219">
        <f>L7/K7</f>
        <v>-0.24861851721948564</v>
      </c>
      <c r="N7" s="96"/>
      <c r="O7" s="87">
        <f>J7+E7</f>
        <v>42.658089015000002</v>
      </c>
      <c r="P7" s="91">
        <f>K7+F7</f>
        <v>58.856906555768994</v>
      </c>
      <c r="Q7" s="98">
        <f>O7-P7</f>
        <v>-16.198817540768992</v>
      </c>
      <c r="R7" s="214">
        <f>Q7/P7</f>
        <v>-0.27522373309613274</v>
      </c>
      <c r="U7" s="93" t="s">
        <v>81</v>
      </c>
      <c r="V7" s="98">
        <f>'P&amp;L Brand wise'!T11/10^7</f>
        <v>5.9650677500000002</v>
      </c>
      <c r="W7" s="98">
        <f>'P&amp;L Brand wise'!Y11/10^7</f>
        <v>5.3134115209782049</v>
      </c>
      <c r="X7" s="98">
        <f>V7-W7</f>
        <v>0.65165622902179532</v>
      </c>
      <c r="Y7" s="214">
        <f>X7/W7</f>
        <v>0.12264365868311752</v>
      </c>
    </row>
    <row r="8" spans="2:25" x14ac:dyDescent="0.3">
      <c r="B8" s="86"/>
      <c r="C8" s="177"/>
      <c r="D8" s="178"/>
      <c r="E8" s="88"/>
      <c r="F8" s="92"/>
      <c r="G8" s="92"/>
      <c r="H8" s="88"/>
      <c r="I8" s="89"/>
      <c r="J8" s="92"/>
      <c r="K8" s="100"/>
      <c r="L8" s="92"/>
      <c r="M8" s="169"/>
      <c r="N8" s="90"/>
      <c r="O8" s="92"/>
      <c r="P8" s="100"/>
      <c r="Q8" s="92"/>
      <c r="R8" s="88"/>
      <c r="U8" s="86"/>
      <c r="V8" s="92"/>
      <c r="W8" s="92"/>
      <c r="X8" s="92"/>
      <c r="Y8" s="88"/>
    </row>
    <row r="9" spans="2:25" x14ac:dyDescent="0.3">
      <c r="B9" s="86" t="s">
        <v>82</v>
      </c>
      <c r="C9" s="181"/>
      <c r="D9" s="182"/>
      <c r="E9" s="97">
        <f>('P&amp;L Brand wise'!R15+'P&amp;L Brand wise'!R16)/10^7</f>
        <v>1.4815633384137847</v>
      </c>
      <c r="F9" s="87">
        <f>'P&amp;L Brand wise'!W15/10^7</f>
        <v>2.3655539825395602</v>
      </c>
      <c r="G9" s="98">
        <f>E9-F9</f>
        <v>-0.88399064412577544</v>
      </c>
      <c r="H9" s="214">
        <f>G9/F9</f>
        <v>-0.37369286461041146</v>
      </c>
      <c r="I9" s="99"/>
      <c r="J9" s="87">
        <f>('P&amp;L Brand wise'!S15+'P&amp;L Brand wise'!S16)/10^7</f>
        <v>4.160230118384562</v>
      </c>
      <c r="K9" s="87">
        <f>'P&amp;L Brand wise'!X15/10^7</f>
        <v>5.1876254665582584</v>
      </c>
      <c r="L9" s="98">
        <f>J9-K9</f>
        <v>-1.0273953481736964</v>
      </c>
      <c r="M9" s="219">
        <f>L9/K9</f>
        <v>-0.1980473252737199</v>
      </c>
      <c r="N9" s="96"/>
      <c r="O9" s="87">
        <f>J9+E9</f>
        <v>5.6417934567983465</v>
      </c>
      <c r="P9" s="87">
        <f>K9+F9</f>
        <v>7.5531794490978186</v>
      </c>
      <c r="Q9" s="98">
        <f>O9-P9</f>
        <v>-1.911385992299472</v>
      </c>
      <c r="R9" s="214">
        <f>Q9/P9</f>
        <v>-0.25305714039771365</v>
      </c>
      <c r="U9" s="86" t="s">
        <v>82</v>
      </c>
      <c r="V9" s="98">
        <f>('P&amp;L Brand wise'!T15+'P&amp;L Brand wise'!T16)/10^7</f>
        <v>1.0619417266866531</v>
      </c>
      <c r="W9" s="98">
        <f>'P&amp;L Brand wise'!Y15/10^7</f>
        <v>0.89796654704531653</v>
      </c>
      <c r="X9" s="98">
        <f>V9-W9</f>
        <v>0.16397517964133657</v>
      </c>
      <c r="Y9" s="214">
        <f>X9/W9</f>
        <v>0.18260722538148344</v>
      </c>
    </row>
    <row r="10" spans="2:25" x14ac:dyDescent="0.3">
      <c r="B10" s="86" t="s">
        <v>83</v>
      </c>
      <c r="C10" s="183"/>
      <c r="D10" s="184"/>
      <c r="E10" s="137">
        <f t="shared" ref="E10:F10" si="0">E9/E7</f>
        <v>7.7200916598492972E-2</v>
      </c>
      <c r="F10" s="136">
        <f t="shared" si="0"/>
        <v>8.5630936741098881E-2</v>
      </c>
      <c r="G10" s="101"/>
      <c r="H10" s="102"/>
      <c r="I10" s="103"/>
      <c r="J10" s="136">
        <f>J9/J7</f>
        <v>0.17727939643704962</v>
      </c>
      <c r="K10" s="162">
        <f t="shared" ref="K10" si="1">K9/K7</f>
        <v>0.16610014525703765</v>
      </c>
      <c r="L10" s="101"/>
      <c r="M10" s="105"/>
      <c r="N10" s="104"/>
      <c r="O10" s="101">
        <f t="shared" ref="O10" si="2">O9/O7</f>
        <v>0.13225612274414131</v>
      </c>
      <c r="P10" s="105">
        <f>P9/P7</f>
        <v>0.12833123402333277</v>
      </c>
      <c r="Q10" s="101"/>
      <c r="R10" s="102"/>
      <c r="U10" s="86" t="s">
        <v>83</v>
      </c>
      <c r="V10" s="136">
        <f>V9/V7</f>
        <v>0.17802676703657777</v>
      </c>
      <c r="W10" s="162">
        <f>W9/W7</f>
        <v>0.16899999999999998</v>
      </c>
      <c r="X10" s="101"/>
      <c r="Y10" s="102"/>
    </row>
    <row r="11" spans="2:25" x14ac:dyDescent="0.3">
      <c r="B11" s="86"/>
      <c r="C11" s="177"/>
      <c r="D11" s="178"/>
      <c r="E11" s="88"/>
      <c r="F11" s="92"/>
      <c r="G11" s="92"/>
      <c r="H11" s="88"/>
      <c r="I11" s="89"/>
      <c r="J11" s="92"/>
      <c r="K11" s="100"/>
      <c r="L11" s="92"/>
      <c r="M11" s="169"/>
      <c r="N11" s="90"/>
      <c r="O11" s="92"/>
      <c r="P11" s="100"/>
      <c r="Q11" s="92"/>
      <c r="R11" s="88"/>
      <c r="U11" s="86"/>
      <c r="V11" s="92"/>
      <c r="W11" s="92"/>
      <c r="X11" s="92"/>
      <c r="Y11" s="88"/>
    </row>
    <row r="12" spans="2:25" x14ac:dyDescent="0.3">
      <c r="B12" s="86" t="s">
        <v>84</v>
      </c>
      <c r="C12" s="185"/>
      <c r="D12" s="186"/>
      <c r="E12" s="107">
        <f>(E7*10^7)/(E5*10^6)</f>
        <v>51.164966433964437</v>
      </c>
      <c r="F12" s="106">
        <f>(F7*10^7)/(F5*10^6)</f>
        <v>50.489825314537065</v>
      </c>
      <c r="G12" s="106">
        <f>E12-F12</f>
        <v>0.67514111942737287</v>
      </c>
      <c r="H12" s="215">
        <f>G12/F12</f>
        <v>1.3371825218674024E-2</v>
      </c>
      <c r="I12" s="108"/>
      <c r="J12" s="106">
        <f t="shared" ref="J12:K12" si="3">(J7*10^7)/(J5*10^6)</f>
        <v>10.649397713926684</v>
      </c>
      <c r="K12" s="110">
        <f t="shared" si="3"/>
        <v>10.615325838978341</v>
      </c>
      <c r="L12" s="106">
        <f>J12-K12</f>
        <v>3.4071874948342185E-2</v>
      </c>
      <c r="M12" s="220">
        <f>L12/K12</f>
        <v>3.2096871509335965E-3</v>
      </c>
      <c r="N12" s="109"/>
      <c r="O12" s="106">
        <f>(O7*10^7)/(O5*10^6)</f>
        <v>16.54255859851169</v>
      </c>
      <c r="P12" s="110">
        <f>(P7*10^7)/(P5*10^6)</f>
        <v>16.867860617493601</v>
      </c>
      <c r="Q12" s="106">
        <f>O12-P12</f>
        <v>-0.3253020189819118</v>
      </c>
      <c r="R12" s="215">
        <f>Q12/P12</f>
        <v>-1.928531580611605E-2</v>
      </c>
      <c r="U12" s="86" t="s">
        <v>84</v>
      </c>
      <c r="V12" s="106">
        <f>(V7*10^7)/(V5*10^6)</f>
        <v>11.570579734742866</v>
      </c>
      <c r="W12" s="110">
        <f>(W7*10^7)/(W5*10^6)</f>
        <v>11.893490219724882</v>
      </c>
      <c r="X12" s="106">
        <f>V12-W12</f>
        <v>-0.32291048498201569</v>
      </c>
      <c r="Y12" s="215">
        <f>X12/W12</f>
        <v>-2.7150187120554524E-2</v>
      </c>
    </row>
    <row r="13" spans="2:25" x14ac:dyDescent="0.3">
      <c r="B13" s="93" t="s">
        <v>85</v>
      </c>
      <c r="C13" s="187"/>
      <c r="D13" s="188"/>
      <c r="E13" s="112">
        <f>+E7-E9</f>
        <v>17.709443759586215</v>
      </c>
      <c r="F13" s="111">
        <f>+F7-F9</f>
        <v>25.259438485914938</v>
      </c>
      <c r="G13" s="111">
        <f>E13-F13</f>
        <v>-7.5499947263287233</v>
      </c>
      <c r="H13" s="216">
        <f>G13/F13</f>
        <v>-0.29889796364787441</v>
      </c>
      <c r="I13" s="113"/>
      <c r="J13" s="111">
        <f t="shared" ref="J13:P13" si="4">+J7-J9</f>
        <v>19.30685179861544</v>
      </c>
      <c r="K13" s="112">
        <f t="shared" si="4"/>
        <v>26.044288620756237</v>
      </c>
      <c r="L13" s="111">
        <f>J13-K13</f>
        <v>-6.737436822140797</v>
      </c>
      <c r="M13" s="221">
        <f>L13/K13</f>
        <v>-0.25869152812149893</v>
      </c>
      <c r="N13" s="118"/>
      <c r="O13" s="116">
        <f>+O7-O9</f>
        <v>37.016295558201655</v>
      </c>
      <c r="P13" s="117">
        <f t="shared" si="4"/>
        <v>51.303727106671175</v>
      </c>
      <c r="Q13" s="116">
        <f>O13-P13</f>
        <v>-14.28743154846952</v>
      </c>
      <c r="R13" s="216">
        <f>Q13/P13</f>
        <v>-0.27848720461893467</v>
      </c>
      <c r="U13" s="93" t="s">
        <v>85</v>
      </c>
      <c r="V13" s="116">
        <f>+V7-V9</f>
        <v>4.9031260233133471</v>
      </c>
      <c r="W13" s="117">
        <f>+W7-W9</f>
        <v>4.415444973932888</v>
      </c>
      <c r="X13" s="116">
        <f>V13-W13</f>
        <v>0.48768104938045909</v>
      </c>
      <c r="Y13" s="216">
        <f>X13/W13</f>
        <v>0.11044890203808291</v>
      </c>
    </row>
    <row r="14" spans="2:25" x14ac:dyDescent="0.3">
      <c r="B14" s="86"/>
      <c r="C14" s="177"/>
      <c r="D14" s="178"/>
      <c r="E14" s="88"/>
      <c r="F14" s="92"/>
      <c r="G14" s="92"/>
      <c r="H14" s="88"/>
      <c r="I14" s="89"/>
      <c r="J14" s="92"/>
      <c r="K14" s="100"/>
      <c r="L14" s="92"/>
      <c r="M14" s="169"/>
      <c r="N14" s="90"/>
      <c r="O14" s="92"/>
      <c r="P14" s="100"/>
      <c r="Q14" s="92"/>
      <c r="R14" s="88"/>
      <c r="U14" s="86"/>
      <c r="V14" s="92"/>
      <c r="W14" s="92"/>
      <c r="X14" s="92"/>
      <c r="Y14" s="88"/>
    </row>
    <row r="15" spans="2:25" x14ac:dyDescent="0.3">
      <c r="B15" s="86" t="s">
        <v>86</v>
      </c>
      <c r="C15" s="187"/>
      <c r="D15" s="188"/>
      <c r="E15" s="150">
        <f>SUM(E17:E17)</f>
        <v>13.526279259999999</v>
      </c>
      <c r="F15" s="149">
        <f>SUM(F17:F17)</f>
        <v>19.404608085194202</v>
      </c>
      <c r="G15" s="149">
        <f>E15-F15</f>
        <v>-5.8783288251942025</v>
      </c>
      <c r="H15" s="217">
        <f>G15/F15</f>
        <v>-0.30293468434847659</v>
      </c>
      <c r="I15" s="113"/>
      <c r="J15" s="149">
        <f t="shared" ref="J15:P15" si="5">SUM(J17:J17)</f>
        <v>11.037492766300808</v>
      </c>
      <c r="K15" s="148">
        <f t="shared" si="5"/>
        <v>15.898631390642663</v>
      </c>
      <c r="L15" s="149">
        <f>J15-K15</f>
        <v>-4.8611386243418551</v>
      </c>
      <c r="M15" s="222">
        <f>L15/K15</f>
        <v>-0.3057583074227973</v>
      </c>
      <c r="N15" s="120"/>
      <c r="O15" s="119">
        <f t="shared" si="5"/>
        <v>24.563772026300807</v>
      </c>
      <c r="P15" s="121">
        <f t="shared" si="5"/>
        <v>35.303239475836861</v>
      </c>
      <c r="Q15" s="119">
        <f>O15-P15</f>
        <v>-10.739467449536054</v>
      </c>
      <c r="R15" s="217">
        <f>Q15/P15</f>
        <v>-0.3042062884027012</v>
      </c>
      <c r="U15" s="86" t="s">
        <v>86</v>
      </c>
      <c r="V15" s="149">
        <f>SUM(V17:V17)</f>
        <v>2.2350437926862634</v>
      </c>
      <c r="W15" s="148">
        <f>SUM(W17:W17)</f>
        <v>2.0720880398938943</v>
      </c>
      <c r="X15" s="149">
        <f>V15-W15</f>
        <v>0.16295575279236907</v>
      </c>
      <c r="Y15" s="217">
        <f>X15/W15</f>
        <v>7.8643257262714358E-2</v>
      </c>
    </row>
    <row r="16" spans="2:25" x14ac:dyDescent="0.3">
      <c r="B16" s="86" t="s">
        <v>87</v>
      </c>
      <c r="C16" s="183"/>
      <c r="D16" s="184"/>
      <c r="E16" s="102">
        <f t="shared" ref="E16:F16" si="6">E15/E13</f>
        <v>0.76378905196715474</v>
      </c>
      <c r="F16" s="101">
        <f t="shared" si="6"/>
        <v>0.76821217130438257</v>
      </c>
      <c r="G16" s="101"/>
      <c r="H16" s="102"/>
      <c r="I16" s="103"/>
      <c r="J16" s="101">
        <f t="shared" ref="J16:K16" si="7">J15/J13</f>
        <v>0.57168785887155071</v>
      </c>
      <c r="K16" s="105">
        <f t="shared" si="7"/>
        <v>0.6104459838450762</v>
      </c>
      <c r="L16" s="101"/>
      <c r="M16" s="105"/>
      <c r="N16" s="104"/>
      <c r="O16" s="101">
        <f t="shared" ref="O16:P16" si="8">O15/O13</f>
        <v>0.66359347027793658</v>
      </c>
      <c r="P16" s="105">
        <f t="shared" si="8"/>
        <v>0.68812231521569656</v>
      </c>
      <c r="Q16" s="101"/>
      <c r="R16" s="102"/>
      <c r="U16" s="86" t="s">
        <v>87</v>
      </c>
      <c r="V16" s="101">
        <f>V15/V13</f>
        <v>0.4558405764116798</v>
      </c>
      <c r="W16" s="105">
        <f>W15/W13</f>
        <v>0.46928181692371118</v>
      </c>
      <c r="X16" s="101"/>
      <c r="Y16" s="102"/>
    </row>
    <row r="17" spans="2:25" x14ac:dyDescent="0.3">
      <c r="B17" s="86" t="s">
        <v>88</v>
      </c>
      <c r="C17" s="181"/>
      <c r="D17" s="182"/>
      <c r="E17" s="97">
        <f>'P&amp;L Brand wise'!R32/10^7</f>
        <v>13.526279259999999</v>
      </c>
      <c r="F17" s="87">
        <f>'P&amp;L Brand wise'!W32/10^7</f>
        <v>19.404608085194202</v>
      </c>
      <c r="G17" s="98">
        <f>E17-F17</f>
        <v>-5.8783288251942025</v>
      </c>
      <c r="H17" s="214">
        <f>G17/F17</f>
        <v>-0.30293468434847659</v>
      </c>
      <c r="I17" s="99"/>
      <c r="J17" s="87">
        <f>'P&amp;L Brand wise'!S32/10^7</f>
        <v>11.037492766300808</v>
      </c>
      <c r="K17" s="91">
        <f>'P&amp;L Brand wise'!X32/10^7</f>
        <v>15.898631390642663</v>
      </c>
      <c r="L17" s="98">
        <f>J17-K17</f>
        <v>-4.8611386243418551</v>
      </c>
      <c r="M17" s="219">
        <f>L17/K17</f>
        <v>-0.3057583074227973</v>
      </c>
      <c r="N17" s="124"/>
      <c r="O17" s="122">
        <f>J17+E17</f>
        <v>24.563772026300807</v>
      </c>
      <c r="P17" s="125">
        <f>K17+F17</f>
        <v>35.303239475836861</v>
      </c>
      <c r="Q17" s="126">
        <f>O17-P17</f>
        <v>-10.739467449536054</v>
      </c>
      <c r="R17" s="214">
        <f>Q17/P17</f>
        <v>-0.3042062884027012</v>
      </c>
      <c r="U17" s="86" t="s">
        <v>88</v>
      </c>
      <c r="V17" s="87">
        <f>'P&amp;L Brand wise'!T32/10^7</f>
        <v>2.2350437926862634</v>
      </c>
      <c r="W17" s="87">
        <f>'P&amp;L Brand wise'!Y32/10^7</f>
        <v>2.0720880398938943</v>
      </c>
      <c r="X17" s="98">
        <f>V17-W17</f>
        <v>0.16295575279236907</v>
      </c>
      <c r="Y17" s="214">
        <f>X17/W17</f>
        <v>7.8643257262714358E-2</v>
      </c>
    </row>
    <row r="18" spans="2:25" x14ac:dyDescent="0.3">
      <c r="B18" s="86"/>
      <c r="C18" s="177"/>
      <c r="D18" s="178"/>
      <c r="E18" s="88"/>
      <c r="F18" s="92"/>
      <c r="G18" s="92"/>
      <c r="H18" s="88"/>
      <c r="I18" s="89"/>
      <c r="J18" s="92"/>
      <c r="K18" s="100"/>
      <c r="L18" s="92"/>
      <c r="M18" s="169"/>
      <c r="N18" s="90"/>
      <c r="O18" s="92"/>
      <c r="P18" s="100"/>
      <c r="Q18" s="92"/>
      <c r="R18" s="88"/>
      <c r="U18" s="86"/>
      <c r="V18" s="92"/>
      <c r="W18" s="92"/>
      <c r="X18" s="92"/>
      <c r="Y18" s="88"/>
    </row>
    <row r="19" spans="2:25" x14ac:dyDescent="0.3">
      <c r="B19" s="86" t="s">
        <v>89</v>
      </c>
      <c r="C19" s="185"/>
      <c r="D19" s="186"/>
      <c r="E19" s="107">
        <f>(E15*10^7)/(E5*10^6)</f>
        <v>36.062287965411358</v>
      </c>
      <c r="F19" s="106">
        <f>(F15*10^7)/(F5*10^6)</f>
        <v>35.465539896066474</v>
      </c>
      <c r="G19" s="106">
        <f>E19-F19</f>
        <v>0.59674806934488345</v>
      </c>
      <c r="H19" s="215">
        <f>G19/F19</f>
        <v>1.682613802281548E-2</v>
      </c>
      <c r="I19" s="108"/>
      <c r="J19" s="106">
        <f>(J15*10^7)/(J5*10^6)</f>
        <v>5.0088311213409105</v>
      </c>
      <c r="K19" s="110">
        <f>(K15*10^7)/(K5*10^6)</f>
        <v>5.4037402937795092</v>
      </c>
      <c r="L19" s="106">
        <f>J19-K19</f>
        <v>-0.39490917243859869</v>
      </c>
      <c r="M19" s="220">
        <f>L19/K19</f>
        <v>-7.30807090957344E-2</v>
      </c>
      <c r="N19" s="109"/>
      <c r="O19" s="106">
        <f>(O15*10^7)/(O5*10^6)</f>
        <v>9.5256878010329515</v>
      </c>
      <c r="P19" s="110">
        <f>(P15*10^7)/(P5*10^6)</f>
        <v>10.11759125091235</v>
      </c>
      <c r="Q19" s="106">
        <f>O19-P19</f>
        <v>-0.59190344987939802</v>
      </c>
      <c r="R19" s="215">
        <f>Q19/P19</f>
        <v>-5.8502407855824716E-2</v>
      </c>
      <c r="U19" s="86" t="s">
        <v>89</v>
      </c>
      <c r="V19" s="106">
        <f>(V15*10^7)/(V5*10^6)</f>
        <v>4.3353660843028168</v>
      </c>
      <c r="W19" s="110">
        <f>(W15*10^7)/(W5*10^6)</f>
        <v>4.638142319597689</v>
      </c>
      <c r="X19" s="106">
        <f>V19-W19</f>
        <v>-0.30277623529487219</v>
      </c>
      <c r="Y19" s="215">
        <f>X19/W19</f>
        <v>-6.5279634481146084E-2</v>
      </c>
    </row>
    <row r="20" spans="2:25" x14ac:dyDescent="0.3">
      <c r="B20" s="93" t="s">
        <v>90</v>
      </c>
      <c r="C20" s="187"/>
      <c r="D20" s="188"/>
      <c r="E20" s="112">
        <f>E13-E15</f>
        <v>4.1831644995862156</v>
      </c>
      <c r="F20" s="111">
        <f>F13-F15</f>
        <v>5.8548304007207363</v>
      </c>
      <c r="G20" s="111">
        <f>E20-F20</f>
        <v>-1.6716659011345207</v>
      </c>
      <c r="H20" s="216">
        <f>G20/F20</f>
        <v>-0.28551909905515566</v>
      </c>
      <c r="I20" s="151"/>
      <c r="J20" s="111">
        <f>J13-J15</f>
        <v>8.2693590323146324</v>
      </c>
      <c r="K20" s="152">
        <f>K13-K15</f>
        <v>10.145657230113574</v>
      </c>
      <c r="L20" s="153">
        <f>J20-K20</f>
        <v>-1.8762981977989419</v>
      </c>
      <c r="M20" s="221">
        <f>L20/K20</f>
        <v>-0.18493609189061258</v>
      </c>
      <c r="N20" s="120"/>
      <c r="O20" s="127">
        <f>O13-O15</f>
        <v>12.452523531900848</v>
      </c>
      <c r="P20" s="130">
        <f>P13-P15</f>
        <v>16.000487630834314</v>
      </c>
      <c r="Q20" s="131">
        <f>O20-P20</f>
        <v>-3.5479640989334662</v>
      </c>
      <c r="R20" s="216">
        <f>Q20/P20</f>
        <v>-0.22174099819909454</v>
      </c>
      <c r="U20" s="93" t="s">
        <v>90</v>
      </c>
      <c r="V20" s="111">
        <f>V13-V15</f>
        <v>2.6680822306270837</v>
      </c>
      <c r="W20" s="152">
        <f>W13-W15</f>
        <v>2.3433569340389937</v>
      </c>
      <c r="X20" s="153">
        <f>V20-W20</f>
        <v>0.32472529658809002</v>
      </c>
      <c r="Y20" s="216">
        <f>X20/W20</f>
        <v>0.13857269964776375</v>
      </c>
    </row>
    <row r="21" spans="2:25" x14ac:dyDescent="0.3">
      <c r="B21" s="86" t="s">
        <v>91</v>
      </c>
      <c r="C21" s="183"/>
      <c r="D21" s="184"/>
      <c r="E21" s="137">
        <f>E20/E13</f>
        <v>0.23621094803284529</v>
      </c>
      <c r="F21" s="136">
        <f>F20/F13</f>
        <v>0.23178782869561737</v>
      </c>
      <c r="G21" s="101"/>
      <c r="H21" s="102"/>
      <c r="I21" s="103"/>
      <c r="J21" s="136">
        <f>J20/J13</f>
        <v>0.42831214112844934</v>
      </c>
      <c r="K21" s="162">
        <f>K20/K13</f>
        <v>0.38955401615492385</v>
      </c>
      <c r="L21" s="101"/>
      <c r="M21" s="105"/>
      <c r="N21" s="104"/>
      <c r="O21" s="101">
        <f>O20/O13</f>
        <v>0.33640652972206336</v>
      </c>
      <c r="P21" s="105">
        <f>P20/P13</f>
        <v>0.31187768478430339</v>
      </c>
      <c r="Q21" s="101"/>
      <c r="R21" s="102"/>
      <c r="U21" s="86" t="s">
        <v>91</v>
      </c>
      <c r="V21" s="136">
        <f>V20/V13</f>
        <v>0.54415942358832026</v>
      </c>
      <c r="W21" s="162">
        <f>W20/W13</f>
        <v>0.53071818307628882</v>
      </c>
      <c r="X21" s="101"/>
      <c r="Y21" s="102"/>
    </row>
    <row r="22" spans="2:25" x14ac:dyDescent="0.3">
      <c r="B22" s="86"/>
      <c r="C22" s="177"/>
      <c r="D22" s="178"/>
      <c r="E22" s="88"/>
      <c r="F22" s="92"/>
      <c r="G22" s="92"/>
      <c r="H22" s="88"/>
      <c r="I22" s="89"/>
      <c r="J22" s="92"/>
      <c r="K22" s="100"/>
      <c r="L22" s="92"/>
      <c r="M22" s="169"/>
      <c r="N22" s="90"/>
      <c r="O22" s="92"/>
      <c r="P22" s="100"/>
      <c r="Q22" s="92"/>
      <c r="R22" s="88"/>
      <c r="U22" s="86"/>
      <c r="V22" s="92"/>
      <c r="W22" s="92"/>
      <c r="X22" s="92"/>
      <c r="Y22" s="88"/>
    </row>
    <row r="23" spans="2:25" x14ac:dyDescent="0.3">
      <c r="B23" s="86" t="s">
        <v>36</v>
      </c>
      <c r="C23" s="189"/>
      <c r="D23" s="190"/>
      <c r="E23" s="255">
        <f>'P&amp;L Brand wise'!R39/10^7</f>
        <v>2.4558040801756325</v>
      </c>
      <c r="F23" s="242">
        <f>'P&amp;L Brand wise'!W39/10^7</f>
        <v>3.3777615851286202</v>
      </c>
      <c r="G23" s="243">
        <f>E23-F23</f>
        <v>-0.92195750495298778</v>
      </c>
      <c r="H23" s="214">
        <f>G23/F23</f>
        <v>-0.27294925403027848</v>
      </c>
      <c r="I23" s="133"/>
      <c r="J23" s="242">
        <f>'P&amp;L Brand wise'!S39/10^7</f>
        <v>6.9462296744478342</v>
      </c>
      <c r="K23" s="242">
        <f>'P&amp;L Brand wise'!X39/10^7</f>
        <v>9.1461948987814718</v>
      </c>
      <c r="L23" s="243">
        <f>J23-K23</f>
        <v>-2.1999652243336376</v>
      </c>
      <c r="M23" s="219">
        <f>L23/K23</f>
        <v>-0.24053338559696932</v>
      </c>
      <c r="N23" s="134"/>
      <c r="O23" s="132">
        <f>J23+E23</f>
        <v>9.4020337546234671</v>
      </c>
      <c r="P23" s="132">
        <f>K23+F23</f>
        <v>12.523956483910093</v>
      </c>
      <c r="Q23" s="135">
        <f>O23-P23</f>
        <v>-3.1219227292866254</v>
      </c>
      <c r="R23" s="214">
        <f>Q23/P23</f>
        <v>-0.24927607607847044</v>
      </c>
      <c r="U23" s="86" t="s">
        <v>36</v>
      </c>
      <c r="V23" s="243">
        <f>'P&amp;L Brand wise'!T39/10^7</f>
        <v>1.7621892202911318</v>
      </c>
      <c r="W23" s="243">
        <f>'P&amp;L Brand wise'!Y39/10^7</f>
        <v>1.4756417102883714</v>
      </c>
      <c r="X23" s="243">
        <f>V23-W23</f>
        <v>0.28654751000276035</v>
      </c>
      <c r="Y23" s="214">
        <f>X23/W23</f>
        <v>0.19418501659644938</v>
      </c>
    </row>
    <row r="24" spans="2:25" x14ac:dyDescent="0.3">
      <c r="B24" s="86" t="s">
        <v>11</v>
      </c>
      <c r="C24" s="189"/>
      <c r="D24" s="190"/>
      <c r="E24" s="254">
        <f>E23</f>
        <v>2.4558040801756325</v>
      </c>
      <c r="F24" s="243">
        <f>F23</f>
        <v>3.3777615851286202</v>
      </c>
      <c r="G24" s="243">
        <f>E24-F24</f>
        <v>-0.92195750495298778</v>
      </c>
      <c r="H24" s="214">
        <f>G24/F24</f>
        <v>-0.27294925403027848</v>
      </c>
      <c r="I24" s="133"/>
      <c r="J24" s="243">
        <f>J23</f>
        <v>6.9462296744478342</v>
      </c>
      <c r="K24" s="243">
        <f>K23</f>
        <v>9.1461948987814718</v>
      </c>
      <c r="L24" s="243">
        <f>J24-K24</f>
        <v>-2.1999652243336376</v>
      </c>
      <c r="M24" s="219">
        <f>L24/K24</f>
        <v>-0.24053338559696932</v>
      </c>
      <c r="N24" s="134"/>
      <c r="O24" s="135">
        <f>O23</f>
        <v>9.4020337546234671</v>
      </c>
      <c r="P24" s="135">
        <f>P23</f>
        <v>12.523956483910093</v>
      </c>
      <c r="Q24" s="135">
        <f>O24-P24</f>
        <v>-3.1219227292866254</v>
      </c>
      <c r="R24" s="214">
        <f>Q24/P24</f>
        <v>-0.24927607607847044</v>
      </c>
      <c r="U24" s="86" t="s">
        <v>11</v>
      </c>
      <c r="V24" s="243">
        <f>V23</f>
        <v>1.7621892202911318</v>
      </c>
      <c r="W24" s="243">
        <f>W23</f>
        <v>1.4756417102883714</v>
      </c>
      <c r="X24" s="243">
        <f>V24-W24</f>
        <v>0.28654751000276035</v>
      </c>
      <c r="Y24" s="214">
        <f>X24/W24</f>
        <v>0.19418501659644938</v>
      </c>
    </row>
    <row r="25" spans="2:25" x14ac:dyDescent="0.3">
      <c r="B25" s="86" t="s">
        <v>91</v>
      </c>
      <c r="C25" s="191"/>
      <c r="D25" s="192"/>
      <c r="E25" s="137">
        <f>E24/E13</f>
        <v>0.13867200537263022</v>
      </c>
      <c r="F25" s="136">
        <f>F24/F13</f>
        <v>0.13372275029043554</v>
      </c>
      <c r="G25" s="136"/>
      <c r="H25" s="137"/>
      <c r="I25" s="138"/>
      <c r="J25" s="136">
        <f>J24/J13</f>
        <v>0.35978054562712147</v>
      </c>
      <c r="K25" s="137">
        <f>K24/K13</f>
        <v>0.35117852639262825</v>
      </c>
      <c r="L25" s="140"/>
      <c r="M25" s="162"/>
      <c r="N25" s="226"/>
      <c r="O25" s="136">
        <f>O24/O13</f>
        <v>0.25399715484334223</v>
      </c>
      <c r="P25" s="137">
        <f>P24/P13</f>
        <v>0.24411396969015856</v>
      </c>
      <c r="Q25" s="140"/>
      <c r="R25" s="137"/>
      <c r="U25" s="86" t="s">
        <v>91</v>
      </c>
      <c r="V25" s="136">
        <f>V24/V13</f>
        <v>0.35940116813483636</v>
      </c>
      <c r="W25" s="137">
        <f>W24/W13</f>
        <v>0.33420000000000005</v>
      </c>
      <c r="X25" s="140"/>
      <c r="Y25" s="137"/>
    </row>
    <row r="26" spans="2:25" x14ac:dyDescent="0.3">
      <c r="B26" s="86"/>
      <c r="C26" s="177"/>
      <c r="D26" s="178"/>
      <c r="E26" s="88"/>
      <c r="F26" s="92"/>
      <c r="G26" s="92"/>
      <c r="H26" s="88"/>
      <c r="I26" s="89"/>
      <c r="J26" s="92"/>
      <c r="K26" s="100"/>
      <c r="L26" s="92"/>
      <c r="M26" s="169"/>
      <c r="N26" s="90"/>
      <c r="O26" s="92"/>
      <c r="P26" s="100"/>
      <c r="Q26" s="92"/>
      <c r="R26" s="88"/>
      <c r="U26" s="86"/>
      <c r="V26" s="92"/>
      <c r="W26" s="92"/>
      <c r="X26" s="92"/>
      <c r="Y26" s="88"/>
    </row>
    <row r="27" spans="2:25" x14ac:dyDescent="0.3">
      <c r="B27" s="93" t="s">
        <v>94</v>
      </c>
      <c r="C27" s="193"/>
      <c r="D27" s="194"/>
      <c r="E27" s="112">
        <f>E20-E24</f>
        <v>1.7273604194105832</v>
      </c>
      <c r="F27" s="111">
        <f>F20-F24</f>
        <v>2.4770688155921161</v>
      </c>
      <c r="G27" s="127">
        <f>E27-F27</f>
        <v>-0.74970839618153295</v>
      </c>
      <c r="H27" s="216">
        <f>G27/F27</f>
        <v>-0.3026594947473526</v>
      </c>
      <c r="I27" s="128"/>
      <c r="J27" s="111">
        <f t="shared" ref="J27:K27" si="9">J20-J24</f>
        <v>1.3231293578667982</v>
      </c>
      <c r="K27" s="111">
        <f t="shared" si="9"/>
        <v>0.99946233133210249</v>
      </c>
      <c r="L27" s="131">
        <f>J27-K27</f>
        <v>0.3236670265346957</v>
      </c>
      <c r="M27" s="221">
        <f>L27/K27</f>
        <v>0.32384114577215339</v>
      </c>
      <c r="N27" s="120"/>
      <c r="O27" s="127">
        <f>O20-O24</f>
        <v>3.0504897772773809</v>
      </c>
      <c r="P27" s="127">
        <f>P20-P24</f>
        <v>3.4765311469242217</v>
      </c>
      <c r="Q27" s="131">
        <f>O27-P27</f>
        <v>-0.42604136964684081</v>
      </c>
      <c r="R27" s="216">
        <f>Q27/P27</f>
        <v>-0.12254783623146043</v>
      </c>
      <c r="U27" s="93" t="s">
        <v>94</v>
      </c>
      <c r="V27" s="111">
        <f>V20-V24</f>
        <v>0.90589301033595193</v>
      </c>
      <c r="W27" s="111">
        <f>W20-W24</f>
        <v>0.86771522375062227</v>
      </c>
      <c r="X27" s="131">
        <f>V27-W27</f>
        <v>3.8177786585329665E-2</v>
      </c>
      <c r="Y27" s="216">
        <f>X27/W27</f>
        <v>4.3998060124276213E-2</v>
      </c>
    </row>
    <row r="28" spans="2:25" ht="15" thickBot="1" x14ac:dyDescent="0.35">
      <c r="B28" s="141" t="s">
        <v>91</v>
      </c>
      <c r="C28" s="195"/>
      <c r="D28" s="196"/>
      <c r="E28" s="248">
        <f>E27/E13</f>
        <v>9.7538942660215053E-2</v>
      </c>
      <c r="F28" s="247">
        <f>F27/F13</f>
        <v>9.8065078405181846E-2</v>
      </c>
      <c r="G28" s="142"/>
      <c r="H28" s="143"/>
      <c r="I28" s="144"/>
      <c r="J28" s="247">
        <f>J27/J13</f>
        <v>6.8531595501327897E-2</v>
      </c>
      <c r="K28" s="248">
        <f>K27/K13</f>
        <v>3.8375489762295587E-2</v>
      </c>
      <c r="L28" s="146"/>
      <c r="M28" s="163"/>
      <c r="N28" s="227"/>
      <c r="O28" s="142">
        <f>O27/O13</f>
        <v>8.2409374878721159E-2</v>
      </c>
      <c r="P28" s="143">
        <f>P27/P13</f>
        <v>6.7763715094144847E-2</v>
      </c>
      <c r="Q28" s="146"/>
      <c r="R28" s="143"/>
      <c r="U28" s="141" t="s">
        <v>91</v>
      </c>
      <c r="V28" s="247">
        <f>V27/V13</f>
        <v>0.18475825545348387</v>
      </c>
      <c r="W28" s="248">
        <f>W27/W13</f>
        <v>0.19651818307628874</v>
      </c>
      <c r="X28" s="146"/>
      <c r="Y28" s="143"/>
    </row>
    <row r="30" spans="2:25" x14ac:dyDescent="0.3">
      <c r="E30" s="147">
        <f>E27*10^7</f>
        <v>17273604.19410583</v>
      </c>
      <c r="F30" s="147">
        <f>F27*10^7</f>
        <v>24770688.155921161</v>
      </c>
      <c r="J30" s="147">
        <f>J27*10^7</f>
        <v>13231293.578667982</v>
      </c>
      <c r="K30" s="147">
        <f>K27*10^7</f>
        <v>9994623.3133210242</v>
      </c>
      <c r="O30" s="147"/>
      <c r="P30" s="147"/>
      <c r="V30" s="147">
        <f>V27*10^7</f>
        <v>9058930.1033595186</v>
      </c>
      <c r="W30" s="147">
        <f>W27*10^7</f>
        <v>8677152.237506222</v>
      </c>
    </row>
    <row r="31" spans="2:25" x14ac:dyDescent="0.3">
      <c r="E31" s="147">
        <f>'P&amp;L Brand wise'!R41</f>
        <v>17273604.19410583</v>
      </c>
      <c r="F31" s="147">
        <f>'P&amp;L Brand wise'!W41</f>
        <v>24770688.155921161</v>
      </c>
      <c r="J31" s="147">
        <f>'P&amp;L Brand wise'!S41</f>
        <v>13231293.578667983</v>
      </c>
      <c r="K31" s="147">
        <f>'P&amp;L Brand wise'!X41</f>
        <v>9994623.3133210242</v>
      </c>
      <c r="V31" s="147">
        <f>'P&amp;L Brand wise'!T41</f>
        <v>9058930.103359513</v>
      </c>
      <c r="W31" s="147">
        <f>'P&amp;L Brand wise'!Y41</f>
        <v>8677152.2375062276</v>
      </c>
    </row>
    <row r="32" spans="2:25" x14ac:dyDescent="0.3">
      <c r="E32" s="147">
        <f>E30-E31</f>
        <v>0</v>
      </c>
      <c r="F32" s="147">
        <f>F30-F31</f>
        <v>0</v>
      </c>
      <c r="J32" s="147">
        <f>J30-J31</f>
        <v>0</v>
      </c>
      <c r="K32" s="147">
        <f>K30-K31</f>
        <v>0</v>
      </c>
      <c r="V32" s="147">
        <f>V30-V31</f>
        <v>0</v>
      </c>
      <c r="W32" s="147">
        <f>W30-W31</f>
        <v>0</v>
      </c>
    </row>
  </sheetData>
  <mergeCells count="8">
    <mergeCell ref="B2:B3"/>
    <mergeCell ref="E2:M2"/>
    <mergeCell ref="E3:H3"/>
    <mergeCell ref="V3:Y3"/>
    <mergeCell ref="V2:Y2"/>
    <mergeCell ref="U2:U3"/>
    <mergeCell ref="J3:M3"/>
    <mergeCell ref="O2:R3"/>
  </mergeCells>
  <pageMargins left="0.7" right="0.7" top="0.75" bottom="0.75" header="0.3" footer="0.3"/>
  <pageSetup orientation="portrait" horizontalDpi="300" verticalDpi="0" copies="0" r:id="rId1"/>
  <headerFooter>
    <oddHeader>&amp;C&amp;"Calibri"&amp;11&amp;KFF0000 Classification - Confidential&amp;1#_x000D_</oddHeader>
    <oddFooter>&amp;C_x000D_&amp;1#&amp;"Calibri"&amp;11&amp;KFF0000 Classification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5CBC-9520-44B9-AC08-A5D22365814E}">
  <dimension ref="B1:N27"/>
  <sheetViews>
    <sheetView workbookViewId="0"/>
  </sheetViews>
  <sheetFormatPr defaultRowHeight="14.4" x14ac:dyDescent="0.3"/>
  <cols>
    <col min="2" max="2" width="16.21875" style="62" bestFit="1" customWidth="1"/>
    <col min="3" max="3" width="6.21875" bestFit="1" customWidth="1"/>
    <col min="4" max="4" width="10" customWidth="1"/>
    <col min="5" max="5" width="7.88671875" bestFit="1" customWidth="1"/>
    <col min="6" max="6" width="5.21875" bestFit="1" customWidth="1"/>
    <col min="7" max="7" width="1.77734375" bestFit="1" customWidth="1"/>
    <col min="8" max="8" width="6.21875" bestFit="1" customWidth="1"/>
    <col min="9" max="9" width="9.77734375" customWidth="1"/>
    <col min="10" max="10" width="7.88671875" bestFit="1" customWidth="1"/>
    <col min="11" max="11" width="1.77734375" bestFit="1" customWidth="1"/>
    <col min="12" max="12" width="6.21875" bestFit="1" customWidth="1"/>
    <col min="13" max="13" width="9.88671875" customWidth="1"/>
    <col min="14" max="14" width="7.88671875" bestFit="1" customWidth="1"/>
  </cols>
  <sheetData>
    <row r="1" spans="2:14" ht="15" thickBot="1" x14ac:dyDescent="0.35"/>
    <row r="2" spans="2:14" ht="15" thickBot="1" x14ac:dyDescent="0.35">
      <c r="B2" s="230" t="s">
        <v>2</v>
      </c>
      <c r="C2" s="341" t="s">
        <v>12</v>
      </c>
      <c r="D2" s="342"/>
      <c r="E2" s="343"/>
      <c r="F2" s="65"/>
      <c r="G2" s="164"/>
      <c r="H2" s="341" t="s">
        <v>13</v>
      </c>
      <c r="I2" s="342"/>
      <c r="J2" s="343"/>
      <c r="K2" s="66"/>
      <c r="L2" s="341" t="s">
        <v>11</v>
      </c>
      <c r="M2" s="342"/>
      <c r="N2" s="343"/>
    </row>
    <row r="3" spans="2:14" ht="28.05" customHeight="1" thickBot="1" x14ac:dyDescent="0.35">
      <c r="B3" s="71" t="s">
        <v>77</v>
      </c>
      <c r="C3" s="72" t="s">
        <v>98</v>
      </c>
      <c r="D3" s="72" t="s">
        <v>79</v>
      </c>
      <c r="E3" s="73" t="s">
        <v>78</v>
      </c>
      <c r="F3" s="154"/>
      <c r="G3" s="165"/>
      <c r="H3" s="72" t="s">
        <v>98</v>
      </c>
      <c r="I3" s="72" t="s">
        <v>79</v>
      </c>
      <c r="J3" s="73" t="s">
        <v>78</v>
      </c>
      <c r="K3" s="74"/>
      <c r="L3" s="72" t="s">
        <v>98</v>
      </c>
      <c r="M3" s="72" t="s">
        <v>79</v>
      </c>
      <c r="N3" s="73" t="s">
        <v>78</v>
      </c>
    </row>
    <row r="4" spans="2:14" x14ac:dyDescent="0.3">
      <c r="B4" s="79" t="s">
        <v>80</v>
      </c>
      <c r="C4" s="80">
        <v>0.86666999999999994</v>
      </c>
      <c r="D4" s="84">
        <v>1.1291277950540499</v>
      </c>
      <c r="E4" s="85">
        <v>-0.26245779505404998</v>
      </c>
      <c r="F4" s="155">
        <v>1.3915855901080998</v>
      </c>
      <c r="G4" s="82"/>
      <c r="H4" s="80">
        <v>5.842638</v>
      </c>
      <c r="I4" s="84">
        <v>6.887052341597796</v>
      </c>
      <c r="J4" s="85">
        <v>-1.044414341597796</v>
      </c>
      <c r="K4" s="82"/>
      <c r="L4" s="80">
        <v>6.709308</v>
      </c>
      <c r="M4" s="84">
        <v>8.0161801366518457</v>
      </c>
      <c r="N4" s="85">
        <v>-1.3068721366518457</v>
      </c>
    </row>
    <row r="5" spans="2:14" x14ac:dyDescent="0.3">
      <c r="B5" s="86"/>
      <c r="C5" s="87"/>
      <c r="D5" s="91"/>
      <c r="E5" s="92"/>
      <c r="F5" s="156"/>
      <c r="G5" s="89"/>
      <c r="H5" s="87"/>
      <c r="I5" s="91"/>
      <c r="J5" s="92"/>
      <c r="K5" s="89"/>
      <c r="L5" s="87"/>
      <c r="M5" s="91"/>
      <c r="N5" s="92"/>
    </row>
    <row r="6" spans="2:14" x14ac:dyDescent="0.3">
      <c r="B6" s="93" t="s">
        <v>81</v>
      </c>
      <c r="C6" s="87">
        <v>4.4648609219999997</v>
      </c>
      <c r="D6" s="91">
        <v>5.083333333333333</v>
      </c>
      <c r="E6" s="98">
        <v>-0.61847241133333331</v>
      </c>
      <c r="F6" s="157">
        <v>5.7018057446666663</v>
      </c>
      <c r="G6" s="99"/>
      <c r="H6" s="87">
        <v>6.5024462999999999</v>
      </c>
      <c r="I6" s="91">
        <v>7.5</v>
      </c>
      <c r="J6" s="98">
        <v>-0.9975537000000001</v>
      </c>
      <c r="K6" s="99"/>
      <c r="L6" s="87">
        <v>10.967307221999999</v>
      </c>
      <c r="M6" s="91">
        <v>12.583333333333332</v>
      </c>
      <c r="N6" s="87">
        <v>-1.6160261113333334</v>
      </c>
    </row>
    <row r="7" spans="2:14" x14ac:dyDescent="0.3">
      <c r="B7" s="86"/>
      <c r="C7" s="92"/>
      <c r="D7" s="100"/>
      <c r="E7" s="92"/>
      <c r="F7" s="156"/>
      <c r="G7" s="89"/>
      <c r="H7" s="92"/>
      <c r="I7" s="100"/>
      <c r="J7" s="92"/>
      <c r="K7" s="89"/>
      <c r="L7" s="92"/>
      <c r="M7" s="100"/>
      <c r="N7" s="92"/>
    </row>
    <row r="8" spans="2:14" x14ac:dyDescent="0.3">
      <c r="B8" s="86" t="s">
        <v>82</v>
      </c>
      <c r="C8" s="87">
        <v>0.46545925226978491</v>
      </c>
      <c r="D8" s="91">
        <v>0.41666666666666669</v>
      </c>
      <c r="E8" s="98">
        <v>-4.8792585603118221E-2</v>
      </c>
      <c r="F8" s="157">
        <v>0.46545925226978491</v>
      </c>
      <c r="G8" s="99"/>
      <c r="H8" s="87">
        <v>1.3470519760482149</v>
      </c>
      <c r="I8" s="91">
        <v>1.25</v>
      </c>
      <c r="J8" s="98">
        <v>9.7051976048214916E-2</v>
      </c>
      <c r="K8" s="99"/>
      <c r="L8" s="87">
        <v>1.8125112283179998</v>
      </c>
      <c r="M8" s="87">
        <v>1.6666666666666667</v>
      </c>
      <c r="N8" s="98">
        <v>0.14584456165133308</v>
      </c>
    </row>
    <row r="9" spans="2:14" x14ac:dyDescent="0.3">
      <c r="B9" s="86" t="s">
        <v>83</v>
      </c>
      <c r="C9" s="136">
        <v>0.10424944032999936</v>
      </c>
      <c r="D9" s="162">
        <v>8.1967213114754106E-2</v>
      </c>
      <c r="E9" s="136"/>
      <c r="F9" s="246"/>
      <c r="G9" s="166"/>
      <c r="H9" s="136">
        <v>0.20716079978210891</v>
      </c>
      <c r="I9" s="162">
        <v>0.16666666666666666</v>
      </c>
      <c r="J9" s="136"/>
      <c r="K9" s="166"/>
      <c r="L9" s="136">
        <v>0.16526492708093118</v>
      </c>
      <c r="M9" s="162">
        <v>0.13245033112582782</v>
      </c>
      <c r="N9" s="101"/>
    </row>
    <row r="10" spans="2:14" x14ac:dyDescent="0.3">
      <c r="B10" s="86"/>
      <c r="C10" s="92"/>
      <c r="D10" s="100"/>
      <c r="E10" s="92"/>
      <c r="F10" s="156"/>
      <c r="G10" s="89"/>
      <c r="H10" s="92"/>
      <c r="I10" s="100"/>
      <c r="J10" s="92"/>
      <c r="K10" s="89"/>
      <c r="L10" s="92"/>
      <c r="M10" s="100"/>
      <c r="N10" s="92"/>
    </row>
    <row r="11" spans="2:14" x14ac:dyDescent="0.3">
      <c r="B11" s="86" t="s">
        <v>84</v>
      </c>
      <c r="C11" s="106">
        <v>51.517427879123545</v>
      </c>
      <c r="D11" s="110">
        <v>45.02</v>
      </c>
      <c r="E11" s="106"/>
      <c r="F11" s="158">
        <v>45.02</v>
      </c>
      <c r="G11" s="108"/>
      <c r="H11" s="106">
        <v>11.129298614769562</v>
      </c>
      <c r="I11" s="110">
        <v>10.889999999999999</v>
      </c>
      <c r="J11" s="106">
        <v>0.23929861476956305</v>
      </c>
      <c r="K11" s="108"/>
      <c r="L11" s="106">
        <v>16.346405951254582</v>
      </c>
      <c r="M11" s="110">
        <v>15.697418369878438</v>
      </c>
      <c r="N11" s="106">
        <v>0.64898758137614365</v>
      </c>
    </row>
    <row r="12" spans="2:14" x14ac:dyDescent="0.3">
      <c r="B12" s="93" t="s">
        <v>85</v>
      </c>
      <c r="C12" s="111">
        <v>3.999401669730215</v>
      </c>
      <c r="D12" s="112">
        <v>4.6666666666666661</v>
      </c>
      <c r="E12" s="111">
        <v>-0.66726499693645103</v>
      </c>
      <c r="F12" s="159">
        <v>5.3339316636031171</v>
      </c>
      <c r="G12" s="113"/>
      <c r="H12" s="111">
        <v>5.1553943239517848</v>
      </c>
      <c r="I12" s="112">
        <v>6.25</v>
      </c>
      <c r="J12" s="111">
        <v>-1.0946056760482152</v>
      </c>
      <c r="K12" s="113"/>
      <c r="L12" s="111">
        <v>9.1547959936819989</v>
      </c>
      <c r="M12" s="112">
        <v>10.916666666666666</v>
      </c>
      <c r="N12" s="111">
        <v>-1.7618706729846672</v>
      </c>
    </row>
    <row r="13" spans="2:14" x14ac:dyDescent="0.3">
      <c r="B13" s="86"/>
      <c r="C13" s="92"/>
      <c r="D13" s="100"/>
      <c r="E13" s="92"/>
      <c r="F13" s="156"/>
      <c r="G13" s="89"/>
      <c r="H13" s="92"/>
      <c r="I13" s="100"/>
      <c r="J13" s="92"/>
      <c r="K13" s="89"/>
      <c r="L13" s="92"/>
      <c r="M13" s="100"/>
      <c r="N13" s="92"/>
    </row>
    <row r="14" spans="2:14" x14ac:dyDescent="0.3">
      <c r="B14" s="86" t="s">
        <v>86</v>
      </c>
      <c r="C14" s="149">
        <v>3.1670077000000001</v>
      </c>
      <c r="D14" s="148">
        <v>3.5916666666666668</v>
      </c>
      <c r="E14" s="149">
        <v>0.42465896666666669</v>
      </c>
      <c r="F14" s="231">
        <v>3.1670077000000001</v>
      </c>
      <c r="G14" s="113"/>
      <c r="H14" s="149">
        <v>3.0062549129999998</v>
      </c>
      <c r="I14" s="148">
        <v>3.8166666666666664</v>
      </c>
      <c r="J14" s="149">
        <v>-0.81041175366666662</v>
      </c>
      <c r="K14" s="113"/>
      <c r="L14" s="149">
        <v>6.1732626130000003</v>
      </c>
      <c r="M14" s="148">
        <v>7.4083333333333332</v>
      </c>
      <c r="N14" s="149">
        <v>-1.2350707203333329</v>
      </c>
    </row>
    <row r="15" spans="2:14" x14ac:dyDescent="0.3">
      <c r="B15" s="86" t="s">
        <v>87</v>
      </c>
      <c r="C15" s="136">
        <v>0.79187037500377766</v>
      </c>
      <c r="D15" s="162">
        <v>0.7696428571428573</v>
      </c>
      <c r="E15" s="136"/>
      <c r="F15" s="246"/>
      <c r="G15" s="166"/>
      <c r="H15" s="136">
        <v>0.58312802553881138</v>
      </c>
      <c r="I15" s="162">
        <v>0.61066666666666658</v>
      </c>
      <c r="J15" s="136"/>
      <c r="K15" s="166"/>
      <c r="L15" s="136">
        <v>0.67432006319533011</v>
      </c>
      <c r="M15" s="162">
        <v>0.67862595419847327</v>
      </c>
      <c r="N15" s="101"/>
    </row>
    <row r="16" spans="2:14" x14ac:dyDescent="0.3">
      <c r="B16" s="86" t="s">
        <v>88</v>
      </c>
      <c r="C16" s="87">
        <v>3.1670077000000001</v>
      </c>
      <c r="D16" s="91">
        <v>3.5916666666666668</v>
      </c>
      <c r="E16" s="98">
        <v>0.42465896666666669</v>
      </c>
      <c r="F16" s="157">
        <v>3.1670077000000001</v>
      </c>
      <c r="G16" s="99"/>
      <c r="H16" s="87">
        <v>3.0062549129999998</v>
      </c>
      <c r="I16" s="91">
        <v>3.8166666666666664</v>
      </c>
      <c r="J16" s="98">
        <v>-0.81041175366666662</v>
      </c>
      <c r="K16" s="99"/>
      <c r="L16" s="87">
        <v>6.1732626130000003</v>
      </c>
      <c r="M16" s="91">
        <v>7.4083333333333332</v>
      </c>
      <c r="N16" s="98">
        <v>-1.2350707203333329</v>
      </c>
    </row>
    <row r="17" spans="2:14" x14ac:dyDescent="0.3">
      <c r="B17" s="86"/>
      <c r="C17" s="92"/>
      <c r="D17" s="100"/>
      <c r="E17" s="92"/>
      <c r="F17" s="156"/>
      <c r="G17" s="89"/>
      <c r="H17" s="92"/>
      <c r="I17" s="100"/>
      <c r="J17" s="92"/>
      <c r="K17" s="89"/>
      <c r="L17" s="92"/>
      <c r="M17" s="100"/>
      <c r="N17" s="92"/>
    </row>
    <row r="18" spans="2:14" x14ac:dyDescent="0.3">
      <c r="B18" s="86" t="s">
        <v>89</v>
      </c>
      <c r="C18" s="232">
        <v>36.542255991323117</v>
      </c>
      <c r="D18" s="233">
        <v>31.809213114754101</v>
      </c>
      <c r="E18" s="232"/>
      <c r="F18" s="234">
        <v>31.809213114754101</v>
      </c>
      <c r="G18" s="235"/>
      <c r="H18" s="232">
        <v>5.1453725406229172</v>
      </c>
      <c r="I18" s="233">
        <v>5.5417999999999994</v>
      </c>
      <c r="J18" s="232">
        <v>-0.39642745937708224</v>
      </c>
      <c r="K18" s="235"/>
      <c r="L18" s="232">
        <v>9.2010422132953202</v>
      </c>
      <c r="M18" s="233">
        <v>9.2417251197496224</v>
      </c>
      <c r="N18" s="232">
        <v>-4.068290645430217E-2</v>
      </c>
    </row>
    <row r="19" spans="2:14" x14ac:dyDescent="0.3">
      <c r="B19" s="93" t="s">
        <v>90</v>
      </c>
      <c r="C19" s="236">
        <v>0.83239396973021496</v>
      </c>
      <c r="D19" s="237">
        <v>1.0749999999999993</v>
      </c>
      <c r="E19" s="238">
        <v>-0.24260603026978433</v>
      </c>
      <c r="F19" s="239">
        <v>1.3176060302697836</v>
      </c>
      <c r="G19" s="240"/>
      <c r="H19" s="236">
        <v>2.149139410951785</v>
      </c>
      <c r="I19" s="237">
        <v>2.4333333333333336</v>
      </c>
      <c r="J19" s="238">
        <v>-0.28419392238154861</v>
      </c>
      <c r="K19" s="241"/>
      <c r="L19" s="236">
        <v>2.9815333806819986</v>
      </c>
      <c r="M19" s="237">
        <v>3.5083333333333329</v>
      </c>
      <c r="N19" s="238">
        <v>-0.52679995265133428</v>
      </c>
    </row>
    <row r="20" spans="2:14" x14ac:dyDescent="0.3">
      <c r="B20" s="86" t="s">
        <v>91</v>
      </c>
      <c r="C20" s="136">
        <v>0.20812962499622228</v>
      </c>
      <c r="D20" s="162">
        <v>0.23035714285714273</v>
      </c>
      <c r="E20" s="136"/>
      <c r="F20" s="246"/>
      <c r="G20" s="166"/>
      <c r="H20" s="136">
        <v>0.41687197446118857</v>
      </c>
      <c r="I20" s="162">
        <v>0.38933333333333336</v>
      </c>
      <c r="J20" s="136"/>
      <c r="K20" s="166"/>
      <c r="L20" s="136">
        <v>0.32567993680466989</v>
      </c>
      <c r="M20" s="162">
        <v>0.32137404580152668</v>
      </c>
      <c r="N20" s="101"/>
    </row>
    <row r="21" spans="2:14" x14ac:dyDescent="0.3">
      <c r="B21" s="86"/>
      <c r="C21" s="92"/>
      <c r="D21" s="100"/>
      <c r="E21" s="92"/>
      <c r="F21" s="156"/>
      <c r="G21" s="89"/>
      <c r="H21" s="92"/>
      <c r="I21" s="100"/>
      <c r="J21" s="92"/>
      <c r="K21" s="89"/>
      <c r="L21" s="92"/>
      <c r="M21" s="100"/>
      <c r="N21" s="92"/>
    </row>
    <row r="22" spans="2:14" x14ac:dyDescent="0.3">
      <c r="B22" s="86" t="s">
        <v>36</v>
      </c>
      <c r="C22" s="242">
        <v>0.7897706889345506</v>
      </c>
      <c r="D22" s="242">
        <v>0.623</v>
      </c>
      <c r="E22" s="243">
        <v>-0.1667706889345506</v>
      </c>
      <c r="F22" s="244">
        <v>0.7897706889345506</v>
      </c>
      <c r="G22" s="245"/>
      <c r="H22" s="242">
        <v>2.1761198619603594</v>
      </c>
      <c r="I22" s="242">
        <v>2.0887500000000001</v>
      </c>
      <c r="J22" s="243">
        <v>8.7369861960359341E-2</v>
      </c>
      <c r="K22" s="245"/>
      <c r="L22" s="242">
        <v>2.96589055089491</v>
      </c>
      <c r="M22" s="242">
        <v>2.7117500000000003</v>
      </c>
      <c r="N22" s="243">
        <v>0.25414055089490972</v>
      </c>
    </row>
    <row r="23" spans="2:14" x14ac:dyDescent="0.3">
      <c r="B23" s="86" t="s">
        <v>11</v>
      </c>
      <c r="C23" s="243">
        <v>0.7897706889345506</v>
      </c>
      <c r="D23" s="243">
        <v>0.623</v>
      </c>
      <c r="E23" s="243">
        <v>-0.1667706889345506</v>
      </c>
      <c r="F23" s="244">
        <v>0.7897706889345506</v>
      </c>
      <c r="G23" s="245"/>
      <c r="H23" s="243">
        <v>2.1761198619603594</v>
      </c>
      <c r="I23" s="243">
        <v>2.0887500000000001</v>
      </c>
      <c r="J23" s="243">
        <v>8.7369861960359341E-2</v>
      </c>
      <c r="K23" s="245"/>
      <c r="L23" s="243">
        <v>2.96589055089491</v>
      </c>
      <c r="M23" s="243">
        <v>2.7117500000000003</v>
      </c>
      <c r="N23" s="243">
        <v>0.25414055089490972</v>
      </c>
    </row>
    <row r="24" spans="2:14" x14ac:dyDescent="0.3">
      <c r="B24" s="86" t="s">
        <v>91</v>
      </c>
      <c r="C24" s="136">
        <v>0.19747221063390355</v>
      </c>
      <c r="D24" s="137">
        <v>0.13350000000000001</v>
      </c>
      <c r="E24" s="140"/>
      <c r="F24" s="162"/>
      <c r="G24" s="166"/>
      <c r="H24" s="136">
        <v>0.42210541526381046</v>
      </c>
      <c r="I24" s="137">
        <v>0.3342</v>
      </c>
      <c r="J24" s="140"/>
      <c r="K24" s="138"/>
      <c r="L24" s="136">
        <v>0.32397123354160601</v>
      </c>
      <c r="M24" s="137">
        <v>0.24840458015267181</v>
      </c>
      <c r="N24" s="140"/>
    </row>
    <row r="25" spans="2:14" x14ac:dyDescent="0.3">
      <c r="B25" s="86"/>
      <c r="C25" s="92"/>
      <c r="D25" s="100"/>
      <c r="E25" s="92"/>
      <c r="F25" s="156"/>
      <c r="G25" s="89"/>
      <c r="H25" s="92"/>
      <c r="I25" s="100"/>
      <c r="J25" s="92"/>
      <c r="K25" s="89"/>
      <c r="L25" s="92"/>
      <c r="M25" s="100"/>
      <c r="N25" s="92"/>
    </row>
    <row r="26" spans="2:14" x14ac:dyDescent="0.3">
      <c r="B26" s="93" t="s">
        <v>94</v>
      </c>
      <c r="C26" s="111">
        <v>4.2623280795664353E-2</v>
      </c>
      <c r="D26" s="111">
        <v>0.45199999999999929</v>
      </c>
      <c r="E26" s="153">
        <v>-7.583534133523373E-2</v>
      </c>
      <c r="F26" s="170">
        <v>0.52783534133523302</v>
      </c>
      <c r="G26" s="113"/>
      <c r="H26" s="111">
        <v>-2.6980451008574491E-2</v>
      </c>
      <c r="I26" s="111">
        <v>0.34458333333333346</v>
      </c>
      <c r="J26" s="153">
        <v>-0.37156378434190795</v>
      </c>
      <c r="K26" s="151"/>
      <c r="L26" s="111">
        <v>1.564282978708853E-2</v>
      </c>
      <c r="M26" s="111">
        <v>0.79658333333333253</v>
      </c>
      <c r="N26" s="153">
        <v>-0.780940503546244</v>
      </c>
    </row>
    <row r="27" spans="2:14" ht="15" thickBot="1" x14ac:dyDescent="0.35">
      <c r="B27" s="141" t="s">
        <v>91</v>
      </c>
      <c r="C27" s="247">
        <v>1.0657414362318743E-2</v>
      </c>
      <c r="D27" s="248">
        <v>9.6857142857142711E-2</v>
      </c>
      <c r="E27" s="249"/>
      <c r="F27" s="250"/>
      <c r="G27" s="251"/>
      <c r="H27" s="247">
        <v>-5.2334408026218759E-3</v>
      </c>
      <c r="I27" s="248">
        <v>5.5133333333333354E-2</v>
      </c>
      <c r="J27" s="249"/>
      <c r="K27" s="252"/>
      <c r="L27" s="247">
        <v>1.708703263063876E-3</v>
      </c>
      <c r="M27" s="248">
        <v>7.2969465648854898E-2</v>
      </c>
      <c r="N27" s="146"/>
    </row>
  </sheetData>
  <mergeCells count="3">
    <mergeCell ref="C2:E2"/>
    <mergeCell ref="H2:J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91C2-EF94-449D-AA19-8A6AD1B1FC39}">
  <dimension ref="B2:H10"/>
  <sheetViews>
    <sheetView workbookViewId="0">
      <selection activeCell="E8" sqref="E8"/>
    </sheetView>
  </sheetViews>
  <sheetFormatPr defaultRowHeight="14.4" x14ac:dyDescent="0.3"/>
  <cols>
    <col min="2" max="2" width="22" bestFit="1" customWidth="1"/>
    <col min="3" max="4" width="13.77734375" bestFit="1" customWidth="1"/>
    <col min="5" max="5" width="12.21875" bestFit="1" customWidth="1"/>
    <col min="7" max="7" width="13.77734375" bestFit="1" customWidth="1"/>
    <col min="8" max="8" width="12.21875" bestFit="1" customWidth="1"/>
  </cols>
  <sheetData>
    <row r="2" spans="2:8" x14ac:dyDescent="0.3">
      <c r="C2" s="344" t="s">
        <v>202</v>
      </c>
      <c r="D2" s="344"/>
      <c r="E2" s="344"/>
    </row>
    <row r="3" spans="2:8" x14ac:dyDescent="0.3">
      <c r="C3" s="305" t="s">
        <v>200</v>
      </c>
      <c r="D3" s="305" t="s">
        <v>199</v>
      </c>
      <c r="E3" t="s">
        <v>203</v>
      </c>
      <c r="G3" s="305" t="s">
        <v>200</v>
      </c>
      <c r="H3" s="305" t="s">
        <v>201</v>
      </c>
    </row>
    <row r="4" spans="2:8" x14ac:dyDescent="0.3">
      <c r="B4" t="s">
        <v>26</v>
      </c>
      <c r="C4" s="277">
        <v>2526089.2973382864</v>
      </c>
      <c r="D4" s="277">
        <f>$D$10/$C$10*C4</f>
        <v>1056436.4791096067</v>
      </c>
      <c r="E4" s="277">
        <f>$E$10/$C$10*C4</f>
        <v>235533.90025737099</v>
      </c>
      <c r="G4" s="277">
        <v>6380595.7715600859</v>
      </c>
      <c r="H4" s="277">
        <f>$H$10/$G$10*G4</f>
        <v>512213.87121366867</v>
      </c>
    </row>
    <row r="5" spans="2:8" x14ac:dyDescent="0.3">
      <c r="B5" t="s">
        <v>27</v>
      </c>
      <c r="C5" s="277">
        <v>2201759.0214168569</v>
      </c>
      <c r="D5" s="277">
        <f t="shared" ref="D5:D8" si="0">$D$10/$C$10*C5</f>
        <v>920798.22787117574</v>
      </c>
      <c r="E5" s="277">
        <f t="shared" ref="E5:E8" si="1">$E$10/$C$10*C5</f>
        <v>205293.17403291972</v>
      </c>
      <c r="G5" s="277">
        <v>13002087.459037453</v>
      </c>
      <c r="H5" s="277">
        <f t="shared" ref="H5:H8" si="2">$H$10/$G$10*G5</f>
        <v>1043766.0979773839</v>
      </c>
    </row>
    <row r="6" spans="2:8" x14ac:dyDescent="0.3">
      <c r="B6" t="s">
        <v>28</v>
      </c>
      <c r="C6" s="277">
        <v>31623658.10444976</v>
      </c>
      <c r="D6" s="277">
        <f t="shared" si="0"/>
        <v>13225338.494420189</v>
      </c>
      <c r="E6" s="277">
        <f t="shared" si="1"/>
        <v>2948606.583937875</v>
      </c>
      <c r="G6" s="277">
        <v>12008344.210432947</v>
      </c>
      <c r="H6" s="277">
        <f t="shared" si="2"/>
        <v>963991.56052291265</v>
      </c>
    </row>
    <row r="7" spans="2:8" x14ac:dyDescent="0.3">
      <c r="B7" t="s">
        <v>29</v>
      </c>
      <c r="C7" s="277">
        <v>-702787.40148822428</v>
      </c>
      <c r="D7" s="277">
        <f t="shared" si="0"/>
        <v>-293912.90671043232</v>
      </c>
      <c r="E7" s="277">
        <f t="shared" si="1"/>
        <v>-65528.268497349578</v>
      </c>
      <c r="G7" s="277">
        <v>0</v>
      </c>
      <c r="H7" s="277">
        <f t="shared" si="2"/>
        <v>0</v>
      </c>
    </row>
    <row r="8" spans="2:8" x14ac:dyDescent="0.3">
      <c r="B8" t="s">
        <v>30</v>
      </c>
      <c r="C8" s="277">
        <v>1897418.0411667502</v>
      </c>
      <c r="D8" s="277">
        <f t="shared" si="0"/>
        <v>793519.70530945621</v>
      </c>
      <c r="E8" s="277">
        <f t="shared" si="1"/>
        <v>176916.26029436331</v>
      </c>
      <c r="G8" s="277">
        <v>652422.98491885781</v>
      </c>
      <c r="H8" s="277">
        <f t="shared" si="2"/>
        <v>52374.435670034072</v>
      </c>
    </row>
    <row r="9" spans="2:8" x14ac:dyDescent="0.3">
      <c r="G9" s="277"/>
      <c r="H9" s="277"/>
    </row>
    <row r="10" spans="2:8" x14ac:dyDescent="0.3">
      <c r="B10" t="s">
        <v>31</v>
      </c>
      <c r="C10" s="4">
        <f>SUM(C4:C9)</f>
        <v>37546137.062883437</v>
      </c>
      <c r="D10" s="277">
        <f>+(1.570218*10^7)</f>
        <v>15702179.999999998</v>
      </c>
      <c r="E10" s="277">
        <f>0.350082165002518*10^7</f>
        <v>3500821.6500251801</v>
      </c>
      <c r="G10" s="277">
        <f>SUM(G4:G9)</f>
        <v>32043450.425949346</v>
      </c>
      <c r="H10" s="277">
        <f>0.2572345965384*10^7</f>
        <v>2572345.9653839995</v>
      </c>
    </row>
  </sheetData>
  <mergeCells count="1"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14EA-0F75-4094-8838-D367138EE133}">
  <dimension ref="B2:C12"/>
  <sheetViews>
    <sheetView workbookViewId="0">
      <selection activeCell="C9" sqref="C9"/>
    </sheetView>
  </sheetViews>
  <sheetFormatPr defaultRowHeight="14.4" x14ac:dyDescent="0.3"/>
  <cols>
    <col min="2" max="2" width="71.88671875" bestFit="1" customWidth="1"/>
    <col min="3" max="3" width="12.88671875" bestFit="1" customWidth="1"/>
  </cols>
  <sheetData>
    <row r="2" spans="2:3" x14ac:dyDescent="0.3">
      <c r="B2" t="s">
        <v>211</v>
      </c>
      <c r="C2" s="277">
        <f>'P&amp;L Brand wise'!U79-'P&amp;L Brand wise'!U81</f>
        <v>30732.934488797808</v>
      </c>
    </row>
    <row r="3" spans="2:3" x14ac:dyDescent="0.3">
      <c r="B3" t="s">
        <v>212</v>
      </c>
      <c r="C3" s="277">
        <v>757090.35268060199</v>
      </c>
    </row>
    <row r="4" spans="2:3" x14ac:dyDescent="0.3">
      <c r="B4" t="s">
        <v>205</v>
      </c>
      <c r="C4" s="277">
        <v>3721390.9999999995</v>
      </c>
    </row>
    <row r="5" spans="2:3" x14ac:dyDescent="0.3">
      <c r="B5" t="s">
        <v>206</v>
      </c>
      <c r="C5" s="277">
        <v>510561.39</v>
      </c>
    </row>
    <row r="6" spans="2:3" x14ac:dyDescent="0.3">
      <c r="B6" t="s">
        <v>207</v>
      </c>
      <c r="C6" s="277">
        <v>1496806.8500000199</v>
      </c>
    </row>
    <row r="7" spans="2:3" x14ac:dyDescent="0.3">
      <c r="C7" s="277"/>
    </row>
    <row r="8" spans="2:3" x14ac:dyDescent="0.3">
      <c r="B8" t="s">
        <v>210</v>
      </c>
      <c r="C8" s="277">
        <f>C2+C4+C5-C6-C3</f>
        <v>2008788.121808175</v>
      </c>
    </row>
    <row r="9" spans="2:3" x14ac:dyDescent="0.3">
      <c r="B9" t="s">
        <v>209</v>
      </c>
      <c r="C9" s="277">
        <v>2008788.121808175</v>
      </c>
    </row>
    <row r="11" spans="2:3" x14ac:dyDescent="0.3">
      <c r="B11" t="s">
        <v>208</v>
      </c>
      <c r="C11" s="289">
        <f>C8-C9</f>
        <v>0</v>
      </c>
    </row>
    <row r="12" spans="2:3" x14ac:dyDescent="0.3">
      <c r="C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91E2-CFC0-475F-9BDA-2B9BF9DF1F33}">
  <dimension ref="B1:BT29"/>
  <sheetViews>
    <sheetView showGridLines="0" tabSelected="1" zoomScaleNormal="120" workbookViewId="0">
      <pane xSplit="2" ySplit="4" topLeftCell="C5" activePane="bottomRight" state="frozen"/>
      <selection activeCell="R12" sqref="R12"/>
      <selection pane="topRight" activeCell="R12" sqref="R12"/>
      <selection pane="bottomLeft" activeCell="R12" sqref="R12"/>
      <selection pane="bottomRight" activeCell="C5" sqref="C5"/>
    </sheetView>
  </sheetViews>
  <sheetFormatPr defaultRowHeight="14.4" x14ac:dyDescent="0.3"/>
  <cols>
    <col min="1" max="1" width="1.77734375" customWidth="1"/>
    <col min="2" max="2" width="16.21875" style="62" bestFit="1" customWidth="1"/>
    <col min="3" max="4" width="6.21875" bestFit="1" customWidth="1"/>
    <col min="5" max="5" width="7.88671875" bestFit="1" customWidth="1"/>
    <col min="6" max="6" width="4.21875" bestFit="1" customWidth="1"/>
    <col min="7" max="7" width="1.109375" hidden="1" customWidth="1"/>
    <col min="8" max="9" width="6.21875" bestFit="1" customWidth="1"/>
    <col min="10" max="10" width="7.88671875" bestFit="1" customWidth="1"/>
    <col min="11" max="11" width="4.21875" bestFit="1" customWidth="1"/>
    <col min="12" max="12" width="1.21875" hidden="1" customWidth="1"/>
    <col min="13" max="14" width="6.21875" bestFit="1" customWidth="1"/>
    <col min="15" max="15" width="7.88671875" bestFit="1" customWidth="1"/>
    <col min="16" max="16" width="3.6640625" bestFit="1" customWidth="1"/>
    <col min="17" max="17" width="1.109375" hidden="1" customWidth="1"/>
    <col min="18" max="19" width="6.21875" bestFit="1" customWidth="1"/>
    <col min="20" max="20" width="7.88671875" bestFit="1" customWidth="1"/>
    <col min="21" max="21" width="4.21875" bestFit="1" customWidth="1"/>
    <col min="22" max="22" width="2.21875" hidden="1" customWidth="1"/>
    <col min="23" max="24" width="7.6640625" bestFit="1" customWidth="1"/>
    <col min="25" max="25" width="7.88671875" bestFit="1" customWidth="1"/>
    <col min="26" max="26" width="4.21875" bestFit="1" customWidth="1"/>
    <col min="27" max="27" width="1.21875" hidden="1" customWidth="1"/>
    <col min="28" max="29" width="7.6640625" bestFit="1" customWidth="1"/>
    <col min="30" max="30" width="7.88671875" bestFit="1" customWidth="1"/>
    <col min="31" max="31" width="4.21875" bestFit="1" customWidth="1"/>
    <col min="32" max="32" width="1.21875" hidden="1" customWidth="1"/>
    <col min="33" max="34" width="7.6640625" bestFit="1" customWidth="1"/>
    <col min="35" max="35" width="7.88671875" bestFit="1" customWidth="1"/>
    <col min="36" max="36" width="3.6640625" bestFit="1" customWidth="1"/>
    <col min="37" max="37" width="1.21875" hidden="1" customWidth="1"/>
    <col min="38" max="39" width="7.6640625" bestFit="1" customWidth="1"/>
    <col min="40" max="40" width="7.88671875" bestFit="1" customWidth="1"/>
    <col min="41" max="41" width="4.21875" bestFit="1" customWidth="1"/>
    <col min="42" max="42" width="1.77734375" hidden="1" customWidth="1"/>
    <col min="43" max="43" width="6.21875" bestFit="1" customWidth="1"/>
    <col min="44" max="44" width="9.88671875" bestFit="1" customWidth="1"/>
    <col min="45" max="45" width="7.88671875" bestFit="1" customWidth="1"/>
    <col min="46" max="46" width="4.21875" bestFit="1" customWidth="1"/>
    <col min="47" max="47" width="1.21875" hidden="1" customWidth="1"/>
    <col min="48" max="48" width="6.21875" bestFit="1" customWidth="1"/>
    <col min="49" max="49" width="9.88671875" bestFit="1" customWidth="1"/>
    <col min="50" max="50" width="7.88671875" bestFit="1" customWidth="1"/>
    <col min="51" max="51" width="4.44140625" bestFit="1" customWidth="1"/>
    <col min="52" max="52" width="1.21875" hidden="1" customWidth="1"/>
    <col min="53" max="53" width="6.21875" bestFit="1" customWidth="1"/>
    <col min="54" max="54" width="9.88671875" bestFit="1" customWidth="1"/>
    <col min="55" max="55" width="7.88671875" bestFit="1" customWidth="1"/>
    <col min="56" max="56" width="4.21875" bestFit="1" customWidth="1"/>
    <col min="57" max="57" width="2.33203125" hidden="1" customWidth="1"/>
    <col min="58" max="58" width="7.6640625" bestFit="1" customWidth="1"/>
    <col min="59" max="59" width="10.77734375" bestFit="1" customWidth="1"/>
    <col min="60" max="60" width="7.88671875" bestFit="1" customWidth="1"/>
    <col min="61" max="61" width="4.21875" bestFit="1" customWidth="1"/>
    <col min="62" max="62" width="1.109375" customWidth="1"/>
    <col min="63" max="63" width="7.6640625" bestFit="1" customWidth="1"/>
    <col min="64" max="64" width="10.77734375" bestFit="1" customWidth="1"/>
    <col min="65" max="65" width="7.88671875" bestFit="1" customWidth="1"/>
    <col min="66" max="66" width="4.21875" bestFit="1" customWidth="1"/>
    <col min="67" max="67" width="1.109375" customWidth="1"/>
    <col min="68" max="68" width="7.6640625" bestFit="1" customWidth="1"/>
    <col min="69" max="69" width="10.77734375" bestFit="1" customWidth="1"/>
    <col min="70" max="70" width="7.88671875" bestFit="1" customWidth="1"/>
    <col min="71" max="71" width="4.21875" bestFit="1" customWidth="1"/>
    <col min="72" max="72" width="43" bestFit="1" customWidth="1"/>
  </cols>
  <sheetData>
    <row r="1" spans="2:71" ht="15" thickBot="1" x14ac:dyDescent="0.35">
      <c r="C1" s="63" t="s">
        <v>217</v>
      </c>
      <c r="W1" s="63" t="s">
        <v>218</v>
      </c>
      <c r="AQ1" s="63"/>
      <c r="BF1" s="63"/>
    </row>
    <row r="2" spans="2:71" ht="15" thickBot="1" x14ac:dyDescent="0.35">
      <c r="B2" s="230" t="s">
        <v>2</v>
      </c>
      <c r="C2" s="348" t="s">
        <v>9</v>
      </c>
      <c r="D2" s="349"/>
      <c r="E2" s="349"/>
      <c r="F2" s="349"/>
      <c r="G2" s="349"/>
      <c r="H2" s="349"/>
      <c r="I2" s="349"/>
      <c r="J2" s="349"/>
      <c r="K2" s="350"/>
      <c r="L2" s="223"/>
      <c r="M2" s="348" t="s">
        <v>10</v>
      </c>
      <c r="N2" s="349"/>
      <c r="O2" s="349"/>
      <c r="P2" s="350"/>
      <c r="Q2" s="64"/>
      <c r="R2" s="341" t="s">
        <v>11</v>
      </c>
      <c r="S2" s="342"/>
      <c r="T2" s="342"/>
      <c r="U2" s="343"/>
      <c r="V2" s="173"/>
      <c r="W2" s="348" t="s">
        <v>9</v>
      </c>
      <c r="X2" s="349"/>
      <c r="Y2" s="349"/>
      <c r="Z2" s="349"/>
      <c r="AA2" s="349"/>
      <c r="AB2" s="349"/>
      <c r="AC2" s="349"/>
      <c r="AD2" s="349"/>
      <c r="AE2" s="350"/>
      <c r="AF2" s="223"/>
      <c r="AG2" s="348" t="s">
        <v>10</v>
      </c>
      <c r="AH2" s="349"/>
      <c r="AI2" s="349"/>
      <c r="AJ2" s="350"/>
      <c r="AK2" s="229"/>
      <c r="AL2" s="341" t="s">
        <v>11</v>
      </c>
      <c r="AM2" s="342"/>
      <c r="AN2" s="342"/>
      <c r="AO2" s="343"/>
      <c r="AQ2" s="63" t="s">
        <v>219</v>
      </c>
      <c r="AR2" s="67"/>
      <c r="AS2" s="67"/>
      <c r="AT2" s="67"/>
      <c r="AU2" s="67"/>
      <c r="AV2" s="352"/>
      <c r="AW2" s="352"/>
      <c r="AX2" s="352"/>
      <c r="AY2" s="68"/>
      <c r="AZ2" s="68"/>
      <c r="BA2" s="67"/>
      <c r="BB2" s="67"/>
      <c r="BC2" s="67"/>
      <c r="BD2" s="67"/>
      <c r="BF2" s="63" t="s">
        <v>176</v>
      </c>
      <c r="BG2" s="67"/>
      <c r="BH2" s="67"/>
      <c r="BI2" s="67"/>
      <c r="BJ2" s="67"/>
      <c r="BK2" s="351"/>
      <c r="BL2" s="351"/>
      <c r="BM2" s="351"/>
      <c r="BN2" s="68"/>
      <c r="BO2" s="68"/>
      <c r="BP2" s="67"/>
      <c r="BQ2" s="67"/>
      <c r="BR2" s="67"/>
      <c r="BS2" s="67"/>
    </row>
    <row r="3" spans="2:71" ht="15" thickBot="1" x14ac:dyDescent="0.35">
      <c r="B3" s="230" t="s">
        <v>2</v>
      </c>
      <c r="C3" s="341" t="s">
        <v>12</v>
      </c>
      <c r="D3" s="342"/>
      <c r="E3" s="342"/>
      <c r="F3" s="343"/>
      <c r="G3" s="164"/>
      <c r="H3" s="341" t="s">
        <v>13</v>
      </c>
      <c r="I3" s="342"/>
      <c r="J3" s="342"/>
      <c r="K3" s="343"/>
      <c r="L3" s="224"/>
      <c r="M3" s="348" t="s">
        <v>13</v>
      </c>
      <c r="N3" s="349"/>
      <c r="O3" s="349"/>
      <c r="P3" s="350"/>
      <c r="Q3" s="70"/>
      <c r="R3" s="345"/>
      <c r="S3" s="346"/>
      <c r="T3" s="346"/>
      <c r="U3" s="347"/>
      <c r="V3" s="173"/>
      <c r="W3" s="348" t="s">
        <v>12</v>
      </c>
      <c r="X3" s="349"/>
      <c r="Y3" s="349"/>
      <c r="Z3" s="350"/>
      <c r="AA3" s="69"/>
      <c r="AB3" s="348" t="s">
        <v>13</v>
      </c>
      <c r="AC3" s="349"/>
      <c r="AD3" s="349"/>
      <c r="AE3" s="350"/>
      <c r="AF3" s="224"/>
      <c r="AG3" s="348" t="s">
        <v>13</v>
      </c>
      <c r="AH3" s="349"/>
      <c r="AI3" s="349"/>
      <c r="AJ3" s="350"/>
      <c r="AK3" s="224"/>
      <c r="AL3" s="345"/>
      <c r="AM3" s="346"/>
      <c r="AN3" s="346"/>
      <c r="AO3" s="347"/>
      <c r="AQ3" s="348" t="s">
        <v>12</v>
      </c>
      <c r="AR3" s="349"/>
      <c r="AS3" s="349"/>
      <c r="AT3" s="350"/>
      <c r="AU3" s="164"/>
      <c r="AV3" s="348" t="s">
        <v>13</v>
      </c>
      <c r="AW3" s="349"/>
      <c r="AX3" s="349"/>
      <c r="AY3" s="350"/>
      <c r="AZ3" s="66"/>
      <c r="BA3" s="348" t="s">
        <v>11</v>
      </c>
      <c r="BB3" s="349"/>
      <c r="BC3" s="349"/>
      <c r="BD3" s="350"/>
      <c r="BF3" s="341" t="s">
        <v>12</v>
      </c>
      <c r="BG3" s="342"/>
      <c r="BH3" s="342"/>
      <c r="BI3" s="343"/>
      <c r="BJ3" s="164"/>
      <c r="BK3" s="341" t="s">
        <v>13</v>
      </c>
      <c r="BL3" s="342"/>
      <c r="BM3" s="342"/>
      <c r="BN3" s="342"/>
      <c r="BO3" s="164"/>
      <c r="BP3" s="341" t="s">
        <v>11</v>
      </c>
      <c r="BQ3" s="342"/>
      <c r="BR3" s="342"/>
      <c r="BS3" s="343"/>
    </row>
    <row r="4" spans="2:71" ht="25.2" thickBot="1" x14ac:dyDescent="0.35">
      <c r="B4" s="71" t="s">
        <v>77</v>
      </c>
      <c r="C4" s="72" t="s">
        <v>213</v>
      </c>
      <c r="D4" s="72" t="s">
        <v>214</v>
      </c>
      <c r="E4" s="73" t="s">
        <v>78</v>
      </c>
      <c r="F4" s="154" t="s">
        <v>133</v>
      </c>
      <c r="G4" s="165"/>
      <c r="H4" s="72" t="s">
        <v>213</v>
      </c>
      <c r="I4" s="72" t="s">
        <v>214</v>
      </c>
      <c r="J4" s="73" t="s">
        <v>78</v>
      </c>
      <c r="K4" s="154" t="s">
        <v>133</v>
      </c>
      <c r="L4" s="225"/>
      <c r="M4" s="76" t="s">
        <v>213</v>
      </c>
      <c r="N4" s="76" t="s">
        <v>214</v>
      </c>
      <c r="O4" s="77" t="s">
        <v>78</v>
      </c>
      <c r="P4" s="78" t="s">
        <v>133</v>
      </c>
      <c r="Q4" s="75"/>
      <c r="R4" s="72" t="s">
        <v>213</v>
      </c>
      <c r="S4" s="72" t="s">
        <v>214</v>
      </c>
      <c r="T4" s="212" t="s">
        <v>78</v>
      </c>
      <c r="U4" s="78" t="s">
        <v>133</v>
      </c>
      <c r="V4" s="168"/>
      <c r="W4" s="228" t="s">
        <v>215</v>
      </c>
      <c r="X4" s="76" t="s">
        <v>216</v>
      </c>
      <c r="Y4" s="77" t="s">
        <v>78</v>
      </c>
      <c r="Z4" s="78" t="s">
        <v>133</v>
      </c>
      <c r="AA4" s="74"/>
      <c r="AB4" s="76" t="s">
        <v>215</v>
      </c>
      <c r="AC4" s="76" t="s">
        <v>216</v>
      </c>
      <c r="AD4" s="77" t="s">
        <v>78</v>
      </c>
      <c r="AE4" s="154" t="s">
        <v>133</v>
      </c>
      <c r="AF4" s="225"/>
      <c r="AG4" s="76" t="s">
        <v>215</v>
      </c>
      <c r="AH4" s="76" t="s">
        <v>216</v>
      </c>
      <c r="AI4" s="77" t="s">
        <v>78</v>
      </c>
      <c r="AJ4" s="154" t="s">
        <v>133</v>
      </c>
      <c r="AK4" s="225"/>
      <c r="AL4" s="76" t="s">
        <v>215</v>
      </c>
      <c r="AM4" s="76" t="s">
        <v>216</v>
      </c>
      <c r="AN4" s="77" t="s">
        <v>78</v>
      </c>
      <c r="AO4" s="78" t="s">
        <v>133</v>
      </c>
      <c r="AQ4" s="76" t="s">
        <v>213</v>
      </c>
      <c r="AR4" s="76" t="s">
        <v>79</v>
      </c>
      <c r="AS4" s="77" t="s">
        <v>78</v>
      </c>
      <c r="AT4" s="78" t="s">
        <v>133</v>
      </c>
      <c r="AU4" s="165"/>
      <c r="AV4" s="76" t="s">
        <v>213</v>
      </c>
      <c r="AW4" s="76" t="s">
        <v>79</v>
      </c>
      <c r="AX4" s="77" t="s">
        <v>78</v>
      </c>
      <c r="AY4" s="78" t="s">
        <v>133</v>
      </c>
      <c r="AZ4" s="74"/>
      <c r="BA4" s="76" t="s">
        <v>213</v>
      </c>
      <c r="BB4" s="76" t="s">
        <v>79</v>
      </c>
      <c r="BC4" s="77" t="s">
        <v>78</v>
      </c>
      <c r="BD4" s="78" t="s">
        <v>133</v>
      </c>
      <c r="BF4" s="72" t="s">
        <v>215</v>
      </c>
      <c r="BG4" s="72" t="s">
        <v>222</v>
      </c>
      <c r="BH4" s="73" t="s">
        <v>78</v>
      </c>
      <c r="BI4" s="78" t="s">
        <v>133</v>
      </c>
      <c r="BJ4" s="165"/>
      <c r="BK4" s="72" t="s">
        <v>215</v>
      </c>
      <c r="BL4" s="72" t="s">
        <v>222</v>
      </c>
      <c r="BM4" s="73" t="s">
        <v>78</v>
      </c>
      <c r="BN4" s="154" t="s">
        <v>133</v>
      </c>
      <c r="BO4" s="165"/>
      <c r="BP4" s="72" t="s">
        <v>215</v>
      </c>
      <c r="BQ4" s="72" t="s">
        <v>222</v>
      </c>
      <c r="BR4" s="73" t="s">
        <v>78</v>
      </c>
      <c r="BS4" s="78" t="s">
        <v>133</v>
      </c>
    </row>
    <row r="5" spans="2:71" x14ac:dyDescent="0.3">
      <c r="B5" s="79" t="s">
        <v>80</v>
      </c>
      <c r="C5" s="80">
        <f>'P&amp;L Brand wise'!C8/1000</f>
        <v>0.9125700000000001</v>
      </c>
      <c r="D5" s="80">
        <f>'P&amp;L Brand wise'!H8/1000</f>
        <v>1.712102308452095</v>
      </c>
      <c r="E5" s="81">
        <f>C5-D5</f>
        <v>-0.79953230845209489</v>
      </c>
      <c r="F5" s="218">
        <f>E5/D5</f>
        <v>-0.46698862825256565</v>
      </c>
      <c r="G5" s="82"/>
      <c r="H5" s="80">
        <f>'P&amp;L Brand wise'!D8/1000</f>
        <v>4.9215834000000003</v>
      </c>
      <c r="I5" s="80">
        <f>'P&amp;L Brand wise'!I8/1000</f>
        <v>6.1381771290688603</v>
      </c>
      <c r="J5" s="81">
        <f>H5-I5</f>
        <v>-1.21659372906886</v>
      </c>
      <c r="K5" s="218">
        <f>J5/I5</f>
        <v>-0.19820114400208144</v>
      </c>
      <c r="L5" s="83"/>
      <c r="M5" s="80">
        <f>'P&amp;L Brand wise'!E8/1000</f>
        <v>1.496675</v>
      </c>
      <c r="N5" s="80">
        <f>'P&amp;L Brand wise'!J8/1000</f>
        <v>0.93965652861834315</v>
      </c>
      <c r="O5" s="81">
        <f>M5-N5</f>
        <v>0.55701847138165683</v>
      </c>
      <c r="P5" s="213">
        <f>O5/N5</f>
        <v>0.59278944424585489</v>
      </c>
      <c r="Q5" s="83"/>
      <c r="R5" s="80">
        <f>C5+H5+M5</f>
        <v>7.3308283999999997</v>
      </c>
      <c r="S5" s="80">
        <f>D5+I5+N5</f>
        <v>8.7899359661392982</v>
      </c>
      <c r="T5" s="81">
        <f>R5-S5</f>
        <v>-1.4591075661392985</v>
      </c>
      <c r="U5" s="213">
        <f>T5/S5</f>
        <v>-0.16599751940857033</v>
      </c>
      <c r="V5" s="176"/>
      <c r="W5" s="171">
        <f>'P&amp;L Brand wise'!R8/1000</f>
        <v>3.7508100631256514</v>
      </c>
      <c r="X5" s="80">
        <f>'P&amp;L Brand wise'!W8/1000</f>
        <v>5.4713979096498653</v>
      </c>
      <c r="Y5" s="85">
        <f>W5-X5</f>
        <v>-1.7205878465242139</v>
      </c>
      <c r="Z5" s="213">
        <f>Y5/X5</f>
        <v>-0.31446951490945768</v>
      </c>
      <c r="AA5" s="82"/>
      <c r="AB5" s="80">
        <f>'P&amp;L Brand wise'!S8/1000</f>
        <v>22.0360649</v>
      </c>
      <c r="AC5" s="84">
        <f>'P&amp;L Brand wise'!X8/1000</f>
        <v>29.421531247429304</v>
      </c>
      <c r="AD5" s="85">
        <f>AB5-AC5</f>
        <v>-7.3854663474293041</v>
      </c>
      <c r="AE5" s="218">
        <f>AD5/AC5</f>
        <v>-0.2510225006754061</v>
      </c>
      <c r="AF5" s="83"/>
      <c r="AG5" s="85">
        <f>'P&amp;L Brand wise'!T8/1000</f>
        <v>5.1553750000000003</v>
      </c>
      <c r="AH5" s="85">
        <f>'P&amp;L Brand wise'!Y8/1000</f>
        <v>4.4674955986982878</v>
      </c>
      <c r="AI5" s="85">
        <f>AG5-AH5</f>
        <v>0.68787940130171243</v>
      </c>
      <c r="AJ5" s="218">
        <f>AI5/AH5</f>
        <v>0.15397427621465204</v>
      </c>
      <c r="AK5" s="83"/>
      <c r="AL5" s="80">
        <f>AG5+AB5+W5</f>
        <v>30.942249963125651</v>
      </c>
      <c r="AM5" s="84">
        <f t="shared" ref="AM5" si="0">AH5+AC5+X5</f>
        <v>39.360424755777458</v>
      </c>
      <c r="AN5" s="85">
        <f>AL5-AM5</f>
        <v>-8.4181747926518078</v>
      </c>
      <c r="AO5" s="213">
        <f>AN5/AM5</f>
        <v>-0.21387408405485156</v>
      </c>
      <c r="AQ5" s="80">
        <f>C5</f>
        <v>0.9125700000000001</v>
      </c>
      <c r="AR5" s="84">
        <v>1.1291277950540499</v>
      </c>
      <c r="AS5" s="85">
        <f>AQ5-AR5</f>
        <v>-0.21655779505404982</v>
      </c>
      <c r="AT5" s="213">
        <f>AS5/AR5</f>
        <v>-0.19179210360655718</v>
      </c>
      <c r="AU5" s="82"/>
      <c r="AV5" s="80">
        <f>H5+M5</f>
        <v>6.4182584</v>
      </c>
      <c r="AW5" s="84">
        <v>6.887052341597796</v>
      </c>
      <c r="AX5" s="85">
        <f>AV5-AW5</f>
        <v>-0.46879394159779597</v>
      </c>
      <c r="AY5" s="213">
        <f>AX5/AW5</f>
        <v>-6.8068880319999983E-2</v>
      </c>
      <c r="AZ5" s="82"/>
      <c r="BA5" s="80">
        <f>AQ5+AV5</f>
        <v>7.3308283999999997</v>
      </c>
      <c r="BB5" s="84">
        <f>AR5+AW5</f>
        <v>8.0161801366518457</v>
      </c>
      <c r="BC5" s="85">
        <f>BA5-BB5</f>
        <v>-0.68535173665184601</v>
      </c>
      <c r="BD5" s="213">
        <f>BC5/BB5</f>
        <v>-8.5496049860239287E-2</v>
      </c>
      <c r="BF5" s="80">
        <f>'P&amp;L Brand wise'!R8/1000</f>
        <v>3.7508100631256514</v>
      </c>
      <c r="BG5" s="84">
        <f>AR5*5</f>
        <v>5.6456389752702494</v>
      </c>
      <c r="BH5" s="85">
        <f>BF5-BG5</f>
        <v>-1.894828912144598</v>
      </c>
      <c r="BI5" s="213">
        <f>BH5/BG5</f>
        <v>-0.33562700704819598</v>
      </c>
      <c r="BJ5" s="82"/>
      <c r="BK5" s="80">
        <f>('P&amp;L Brand wise'!S8+'P&amp;L Brand wise'!T8)/1000</f>
        <v>27.191439900000002</v>
      </c>
      <c r="BL5" s="84">
        <f>AW5*5</f>
        <v>34.435261707988978</v>
      </c>
      <c r="BM5" s="85">
        <f>BK5-BL5</f>
        <v>-7.2438218079889758</v>
      </c>
      <c r="BN5" s="218">
        <f>BM5/BL5</f>
        <v>-0.21036058530399987</v>
      </c>
      <c r="BO5" s="82"/>
      <c r="BP5" s="80">
        <f>BF5+BK5</f>
        <v>30.942249963125654</v>
      </c>
      <c r="BQ5" s="84">
        <f>BG5+BL5</f>
        <v>40.08090068325923</v>
      </c>
      <c r="BR5" s="85">
        <f>BP5-BQ5</f>
        <v>-9.138650720133576</v>
      </c>
      <c r="BS5" s="213">
        <f>BR5/BQ5</f>
        <v>-0.22800512374589818</v>
      </c>
    </row>
    <row r="6" spans="2:71" x14ac:dyDescent="0.3">
      <c r="B6" s="86"/>
      <c r="C6" s="87"/>
      <c r="D6" s="87"/>
      <c r="E6" s="88"/>
      <c r="F6" s="169"/>
      <c r="G6" s="89"/>
      <c r="H6" s="87"/>
      <c r="I6" s="87"/>
      <c r="J6" s="88"/>
      <c r="K6" s="169"/>
      <c r="L6" s="90"/>
      <c r="M6" s="87"/>
      <c r="N6" s="87"/>
      <c r="O6" s="88"/>
      <c r="P6" s="88"/>
      <c r="Q6" s="90"/>
      <c r="R6" s="87"/>
      <c r="S6" s="87"/>
      <c r="T6" s="88"/>
      <c r="U6" s="88"/>
      <c r="V6" s="178"/>
      <c r="W6" s="97"/>
      <c r="X6" s="87"/>
      <c r="Y6" s="92"/>
      <c r="Z6" s="88"/>
      <c r="AA6" s="89"/>
      <c r="AB6" s="87"/>
      <c r="AC6" s="91"/>
      <c r="AD6" s="92"/>
      <c r="AE6" s="169"/>
      <c r="AF6" s="90"/>
      <c r="AG6" s="92"/>
      <c r="AH6" s="92"/>
      <c r="AI6" s="92"/>
      <c r="AJ6" s="169"/>
      <c r="AK6" s="90"/>
      <c r="AL6" s="87"/>
      <c r="AM6" s="91"/>
      <c r="AN6" s="92"/>
      <c r="AO6" s="88"/>
      <c r="AQ6" s="87"/>
      <c r="AR6" s="91"/>
      <c r="AS6" s="92"/>
      <c r="AT6" s="88"/>
      <c r="AU6" s="89"/>
      <c r="AV6" s="87"/>
      <c r="AW6" s="91"/>
      <c r="AX6" s="92"/>
      <c r="AY6" s="88"/>
      <c r="AZ6" s="89"/>
      <c r="BA6" s="87"/>
      <c r="BB6" s="91"/>
      <c r="BC6" s="92"/>
      <c r="BD6" s="88"/>
      <c r="BF6" s="87"/>
      <c r="BG6" s="91"/>
      <c r="BH6" s="92"/>
      <c r="BI6" s="88"/>
      <c r="BJ6" s="89"/>
      <c r="BK6" s="87"/>
      <c r="BL6" s="91"/>
      <c r="BM6" s="92"/>
      <c r="BN6" s="169"/>
      <c r="BO6" s="89"/>
      <c r="BP6" s="87"/>
      <c r="BQ6" s="91"/>
      <c r="BR6" s="92"/>
      <c r="BS6" s="88"/>
    </row>
    <row r="7" spans="2:71" x14ac:dyDescent="0.3">
      <c r="B7" s="93" t="s">
        <v>81</v>
      </c>
      <c r="C7" s="87">
        <f>'P&amp;L Brand wise'!C11/10^7</f>
        <v>4.5930024419999995</v>
      </c>
      <c r="D7" s="87">
        <f>'P&amp;L Brand wise'!H11/10^7</f>
        <v>8.3603125025449305</v>
      </c>
      <c r="E7" s="94">
        <f>C7-D7</f>
        <v>-3.767310060544931</v>
      </c>
      <c r="F7" s="219">
        <f>E7/D7</f>
        <v>-0.45061833028348386</v>
      </c>
      <c r="G7" s="95"/>
      <c r="H7" s="87">
        <f>'P&amp;L Brand wise'!D11/10^7</f>
        <v>5.2565440079999997</v>
      </c>
      <c r="I7" s="87">
        <f>'P&amp;L Brand wise'!I11/10^7</f>
        <v>6.8435490470201508</v>
      </c>
      <c r="J7" s="94">
        <f>H7-I7</f>
        <v>-1.5870050390201511</v>
      </c>
      <c r="K7" s="219">
        <f>J7/I7</f>
        <v>-0.2318979564720402</v>
      </c>
      <c r="L7" s="96"/>
      <c r="M7" s="87">
        <f>'P&amp;L Brand wise'!E11/10^7</f>
        <v>1.69678295</v>
      </c>
      <c r="N7" s="87">
        <f>'P&amp;L Brand wise'!J11/10^7</f>
        <v>1.1270025699966195</v>
      </c>
      <c r="O7" s="94">
        <f>M7-N7</f>
        <v>0.56978038000338049</v>
      </c>
      <c r="P7" s="214">
        <f>O7/N7</f>
        <v>0.50557150016533647</v>
      </c>
      <c r="Q7" s="96"/>
      <c r="R7" s="87">
        <f>C7+H7+M7</f>
        <v>11.546329399999998</v>
      </c>
      <c r="S7" s="87">
        <f>D7+I7+N7</f>
        <v>16.330864119561699</v>
      </c>
      <c r="T7" s="94">
        <f>R7-S7</f>
        <v>-4.7845347195617016</v>
      </c>
      <c r="U7" s="214">
        <f>T7/S7</f>
        <v>-0.29297498800633659</v>
      </c>
      <c r="V7" s="180"/>
      <c r="W7" s="97">
        <f>'P&amp;L Brand wise'!R11/10^7</f>
        <v>19.191007098</v>
      </c>
      <c r="X7" s="87">
        <f>'P&amp;L Brand wise'!W11/10^7</f>
        <v>27.624992468454497</v>
      </c>
      <c r="Y7" s="98">
        <f>W7-X7</f>
        <v>-8.4339853704544971</v>
      </c>
      <c r="Z7" s="214">
        <f>Y7/X7</f>
        <v>-0.30530272108075412</v>
      </c>
      <c r="AA7" s="99"/>
      <c r="AB7" s="87">
        <f>'P&amp;L Brand wise'!S11/10^7</f>
        <v>23.467081917000002</v>
      </c>
      <c r="AC7" s="91">
        <f>'P&amp;L Brand wise'!X11/10^7</f>
        <v>31.231914087314497</v>
      </c>
      <c r="AD7" s="98">
        <f>AB7-AC7</f>
        <v>-7.7648321703144951</v>
      </c>
      <c r="AE7" s="219">
        <f>AD7/AC7</f>
        <v>-0.24861851721948564</v>
      </c>
      <c r="AF7" s="96"/>
      <c r="AG7" s="98">
        <f>'P&amp;L Brand wise'!T11/10^7</f>
        <v>5.9650677500000002</v>
      </c>
      <c r="AH7" s="98">
        <f>'P&amp;L Brand wise'!Y11/10^7</f>
        <v>5.3134115209782049</v>
      </c>
      <c r="AI7" s="98">
        <f>AG7-AH7</f>
        <v>0.65165622902179532</v>
      </c>
      <c r="AJ7" s="219">
        <f>AI7/AH7</f>
        <v>0.12264365868311752</v>
      </c>
      <c r="AK7" s="96"/>
      <c r="AL7" s="87">
        <f>AG7+AB7+W7</f>
        <v>48.623156765000004</v>
      </c>
      <c r="AM7" s="91">
        <f t="shared" ref="AM7" si="1">AH7+AC7+X7</f>
        <v>64.170318076747193</v>
      </c>
      <c r="AN7" s="98">
        <f>AL7-AM7</f>
        <v>-15.547161311747189</v>
      </c>
      <c r="AO7" s="214">
        <f>AN7/AM7</f>
        <v>-0.24227963609519446</v>
      </c>
      <c r="AQ7" s="87">
        <f>C7</f>
        <v>4.5930024419999995</v>
      </c>
      <c r="AR7" s="91">
        <v>5.083333333333333</v>
      </c>
      <c r="AS7" s="98">
        <f>AQ7-AR7</f>
        <v>-0.49033089133333352</v>
      </c>
      <c r="AT7" s="214">
        <f>AS7/AR7</f>
        <v>-9.6458536000000039E-2</v>
      </c>
      <c r="AU7" s="99"/>
      <c r="AV7" s="87">
        <f>H7+M7</f>
        <v>6.9533269579999999</v>
      </c>
      <c r="AW7" s="91">
        <v>7.5</v>
      </c>
      <c r="AX7" s="98">
        <f>AV7-AW7</f>
        <v>-0.54667304200000011</v>
      </c>
      <c r="AY7" s="214">
        <f>AX7/AW7</f>
        <v>-7.2889738933333351E-2</v>
      </c>
      <c r="AZ7" s="99"/>
      <c r="BA7" s="87">
        <f>AQ7+AV7</f>
        <v>11.546329399999999</v>
      </c>
      <c r="BB7" s="91">
        <f>AR7+AW7</f>
        <v>12.583333333333332</v>
      </c>
      <c r="BC7" s="87">
        <f>BA7-BB7</f>
        <v>-1.0370039333333327</v>
      </c>
      <c r="BD7" s="214">
        <f>BC7/BB7</f>
        <v>-8.2410908609271485E-2</v>
      </c>
      <c r="BF7" s="87">
        <f>'P&amp;L Brand wise'!R11/10^7</f>
        <v>19.191007098</v>
      </c>
      <c r="BG7" s="91">
        <f>AR7*5</f>
        <v>25.416666666666664</v>
      </c>
      <c r="BH7" s="98">
        <f>BF7-BG7</f>
        <v>-6.2256595686666643</v>
      </c>
      <c r="BI7" s="214">
        <f>BH7/BG7</f>
        <v>-0.24494398302950812</v>
      </c>
      <c r="BJ7" s="99"/>
      <c r="BK7" s="87">
        <f>('P&amp;L Brand wise'!S9+'P&amp;L Brand wise'!T9)/10^7</f>
        <v>29.432149667000001</v>
      </c>
      <c r="BL7" s="91">
        <f>AW7*5</f>
        <v>37.5</v>
      </c>
      <c r="BM7" s="98">
        <f>BK7-BL7</f>
        <v>-8.0678503329999991</v>
      </c>
      <c r="BN7" s="219">
        <f>BM7/BL7</f>
        <v>-0.21514267554666663</v>
      </c>
      <c r="BO7" s="99"/>
      <c r="BP7" s="87">
        <f>BF7+BK7</f>
        <v>48.623156765000004</v>
      </c>
      <c r="BQ7" s="91">
        <f>BG7+BL7</f>
        <v>62.916666666666664</v>
      </c>
      <c r="BR7" s="87">
        <f>BP7-BQ7</f>
        <v>-14.29350990166666</v>
      </c>
      <c r="BS7" s="214">
        <f>BR7/BQ7</f>
        <v>-0.22718161433112571</v>
      </c>
    </row>
    <row r="8" spans="2:71" x14ac:dyDescent="0.3">
      <c r="B8" s="86"/>
      <c r="C8" s="92"/>
      <c r="D8" s="92"/>
      <c r="E8" s="88"/>
      <c r="F8" s="169"/>
      <c r="G8" s="89"/>
      <c r="H8" s="92"/>
      <c r="I8" s="92"/>
      <c r="J8" s="88"/>
      <c r="K8" s="169"/>
      <c r="L8" s="90"/>
      <c r="M8" s="92"/>
      <c r="N8" s="92"/>
      <c r="O8" s="88"/>
      <c r="P8" s="88"/>
      <c r="Q8" s="90"/>
      <c r="R8" s="92"/>
      <c r="S8" s="92"/>
      <c r="T8" s="88"/>
      <c r="U8" s="88"/>
      <c r="V8" s="178"/>
      <c r="W8" s="88"/>
      <c r="X8" s="92"/>
      <c r="Y8" s="92"/>
      <c r="Z8" s="88"/>
      <c r="AA8" s="89"/>
      <c r="AB8" s="92"/>
      <c r="AC8" s="100"/>
      <c r="AD8" s="92"/>
      <c r="AE8" s="169"/>
      <c r="AF8" s="90"/>
      <c r="AG8" s="92"/>
      <c r="AH8" s="92"/>
      <c r="AI8" s="92"/>
      <c r="AJ8" s="169"/>
      <c r="AK8" s="90"/>
      <c r="AL8" s="92"/>
      <c r="AM8" s="100"/>
      <c r="AN8" s="92"/>
      <c r="AO8" s="88"/>
      <c r="AQ8" s="92"/>
      <c r="AR8" s="100"/>
      <c r="AS8" s="92"/>
      <c r="AT8" s="88"/>
      <c r="AU8" s="89"/>
      <c r="AV8" s="92"/>
      <c r="AW8" s="100"/>
      <c r="AX8" s="92"/>
      <c r="AY8" s="88"/>
      <c r="AZ8" s="89"/>
      <c r="BA8" s="92"/>
      <c r="BB8" s="100"/>
      <c r="BC8" s="92"/>
      <c r="BD8" s="88"/>
      <c r="BF8" s="92"/>
      <c r="BG8" s="100"/>
      <c r="BH8" s="92"/>
      <c r="BI8" s="88"/>
      <c r="BJ8" s="89"/>
      <c r="BK8" s="92"/>
      <c r="BL8" s="100"/>
      <c r="BM8" s="92"/>
      <c r="BN8" s="169"/>
      <c r="BO8" s="89"/>
      <c r="BP8" s="92"/>
      <c r="BQ8" s="100"/>
      <c r="BR8" s="92"/>
      <c r="BS8" s="88"/>
    </row>
    <row r="9" spans="2:71" x14ac:dyDescent="0.3">
      <c r="B9" s="86" t="s">
        <v>82</v>
      </c>
      <c r="C9" s="87">
        <f>('P&amp;L Brand wise'!C15)/10^7</f>
        <v>0.316917168498</v>
      </c>
      <c r="D9" s="87">
        <f>'P&amp;L Brand wise'!H15/10^7</f>
        <v>0.72907489641471435</v>
      </c>
      <c r="E9" s="94">
        <f>C9-D9</f>
        <v>-0.41215772791671434</v>
      </c>
      <c r="F9" s="219">
        <f>E9/D9</f>
        <v>-0.56531603261000185</v>
      </c>
      <c r="G9" s="99"/>
      <c r="H9" s="87">
        <f>('P&amp;L Brand wise'!D15)/10^7</f>
        <v>0.8883559373519998</v>
      </c>
      <c r="I9" s="87">
        <f>'P&amp;L Brand wise'!I15/10^7</f>
        <v>1.0659917747485099</v>
      </c>
      <c r="J9" s="94">
        <f>H9-I9</f>
        <v>-0.17763583739651012</v>
      </c>
      <c r="K9" s="219">
        <f>J9/I9</f>
        <v>-0.16663903193663776</v>
      </c>
      <c r="L9" s="96"/>
      <c r="M9" s="87">
        <f>('P&amp;L Brand wise'!E15)/10^7</f>
        <v>0.28675631854999994</v>
      </c>
      <c r="N9" s="87">
        <f>'P&amp;L Brand wise'!J15/10^7</f>
        <v>0.19046343432942869</v>
      </c>
      <c r="O9" s="94">
        <f>M9-N9</f>
        <v>9.6292884220571251E-2</v>
      </c>
      <c r="P9" s="214">
        <f>O9/N9</f>
        <v>0.50557150016533614</v>
      </c>
      <c r="Q9" s="96"/>
      <c r="R9" s="87">
        <f>C9+H9+M9</f>
        <v>1.4920294243999999</v>
      </c>
      <c r="S9" s="87">
        <f>D9+I9+N9</f>
        <v>1.9855301054926531</v>
      </c>
      <c r="T9" s="94">
        <f>R9-S9</f>
        <v>-0.49350068109265322</v>
      </c>
      <c r="U9" s="214">
        <f>T9/S9</f>
        <v>-0.24854857638645828</v>
      </c>
      <c r="V9" s="182"/>
      <c r="W9" s="97">
        <f>('P&amp;L Brand wise'!R15)/10^7</f>
        <v>1.4815633384137847</v>
      </c>
      <c r="X9" s="87">
        <f>'P&amp;L Brand wise'!W15/10^7</f>
        <v>2.3655539825395602</v>
      </c>
      <c r="Y9" s="98">
        <f>W9-X9</f>
        <v>-0.88399064412577544</v>
      </c>
      <c r="Z9" s="214">
        <f>Y9/X9</f>
        <v>-0.37369286461041146</v>
      </c>
      <c r="AA9" s="99"/>
      <c r="AB9" s="87">
        <f>('P&amp;L Brand wise'!S15)/10^7</f>
        <v>4.160230118384562</v>
      </c>
      <c r="AC9" s="87">
        <f>'P&amp;L Brand wise'!X15/10^7</f>
        <v>5.1876254665582584</v>
      </c>
      <c r="AD9" s="98">
        <f>AB9-AC9</f>
        <v>-1.0273953481736964</v>
      </c>
      <c r="AE9" s="219">
        <f>AD9/AC9</f>
        <v>-0.1980473252737199</v>
      </c>
      <c r="AF9" s="96"/>
      <c r="AG9" s="98">
        <f>('P&amp;L Brand wise'!T15)/10^7</f>
        <v>1.0619417266866531</v>
      </c>
      <c r="AH9" s="98">
        <f>'P&amp;L Brand wise'!Y15/10^7</f>
        <v>0.89796654704531653</v>
      </c>
      <c r="AI9" s="98">
        <f>AG9-AH9</f>
        <v>0.16397517964133657</v>
      </c>
      <c r="AJ9" s="219">
        <f>AI9/AH9</f>
        <v>0.18260722538148344</v>
      </c>
      <c r="AK9" s="96"/>
      <c r="AL9" s="87">
        <f>AG9+AB9+W9</f>
        <v>6.7037351834849996</v>
      </c>
      <c r="AM9" s="87">
        <f t="shared" ref="AM9" si="2">AH9+AC9+X9</f>
        <v>8.4511459961431363</v>
      </c>
      <c r="AN9" s="98">
        <f>AL9-AM9</f>
        <v>-1.7474108126581367</v>
      </c>
      <c r="AO9" s="214">
        <f>AN9/AM9</f>
        <v>-0.2067661372144802</v>
      </c>
      <c r="AQ9" s="87">
        <f>C9</f>
        <v>0.316917168498</v>
      </c>
      <c r="AR9" s="91">
        <v>0.41666666666666669</v>
      </c>
      <c r="AS9" s="98">
        <f>AQ9-AR9</f>
        <v>-9.9749498168666684E-2</v>
      </c>
      <c r="AT9" s="214">
        <f>AS9/AR9</f>
        <v>-0.23939879560480004</v>
      </c>
      <c r="AU9" s="99"/>
      <c r="AV9" s="87">
        <f>H9+M9</f>
        <v>1.1751122559019997</v>
      </c>
      <c r="AW9" s="91">
        <v>1.25</v>
      </c>
      <c r="AX9" s="98">
        <f>AV9-AW9</f>
        <v>-7.4887744098000253E-2</v>
      </c>
      <c r="AY9" s="214">
        <f>AX9/AW9</f>
        <v>-5.9910195278400205E-2</v>
      </c>
      <c r="AZ9" s="99"/>
      <c r="BA9" s="87">
        <f>AQ9+AV9</f>
        <v>1.4920294243999996</v>
      </c>
      <c r="BB9" s="87">
        <f>AR9+AW9</f>
        <v>1.6666666666666667</v>
      </c>
      <c r="BC9" s="98">
        <f>BA9-BB9</f>
        <v>-0.1746372422666671</v>
      </c>
      <c r="BD9" s="214">
        <f>BC9/BB9</f>
        <v>-0.10478234536000025</v>
      </c>
      <c r="BF9" s="87">
        <f>('P&amp;L Brand wise'!R15)/10^7</f>
        <v>1.4815633384137847</v>
      </c>
      <c r="BG9" s="91">
        <f>AR9*5</f>
        <v>2.0833333333333335</v>
      </c>
      <c r="BH9" s="98">
        <f>BF9-BG9</f>
        <v>-0.60176999491954875</v>
      </c>
      <c r="BI9" s="214">
        <f>BH9/BG9</f>
        <v>-0.2888495975613834</v>
      </c>
      <c r="BJ9" s="99"/>
      <c r="BK9" s="87">
        <f>('P&amp;L Brand wise'!S15+'P&amp;L Brand wise'!T15)/10^7</f>
        <v>5.2221718450712142</v>
      </c>
      <c r="BL9" s="91">
        <f>AW9*5</f>
        <v>6.25</v>
      </c>
      <c r="BM9" s="98">
        <f>BK9-BL9</f>
        <v>-1.0278281549287858</v>
      </c>
      <c r="BN9" s="219">
        <f>BM9/BL9</f>
        <v>-0.16445250478860574</v>
      </c>
      <c r="BO9" s="99"/>
      <c r="BP9" s="87">
        <f>BF9+BK9</f>
        <v>6.7037351834849987</v>
      </c>
      <c r="BQ9" s="87">
        <f>BG9+BL9</f>
        <v>8.3333333333333339</v>
      </c>
      <c r="BR9" s="98">
        <f>BP9-BQ9</f>
        <v>-1.6295981498483352</v>
      </c>
      <c r="BS9" s="214">
        <f>BR9/BQ9</f>
        <v>-0.19555177798180021</v>
      </c>
    </row>
    <row r="10" spans="2:71" x14ac:dyDescent="0.3">
      <c r="B10" s="86" t="s">
        <v>83</v>
      </c>
      <c r="C10" s="136">
        <f t="shared" ref="C10:D10" si="3">C9/C7</f>
        <v>6.9000000000000006E-2</v>
      </c>
      <c r="D10" s="136">
        <f t="shared" si="3"/>
        <v>8.7206655994351817E-2</v>
      </c>
      <c r="E10" s="137">
        <f>C10-D10</f>
        <v>-1.8206655994351811E-2</v>
      </c>
      <c r="F10" s="105"/>
      <c r="G10" s="103"/>
      <c r="H10" s="136">
        <f t="shared" ref="H10:I10" si="4">H9/H7</f>
        <v>0.16899999999999998</v>
      </c>
      <c r="I10" s="136">
        <f t="shared" si="4"/>
        <v>0.15576592896819655</v>
      </c>
      <c r="J10" s="137">
        <f>H10-I10</f>
        <v>1.3234071031803435E-2</v>
      </c>
      <c r="K10" s="105"/>
      <c r="L10" s="104"/>
      <c r="M10" s="136">
        <f t="shared" ref="M10:N10" si="5">M9/M7</f>
        <v>0.16899999999999996</v>
      </c>
      <c r="N10" s="136">
        <f t="shared" si="5"/>
        <v>0.16899999999999998</v>
      </c>
      <c r="O10" s="137">
        <f>M10-N10</f>
        <v>0</v>
      </c>
      <c r="P10" s="102"/>
      <c r="Q10" s="104"/>
      <c r="R10" s="136">
        <f t="shared" ref="R10:S10" si="6">R9/R7</f>
        <v>0.12922110332310457</v>
      </c>
      <c r="S10" s="136">
        <f t="shared" si="6"/>
        <v>0.12158144792315756</v>
      </c>
      <c r="T10" s="137">
        <f>R10-S10</f>
        <v>7.6396553999470151E-3</v>
      </c>
      <c r="U10" s="102"/>
      <c r="V10" s="184"/>
      <c r="W10" s="137">
        <f t="shared" ref="W10:X10" si="7">W9/W7</f>
        <v>7.7200916598492972E-2</v>
      </c>
      <c r="X10" s="136">
        <f t="shared" si="7"/>
        <v>8.5630936741098881E-2</v>
      </c>
      <c r="Y10" s="101">
        <f>W10-X10</f>
        <v>-8.4300201426059096E-3</v>
      </c>
      <c r="Z10" s="102"/>
      <c r="AA10" s="103"/>
      <c r="AB10" s="136">
        <f>AB9/AB7</f>
        <v>0.17727939643704962</v>
      </c>
      <c r="AC10" s="162">
        <f t="shared" ref="AC10" si="8">AC9/AC7</f>
        <v>0.16610014525703765</v>
      </c>
      <c r="AD10" s="101">
        <f>AB10-AC10</f>
        <v>1.1179251180011979E-2</v>
      </c>
      <c r="AE10" s="105"/>
      <c r="AF10" s="104"/>
      <c r="AG10" s="136">
        <f t="shared" ref="AG10:AH10" si="9">AG9/AG7</f>
        <v>0.17802676703657777</v>
      </c>
      <c r="AH10" s="162">
        <f t="shared" si="9"/>
        <v>0.16899999999999998</v>
      </c>
      <c r="AI10" s="101">
        <f>AG10-AH10</f>
        <v>9.0267670365777875E-3</v>
      </c>
      <c r="AJ10" s="105"/>
      <c r="AK10" s="104"/>
      <c r="AL10" s="101">
        <f t="shared" ref="AL10:AM10" si="10">AL9/AL7</f>
        <v>0.13787124550314045</v>
      </c>
      <c r="AM10" s="105">
        <f t="shared" si="10"/>
        <v>0.13169867704310945</v>
      </c>
      <c r="AN10" s="101">
        <f>AL10-AM10</f>
        <v>6.1725684600310027E-3</v>
      </c>
      <c r="AO10" s="102"/>
      <c r="AQ10" s="101">
        <f>AQ9/AQ7</f>
        <v>6.9000000000000006E-2</v>
      </c>
      <c r="AR10" s="105">
        <f>AR9/AR7</f>
        <v>8.1967213114754106E-2</v>
      </c>
      <c r="AS10" s="101">
        <f>AQ10-AR10</f>
        <v>-1.29672131147541E-2</v>
      </c>
      <c r="AT10" s="102"/>
      <c r="AU10" s="103"/>
      <c r="AV10" s="101">
        <f>AV9/AV7</f>
        <v>0.16899999999999996</v>
      </c>
      <c r="AW10" s="105">
        <f>AW9/AW7</f>
        <v>0.16666666666666666</v>
      </c>
      <c r="AX10" s="101">
        <f>AV10-AW10</f>
        <v>2.3333333333332984E-3</v>
      </c>
      <c r="AY10" s="102"/>
      <c r="AZ10" s="103"/>
      <c r="BA10" s="101">
        <f>BA9/BA7</f>
        <v>0.12922110332310455</v>
      </c>
      <c r="BB10" s="105">
        <f>BB9/BB7</f>
        <v>0.13245033112582782</v>
      </c>
      <c r="BC10" s="101">
        <f>BA10-BB10</f>
        <v>-3.2292278027232779E-3</v>
      </c>
      <c r="BD10" s="102"/>
      <c r="BF10" s="136">
        <f>BF9/BF7</f>
        <v>7.7200916598492972E-2</v>
      </c>
      <c r="BG10" s="162">
        <f>BG9/BG7</f>
        <v>8.1967213114754106E-2</v>
      </c>
      <c r="BH10" s="101">
        <f>BF10-BG10</f>
        <v>-4.7662965162611343E-3</v>
      </c>
      <c r="BI10" s="102"/>
      <c r="BJ10" s="103"/>
      <c r="BK10" s="136">
        <f>BK9/BK7</f>
        <v>0.17743086740709371</v>
      </c>
      <c r="BL10" s="162">
        <f>BL9/BL7</f>
        <v>0.16666666666666666</v>
      </c>
      <c r="BM10" s="101">
        <f>BK10-BL10</f>
        <v>1.0764200740427055E-2</v>
      </c>
      <c r="BN10" s="105"/>
      <c r="BO10" s="103"/>
      <c r="BP10" s="136">
        <f>BP9/BP7</f>
        <v>0.13787124550314042</v>
      </c>
      <c r="BQ10" s="162">
        <f>BQ9/BQ7</f>
        <v>0.13245033112582782</v>
      </c>
      <c r="BR10" s="101">
        <f>BP10-BQ10</f>
        <v>5.4209143773125967E-3</v>
      </c>
      <c r="BS10" s="102"/>
    </row>
    <row r="11" spans="2:71" x14ac:dyDescent="0.3">
      <c r="B11" s="86"/>
      <c r="C11" s="92"/>
      <c r="D11" s="92"/>
      <c r="E11" s="88"/>
      <c r="F11" s="169"/>
      <c r="G11" s="89"/>
      <c r="H11" s="92"/>
      <c r="I11" s="92"/>
      <c r="J11" s="88"/>
      <c r="K11" s="169"/>
      <c r="L11" s="90"/>
      <c r="M11" s="92"/>
      <c r="N11" s="92"/>
      <c r="O11" s="88"/>
      <c r="P11" s="88"/>
      <c r="Q11" s="90"/>
      <c r="R11" s="92"/>
      <c r="S11" s="92"/>
      <c r="T11" s="88"/>
      <c r="U11" s="88"/>
      <c r="V11" s="178"/>
      <c r="W11" s="88"/>
      <c r="X11" s="92"/>
      <c r="Y11" s="92"/>
      <c r="Z11" s="88"/>
      <c r="AA11" s="89"/>
      <c r="AB11" s="92"/>
      <c r="AC11" s="100"/>
      <c r="AD11" s="92"/>
      <c r="AE11" s="169"/>
      <c r="AF11" s="90"/>
      <c r="AG11" s="92"/>
      <c r="AH11" s="92"/>
      <c r="AI11" s="92"/>
      <c r="AJ11" s="169"/>
      <c r="AK11" s="90"/>
      <c r="AL11" s="92"/>
      <c r="AM11" s="100"/>
      <c r="AN11" s="92"/>
      <c r="AO11" s="88"/>
      <c r="AQ11" s="92"/>
      <c r="AR11" s="100"/>
      <c r="AS11" s="92"/>
      <c r="AT11" s="88"/>
      <c r="AU11" s="89"/>
      <c r="AV11" s="92"/>
      <c r="AW11" s="100"/>
      <c r="AX11" s="92"/>
      <c r="AY11" s="88"/>
      <c r="AZ11" s="89"/>
      <c r="BA11" s="92"/>
      <c r="BB11" s="100"/>
      <c r="BC11" s="92"/>
      <c r="BD11" s="88"/>
      <c r="BF11" s="92"/>
      <c r="BG11" s="100"/>
      <c r="BH11" s="92"/>
      <c r="BI11" s="88"/>
      <c r="BJ11" s="89"/>
      <c r="BK11" s="92"/>
      <c r="BL11" s="100"/>
      <c r="BM11" s="92"/>
      <c r="BN11" s="169"/>
      <c r="BO11" s="89"/>
      <c r="BP11" s="92"/>
      <c r="BQ11" s="100"/>
      <c r="BR11" s="92"/>
      <c r="BS11" s="88"/>
    </row>
    <row r="12" spans="2:71" x14ac:dyDescent="0.3">
      <c r="B12" s="86" t="s">
        <v>84</v>
      </c>
      <c r="C12" s="106">
        <f>(C7*10^7)/(C5*10^6)</f>
        <v>50.330412373845284</v>
      </c>
      <c r="D12" s="106">
        <f>(D7*10^7)/(D5*10^6)</f>
        <v>48.830682963703595</v>
      </c>
      <c r="E12" s="107">
        <f>C12-D12</f>
        <v>1.4997294101416898</v>
      </c>
      <c r="F12" s="220">
        <f>E12/D12</f>
        <v>3.0712849362693858E-2</v>
      </c>
      <c r="G12" s="108"/>
      <c r="H12" s="106">
        <f>(H7*10^7)/(H5*10^6)</f>
        <v>10.680595208444501</v>
      </c>
      <c r="I12" s="106">
        <f t="shared" ref="I12" si="11">(I7*10^7)/(I5*10^6)</f>
        <v>11.149155365052643</v>
      </c>
      <c r="J12" s="107">
        <f>H12-I12</f>
        <v>-0.46856015660814165</v>
      </c>
      <c r="K12" s="220">
        <f>J12/I12</f>
        <v>-4.2026516024420764E-2</v>
      </c>
      <c r="L12" s="109"/>
      <c r="M12" s="106">
        <f t="shared" ref="M12:N12" si="12">(M7*10^7)/(M5*10^6)</f>
        <v>11.33701672039688</v>
      </c>
      <c r="N12" s="106">
        <f t="shared" si="12"/>
        <v>11.993771507699172</v>
      </c>
      <c r="O12" s="107">
        <f>M12-N12</f>
        <v>-0.65675478730229209</v>
      </c>
      <c r="P12" s="215">
        <f>O12/N12</f>
        <v>-5.4757987250357479E-2</v>
      </c>
      <c r="Q12" s="109"/>
      <c r="R12" s="106">
        <f>(R7*10^7)/(R5*10^6)</f>
        <v>15.750374677983183</v>
      </c>
      <c r="S12" s="106">
        <f>(S7*10^7)/(S5*10^6)</f>
        <v>18.579047882113887</v>
      </c>
      <c r="T12" s="107">
        <f>R12-S12</f>
        <v>-2.8286732041307037</v>
      </c>
      <c r="U12" s="215">
        <f>T12/S12</f>
        <v>-0.15225070854432088</v>
      </c>
      <c r="V12" s="186"/>
      <c r="W12" s="107">
        <f>(W7*10^7)/(W5*10^6)</f>
        <v>51.164966433964437</v>
      </c>
      <c r="X12" s="106">
        <f>(X7*10^7)/(X5*10^6)</f>
        <v>50.489825314537065</v>
      </c>
      <c r="Y12" s="106">
        <f>W12-X12</f>
        <v>0.67514111942737287</v>
      </c>
      <c r="Z12" s="215">
        <f>Y12/X12</f>
        <v>1.3371825218674024E-2</v>
      </c>
      <c r="AA12" s="108"/>
      <c r="AB12" s="106">
        <f t="shared" ref="AB12:AM12" si="13">(AB7*10^7)/(AB5*10^6)</f>
        <v>10.649397713926684</v>
      </c>
      <c r="AC12" s="110">
        <f t="shared" si="13"/>
        <v>10.615325838978341</v>
      </c>
      <c r="AD12" s="106">
        <f>AB12-AC12</f>
        <v>3.4071874948342185E-2</v>
      </c>
      <c r="AE12" s="220">
        <f>AD12/AC12</f>
        <v>3.2096871509335965E-3</v>
      </c>
      <c r="AF12" s="109"/>
      <c r="AG12" s="106">
        <f t="shared" si="13"/>
        <v>11.570579734742866</v>
      </c>
      <c r="AH12" s="110">
        <f t="shared" si="13"/>
        <v>11.893490219724882</v>
      </c>
      <c r="AI12" s="106">
        <f>AG12-AH12</f>
        <v>-0.32291048498201569</v>
      </c>
      <c r="AJ12" s="220">
        <f>AI12/AH12</f>
        <v>-2.7150187120554524E-2</v>
      </c>
      <c r="AK12" s="109"/>
      <c r="AL12" s="106">
        <f t="shared" si="13"/>
        <v>15.714163263157968</v>
      </c>
      <c r="AM12" s="110">
        <f t="shared" si="13"/>
        <v>16.303258533135637</v>
      </c>
      <c r="AN12" s="106">
        <f>AL12-AM12</f>
        <v>-0.58909526997766903</v>
      </c>
      <c r="AO12" s="215">
        <f>AN12/AM12</f>
        <v>-3.6133590642653403E-2</v>
      </c>
      <c r="AQ12" s="106">
        <f>(AQ7*10^7)/(AQ5*10^6)</f>
        <v>50.330412373845284</v>
      </c>
      <c r="AR12" s="110">
        <f>(AR7*10^7)/(AR5*10^6)</f>
        <v>45.02</v>
      </c>
      <c r="AS12" s="106">
        <f>AQ12-AR12</f>
        <v>5.3104123738452813</v>
      </c>
      <c r="AT12" s="215">
        <f>AS12/AR12</f>
        <v>0.11795673864605244</v>
      </c>
      <c r="AU12" s="108"/>
      <c r="AV12" s="106">
        <f>(AV7*10^7)/(AV5*10^6)</f>
        <v>10.833666276197293</v>
      </c>
      <c r="AW12" s="110">
        <f>(AW7*10^7)/(AW5*10^6)</f>
        <v>10.889999999999999</v>
      </c>
      <c r="AX12" s="106">
        <f>AV12-AW12</f>
        <v>-5.6333723802705293E-2</v>
      </c>
      <c r="AY12" s="215">
        <f>AX12/AW12</f>
        <v>-5.1729773923512674E-3</v>
      </c>
      <c r="AZ12" s="108"/>
      <c r="BA12" s="106">
        <f>(BA7*10^7)/(BA5*10^6)</f>
        <v>15.750374677983189</v>
      </c>
      <c r="BB12" s="110">
        <f>(BB7*10^7)/(BB5*10^6)</f>
        <v>15.697418369878438</v>
      </c>
      <c r="BC12" s="106">
        <f>BA12-BB12</f>
        <v>5.2956308104750605E-2</v>
      </c>
      <c r="BD12" s="215">
        <f>BC12/BB12</f>
        <v>3.3735679878653005E-3</v>
      </c>
      <c r="BF12" s="106">
        <f>(BF7*10^7)/(BF5*10^6)</f>
        <v>51.164966433964437</v>
      </c>
      <c r="BG12" s="110">
        <f>(BG7*10^7)/(BG5*10^6)</f>
        <v>45.02000000000001</v>
      </c>
      <c r="BH12" s="106">
        <f>BF12-BG12</f>
        <v>6.1449664339644272</v>
      </c>
      <c r="BI12" s="215">
        <f>BH12/BG12</f>
        <v>0.13649414557895215</v>
      </c>
      <c r="BJ12" s="108"/>
      <c r="BK12" s="106">
        <f>(BK7*10^7)/(BK5*10^6)</f>
        <v>10.82404969182967</v>
      </c>
      <c r="BL12" s="110">
        <f>(BL7*10^7)/(BL5*10^6)</f>
        <v>10.89</v>
      </c>
      <c r="BM12" s="106">
        <f>BK12-BL12</f>
        <v>-6.5950308170330985E-2</v>
      </c>
      <c r="BN12" s="220">
        <f>BM12/BL12</f>
        <v>-6.0560429908476567E-3</v>
      </c>
      <c r="BO12" s="108"/>
      <c r="BP12" s="106">
        <f>(BP7*10^7)/(BP5*10^6)</f>
        <v>15.714163263157964</v>
      </c>
      <c r="BQ12" s="110">
        <f>(BQ7*10^7)/(BQ5*10^6)</f>
        <v>15.697418369878436</v>
      </c>
      <c r="BR12" s="106">
        <f>BP12-BQ12</f>
        <v>1.6744893279527773E-2</v>
      </c>
      <c r="BS12" s="215">
        <f>BR12/BQ12</f>
        <v>1.0667291197168651E-3</v>
      </c>
    </row>
    <row r="13" spans="2:71" x14ac:dyDescent="0.3">
      <c r="B13" s="93" t="s">
        <v>85</v>
      </c>
      <c r="C13" s="111">
        <f>+C7-C9</f>
        <v>4.2760852735019999</v>
      </c>
      <c r="D13" s="111">
        <f>+D7-D9</f>
        <v>7.6312376061302158</v>
      </c>
      <c r="E13" s="112">
        <f>C13-D13</f>
        <v>-3.355152332628216</v>
      </c>
      <c r="F13" s="221">
        <f>E13/D13</f>
        <v>-0.43966031537702394</v>
      </c>
      <c r="G13" s="113"/>
      <c r="H13" s="111">
        <f t="shared" ref="H13:I13" si="14">+H7-H9</f>
        <v>4.3681880706479994</v>
      </c>
      <c r="I13" s="111">
        <f t="shared" si="14"/>
        <v>5.7775572722716406</v>
      </c>
      <c r="J13" s="112">
        <f>H13-I13</f>
        <v>-1.4093692016236412</v>
      </c>
      <c r="K13" s="221">
        <f>J13/I13</f>
        <v>-0.24393859467004478</v>
      </c>
      <c r="L13" s="114"/>
      <c r="M13" s="111">
        <f t="shared" ref="M13:S13" si="15">+M7-M9</f>
        <v>1.4100266314500001</v>
      </c>
      <c r="N13" s="111">
        <f t="shared" si="15"/>
        <v>0.93653913566719083</v>
      </c>
      <c r="O13" s="112">
        <f>M13-N13</f>
        <v>0.47348749578280924</v>
      </c>
      <c r="P13" s="216">
        <f>O13/N13</f>
        <v>0.50557150016533647</v>
      </c>
      <c r="Q13" s="114"/>
      <c r="R13" s="111">
        <f t="shared" si="15"/>
        <v>10.054299975599998</v>
      </c>
      <c r="S13" s="111">
        <f t="shared" si="15"/>
        <v>14.345334014069046</v>
      </c>
      <c r="T13" s="112">
        <f>R13-S13</f>
        <v>-4.2910340384690482</v>
      </c>
      <c r="U13" s="216">
        <f>T13/S13</f>
        <v>-0.2991240241782212</v>
      </c>
      <c r="V13" s="188"/>
      <c r="W13" s="112">
        <f>+W7-W9</f>
        <v>17.709443759586215</v>
      </c>
      <c r="X13" s="111">
        <f>+X7-X9</f>
        <v>25.259438485914938</v>
      </c>
      <c r="Y13" s="111">
        <f>W13-X13</f>
        <v>-7.5499947263287233</v>
      </c>
      <c r="Z13" s="216">
        <f>Y13/X13</f>
        <v>-0.29889796364787441</v>
      </c>
      <c r="AA13" s="113"/>
      <c r="AB13" s="111">
        <f t="shared" ref="AB13:AM13" si="16">+AB7-AB9</f>
        <v>19.30685179861544</v>
      </c>
      <c r="AC13" s="112">
        <f t="shared" si="16"/>
        <v>26.044288620756237</v>
      </c>
      <c r="AD13" s="111">
        <f>AB13-AC13</f>
        <v>-6.737436822140797</v>
      </c>
      <c r="AE13" s="221">
        <f>AD13/AC13</f>
        <v>-0.25869152812149893</v>
      </c>
      <c r="AF13" s="118"/>
      <c r="AG13" s="116">
        <f t="shared" si="16"/>
        <v>4.9031260233133471</v>
      </c>
      <c r="AH13" s="117">
        <f t="shared" si="16"/>
        <v>4.415444973932888</v>
      </c>
      <c r="AI13" s="116">
        <f>AG13-AH13</f>
        <v>0.48768104938045909</v>
      </c>
      <c r="AJ13" s="221">
        <f>AI13/AH13</f>
        <v>0.11044890203808291</v>
      </c>
      <c r="AK13" s="118"/>
      <c r="AL13" s="116">
        <f t="shared" si="16"/>
        <v>41.919421581515003</v>
      </c>
      <c r="AM13" s="117">
        <f t="shared" si="16"/>
        <v>55.719172080604054</v>
      </c>
      <c r="AN13" s="116">
        <f>AL13-AM13</f>
        <v>-13.79975049908905</v>
      </c>
      <c r="AO13" s="216">
        <f>AN13/AM13</f>
        <v>-0.24766610815979387</v>
      </c>
      <c r="AQ13" s="111">
        <f>+AQ7-AQ9</f>
        <v>4.2760852735019999</v>
      </c>
      <c r="AR13" s="112">
        <f>+AR7-AR9</f>
        <v>4.6666666666666661</v>
      </c>
      <c r="AS13" s="111">
        <f>AQ13-AR13</f>
        <v>-0.39058139316466622</v>
      </c>
      <c r="AT13" s="216">
        <f>AS13/AR13</f>
        <v>-8.3696012820999921E-2</v>
      </c>
      <c r="AU13" s="113"/>
      <c r="AV13" s="111">
        <f>+AV7-AV9</f>
        <v>5.7782147020980004</v>
      </c>
      <c r="AW13" s="112">
        <f>+AW7-AW9</f>
        <v>6.25</v>
      </c>
      <c r="AX13" s="111">
        <f>AV13-AW13</f>
        <v>-0.47178529790199963</v>
      </c>
      <c r="AY13" s="216">
        <f>AX13/AW13</f>
        <v>-7.5485647664319935E-2</v>
      </c>
      <c r="AZ13" s="113"/>
      <c r="BA13" s="111">
        <f>+BA7-BA9</f>
        <v>10.054299975599999</v>
      </c>
      <c r="BB13" s="112">
        <f>+BB7-BB9</f>
        <v>10.916666666666666</v>
      </c>
      <c r="BC13" s="111">
        <f>BA13-BB13</f>
        <v>-0.86236669106666675</v>
      </c>
      <c r="BD13" s="216">
        <f>BC13/BB13</f>
        <v>-7.8995422082442757E-2</v>
      </c>
      <c r="BF13" s="111">
        <f>+BF7-BF9</f>
        <v>17.709443759586215</v>
      </c>
      <c r="BG13" s="112">
        <f>+BG7-BG9</f>
        <v>23.333333333333332</v>
      </c>
      <c r="BH13" s="111">
        <f>BF13-BG13</f>
        <v>-5.6238895737471175</v>
      </c>
      <c r="BI13" s="216">
        <f>BH13/BG13</f>
        <v>-0.24102383887487647</v>
      </c>
      <c r="BJ13" s="113"/>
      <c r="BK13" s="111">
        <f>+BK7-BK9</f>
        <v>24.209977821928788</v>
      </c>
      <c r="BL13" s="112">
        <f>+BL7-BL9</f>
        <v>31.25</v>
      </c>
      <c r="BM13" s="111">
        <f>BK13-BL13</f>
        <v>-7.0400221780712116</v>
      </c>
      <c r="BN13" s="221">
        <f>BM13/BL13</f>
        <v>-0.22528070969827876</v>
      </c>
      <c r="BO13" s="113"/>
      <c r="BP13" s="111">
        <f>+BP7-BP9</f>
        <v>41.919421581515003</v>
      </c>
      <c r="BQ13" s="112">
        <f>+BQ7-BQ9</f>
        <v>54.583333333333329</v>
      </c>
      <c r="BR13" s="111">
        <f>BP13-BQ13</f>
        <v>-12.663911751818326</v>
      </c>
      <c r="BS13" s="216">
        <f>BR13/BQ13</f>
        <v>-0.23201059697987775</v>
      </c>
    </row>
    <row r="14" spans="2:71" x14ac:dyDescent="0.3">
      <c r="B14" s="86"/>
      <c r="C14" s="92"/>
      <c r="D14" s="92"/>
      <c r="E14" s="88"/>
      <c r="F14" s="169"/>
      <c r="G14" s="89"/>
      <c r="H14" s="92"/>
      <c r="I14" s="92"/>
      <c r="J14" s="88"/>
      <c r="K14" s="169"/>
      <c r="L14" s="90"/>
      <c r="M14" s="92"/>
      <c r="N14" s="92"/>
      <c r="O14" s="88"/>
      <c r="P14" s="88"/>
      <c r="Q14" s="90"/>
      <c r="R14" s="92"/>
      <c r="S14" s="92"/>
      <c r="T14" s="88"/>
      <c r="U14" s="88"/>
      <c r="V14" s="178"/>
      <c r="W14" s="88"/>
      <c r="X14" s="92"/>
      <c r="Y14" s="92"/>
      <c r="Z14" s="88"/>
      <c r="AA14" s="89"/>
      <c r="AB14" s="92"/>
      <c r="AC14" s="100"/>
      <c r="AD14" s="92"/>
      <c r="AE14" s="169"/>
      <c r="AF14" s="90"/>
      <c r="AG14" s="92"/>
      <c r="AH14" s="92"/>
      <c r="AI14" s="92"/>
      <c r="AJ14" s="169"/>
      <c r="AK14" s="90"/>
      <c r="AL14" s="92"/>
      <c r="AM14" s="100"/>
      <c r="AN14" s="92"/>
      <c r="AO14" s="88"/>
      <c r="AQ14" s="92"/>
      <c r="AR14" s="100"/>
      <c r="AS14" s="92"/>
      <c r="AT14" s="88"/>
      <c r="AU14" s="89"/>
      <c r="AV14" s="92"/>
      <c r="AW14" s="100"/>
      <c r="AX14" s="92"/>
      <c r="AY14" s="88"/>
      <c r="AZ14" s="89"/>
      <c r="BA14" s="92"/>
      <c r="BB14" s="100"/>
      <c r="BC14" s="92"/>
      <c r="BD14" s="88"/>
      <c r="BF14" s="92"/>
      <c r="BG14" s="100"/>
      <c r="BH14" s="92"/>
      <c r="BI14" s="88"/>
      <c r="BJ14" s="89"/>
      <c r="BK14" s="92"/>
      <c r="BL14" s="100"/>
      <c r="BM14" s="92"/>
      <c r="BN14" s="169"/>
      <c r="BO14" s="89"/>
      <c r="BP14" s="92"/>
      <c r="BQ14" s="100"/>
      <c r="BR14" s="92"/>
      <c r="BS14" s="88"/>
    </row>
    <row r="15" spans="2:71" x14ac:dyDescent="0.3">
      <c r="B15" s="86" t="s">
        <v>86</v>
      </c>
      <c r="C15" s="149">
        <f>SUM(C17:C17)</f>
        <v>3.0445641600000002</v>
      </c>
      <c r="D15" s="149">
        <f>SUM(D17:D17)</f>
        <v>5.6749138712908582</v>
      </c>
      <c r="E15" s="150">
        <f>C15-D15</f>
        <v>-2.630349711290858</v>
      </c>
      <c r="F15" s="222">
        <f>E15/D15</f>
        <v>-0.46350478103248094</v>
      </c>
      <c r="G15" s="113"/>
      <c r="H15" s="149">
        <f t="shared" ref="H15:S15" si="17">SUM(H17:H17)</f>
        <v>2.4009142564000001</v>
      </c>
      <c r="I15" s="149">
        <f t="shared" si="17"/>
        <v>3.4669227740074917</v>
      </c>
      <c r="J15" s="150">
        <f>H15-I15</f>
        <v>-1.0660085176074916</v>
      </c>
      <c r="K15" s="222">
        <f>J15/I15</f>
        <v>-0.30747974128517119</v>
      </c>
      <c r="L15" s="114"/>
      <c r="M15" s="149">
        <f t="shared" si="17"/>
        <v>0.62848040000000005</v>
      </c>
      <c r="N15" s="149">
        <f t="shared" si="17"/>
        <v>0.43378234485985384</v>
      </c>
      <c r="O15" s="150">
        <f>M15-N15</f>
        <v>0.19469805514014621</v>
      </c>
      <c r="P15" s="217">
        <f>O15/N15</f>
        <v>0.44883812687915908</v>
      </c>
      <c r="Q15" s="114"/>
      <c r="R15" s="149">
        <f t="shared" si="17"/>
        <v>6.0739588164000002</v>
      </c>
      <c r="S15" s="149">
        <f t="shared" si="17"/>
        <v>9.5756189901582029</v>
      </c>
      <c r="T15" s="150">
        <f>R15-S15</f>
        <v>-3.5016601737582027</v>
      </c>
      <c r="U15" s="217">
        <f>T15/S15</f>
        <v>-0.36568499408311883</v>
      </c>
      <c r="V15" s="188"/>
      <c r="W15" s="150">
        <f>SUM(W17:W17)</f>
        <v>13.526279259999999</v>
      </c>
      <c r="X15" s="149">
        <f>SUM(X17:X17)</f>
        <v>19.404608085194202</v>
      </c>
      <c r="Y15" s="149">
        <f>W15-X15</f>
        <v>-5.8783288251942025</v>
      </c>
      <c r="Z15" s="217">
        <f>Y15/X15</f>
        <v>-0.30293468434847659</v>
      </c>
      <c r="AA15" s="113"/>
      <c r="AB15" s="149">
        <f t="shared" ref="AB15:AM15" si="18">SUM(AB17:AB17)</f>
        <v>11.037492766300808</v>
      </c>
      <c r="AC15" s="148">
        <f t="shared" si="18"/>
        <v>15.898631390642663</v>
      </c>
      <c r="AD15" s="149">
        <f>AB15-AC15</f>
        <v>-4.8611386243418551</v>
      </c>
      <c r="AE15" s="222">
        <f>AD15/AC15</f>
        <v>-0.3057583074227973</v>
      </c>
      <c r="AF15" s="120"/>
      <c r="AG15" s="149">
        <f t="shared" si="18"/>
        <v>2.2350437926862634</v>
      </c>
      <c r="AH15" s="148">
        <f t="shared" si="18"/>
        <v>2.0720880398938943</v>
      </c>
      <c r="AI15" s="149">
        <f>AG15-AH15</f>
        <v>0.16295575279236907</v>
      </c>
      <c r="AJ15" s="222">
        <f>AI15/AH15</f>
        <v>7.8643257262714358E-2</v>
      </c>
      <c r="AK15" s="120"/>
      <c r="AL15" s="119">
        <f t="shared" si="18"/>
        <v>26.79881581898707</v>
      </c>
      <c r="AM15" s="121">
        <f t="shared" si="18"/>
        <v>37.37532751573076</v>
      </c>
      <c r="AN15" s="119">
        <f>AL15-AM15</f>
        <v>-10.57651169674369</v>
      </c>
      <c r="AO15" s="217">
        <f>AN15/AM15</f>
        <v>-0.28298111079540861</v>
      </c>
      <c r="AQ15" s="119">
        <f>SUM(AQ17:AQ17)</f>
        <v>3.0445641600000002</v>
      </c>
      <c r="AR15" s="121">
        <f>SUM(AR17:AR17)</f>
        <v>3.5916666666666668</v>
      </c>
      <c r="AS15" s="119">
        <f>AQ15-AR15</f>
        <v>-0.5471025066666666</v>
      </c>
      <c r="AT15" s="217">
        <f>AS15/AR15</f>
        <v>-0.15232552389791182</v>
      </c>
      <c r="AU15" s="115"/>
      <c r="AV15" s="119">
        <f>SUM(AV17:AV17)</f>
        <v>3.0293946564000001</v>
      </c>
      <c r="AW15" s="121">
        <f>SUM(AW17:AW17)</f>
        <v>3.8166666666666664</v>
      </c>
      <c r="AX15" s="119">
        <f>AV15-AW15</f>
        <v>-0.78727201026666638</v>
      </c>
      <c r="AY15" s="217">
        <f>AX15/AW15</f>
        <v>-0.20627214242794753</v>
      </c>
      <c r="AZ15" s="115"/>
      <c r="BA15" s="119">
        <f>SUM(BA17:BA17)</f>
        <v>6.0739588164000002</v>
      </c>
      <c r="BB15" s="121">
        <f>SUM(BB17:BB17)</f>
        <v>7.4083333333333332</v>
      </c>
      <c r="BC15" s="119">
        <f>BA15-BB15</f>
        <v>-1.334374516933333</v>
      </c>
      <c r="BD15" s="217">
        <f>BC15/BB15</f>
        <v>-0.18011804503037115</v>
      </c>
      <c r="BF15" s="119">
        <f>SUM(BF17:BF17)</f>
        <v>13.526279259999999</v>
      </c>
      <c r="BG15" s="121">
        <f>SUM(BG17:BG17)</f>
        <v>17.958333333333336</v>
      </c>
      <c r="BH15" s="119">
        <f>BF15-BG15</f>
        <v>-4.4320540733333367</v>
      </c>
      <c r="BI15" s="217">
        <f>BH15/BG15</f>
        <v>-0.2467965145243621</v>
      </c>
      <c r="BJ15" s="115"/>
      <c r="BK15" s="119">
        <f>SUM(BK17:BK17)</f>
        <v>13.272536558987072</v>
      </c>
      <c r="BL15" s="121">
        <f>SUM(BL17:BL17)</f>
        <v>19.083333333333332</v>
      </c>
      <c r="BM15" s="119">
        <f>BK15-BL15</f>
        <v>-5.8107967743462599</v>
      </c>
      <c r="BN15" s="222">
        <f>BM15/BL15</f>
        <v>-0.30449590083910533</v>
      </c>
      <c r="BO15" s="115"/>
      <c r="BP15" s="119">
        <f>SUM(BP17:BP17)</f>
        <v>26.798815818987073</v>
      </c>
      <c r="BQ15" s="121">
        <f>SUM(BQ17:BQ17)</f>
        <v>37.041666666666671</v>
      </c>
      <c r="BR15" s="119">
        <f>BP15-BQ15</f>
        <v>-10.242850847679598</v>
      </c>
      <c r="BS15" s="217">
        <f>BR15/BQ15</f>
        <v>-0.27652240758640084</v>
      </c>
    </row>
    <row r="16" spans="2:71" x14ac:dyDescent="0.3">
      <c r="B16" s="86" t="s">
        <v>87</v>
      </c>
      <c r="C16" s="136">
        <f t="shared" ref="C16:D16" si="19">C15/C13</f>
        <v>0.71199799940064878</v>
      </c>
      <c r="D16" s="136">
        <f t="shared" si="19"/>
        <v>0.74364266508124033</v>
      </c>
      <c r="E16" s="137">
        <f>C16-D16</f>
        <v>-3.1644665680591544E-2</v>
      </c>
      <c r="F16" s="105"/>
      <c r="G16" s="103"/>
      <c r="H16" s="136">
        <f t="shared" ref="H16:I16" si="20">H15/H13</f>
        <v>0.54963619184185819</v>
      </c>
      <c r="I16" s="136">
        <f t="shared" si="20"/>
        <v>0.60006722748493924</v>
      </c>
      <c r="J16" s="137">
        <f>H16-I16</f>
        <v>-5.0431035643081046E-2</v>
      </c>
      <c r="K16" s="105"/>
      <c r="L16" s="104"/>
      <c r="M16" s="136">
        <f t="shared" ref="M16:N16" si="21">M15/M13</f>
        <v>0.44572236153703182</v>
      </c>
      <c r="N16" s="136">
        <f t="shared" si="21"/>
        <v>0.46317588698610779</v>
      </c>
      <c r="O16" s="137">
        <f>M16-N16</f>
        <v>-1.7453525449075968E-2</v>
      </c>
      <c r="P16" s="102"/>
      <c r="Q16" s="104"/>
      <c r="R16" s="136">
        <f t="shared" ref="R16:S16" si="22">R15/R13</f>
        <v>0.60411553575489296</v>
      </c>
      <c r="S16" s="136">
        <f t="shared" si="22"/>
        <v>0.66750756592819716</v>
      </c>
      <c r="T16" s="137">
        <f>R16-S16</f>
        <v>-6.3392030173304192E-2</v>
      </c>
      <c r="U16" s="102"/>
      <c r="V16" s="184"/>
      <c r="W16" s="102">
        <f t="shared" ref="W16:X16" si="23">W15/W13</f>
        <v>0.76378905196715474</v>
      </c>
      <c r="X16" s="101">
        <f t="shared" si="23"/>
        <v>0.76821217130438257</v>
      </c>
      <c r="Y16" s="101">
        <f>W16-X16</f>
        <v>-4.4231193372278321E-3</v>
      </c>
      <c r="Z16" s="102"/>
      <c r="AA16" s="103"/>
      <c r="AB16" s="101">
        <f t="shared" ref="AB16:AC16" si="24">AB15/AB13</f>
        <v>0.57168785887155071</v>
      </c>
      <c r="AC16" s="105">
        <f t="shared" si="24"/>
        <v>0.6104459838450762</v>
      </c>
      <c r="AD16" s="101">
        <f>AB16-AC16</f>
        <v>-3.8758124973525487E-2</v>
      </c>
      <c r="AE16" s="105"/>
      <c r="AF16" s="104"/>
      <c r="AG16" s="101">
        <f t="shared" ref="AG16:AH16" si="25">AG15/AG13</f>
        <v>0.4558405764116798</v>
      </c>
      <c r="AH16" s="105">
        <f t="shared" si="25"/>
        <v>0.46928181692371118</v>
      </c>
      <c r="AI16" s="101">
        <f>AG16-AH16</f>
        <v>-1.3441240512031383E-2</v>
      </c>
      <c r="AJ16" s="105"/>
      <c r="AK16" s="104"/>
      <c r="AL16" s="101">
        <f t="shared" ref="AL16:AM16" si="26">AL15/AL13</f>
        <v>0.63929354957522622</v>
      </c>
      <c r="AM16" s="105">
        <f t="shared" si="26"/>
        <v>0.67078038169094012</v>
      </c>
      <c r="AN16" s="101">
        <f>AL16-AM16</f>
        <v>-3.1486832115713903E-2</v>
      </c>
      <c r="AO16" s="102"/>
      <c r="AQ16" s="101">
        <f>AQ15/AQ13</f>
        <v>0.71199799940064878</v>
      </c>
      <c r="AR16" s="105">
        <f>AR15/AR13</f>
        <v>0.7696428571428573</v>
      </c>
      <c r="AS16" s="101">
        <f>AQ16-AR16</f>
        <v>-5.7644857742208511E-2</v>
      </c>
      <c r="AT16" s="102"/>
      <c r="AU16" s="103"/>
      <c r="AV16" s="101">
        <f>AV15/AV13</f>
        <v>0.52427865916786776</v>
      </c>
      <c r="AW16" s="105">
        <f>AW15/AW13</f>
        <v>0.61066666666666658</v>
      </c>
      <c r="AX16" s="101">
        <f>AV16-AW16</f>
        <v>-8.6388007498798824E-2</v>
      </c>
      <c r="AY16" s="102"/>
      <c r="AZ16" s="103"/>
      <c r="BA16" s="101">
        <f>BA15/BA13</f>
        <v>0.60411553575489285</v>
      </c>
      <c r="BB16" s="105">
        <f>BB15/BB13</f>
        <v>0.67862595419847327</v>
      </c>
      <c r="BC16" s="101">
        <f>BA16-BB16</f>
        <v>-7.4510418443580417E-2</v>
      </c>
      <c r="BD16" s="102"/>
      <c r="BF16" s="101">
        <f>BF15/BF13</f>
        <v>0.76378905196715474</v>
      </c>
      <c r="BG16" s="105">
        <f>BG15/BG13</f>
        <v>0.7696428571428573</v>
      </c>
      <c r="BH16" s="101">
        <f>BF16-BG16</f>
        <v>-5.8538051757025533E-3</v>
      </c>
      <c r="BI16" s="102"/>
      <c r="BJ16" s="103"/>
      <c r="BK16" s="101">
        <f>BK15/BK13</f>
        <v>0.54822588672366079</v>
      </c>
      <c r="BL16" s="105">
        <f>BL15/BL13</f>
        <v>0.61066666666666658</v>
      </c>
      <c r="BM16" s="101">
        <f>BK16-BL16</f>
        <v>-6.2440779943005786E-2</v>
      </c>
      <c r="BN16" s="105"/>
      <c r="BO16" s="103"/>
      <c r="BP16" s="101">
        <f>BP15/BP13</f>
        <v>0.63929354957522633</v>
      </c>
      <c r="BQ16" s="105">
        <f>BQ15/BQ13</f>
        <v>0.67862595419847338</v>
      </c>
      <c r="BR16" s="101">
        <f>BP16-BQ16</f>
        <v>-3.9332404623247053E-2</v>
      </c>
      <c r="BS16" s="102"/>
    </row>
    <row r="17" spans="2:72" x14ac:dyDescent="0.3">
      <c r="B17" s="86" t="s">
        <v>88</v>
      </c>
      <c r="C17" s="87">
        <f>'P&amp;L Brand wise'!C32/10^7</f>
        <v>3.0445641600000002</v>
      </c>
      <c r="D17" s="87">
        <f>'P&amp;L Brand wise'!H32/10^7</f>
        <v>5.6749138712908582</v>
      </c>
      <c r="E17" s="94">
        <f>C17-D17</f>
        <v>-2.630349711290858</v>
      </c>
      <c r="F17" s="219">
        <f>E17/D17</f>
        <v>-0.46350478103248094</v>
      </c>
      <c r="G17" s="99"/>
      <c r="H17" s="87">
        <f>'P&amp;L Brand wise'!D32/10^7</f>
        <v>2.4009142564000001</v>
      </c>
      <c r="I17" s="87">
        <f>'P&amp;L Brand wise'!I32/10^7</f>
        <v>3.4669227740074917</v>
      </c>
      <c r="J17" s="94">
        <f>H17-I17</f>
        <v>-1.0660085176074916</v>
      </c>
      <c r="K17" s="219">
        <f>J17/I17</f>
        <v>-0.30747974128517119</v>
      </c>
      <c r="L17" s="96"/>
      <c r="M17" s="87">
        <f>'P&amp;L Brand wise'!E32/10^7</f>
        <v>0.62848040000000005</v>
      </c>
      <c r="N17" s="87">
        <f>'P&amp;L Brand wise'!J32/10^7</f>
        <v>0.43378234485985384</v>
      </c>
      <c r="O17" s="94">
        <f>M17-N17</f>
        <v>0.19469805514014621</v>
      </c>
      <c r="P17" s="214">
        <f>O17/N17</f>
        <v>0.44883812687915908</v>
      </c>
      <c r="Q17" s="96"/>
      <c r="R17" s="87">
        <f>C17+H17+M17</f>
        <v>6.0739588164000002</v>
      </c>
      <c r="S17" s="87">
        <f>D17+I17+N17</f>
        <v>9.5756189901582029</v>
      </c>
      <c r="T17" s="94">
        <f>R17-S17</f>
        <v>-3.5016601737582027</v>
      </c>
      <c r="U17" s="214">
        <f>T17/S17</f>
        <v>-0.36568499408311883</v>
      </c>
      <c r="V17" s="182"/>
      <c r="W17" s="97">
        <f>'P&amp;L Brand wise'!R32/10^7</f>
        <v>13.526279259999999</v>
      </c>
      <c r="X17" s="87">
        <f>'P&amp;L Brand wise'!W32/10^7</f>
        <v>19.404608085194202</v>
      </c>
      <c r="Y17" s="98">
        <f>W17-X17</f>
        <v>-5.8783288251942025</v>
      </c>
      <c r="Z17" s="214">
        <f>Y17/X17</f>
        <v>-0.30293468434847659</v>
      </c>
      <c r="AA17" s="99"/>
      <c r="AB17" s="87">
        <f>'P&amp;L Brand wise'!S32/10^7</f>
        <v>11.037492766300808</v>
      </c>
      <c r="AC17" s="91">
        <f>'P&amp;L Brand wise'!X32/10^7</f>
        <v>15.898631390642663</v>
      </c>
      <c r="AD17" s="98">
        <f>AB17-AC17</f>
        <v>-4.8611386243418551</v>
      </c>
      <c r="AE17" s="219">
        <f>AD17/AC17</f>
        <v>-0.3057583074227973</v>
      </c>
      <c r="AF17" s="124"/>
      <c r="AG17" s="87">
        <f>'P&amp;L Brand wise'!T32/10^7</f>
        <v>2.2350437926862634</v>
      </c>
      <c r="AH17" s="87">
        <f>'P&amp;L Brand wise'!Y32/10^7</f>
        <v>2.0720880398938943</v>
      </c>
      <c r="AI17" s="98">
        <f>AG17-AH17</f>
        <v>0.16295575279236907</v>
      </c>
      <c r="AJ17" s="219">
        <f>AI17/AH17</f>
        <v>7.8643257262714358E-2</v>
      </c>
      <c r="AK17" s="124"/>
      <c r="AL17" s="122">
        <f>AG17+AB17+W17</f>
        <v>26.79881581898707</v>
      </c>
      <c r="AM17" s="125">
        <f>AH17+AC17+X17</f>
        <v>37.37532751573076</v>
      </c>
      <c r="AN17" s="126">
        <f>AL17-AM17</f>
        <v>-10.57651169674369</v>
      </c>
      <c r="AO17" s="214">
        <f>AN17/AM17</f>
        <v>-0.28298111079540861</v>
      </c>
      <c r="AQ17" s="122">
        <f>C17</f>
        <v>3.0445641600000002</v>
      </c>
      <c r="AR17" s="125">
        <v>3.5916666666666668</v>
      </c>
      <c r="AS17" s="126">
        <f>AQ17-AR17</f>
        <v>-0.5471025066666666</v>
      </c>
      <c r="AT17" s="214">
        <f>AS17/AR17</f>
        <v>-0.15232552389791182</v>
      </c>
      <c r="AU17" s="123"/>
      <c r="AV17" s="122">
        <f>H17+M17</f>
        <v>3.0293946564000001</v>
      </c>
      <c r="AW17" s="125">
        <v>3.8166666666666664</v>
      </c>
      <c r="AX17" s="126">
        <f>AV17-AW17</f>
        <v>-0.78727201026666638</v>
      </c>
      <c r="AY17" s="214">
        <f>AX17/AW17</f>
        <v>-0.20627214242794753</v>
      </c>
      <c r="AZ17" s="123"/>
      <c r="BA17" s="122">
        <f>AQ17+AV17</f>
        <v>6.0739588164000002</v>
      </c>
      <c r="BB17" s="125">
        <f>AR17+AW17</f>
        <v>7.4083333333333332</v>
      </c>
      <c r="BC17" s="126">
        <f>BA17-BB17</f>
        <v>-1.334374516933333</v>
      </c>
      <c r="BD17" s="214">
        <f>BC17/BB17</f>
        <v>-0.18011804503037115</v>
      </c>
      <c r="BF17" s="122">
        <f>'P&amp;L Brand wise'!R32/10^7</f>
        <v>13.526279259999999</v>
      </c>
      <c r="BG17" s="125">
        <f>AR17*5</f>
        <v>17.958333333333336</v>
      </c>
      <c r="BH17" s="126">
        <f>BF17-BG17</f>
        <v>-4.4320540733333367</v>
      </c>
      <c r="BI17" s="214">
        <f>BH17/BG17</f>
        <v>-0.2467965145243621</v>
      </c>
      <c r="BJ17" s="123"/>
      <c r="BK17" s="122">
        <f>('P&amp;L Brand wise'!S32+'P&amp;L Brand wise'!T32)/10^7</f>
        <v>13.272536558987072</v>
      </c>
      <c r="BL17" s="125">
        <f>AW17*5</f>
        <v>19.083333333333332</v>
      </c>
      <c r="BM17" s="126">
        <f>BK17-BL17</f>
        <v>-5.8107967743462599</v>
      </c>
      <c r="BN17" s="219">
        <f>BM17/BL17</f>
        <v>-0.30449590083910533</v>
      </c>
      <c r="BO17" s="123"/>
      <c r="BP17" s="122">
        <f>BF17+BK17</f>
        <v>26.798815818987073</v>
      </c>
      <c r="BQ17" s="125">
        <f>BG17+BL17</f>
        <v>37.041666666666671</v>
      </c>
      <c r="BR17" s="126">
        <f>BP17-BQ17</f>
        <v>-10.242850847679598</v>
      </c>
      <c r="BS17" s="214">
        <f>BR17/BQ17</f>
        <v>-0.27652240758640084</v>
      </c>
    </row>
    <row r="18" spans="2:72" x14ac:dyDescent="0.3">
      <c r="B18" s="86" t="s">
        <v>89</v>
      </c>
      <c r="C18" s="106">
        <f>(C15*10^7)/(C5*10^6)</f>
        <v>33.362527367763569</v>
      </c>
      <c r="D18" s="106">
        <f>(D15*10^7)/(D5*10^6)</f>
        <v>33.145880612832805</v>
      </c>
      <c r="E18" s="107">
        <f>C18-D18</f>
        <v>0.21664675493076402</v>
      </c>
      <c r="F18" s="220">
        <f>E18/D18</f>
        <v>6.5361592730436239E-3</v>
      </c>
      <c r="G18" s="108"/>
      <c r="H18" s="232">
        <f>(H15*10^7)/(H5*10^6)</f>
        <v>4.8783370335652538</v>
      </c>
      <c r="I18" s="232">
        <f>(I15*10^7)/(I5*10^6)</f>
        <v>5.6481308719310483</v>
      </c>
      <c r="J18" s="107">
        <f>H18-I18</f>
        <v>-0.76979383836579451</v>
      </c>
      <c r="K18" s="220">
        <f>J18/I18</f>
        <v>-0.13629178498525274</v>
      </c>
      <c r="L18" s="109"/>
      <c r="M18" s="232">
        <f>(M15*10^7)/(M5*10^6)</f>
        <v>4.1991775101474946</v>
      </c>
      <c r="N18" s="232">
        <f>(N15*10^7)/(N5*10^6)</f>
        <v>4.6163926035578218</v>
      </c>
      <c r="O18" s="107">
        <f>M18-N18</f>
        <v>-0.41721509341032714</v>
      </c>
      <c r="P18" s="215">
        <f>O18/N18</f>
        <v>-9.037686549640131E-2</v>
      </c>
      <c r="Q18" s="109"/>
      <c r="R18" s="232">
        <f>(R15*10^7)/(R5*10^6)</f>
        <v>8.2855012898678702</v>
      </c>
      <c r="S18" s="232">
        <f>(S15*10^7)/(S5*10^6)</f>
        <v>10.893843853977462</v>
      </c>
      <c r="T18" s="107">
        <f>R18-S18</f>
        <v>-2.6083425641095914</v>
      </c>
      <c r="U18" s="215">
        <f>T18/S18</f>
        <v>-0.23943271071920652</v>
      </c>
      <c r="V18" s="186"/>
      <c r="W18" s="107">
        <f>(W15*10^7)/(W5*10^6)</f>
        <v>36.062287965411358</v>
      </c>
      <c r="X18" s="106">
        <f>(X15*10^7)/(X5*10^6)</f>
        <v>35.465539896066474</v>
      </c>
      <c r="Y18" s="106">
        <f>W18-X18</f>
        <v>0.59674806934488345</v>
      </c>
      <c r="Z18" s="215">
        <f>Y18/X18</f>
        <v>1.682613802281548E-2</v>
      </c>
      <c r="AA18" s="108"/>
      <c r="AB18" s="106">
        <f>(AB15*10^7)/(AB5*10^6)</f>
        <v>5.0088311213409105</v>
      </c>
      <c r="AC18" s="110">
        <f>(AC15*10^7)/(AC5*10^6)</f>
        <v>5.4037402937795092</v>
      </c>
      <c r="AD18" s="106">
        <f>AB18-AC18</f>
        <v>-0.39490917243859869</v>
      </c>
      <c r="AE18" s="220">
        <f>AD18/AC18</f>
        <v>-7.30807090957344E-2</v>
      </c>
      <c r="AF18" s="109"/>
      <c r="AG18" s="106">
        <f>(AG15*10^7)/(AG5*10^6)</f>
        <v>4.3353660843028168</v>
      </c>
      <c r="AH18" s="110">
        <f>(AH15*10^7)/(AH5*10^6)</f>
        <v>4.638142319597689</v>
      </c>
      <c r="AI18" s="106">
        <f>AG18-AH18</f>
        <v>-0.30277623529487219</v>
      </c>
      <c r="AJ18" s="220">
        <f>AI18/AH18</f>
        <v>-6.5279634481146084E-2</v>
      </c>
      <c r="AK18" s="109"/>
      <c r="AL18" s="106">
        <f>(AL15*10^7)/(AL5*10^6)</f>
        <v>8.6609137509145668</v>
      </c>
      <c r="AM18" s="110">
        <f>(AM15*10^7)/(AM5*10^6)</f>
        <v>9.4956616316099804</v>
      </c>
      <c r="AN18" s="106">
        <f>AL18-AM18</f>
        <v>-0.83474788069541361</v>
      </c>
      <c r="AO18" s="215">
        <f>AN18/AM18</f>
        <v>-8.7908343102352404E-2</v>
      </c>
      <c r="AQ18" s="106">
        <f>(AQ15*10^7)/(AQ5*10^6)</f>
        <v>33.362527367763569</v>
      </c>
      <c r="AR18" s="110">
        <f>(AR15*10^7)/(AR5*10^6)</f>
        <v>31.809213114754101</v>
      </c>
      <c r="AS18" s="106">
        <f>AQ18-AR18</f>
        <v>1.5533142530094679</v>
      </c>
      <c r="AT18" s="215">
        <f>AS18/AR18</f>
        <v>4.8832212460137608E-2</v>
      </c>
      <c r="AU18" s="108"/>
      <c r="AV18" s="106">
        <f>(AV15*10^7)/(AV5*10^6)</f>
        <v>4.719963684229354</v>
      </c>
      <c r="AW18" s="110">
        <f>(AW15*10^7)/(AW5*10^6)</f>
        <v>5.5417999999999994</v>
      </c>
      <c r="AX18" s="106">
        <f>AV18-AW18</f>
        <v>-0.82183631577064542</v>
      </c>
      <c r="AY18" s="215">
        <f>AX18/AW18</f>
        <v>-0.1482977219983842</v>
      </c>
      <c r="AZ18" s="108"/>
      <c r="BA18" s="106">
        <f>(BA15*10^7)/(BA5*10^6)</f>
        <v>8.2855012898678702</v>
      </c>
      <c r="BB18" s="110">
        <f>(BB15*10^7)/(BB5*10^6)</f>
        <v>9.2417251197496224</v>
      </c>
      <c r="BC18" s="106">
        <f>BA18-BB18</f>
        <v>-0.95622382988175225</v>
      </c>
      <c r="BD18" s="215">
        <f>BC18/BB18</f>
        <v>-0.10346810984870088</v>
      </c>
      <c r="BF18" s="106">
        <f>(BF15*10^7)/(BF5*10^6)</f>
        <v>36.062287965411358</v>
      </c>
      <c r="BG18" s="110">
        <f>(BG15*10^7)/(BG5*10^6)</f>
        <v>31.809213114754108</v>
      </c>
      <c r="BH18" s="106">
        <f>BF18-BG18</f>
        <v>4.2530748506572493</v>
      </c>
      <c r="BI18" s="215">
        <f>BH18/BG18</f>
        <v>0.13370575484888497</v>
      </c>
      <c r="BJ18" s="108"/>
      <c r="BK18" s="106">
        <f>(BK15*10^7)/(BK5*10^6)</f>
        <v>4.8811451720830243</v>
      </c>
      <c r="BL18" s="110">
        <f>(BL15*10^7)/(BL5*10^6)</f>
        <v>5.5418000000000003</v>
      </c>
      <c r="BM18" s="106">
        <f>BK18-BL18</f>
        <v>-0.66065482791697594</v>
      </c>
      <c r="BN18" s="220">
        <f>BM18/BL18</f>
        <v>-0.11921304051336676</v>
      </c>
      <c r="BO18" s="108"/>
      <c r="BP18" s="106">
        <f>(BP15*10^7)/(BP5*10^6)</f>
        <v>8.6609137509145668</v>
      </c>
      <c r="BQ18" s="110">
        <f>(BQ15*10^7)/(BQ5*10^6)</f>
        <v>9.2417251197496224</v>
      </c>
      <c r="BR18" s="106">
        <f>BP18-BQ18</f>
        <v>-0.58081136883505557</v>
      </c>
      <c r="BS18" s="215">
        <f>BR18/BQ18</f>
        <v>-6.2846639702998544E-2</v>
      </c>
    </row>
    <row r="19" spans="2:72" x14ac:dyDescent="0.3">
      <c r="B19" s="86"/>
      <c r="C19" s="92"/>
      <c r="D19" s="92"/>
      <c r="E19" s="88"/>
      <c r="F19" s="169"/>
      <c r="G19" s="89"/>
      <c r="H19" s="92"/>
      <c r="I19" s="92"/>
      <c r="J19" s="88"/>
      <c r="K19" s="169"/>
      <c r="L19" s="90"/>
      <c r="M19" s="92"/>
      <c r="N19" s="92"/>
      <c r="O19" s="88"/>
      <c r="P19" s="88"/>
      <c r="Q19" s="90"/>
      <c r="R19" s="92"/>
      <c r="S19" s="92"/>
      <c r="T19" s="88"/>
      <c r="U19" s="88"/>
      <c r="V19" s="178"/>
      <c r="W19" s="88"/>
      <c r="X19" s="92"/>
      <c r="Y19" s="92"/>
      <c r="Z19" s="88"/>
      <c r="AA19" s="89"/>
      <c r="AB19" s="92"/>
      <c r="AC19" s="100"/>
      <c r="AD19" s="92"/>
      <c r="AE19" s="169"/>
      <c r="AF19" s="90"/>
      <c r="AG19" s="92"/>
      <c r="AH19" s="92"/>
      <c r="AI19" s="92"/>
      <c r="AJ19" s="169"/>
      <c r="AK19" s="90"/>
      <c r="AL19" s="92"/>
      <c r="AM19" s="100"/>
      <c r="AN19" s="92"/>
      <c r="AO19" s="88"/>
      <c r="AQ19" s="92"/>
      <c r="AR19" s="100"/>
      <c r="AS19" s="92"/>
      <c r="AT19" s="88"/>
      <c r="AU19" s="89"/>
      <c r="AV19" s="92"/>
      <c r="AW19" s="100"/>
      <c r="AX19" s="92"/>
      <c r="AY19" s="88"/>
      <c r="AZ19" s="89"/>
      <c r="BA19" s="92"/>
      <c r="BB19" s="100"/>
      <c r="BC19" s="92"/>
      <c r="BD19" s="88"/>
      <c r="BF19" s="92"/>
      <c r="BG19" s="100"/>
      <c r="BH19" s="92"/>
      <c r="BI19" s="88"/>
      <c r="BJ19" s="89"/>
      <c r="BK19" s="92"/>
      <c r="BL19" s="100"/>
      <c r="BM19" s="92"/>
      <c r="BN19" s="169"/>
      <c r="BO19" s="89"/>
      <c r="BP19" s="92"/>
      <c r="BQ19" s="100"/>
      <c r="BR19" s="92"/>
      <c r="BS19" s="88"/>
    </row>
    <row r="20" spans="2:72" x14ac:dyDescent="0.3">
      <c r="B20" s="86" t="s">
        <v>36</v>
      </c>
      <c r="C20" s="242">
        <f>'P&amp;L Brand wise'!C39/10^7</f>
        <v>0.57085738401251696</v>
      </c>
      <c r="D20" s="242">
        <f>'P&amp;L Brand wise'!H39/10^7</f>
        <v>0.89106343434402546</v>
      </c>
      <c r="E20" s="254">
        <f>C20-D20</f>
        <v>-0.32020605033150851</v>
      </c>
      <c r="F20" s="219">
        <f>E20/D20</f>
        <v>-0.35935269924664198</v>
      </c>
      <c r="G20" s="133"/>
      <c r="H20" s="242">
        <f>'P&amp;L Brand wise'!D39/10^7</f>
        <v>1.4598484532105618</v>
      </c>
      <c r="I20" s="242">
        <f>'P&amp;L Brand wise'!I39/10^7</f>
        <v>2.0397199487845779</v>
      </c>
      <c r="J20" s="254">
        <f>H20-I20</f>
        <v>-0.57987149557401607</v>
      </c>
      <c r="K20" s="219">
        <f>J20/I20</f>
        <v>-0.284289760424978</v>
      </c>
      <c r="L20" s="134"/>
      <c r="M20" s="242">
        <f>'P&amp;L Brand wise'!E39/10^7</f>
        <v>0.47123090023059006</v>
      </c>
      <c r="N20" s="242">
        <f>'P&amp;L Brand wise'!J39/10^7</f>
        <v>0.31299137913997516</v>
      </c>
      <c r="O20" s="254">
        <f>M20-N20</f>
        <v>0.1582395210906149</v>
      </c>
      <c r="P20" s="214">
        <f>O20/N20</f>
        <v>0.5055715001653367</v>
      </c>
      <c r="Q20" s="134"/>
      <c r="R20" s="242">
        <f>C20+H20+M20</f>
        <v>2.5019367374536685</v>
      </c>
      <c r="S20" s="242">
        <f>D20+I20+N20</f>
        <v>3.2437747622685786</v>
      </c>
      <c r="T20" s="254">
        <f>R20-S20</f>
        <v>-0.74183802481491012</v>
      </c>
      <c r="U20" s="214">
        <f>T20/S20</f>
        <v>-0.22869591114769494</v>
      </c>
      <c r="V20" s="190"/>
      <c r="W20" s="255">
        <f>'P&amp;L Brand wise'!R39/10^7</f>
        <v>2.4558040801756325</v>
      </c>
      <c r="X20" s="242">
        <f>'P&amp;L Brand wise'!W39/10^7</f>
        <v>3.3777615851286202</v>
      </c>
      <c r="Y20" s="243">
        <f>W20-X20</f>
        <v>-0.92195750495298778</v>
      </c>
      <c r="Z20" s="214">
        <f>Y20/X20</f>
        <v>-0.27294925403027848</v>
      </c>
      <c r="AA20" s="133"/>
      <c r="AB20" s="242">
        <f>'P&amp;L Brand wise'!S39/10^7</f>
        <v>6.9462296744478342</v>
      </c>
      <c r="AC20" s="242">
        <f>'P&amp;L Brand wise'!X39/10^7</f>
        <v>9.1461948987814718</v>
      </c>
      <c r="AD20" s="243">
        <f>AB20-AC20</f>
        <v>-2.1999652243336376</v>
      </c>
      <c r="AE20" s="219">
        <f>AD20/AC20</f>
        <v>-0.24053338559696932</v>
      </c>
      <c r="AF20" s="134"/>
      <c r="AG20" s="243">
        <f>'P&amp;L Brand wise'!T39/10^7</f>
        <v>1.7621892202911318</v>
      </c>
      <c r="AH20" s="243">
        <f>'P&amp;L Brand wise'!Y39/10^7</f>
        <v>1.4756417102883714</v>
      </c>
      <c r="AI20" s="243">
        <f>AG20-AH20</f>
        <v>0.28654751000276035</v>
      </c>
      <c r="AJ20" s="219">
        <f>AI20/AH20</f>
        <v>0.19418501659644938</v>
      </c>
      <c r="AK20" s="134"/>
      <c r="AL20" s="132">
        <f>AG20+AB20+W20</f>
        <v>11.164222974914598</v>
      </c>
      <c r="AM20" s="132">
        <f t="shared" ref="AM20" si="27">AH20+AC20+X20</f>
        <v>13.999598194198464</v>
      </c>
      <c r="AN20" s="135">
        <f>AL20-AM20</f>
        <v>-2.8353752192838666</v>
      </c>
      <c r="AO20" s="214">
        <f>AN20/AM20</f>
        <v>-0.20253261414737367</v>
      </c>
      <c r="AQ20" s="132">
        <f>C20</f>
        <v>0.57085738401251696</v>
      </c>
      <c r="AR20" s="132">
        <v>0.623</v>
      </c>
      <c r="AS20" s="135">
        <f>AQ20-AR20</f>
        <v>-5.2142615987483043E-2</v>
      </c>
      <c r="AT20" s="214">
        <f>AS20/AR20</f>
        <v>-8.3696012821000074E-2</v>
      </c>
      <c r="AU20" s="133"/>
      <c r="AV20" s="132">
        <f>H20+M20</f>
        <v>1.9310793534411519</v>
      </c>
      <c r="AW20" s="132">
        <v>2.0887500000000001</v>
      </c>
      <c r="AX20" s="135">
        <f>AV20-AW20</f>
        <v>-0.15767064655884822</v>
      </c>
      <c r="AY20" s="214">
        <f>AX20/AW20</f>
        <v>-7.5485647664319908E-2</v>
      </c>
      <c r="AZ20" s="133"/>
      <c r="BA20" s="132">
        <f>AQ20+AV20</f>
        <v>2.501936737453669</v>
      </c>
      <c r="BB20" s="132">
        <f>AR20+AW20</f>
        <v>2.7117500000000003</v>
      </c>
      <c r="BC20" s="135">
        <f>BA20-BB20</f>
        <v>-0.20981326254633137</v>
      </c>
      <c r="BD20" s="214">
        <f>BC20/BB20</f>
        <v>-7.7371904691188848E-2</v>
      </c>
      <c r="BF20" s="132">
        <f>'P&amp;L Brand wise'!R39/10^7</f>
        <v>2.4558040801756325</v>
      </c>
      <c r="BG20" s="132">
        <f>AR20*5</f>
        <v>3.1150000000000002</v>
      </c>
      <c r="BH20" s="135">
        <f>BF20-BG20</f>
        <v>-0.65919591982436776</v>
      </c>
      <c r="BI20" s="214">
        <f>BH20/BG20</f>
        <v>-0.21161987795324808</v>
      </c>
      <c r="BJ20" s="133"/>
      <c r="BK20" s="132">
        <f>('P&amp;L Brand wise'!S39+'P&amp;L Brand wise'!T39)/10^7</f>
        <v>8.7084188947389656</v>
      </c>
      <c r="BL20" s="132">
        <f>AW20*5</f>
        <v>10.443750000000001</v>
      </c>
      <c r="BM20" s="135">
        <f>BK20-BL20</f>
        <v>-1.7353311052610358</v>
      </c>
      <c r="BN20" s="219">
        <f>BM20/BL20</f>
        <v>-0.16615977070123619</v>
      </c>
      <c r="BO20" s="133"/>
      <c r="BP20" s="132">
        <f>BF20+BK20</f>
        <v>11.164222974914598</v>
      </c>
      <c r="BQ20" s="132">
        <f>BG20+BL20</f>
        <v>13.558750000000002</v>
      </c>
      <c r="BR20" s="135">
        <f>BP20-BQ20</f>
        <v>-2.394527025085404</v>
      </c>
      <c r="BS20" s="214">
        <f>BR20/BQ20</f>
        <v>-0.1766038185736446</v>
      </c>
      <c r="BT20" t="s">
        <v>92</v>
      </c>
    </row>
    <row r="21" spans="2:72" x14ac:dyDescent="0.3">
      <c r="B21" s="86" t="s">
        <v>11</v>
      </c>
      <c r="C21" s="243">
        <f>C20</f>
        <v>0.57085738401251696</v>
      </c>
      <c r="D21" s="243">
        <f>D20</f>
        <v>0.89106343434402546</v>
      </c>
      <c r="E21" s="254">
        <f>C21-D21</f>
        <v>-0.32020605033150851</v>
      </c>
      <c r="F21" s="219">
        <f>E21/D21</f>
        <v>-0.35935269924664198</v>
      </c>
      <c r="G21" s="133"/>
      <c r="H21" s="243">
        <f>H20</f>
        <v>1.4598484532105618</v>
      </c>
      <c r="I21" s="243">
        <f>I20</f>
        <v>2.0397199487845779</v>
      </c>
      <c r="J21" s="254">
        <f>H21-I21</f>
        <v>-0.57987149557401607</v>
      </c>
      <c r="K21" s="219">
        <f>J21/I21</f>
        <v>-0.284289760424978</v>
      </c>
      <c r="L21" s="134"/>
      <c r="M21" s="243">
        <f>M20</f>
        <v>0.47123090023059006</v>
      </c>
      <c r="N21" s="243">
        <f>N20</f>
        <v>0.31299137913997516</v>
      </c>
      <c r="O21" s="254">
        <f>M21-N21</f>
        <v>0.1582395210906149</v>
      </c>
      <c r="P21" s="214">
        <f>O21/N21</f>
        <v>0.5055715001653367</v>
      </c>
      <c r="Q21" s="134"/>
      <c r="R21" s="243">
        <f>R20</f>
        <v>2.5019367374536685</v>
      </c>
      <c r="S21" s="243">
        <f>S20</f>
        <v>3.2437747622685786</v>
      </c>
      <c r="T21" s="254">
        <f>R21-S21</f>
        <v>-0.74183802481491012</v>
      </c>
      <c r="U21" s="214">
        <f>T21/S21</f>
        <v>-0.22869591114769494</v>
      </c>
      <c r="V21" s="190"/>
      <c r="W21" s="254">
        <f>W20</f>
        <v>2.4558040801756325</v>
      </c>
      <c r="X21" s="243">
        <f>X20</f>
        <v>3.3777615851286202</v>
      </c>
      <c r="Y21" s="243">
        <f>W21-X21</f>
        <v>-0.92195750495298778</v>
      </c>
      <c r="Z21" s="214">
        <f>Y21/X21</f>
        <v>-0.27294925403027848</v>
      </c>
      <c r="AA21" s="133"/>
      <c r="AB21" s="243">
        <f>AB20</f>
        <v>6.9462296744478342</v>
      </c>
      <c r="AC21" s="243">
        <f>AC20</f>
        <v>9.1461948987814718</v>
      </c>
      <c r="AD21" s="243">
        <f>AB21-AC21</f>
        <v>-2.1999652243336376</v>
      </c>
      <c r="AE21" s="219">
        <f>AD21/AC21</f>
        <v>-0.24053338559696932</v>
      </c>
      <c r="AF21" s="134"/>
      <c r="AG21" s="243">
        <f>AG20</f>
        <v>1.7621892202911318</v>
      </c>
      <c r="AH21" s="243">
        <f>AH20</f>
        <v>1.4756417102883714</v>
      </c>
      <c r="AI21" s="243">
        <f>AG21-AH21</f>
        <v>0.28654751000276035</v>
      </c>
      <c r="AJ21" s="219">
        <f>AI21/AH21</f>
        <v>0.19418501659644938</v>
      </c>
      <c r="AK21" s="134"/>
      <c r="AL21" s="135">
        <f>AL20</f>
        <v>11.164222974914598</v>
      </c>
      <c r="AM21" s="135">
        <f>AM20</f>
        <v>13.999598194198464</v>
      </c>
      <c r="AN21" s="135">
        <f>AL21-AM21</f>
        <v>-2.8353752192838666</v>
      </c>
      <c r="AO21" s="214">
        <f>AN21/AM21</f>
        <v>-0.20253261414737367</v>
      </c>
      <c r="AQ21" s="135">
        <f>AQ20</f>
        <v>0.57085738401251696</v>
      </c>
      <c r="AR21" s="135">
        <f>AR20</f>
        <v>0.623</v>
      </c>
      <c r="AS21" s="135">
        <f>AQ21-AR21</f>
        <v>-5.2142615987483043E-2</v>
      </c>
      <c r="AT21" s="214">
        <f>AS21/AR21</f>
        <v>-8.3696012821000074E-2</v>
      </c>
      <c r="AU21" s="133"/>
      <c r="AV21" s="135">
        <f>AV20</f>
        <v>1.9310793534411519</v>
      </c>
      <c r="AW21" s="135">
        <f>AW20</f>
        <v>2.0887500000000001</v>
      </c>
      <c r="AX21" s="135">
        <f>AV21-AW21</f>
        <v>-0.15767064655884822</v>
      </c>
      <c r="AY21" s="214">
        <f>AX21/AW21</f>
        <v>-7.5485647664319908E-2</v>
      </c>
      <c r="AZ21" s="133"/>
      <c r="BA21" s="135">
        <f>BA20</f>
        <v>2.501936737453669</v>
      </c>
      <c r="BB21" s="135">
        <f>BB20</f>
        <v>2.7117500000000003</v>
      </c>
      <c r="BC21" s="135">
        <f>BA21-BB21</f>
        <v>-0.20981326254633137</v>
      </c>
      <c r="BD21" s="214">
        <f>BC21/BB21</f>
        <v>-7.7371904691188848E-2</v>
      </c>
      <c r="BF21" s="135">
        <f>BF20</f>
        <v>2.4558040801756325</v>
      </c>
      <c r="BG21" s="135">
        <f>BG20</f>
        <v>3.1150000000000002</v>
      </c>
      <c r="BH21" s="135">
        <f>BF21-BG21</f>
        <v>-0.65919591982436776</v>
      </c>
      <c r="BI21" s="214">
        <f>BH21/BG21</f>
        <v>-0.21161987795324808</v>
      </c>
      <c r="BJ21" s="133"/>
      <c r="BK21" s="135">
        <f>BK20</f>
        <v>8.7084188947389656</v>
      </c>
      <c r="BL21" s="135">
        <f>BL20</f>
        <v>10.443750000000001</v>
      </c>
      <c r="BM21" s="135">
        <f>BK21-BL21</f>
        <v>-1.7353311052610358</v>
      </c>
      <c r="BN21" s="219">
        <f>BM21/BL21</f>
        <v>-0.16615977070123619</v>
      </c>
      <c r="BO21" s="133"/>
      <c r="BP21" s="135">
        <f>BP20</f>
        <v>11.164222974914598</v>
      </c>
      <c r="BQ21" s="135">
        <f>BQ20</f>
        <v>13.558750000000002</v>
      </c>
      <c r="BR21" s="135">
        <f>BP21-BQ21</f>
        <v>-2.394527025085404</v>
      </c>
      <c r="BS21" s="214">
        <f>BR21/BQ21</f>
        <v>-0.1766038185736446</v>
      </c>
      <c r="BT21" t="s">
        <v>93</v>
      </c>
    </row>
    <row r="22" spans="2:72" x14ac:dyDescent="0.3">
      <c r="B22" s="86" t="s">
        <v>91</v>
      </c>
      <c r="C22" s="136">
        <f>C21/C13</f>
        <v>0.13350000000000001</v>
      </c>
      <c r="D22" s="136">
        <f>D21/D13</f>
        <v>0.11676525883930403</v>
      </c>
      <c r="E22" s="137">
        <f>C22-D22</f>
        <v>1.6734741160695982E-2</v>
      </c>
      <c r="F22" s="162"/>
      <c r="G22" s="166"/>
      <c r="H22" s="136">
        <f>H21/H13</f>
        <v>0.33420000000000011</v>
      </c>
      <c r="I22" s="136">
        <f>I21/I13</f>
        <v>0.35304192631267389</v>
      </c>
      <c r="J22" s="137">
        <f>H22-I22</f>
        <v>-1.8841926312673785E-2</v>
      </c>
      <c r="K22" s="162"/>
      <c r="L22" s="226"/>
      <c r="M22" s="136">
        <f>M21/M13</f>
        <v>0.3342</v>
      </c>
      <c r="N22" s="136">
        <f>N21/N13</f>
        <v>0.3342</v>
      </c>
      <c r="O22" s="137">
        <f>M22-N22</f>
        <v>0</v>
      </c>
      <c r="P22" s="137"/>
      <c r="Q22" s="139"/>
      <c r="R22" s="136">
        <f>R21/R13</f>
        <v>0.24884245979585104</v>
      </c>
      <c r="S22" s="136">
        <f>S21/S13</f>
        <v>0.22612054617112981</v>
      </c>
      <c r="T22" s="137">
        <f>R22-S22</f>
        <v>2.2721913624721229E-2</v>
      </c>
      <c r="U22" s="137"/>
      <c r="V22" s="192"/>
      <c r="W22" s="137">
        <f>W21/W13</f>
        <v>0.13867200537263022</v>
      </c>
      <c r="X22" s="136">
        <f>X21/X13</f>
        <v>0.13372275029043554</v>
      </c>
      <c r="Y22" s="136">
        <f>W22-X22</f>
        <v>4.9492550821946812E-3</v>
      </c>
      <c r="Z22" s="137"/>
      <c r="AA22" s="138"/>
      <c r="AB22" s="136">
        <f>AB21/AB13</f>
        <v>0.35978054562712147</v>
      </c>
      <c r="AC22" s="137">
        <f>AC21/AC13</f>
        <v>0.35117852639262825</v>
      </c>
      <c r="AD22" s="140">
        <f>AB22-AC22</f>
        <v>8.6020192344932189E-3</v>
      </c>
      <c r="AE22" s="162"/>
      <c r="AF22" s="226"/>
      <c r="AG22" s="136">
        <f>AG21/AG13</f>
        <v>0.35940116813483636</v>
      </c>
      <c r="AH22" s="137">
        <f>AH21/AH13</f>
        <v>0.33420000000000005</v>
      </c>
      <c r="AI22" s="140">
        <f>AG22-AH22</f>
        <v>2.5201168134836305E-2</v>
      </c>
      <c r="AJ22" s="162"/>
      <c r="AK22" s="226"/>
      <c r="AL22" s="136">
        <f>AL21/AL13</f>
        <v>0.26632578775461035</v>
      </c>
      <c r="AM22" s="137">
        <f>AM21/AM13</f>
        <v>0.25125280350444673</v>
      </c>
      <c r="AN22" s="140">
        <f>AL22-AM22</f>
        <v>1.5072984250163624E-2</v>
      </c>
      <c r="AO22" s="137"/>
      <c r="AQ22" s="136">
        <f>AQ21/AQ13</f>
        <v>0.13350000000000001</v>
      </c>
      <c r="AR22" s="137">
        <f>AR21/AR13</f>
        <v>0.13350000000000001</v>
      </c>
      <c r="AS22" s="140">
        <f>AQ22-AR22</f>
        <v>0</v>
      </c>
      <c r="AT22" s="137"/>
      <c r="AU22" s="166"/>
      <c r="AV22" s="136">
        <f>AV21/AV13</f>
        <v>0.33420000000000005</v>
      </c>
      <c r="AW22" s="137">
        <f>AW21/AW13</f>
        <v>0.3342</v>
      </c>
      <c r="AX22" s="140">
        <f>AV22-AW22</f>
        <v>0</v>
      </c>
      <c r="AY22" s="137"/>
      <c r="AZ22" s="138"/>
      <c r="BA22" s="136">
        <f>BA21/BA13</f>
        <v>0.24884245979585104</v>
      </c>
      <c r="BB22" s="137">
        <f>BB21/BB13</f>
        <v>0.24840458015267181</v>
      </c>
      <c r="BC22" s="140">
        <f>BA22-BB22</f>
        <v>4.3787964317923422E-4</v>
      </c>
      <c r="BD22" s="137"/>
      <c r="BF22" s="136">
        <f>BF21/BF13</f>
        <v>0.13867200537263022</v>
      </c>
      <c r="BG22" s="137">
        <f>BG21/BG13</f>
        <v>0.13350000000000001</v>
      </c>
      <c r="BH22" s="140">
        <f>BF22-BG22</f>
        <v>5.1720053726302118E-3</v>
      </c>
      <c r="BI22" s="137"/>
      <c r="BJ22" s="166"/>
      <c r="BK22" s="136">
        <f>BK21/BK13</f>
        <v>0.35970371219634489</v>
      </c>
      <c r="BL22" s="137">
        <f>BL21/BL13</f>
        <v>0.33420000000000005</v>
      </c>
      <c r="BM22" s="140">
        <f>BK22-BL22</f>
        <v>2.5503712196344841E-2</v>
      </c>
      <c r="BN22" s="162"/>
      <c r="BO22" s="166"/>
      <c r="BP22" s="136">
        <f>BP21/BP13</f>
        <v>0.26632578775461035</v>
      </c>
      <c r="BQ22" s="137">
        <f>BQ21/BQ13</f>
        <v>0.24840458015267181</v>
      </c>
      <c r="BR22" s="140">
        <f>BP22-BQ22</f>
        <v>1.7921207601938549E-2</v>
      </c>
      <c r="BS22" s="137"/>
    </row>
    <row r="23" spans="2:72" x14ac:dyDescent="0.3">
      <c r="B23" s="86"/>
      <c r="C23" s="92"/>
      <c r="D23" s="92"/>
      <c r="E23" s="88"/>
      <c r="F23" s="169"/>
      <c r="G23" s="89"/>
      <c r="H23" s="92"/>
      <c r="I23" s="92"/>
      <c r="J23" s="88"/>
      <c r="K23" s="169"/>
      <c r="L23" s="90"/>
      <c r="M23" s="92"/>
      <c r="N23" s="92"/>
      <c r="O23" s="88"/>
      <c r="P23" s="88"/>
      <c r="Q23" s="90"/>
      <c r="R23" s="92"/>
      <c r="S23" s="92"/>
      <c r="T23" s="88"/>
      <c r="U23" s="88"/>
      <c r="V23" s="178"/>
      <c r="W23" s="88"/>
      <c r="X23" s="92"/>
      <c r="Y23" s="92"/>
      <c r="Z23" s="88"/>
      <c r="AA23" s="89"/>
      <c r="AB23" s="92"/>
      <c r="AC23" s="100"/>
      <c r="AD23" s="92"/>
      <c r="AE23" s="169"/>
      <c r="AF23" s="90"/>
      <c r="AG23" s="92"/>
      <c r="AH23" s="92"/>
      <c r="AI23" s="92"/>
      <c r="AJ23" s="169"/>
      <c r="AK23" s="90"/>
      <c r="AL23" s="92"/>
      <c r="AM23" s="100"/>
      <c r="AN23" s="92"/>
      <c r="AO23" s="88"/>
      <c r="AQ23" s="92"/>
      <c r="AR23" s="100"/>
      <c r="AS23" s="92"/>
      <c r="AT23" s="88"/>
      <c r="AU23" s="89"/>
      <c r="AV23" s="92"/>
      <c r="AW23" s="100"/>
      <c r="AX23" s="92"/>
      <c r="AY23" s="88"/>
      <c r="AZ23" s="89"/>
      <c r="BA23" s="92"/>
      <c r="BB23" s="100"/>
      <c r="BC23" s="92"/>
      <c r="BD23" s="88"/>
      <c r="BF23" s="92"/>
      <c r="BG23" s="100"/>
      <c r="BH23" s="92"/>
      <c r="BI23" s="88"/>
      <c r="BJ23" s="89"/>
      <c r="BK23" s="92"/>
      <c r="BL23" s="100"/>
      <c r="BM23" s="92"/>
      <c r="BN23" s="169"/>
      <c r="BO23" s="89"/>
      <c r="BP23" s="92"/>
      <c r="BQ23" s="100"/>
      <c r="BR23" s="92"/>
      <c r="BS23" s="88"/>
    </row>
    <row r="24" spans="2:72" x14ac:dyDescent="0.3">
      <c r="B24" s="93" t="s">
        <v>94</v>
      </c>
      <c r="C24" s="111">
        <f>C13-C17-C21</f>
        <v>0.66066372948948271</v>
      </c>
      <c r="D24" s="111">
        <f>D13-D17-D21</f>
        <v>1.065260300495332</v>
      </c>
      <c r="E24" s="112">
        <f>C24-D24</f>
        <v>-0.40459657100584934</v>
      </c>
      <c r="F24" s="221">
        <f>E24/D24</f>
        <v>-0.37981005282719843</v>
      </c>
      <c r="G24" s="115"/>
      <c r="H24" s="111">
        <f>H13-H17-H21</f>
        <v>0.50742536103743752</v>
      </c>
      <c r="I24" s="111">
        <f>I13-I17-I21</f>
        <v>0.27091454947957105</v>
      </c>
      <c r="J24" s="112">
        <f>H24-I24</f>
        <v>0.23651081155786646</v>
      </c>
      <c r="K24" s="221">
        <f>J24/I24</f>
        <v>0.87300889528526826</v>
      </c>
      <c r="L24" s="120"/>
      <c r="M24" s="111">
        <f>M13-M17-M21</f>
        <v>0.31031533121940996</v>
      </c>
      <c r="N24" s="111">
        <f>N13-N17-N21</f>
        <v>0.18976541166736177</v>
      </c>
      <c r="O24" s="112">
        <f>M24-N24</f>
        <v>0.12054991955204819</v>
      </c>
      <c r="P24" s="216">
        <f>O24/N24</f>
        <v>0.63525759775105461</v>
      </c>
      <c r="Q24" s="129"/>
      <c r="R24" s="111">
        <f>R13-R17-R21</f>
        <v>1.4784044217463288</v>
      </c>
      <c r="S24" s="111">
        <f>S13-S17-S21</f>
        <v>1.5259402616422642</v>
      </c>
      <c r="T24" s="112">
        <f>R24-S24</f>
        <v>-4.753583989593535E-2</v>
      </c>
      <c r="U24" s="216">
        <f>T24/S24</f>
        <v>-3.1151835422951489E-2</v>
      </c>
      <c r="V24" s="194"/>
      <c r="W24" s="111">
        <f>W13-W17-W21</f>
        <v>1.7273604194105832</v>
      </c>
      <c r="X24" s="111">
        <f>X13-X17-X21</f>
        <v>2.4770688155921161</v>
      </c>
      <c r="Y24" s="127">
        <f>W24-X24</f>
        <v>-0.74970839618153295</v>
      </c>
      <c r="Z24" s="216">
        <f>Y24/X24</f>
        <v>-0.3026594947473526</v>
      </c>
      <c r="AA24" s="128"/>
      <c r="AB24" s="111">
        <f>AB13-AB17-AB21</f>
        <v>1.3231293578667982</v>
      </c>
      <c r="AC24" s="111">
        <f>AC13-AC17-AC21</f>
        <v>0.99946233133210249</v>
      </c>
      <c r="AD24" s="131">
        <f>AB24-AC24</f>
        <v>0.3236670265346957</v>
      </c>
      <c r="AE24" s="221">
        <f>AD24/AC24</f>
        <v>0.32384114577215339</v>
      </c>
      <c r="AF24" s="120"/>
      <c r="AG24" s="111">
        <f>AG13-AG17-AG21</f>
        <v>0.90589301033595193</v>
      </c>
      <c r="AH24" s="111">
        <f>AH13-AH17-AH21</f>
        <v>0.86771522375062227</v>
      </c>
      <c r="AI24" s="131">
        <f>AG24-AH24</f>
        <v>3.8177786585329665E-2</v>
      </c>
      <c r="AJ24" s="221">
        <f>AI24/AH24</f>
        <v>4.3998060124276213E-2</v>
      </c>
      <c r="AK24" s="120"/>
      <c r="AL24" s="111">
        <f>AL13-AL17-AL21</f>
        <v>3.9563827876133359</v>
      </c>
      <c r="AM24" s="111">
        <f>AM13-AM17-AM21</f>
        <v>4.3442463706748295</v>
      </c>
      <c r="AN24" s="131">
        <f>AL24-AM24</f>
        <v>-0.3878635830614936</v>
      </c>
      <c r="AO24" s="216">
        <f>AN24/AM24</f>
        <v>-8.9282133186484855E-2</v>
      </c>
      <c r="AQ24" s="111">
        <f>AQ13-AQ17-AQ21</f>
        <v>0.66066372948948271</v>
      </c>
      <c r="AR24" s="111">
        <f>AR13-AR17-AR21</f>
        <v>0.45199999999999929</v>
      </c>
      <c r="AS24" s="131">
        <f>AQ24-AR24</f>
        <v>0.20866372948948342</v>
      </c>
      <c r="AT24" s="216">
        <f>AS24/AR24</f>
        <v>0.46164541922452157</v>
      </c>
      <c r="AU24" s="115"/>
      <c r="AV24" s="111">
        <f>AV13-AV17-AV21</f>
        <v>0.81774069225684842</v>
      </c>
      <c r="AW24" s="111">
        <f>AW13-AW17-AW21</f>
        <v>0.34458333333333346</v>
      </c>
      <c r="AX24" s="131">
        <f>AV24-AW24</f>
        <v>0.47315735892351496</v>
      </c>
      <c r="AY24" s="216">
        <f>AX24/AW24</f>
        <v>1.373128973901373</v>
      </c>
      <c r="AZ24" s="128"/>
      <c r="BA24" s="111">
        <f>BA13-BA17-BA21</f>
        <v>1.4784044217463301</v>
      </c>
      <c r="BB24" s="111">
        <f>BB13-BB17-BB21</f>
        <v>0.79658333333333253</v>
      </c>
      <c r="BC24" s="131">
        <f>BA24-BB24</f>
        <v>0.6818210884129976</v>
      </c>
      <c r="BD24" s="216">
        <f>BC24/BB24</f>
        <v>0.85593190301872368</v>
      </c>
      <c r="BF24" s="111">
        <f>BF13-BF17-BF21</f>
        <v>1.7273604194105832</v>
      </c>
      <c r="BG24" s="111">
        <f>BG13-BG17-BG21</f>
        <v>2.2599999999999962</v>
      </c>
      <c r="BH24" s="131">
        <f>BF24-BG24</f>
        <v>-0.53263958058941308</v>
      </c>
      <c r="BI24" s="216">
        <f>BH24/BG24</f>
        <v>-0.23568123034929822</v>
      </c>
      <c r="BJ24" s="115"/>
      <c r="BK24" s="111">
        <f>BK13-BK17-BK21</f>
        <v>2.2290223682027506</v>
      </c>
      <c r="BL24" s="111">
        <f>BL13-BL17-BL21</f>
        <v>1.7229166666666664</v>
      </c>
      <c r="BM24" s="131">
        <f>BK24-BL24</f>
        <v>0.50610570153608414</v>
      </c>
      <c r="BN24" s="221">
        <f>BM24/BL24</f>
        <v>0.29374937936798118</v>
      </c>
      <c r="BO24" s="115"/>
      <c r="BP24" s="111">
        <f>BP13-BP17-BP21</f>
        <v>3.9563827876133324</v>
      </c>
      <c r="BQ24" s="111">
        <f>BQ13-BQ17-BQ21</f>
        <v>3.9829166666666556</v>
      </c>
      <c r="BR24" s="131">
        <f>BP24-BQ24</f>
        <v>-2.6533879053323162E-2</v>
      </c>
      <c r="BS24" s="216">
        <f>BR24/BQ24</f>
        <v>-6.6619217206795442E-3</v>
      </c>
    </row>
    <row r="25" spans="2:72" ht="15" thickBot="1" x14ac:dyDescent="0.35">
      <c r="B25" s="141" t="s">
        <v>91</v>
      </c>
      <c r="C25" s="247">
        <f>C24/C13</f>
        <v>0.15450200059935118</v>
      </c>
      <c r="D25" s="247">
        <f>D24/D13</f>
        <v>0.13959207607945565</v>
      </c>
      <c r="E25" s="248">
        <f>C25-D25</f>
        <v>1.4909924519895534E-2</v>
      </c>
      <c r="F25" s="163"/>
      <c r="G25" s="167"/>
      <c r="H25" s="247">
        <f>H24/H13</f>
        <v>0.11616380815814174</v>
      </c>
      <c r="I25" s="247">
        <f>I24/I13</f>
        <v>4.6890846202386829E-2</v>
      </c>
      <c r="J25" s="248">
        <f>H25-I25</f>
        <v>6.9272961955754914E-2</v>
      </c>
      <c r="K25" s="163"/>
      <c r="L25" s="227"/>
      <c r="M25" s="247">
        <f>M24/M13</f>
        <v>0.22007763846296816</v>
      </c>
      <c r="N25" s="247">
        <f>N24/N13</f>
        <v>0.20262411301389219</v>
      </c>
      <c r="O25" s="248">
        <f>M25-N25</f>
        <v>1.7453525449075968E-2</v>
      </c>
      <c r="P25" s="143"/>
      <c r="Q25" s="145"/>
      <c r="R25" s="247">
        <f>R24/R13</f>
        <v>0.14704200444925594</v>
      </c>
      <c r="S25" s="247">
        <f>S24/S13</f>
        <v>0.10637188790067301</v>
      </c>
      <c r="T25" s="248">
        <f>R25-S25</f>
        <v>4.0670116548582935E-2</v>
      </c>
      <c r="U25" s="143"/>
      <c r="V25" s="196"/>
      <c r="W25" s="248">
        <f>W24/W13</f>
        <v>9.7538942660215053E-2</v>
      </c>
      <c r="X25" s="247">
        <f>X24/X13</f>
        <v>9.8065078405181846E-2</v>
      </c>
      <c r="Y25" s="142">
        <f>W25-X25</f>
        <v>-5.2613574496679361E-4</v>
      </c>
      <c r="Z25" s="143"/>
      <c r="AA25" s="144"/>
      <c r="AB25" s="247">
        <f>AB24/AB13</f>
        <v>6.8531595501327897E-2</v>
      </c>
      <c r="AC25" s="248">
        <f>AC24/AC13</f>
        <v>3.8375489762295587E-2</v>
      </c>
      <c r="AD25" s="146">
        <f>AB25-AC25</f>
        <v>3.015610573903231E-2</v>
      </c>
      <c r="AE25" s="163"/>
      <c r="AF25" s="227"/>
      <c r="AG25" s="247">
        <f>AG24/AG13</f>
        <v>0.18475825545348387</v>
      </c>
      <c r="AH25" s="248">
        <f>AH24/AH13</f>
        <v>0.19651818307628874</v>
      </c>
      <c r="AI25" s="146">
        <f>AG25-AH25</f>
        <v>-1.1759927622804867E-2</v>
      </c>
      <c r="AJ25" s="163"/>
      <c r="AK25" s="227"/>
      <c r="AL25" s="142">
        <f>AL24/AL13</f>
        <v>9.4380662670163415E-2</v>
      </c>
      <c r="AM25" s="143">
        <f>AM24/AM13</f>
        <v>7.7966814804613177E-2</v>
      </c>
      <c r="AN25" s="146">
        <f>AL25-AM25</f>
        <v>1.6413847865550238E-2</v>
      </c>
      <c r="AO25" s="143"/>
      <c r="AQ25" s="142">
        <f>AQ24/AQ13</f>
        <v>0.15450200059935118</v>
      </c>
      <c r="AR25" s="143">
        <f>AR24/AR13</f>
        <v>9.6857142857142711E-2</v>
      </c>
      <c r="AS25" s="146">
        <f>AQ25-AR25</f>
        <v>5.7644857742208469E-2</v>
      </c>
      <c r="AT25" s="143"/>
      <c r="AU25" s="167"/>
      <c r="AV25" s="142">
        <f>AV24/AV13</f>
        <v>0.14152134083213222</v>
      </c>
      <c r="AW25" s="143">
        <f>AW24/AW13</f>
        <v>5.5133333333333354E-2</v>
      </c>
      <c r="AX25" s="146">
        <f>AV25-AW25</f>
        <v>8.6388007498798866E-2</v>
      </c>
      <c r="AY25" s="143"/>
      <c r="AZ25" s="144"/>
      <c r="BA25" s="142">
        <f>BA24/BA13</f>
        <v>0.14704200444925605</v>
      </c>
      <c r="BB25" s="143">
        <f>BB24/BB13</f>
        <v>7.2969465648854898E-2</v>
      </c>
      <c r="BC25" s="146">
        <f>BA25-BB25</f>
        <v>7.4072538800401155E-2</v>
      </c>
      <c r="BD25" s="143"/>
      <c r="BF25" s="142">
        <f>BF24/BF13</f>
        <v>9.7538942660215053E-2</v>
      </c>
      <c r="BG25" s="143">
        <f>BG24/BG13</f>
        <v>9.6857142857142697E-2</v>
      </c>
      <c r="BH25" s="146">
        <f>BF25-BG25</f>
        <v>6.8179980307235544E-4</v>
      </c>
      <c r="BI25" s="143"/>
      <c r="BJ25" s="167"/>
      <c r="BK25" s="142">
        <f>BK24/BK13</f>
        <v>9.2070401079994313E-2</v>
      </c>
      <c r="BL25" s="143">
        <f>BL24/BL13</f>
        <v>5.5133333333333326E-2</v>
      </c>
      <c r="BM25" s="146">
        <f>BK25-BL25</f>
        <v>3.6937067746660987E-2</v>
      </c>
      <c r="BN25" s="163"/>
      <c r="BO25" s="167"/>
      <c r="BP25" s="142">
        <f>BP24/BP13</f>
        <v>9.4380662670163332E-2</v>
      </c>
      <c r="BQ25" s="143">
        <f>BQ24/BQ13</f>
        <v>7.2969465648854759E-2</v>
      </c>
      <c r="BR25" s="146">
        <f>BP25-BQ25</f>
        <v>2.1411197021308573E-2</v>
      </c>
      <c r="BS25" s="143"/>
    </row>
    <row r="26" spans="2:72" x14ac:dyDescent="0.3">
      <c r="M26" s="147"/>
      <c r="N26" s="147"/>
      <c r="AV26" s="147"/>
      <c r="AW26" s="147"/>
      <c r="BK26" s="147"/>
      <c r="BL26" s="147"/>
    </row>
    <row r="27" spans="2:72" x14ac:dyDescent="0.3">
      <c r="C27" s="147">
        <f>C24*10^7</f>
        <v>6606637.2948948275</v>
      </c>
      <c r="D27" s="147">
        <f>D24*10^7</f>
        <v>10652603.004953321</v>
      </c>
      <c r="H27" s="147">
        <f>H24*10^7</f>
        <v>5074253.6103743752</v>
      </c>
      <c r="I27" s="147">
        <f>I24*10^7</f>
        <v>2709145.4947957103</v>
      </c>
      <c r="M27" s="147">
        <f>M24*10^7</f>
        <v>3103153.3121940996</v>
      </c>
      <c r="N27" s="147">
        <f>N24*10^7</f>
        <v>1897654.1166736176</v>
      </c>
      <c r="R27" s="147"/>
      <c r="S27" s="147"/>
      <c r="W27" s="147">
        <f>W24*10^7</f>
        <v>17273604.19410583</v>
      </c>
      <c r="X27" s="147">
        <f>X24*10^7</f>
        <v>24770688.155921161</v>
      </c>
      <c r="AB27" s="147">
        <f>AB24*10^7</f>
        <v>13231293.578667982</v>
      </c>
      <c r="AC27" s="147">
        <f>AC24*10^7</f>
        <v>9994623.3133210242</v>
      </c>
      <c r="AG27" s="147">
        <f>AG24*10^7</f>
        <v>9058930.1033595186</v>
      </c>
      <c r="AH27" s="147">
        <f>AH24*10^7</f>
        <v>8677152.237506222</v>
      </c>
      <c r="AL27" s="147"/>
      <c r="AM27" s="147"/>
      <c r="AQ27" s="147">
        <f>AQ24*10^7</f>
        <v>6606637.2948948275</v>
      </c>
      <c r="AR27" s="147"/>
      <c r="AV27" s="147">
        <f>AV24*10^7</f>
        <v>8177406.9225684842</v>
      </c>
      <c r="BA27" s="147"/>
      <c r="BB27" s="147"/>
      <c r="BF27" s="147">
        <f>BF24*10^7</f>
        <v>17273604.19410583</v>
      </c>
      <c r="BG27" s="147"/>
      <c r="BK27" s="147">
        <f>BK24*10^7</f>
        <v>22290223.682027504</v>
      </c>
      <c r="BP27" s="147">
        <f>BP24*10^7</f>
        <v>39563827.876133323</v>
      </c>
      <c r="BQ27" s="147"/>
    </row>
    <row r="28" spans="2:72" x14ac:dyDescent="0.3">
      <c r="C28">
        <f>'P&amp;L Brand wise'!C41</f>
        <v>6606637.2948948257</v>
      </c>
      <c r="D28">
        <f>'P&amp;L Brand wise'!H41</f>
        <v>10652603.004953319</v>
      </c>
      <c r="H28">
        <f>'P&amp;L Brand wise'!D41</f>
        <v>5074253.6103743799</v>
      </c>
      <c r="I28">
        <f>'P&amp;L Brand wise'!I41</f>
        <v>2709145.4947957098</v>
      </c>
      <c r="M28">
        <f>'P&amp;L Brand wise'!E41</f>
        <v>3103153.3121940996</v>
      </c>
      <c r="N28">
        <f>'P&amp;L Brand wise'!J41</f>
        <v>1897654.1166736186</v>
      </c>
      <c r="W28" s="147">
        <f>'P&amp;L Brand wise'!R41</f>
        <v>17273604.19410583</v>
      </c>
      <c r="X28" s="147">
        <f>'P&amp;L Brand wise'!W41</f>
        <v>24770688.155921161</v>
      </c>
      <c r="AB28" s="147">
        <f>'P&amp;L Brand wise'!S41</f>
        <v>13231293.578667983</v>
      </c>
      <c r="AC28" s="147">
        <f>'P&amp;L Brand wise'!X41</f>
        <v>9994623.3133210242</v>
      </c>
      <c r="AG28" s="147">
        <f>'P&amp;L Brand wise'!T41</f>
        <v>9058930.103359513</v>
      </c>
      <c r="AH28" s="147">
        <f>'P&amp;L Brand wise'!Y41</f>
        <v>8677152.2375062276</v>
      </c>
      <c r="AQ28">
        <f>C28</f>
        <v>6606637.2948948257</v>
      </c>
      <c r="AV28">
        <f>H28+M28</f>
        <v>8177406.9225684796</v>
      </c>
      <c r="BF28" s="147">
        <f>W28</f>
        <v>17273604.19410583</v>
      </c>
      <c r="BK28" s="147">
        <f>AB28+AG28</f>
        <v>22290223.682027496</v>
      </c>
      <c r="BP28" s="147">
        <f>BF28+BK28</f>
        <v>39563827.876133323</v>
      </c>
    </row>
    <row r="29" spans="2:72" x14ac:dyDescent="0.3">
      <c r="C29" s="147">
        <f>C27-C28</f>
        <v>0</v>
      </c>
      <c r="D29" s="147">
        <f>D27-D28</f>
        <v>0</v>
      </c>
      <c r="H29" s="147">
        <f>H27-H28</f>
        <v>0</v>
      </c>
      <c r="I29" s="147">
        <f>I27-I28</f>
        <v>0</v>
      </c>
      <c r="M29" s="147">
        <f>M27-M28</f>
        <v>0</v>
      </c>
      <c r="N29" s="147">
        <f>N27-N28</f>
        <v>0</v>
      </c>
      <c r="W29" s="147">
        <f>W27-W28</f>
        <v>0</v>
      </c>
      <c r="X29" s="147">
        <f>X27-X28</f>
        <v>0</v>
      </c>
      <c r="AB29" s="147">
        <f>AB27-AB28</f>
        <v>0</v>
      </c>
      <c r="AC29" s="147">
        <f>AC27-AC28</f>
        <v>0</v>
      </c>
      <c r="AG29" s="147">
        <f>AG27-AG28</f>
        <v>0</v>
      </c>
      <c r="AH29" s="147">
        <f>AH27-AH28</f>
        <v>0</v>
      </c>
      <c r="AQ29" s="147">
        <f>AQ27-AQ28</f>
        <v>0</v>
      </c>
      <c r="AV29" s="147">
        <f>AV27-AV28</f>
        <v>0</v>
      </c>
      <c r="BF29" s="147">
        <f>BF27-BF28</f>
        <v>0</v>
      </c>
      <c r="BK29" s="147">
        <f>BK27-BK28</f>
        <v>0</v>
      </c>
      <c r="BP29" s="147">
        <f>BP27-BP28</f>
        <v>0</v>
      </c>
    </row>
  </sheetData>
  <mergeCells count="20">
    <mergeCell ref="BP3:BS3"/>
    <mergeCell ref="BK3:BN3"/>
    <mergeCell ref="BF3:BI3"/>
    <mergeCell ref="BK2:BM2"/>
    <mergeCell ref="AV2:AX2"/>
    <mergeCell ref="C2:K2"/>
    <mergeCell ref="C3:F3"/>
    <mergeCell ref="H3:K3"/>
    <mergeCell ref="M3:P3"/>
    <mergeCell ref="M2:P2"/>
    <mergeCell ref="R2:U3"/>
    <mergeCell ref="BA3:BD3"/>
    <mergeCell ref="AV3:AY3"/>
    <mergeCell ref="AQ3:AT3"/>
    <mergeCell ref="W2:AE2"/>
    <mergeCell ref="W3:Z3"/>
    <mergeCell ref="AB3:AE3"/>
    <mergeCell ref="AG2:AJ2"/>
    <mergeCell ref="AG3:AJ3"/>
    <mergeCell ref="AL2:AO3"/>
  </mergeCells>
  <pageMargins left="0.7" right="0.7" top="0.75" bottom="0.75" header="0.3" footer="0.3"/>
  <pageSetup orientation="portrait" horizontalDpi="300" verticalDpi="0" copies="0" r:id="rId1"/>
  <headerFooter>
    <oddHeader>&amp;C&amp;"Calibri"&amp;11&amp;KFF0000 Classification - Confidential&amp;1#_x000D_</oddHeader>
    <oddFooter>&amp;C_x000D_&amp;1#&amp;"Calibri"&amp;11&amp;KFF0000 Classification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1631-ACBF-4B8E-8EAA-D81FEFC1B670}">
  <dimension ref="B1:AI87"/>
  <sheetViews>
    <sheetView topLeftCell="A3" workbookViewId="0">
      <pane xSplit="2" ySplit="4" topLeftCell="C7" activePane="bottomRight" state="frozen"/>
      <selection activeCell="A3" sqref="A3"/>
      <selection pane="topRight" activeCell="C3" sqref="C3"/>
      <selection pane="bottomLeft" activeCell="A7" sqref="A7"/>
      <selection pane="bottomRight" activeCell="C7" sqref="C7"/>
    </sheetView>
  </sheetViews>
  <sheetFormatPr defaultRowHeight="14.4" x14ac:dyDescent="0.3"/>
  <cols>
    <col min="1" max="1" width="1.77734375" bestFit="1" customWidth="1"/>
    <col min="2" max="2" width="51.77734375" style="51" bestFit="1" customWidth="1"/>
    <col min="3" max="4" width="11.33203125" bestFit="1" customWidth="1"/>
    <col min="5" max="5" width="12.21875" bestFit="1" customWidth="1"/>
    <col min="6" max="6" width="14.33203125" bestFit="1" customWidth="1"/>
    <col min="7" max="7" width="5.77734375" bestFit="1" customWidth="1"/>
    <col min="8" max="9" width="11.33203125" bestFit="1" customWidth="1"/>
    <col min="10" max="10" width="12.21875" bestFit="1" customWidth="1"/>
    <col min="11" max="11" width="12.88671875" bestFit="1" customWidth="1"/>
    <col min="12" max="12" width="5.77734375" bestFit="1" customWidth="1"/>
    <col min="13" max="13" width="12.33203125" bestFit="1" customWidth="1"/>
    <col min="14" max="14" width="12.109375" bestFit="1" customWidth="1"/>
    <col min="15" max="15" width="12.21875" bestFit="1" customWidth="1"/>
    <col min="16" max="16" width="12.33203125" bestFit="1" customWidth="1"/>
    <col min="17" max="17" width="1.88671875" customWidth="1"/>
    <col min="18" max="19" width="12.33203125" bestFit="1" customWidth="1"/>
    <col min="20" max="20" width="12.21875" bestFit="1" customWidth="1"/>
    <col min="21" max="21" width="12.33203125" bestFit="1" customWidth="1"/>
    <col min="22" max="22" width="1.77734375" bestFit="1" customWidth="1"/>
    <col min="23" max="24" width="12.33203125" bestFit="1" customWidth="1"/>
    <col min="25" max="25" width="12.21875" bestFit="1" customWidth="1"/>
    <col min="26" max="26" width="14" bestFit="1" customWidth="1"/>
    <col min="27" max="27" width="1.77734375" hidden="1" customWidth="1"/>
    <col min="28" max="28" width="11.33203125" style="277" hidden="1" customWidth="1"/>
    <col min="29" max="30" width="12.109375" style="277" hidden="1" customWidth="1"/>
    <col min="31" max="31" width="10.21875" style="277" hidden="1" customWidth="1"/>
    <col min="32" max="33" width="0" hidden="1" customWidth="1"/>
    <col min="34" max="34" width="10.77734375" hidden="1" customWidth="1"/>
  </cols>
  <sheetData>
    <row r="1" spans="2:31" ht="15" thickBot="1" x14ac:dyDescent="0.35">
      <c r="B1" s="1" t="s">
        <v>0</v>
      </c>
    </row>
    <row r="2" spans="2:31" x14ac:dyDescent="0.3">
      <c r="B2" s="2" t="s">
        <v>1</v>
      </c>
    </row>
    <row r="3" spans="2:31" x14ac:dyDescent="0.3">
      <c r="B3" s="3"/>
      <c r="C3" s="4"/>
      <c r="D3" s="5"/>
      <c r="E3" s="5"/>
      <c r="H3" s="4"/>
      <c r="I3" s="5"/>
      <c r="J3" s="5"/>
      <c r="M3" s="4"/>
      <c r="N3" s="5"/>
      <c r="O3" s="5"/>
      <c r="R3" s="4"/>
      <c r="S3" s="5"/>
      <c r="T3" s="4"/>
      <c r="U3" s="4"/>
      <c r="W3" s="4"/>
      <c r="X3" s="5"/>
      <c r="Y3" s="5"/>
    </row>
    <row r="4" spans="2:31" ht="14.55" customHeight="1" x14ac:dyDescent="0.3">
      <c r="B4" s="336" t="s">
        <v>2</v>
      </c>
      <c r="C4" s="338" t="s">
        <v>195</v>
      </c>
      <c r="D4" s="339"/>
      <c r="E4" s="339"/>
      <c r="F4" s="340"/>
      <c r="H4" s="338" t="s">
        <v>198</v>
      </c>
      <c r="I4" s="339"/>
      <c r="J4" s="339"/>
      <c r="K4" s="340"/>
      <c r="M4" s="338" t="s">
        <v>76</v>
      </c>
      <c r="N4" s="339"/>
      <c r="O4" s="339"/>
      <c r="P4" s="340"/>
      <c r="R4" s="338" t="s">
        <v>196</v>
      </c>
      <c r="S4" s="339"/>
      <c r="T4" s="339"/>
      <c r="U4" s="340"/>
      <c r="W4" s="338" t="s">
        <v>197</v>
      </c>
      <c r="X4" s="339"/>
      <c r="Y4" s="339"/>
      <c r="Z4" s="340"/>
    </row>
    <row r="5" spans="2:31" ht="27.6" x14ac:dyDescent="0.3">
      <c r="B5" s="336"/>
      <c r="C5" s="333" t="s">
        <v>9</v>
      </c>
      <c r="D5" s="333"/>
      <c r="E5" s="8" t="s">
        <v>10</v>
      </c>
      <c r="F5" s="334" t="s">
        <v>11</v>
      </c>
      <c r="H5" s="333" t="s">
        <v>9</v>
      </c>
      <c r="I5" s="333"/>
      <c r="J5" s="8" t="s">
        <v>10</v>
      </c>
      <c r="K5" s="334" t="s">
        <v>11</v>
      </c>
      <c r="M5" s="333" t="s">
        <v>9</v>
      </c>
      <c r="N5" s="333"/>
      <c r="O5" s="8" t="s">
        <v>10</v>
      </c>
      <c r="P5" s="334" t="s">
        <v>11</v>
      </c>
      <c r="R5" s="333" t="s">
        <v>9</v>
      </c>
      <c r="S5" s="333"/>
      <c r="T5" s="8" t="s">
        <v>10</v>
      </c>
      <c r="U5" s="334" t="s">
        <v>11</v>
      </c>
      <c r="W5" s="333" t="s">
        <v>9</v>
      </c>
      <c r="X5" s="333"/>
      <c r="Y5" s="8" t="s">
        <v>10</v>
      </c>
      <c r="Z5" s="334" t="s">
        <v>11</v>
      </c>
    </row>
    <row r="6" spans="2:31" x14ac:dyDescent="0.3">
      <c r="B6" s="337"/>
      <c r="C6" s="7" t="s">
        <v>12</v>
      </c>
      <c r="D6" s="7" t="s">
        <v>13</v>
      </c>
      <c r="E6" s="7" t="s">
        <v>13</v>
      </c>
      <c r="F6" s="335"/>
      <c r="H6" s="7" t="s">
        <v>12</v>
      </c>
      <c r="I6" s="7" t="s">
        <v>13</v>
      </c>
      <c r="J6" s="7" t="s">
        <v>13</v>
      </c>
      <c r="K6" s="335"/>
      <c r="M6" s="7" t="s">
        <v>12</v>
      </c>
      <c r="N6" s="7" t="s">
        <v>13</v>
      </c>
      <c r="O6" s="7" t="s">
        <v>13</v>
      </c>
      <c r="P6" s="335"/>
      <c r="R6" s="7" t="s">
        <v>12</v>
      </c>
      <c r="S6" s="7" t="s">
        <v>13</v>
      </c>
      <c r="T6" s="7" t="s">
        <v>13</v>
      </c>
      <c r="U6" s="335"/>
      <c r="W6" s="7" t="s">
        <v>12</v>
      </c>
      <c r="X6" s="7" t="s">
        <v>13</v>
      </c>
      <c r="Y6" s="7" t="s">
        <v>13</v>
      </c>
      <c r="Z6" s="335"/>
    </row>
    <row r="7" spans="2:31" x14ac:dyDescent="0.3">
      <c r="B7" s="9"/>
      <c r="C7" s="10"/>
      <c r="D7" s="10"/>
      <c r="E7" s="10"/>
      <c r="F7" s="10"/>
      <c r="H7" s="10"/>
      <c r="I7" s="10"/>
      <c r="J7" s="10"/>
      <c r="K7" s="10"/>
      <c r="M7" s="10"/>
      <c r="N7" s="10"/>
      <c r="O7" s="10"/>
      <c r="P7" s="10"/>
      <c r="R7" s="10"/>
      <c r="S7" s="10"/>
      <c r="T7" s="10"/>
      <c r="U7" s="10"/>
      <c r="W7" s="10"/>
      <c r="X7" s="10"/>
      <c r="Y7" s="10"/>
      <c r="Z7" s="10"/>
      <c r="AB7" s="326"/>
      <c r="AC7" s="326"/>
      <c r="AD7" s="326"/>
      <c r="AE7" s="326"/>
    </row>
    <row r="8" spans="2:31" x14ac:dyDescent="0.3">
      <c r="B8" s="9" t="s">
        <v>15</v>
      </c>
      <c r="C8" s="14">
        <v>912.57</v>
      </c>
      <c r="D8" s="14">
        <v>4921.5834000000004</v>
      </c>
      <c r="E8" s="14">
        <v>1496.675</v>
      </c>
      <c r="F8" s="13">
        <f>SUM(C8:E8)</f>
        <v>7330.8284000000003</v>
      </c>
      <c r="G8" s="4"/>
      <c r="H8" s="14">
        <f>1137.36573495645+461+113.736573495645</f>
        <v>1712.102308452095</v>
      </c>
      <c r="I8" s="14">
        <f>5599.30793906886+538.86919</f>
        <v>6138.1771290688603</v>
      </c>
      <c r="J8" s="14">
        <v>939.65652861834315</v>
      </c>
      <c r="K8" s="13">
        <f>SUM(H8:J8)</f>
        <v>8789.9359661392991</v>
      </c>
      <c r="M8" s="14">
        <v>2838.240063125651</v>
      </c>
      <c r="N8" s="14">
        <v>17114.481500000002</v>
      </c>
      <c r="O8" s="14">
        <v>3658.7</v>
      </c>
      <c r="P8" s="13">
        <f>SUM(M8:O8)</f>
        <v>23611.421563125652</v>
      </c>
      <c r="R8" s="14">
        <f>M8+C8</f>
        <v>3750.8100631256511</v>
      </c>
      <c r="S8" s="14">
        <f t="shared" ref="S8:T8" si="0">N8+D8</f>
        <v>22036.064900000001</v>
      </c>
      <c r="T8" s="14">
        <f t="shared" si="0"/>
        <v>5155.375</v>
      </c>
      <c r="U8" s="13">
        <f>SUM(R8:T8)</f>
        <v>30942.249963125651</v>
      </c>
      <c r="W8" s="14">
        <f>4896.66133615422+461+113.736573495645</f>
        <v>5471.3979096498651</v>
      </c>
      <c r="X8" s="14">
        <f>28882.6620574293+538.86919</f>
        <v>29421.531247429302</v>
      </c>
      <c r="Y8" s="14">
        <v>4467.4955986982877</v>
      </c>
      <c r="Z8" s="13">
        <f>SUM(W8:Y8)</f>
        <v>39360.424755777458</v>
      </c>
      <c r="AB8" s="326">
        <v>3560.9380631256508</v>
      </c>
      <c r="AC8" s="326">
        <f>U8-AB8</f>
        <v>27381.311900000001</v>
      </c>
      <c r="AD8" s="326">
        <v>27381.311963125649</v>
      </c>
      <c r="AE8" s="326">
        <f>AD8-AC8</f>
        <v>6.3125648011919111E-5</v>
      </c>
    </row>
    <row r="9" spans="2:31" x14ac:dyDescent="0.3">
      <c r="B9" s="9" t="s">
        <v>16</v>
      </c>
      <c r="C9" s="14">
        <v>45930024.419999994</v>
      </c>
      <c r="D9" s="14">
        <v>52565440.079999998</v>
      </c>
      <c r="E9" s="14">
        <v>16967829.5</v>
      </c>
      <c r="F9" s="13">
        <f>SUM(C9:E9)</f>
        <v>115463294</v>
      </c>
      <c r="G9" s="5"/>
      <c r="H9" s="14">
        <f>58603515.6848333+(1.9149*10^7)+(0.5850609340616*10^7)</f>
        <v>83603125.025449306</v>
      </c>
      <c r="I9" s="14">
        <f>63076436.3756515+(0.535905409455*10^7)</f>
        <v>68435490.470201507</v>
      </c>
      <c r="J9" s="14">
        <v>11270025.699966196</v>
      </c>
      <c r="K9" s="13">
        <f>SUM(H9:J9)</f>
        <v>163308641.19561702</v>
      </c>
      <c r="M9" s="14">
        <v>145980046.56</v>
      </c>
      <c r="N9" s="14">
        <v>182105379.09</v>
      </c>
      <c r="O9" s="14">
        <v>42682848</v>
      </c>
      <c r="P9" s="13">
        <f>SUM(M9:O9)</f>
        <v>370768273.64999998</v>
      </c>
      <c r="R9" s="14">
        <f>M9+C9</f>
        <v>191910070.97999999</v>
      </c>
      <c r="S9" s="14">
        <f t="shared" ref="S9" si="1">N9+D9</f>
        <v>234670819.17000002</v>
      </c>
      <c r="T9" s="14">
        <f t="shared" ref="T9" si="2">O9+E9</f>
        <v>59650677.5</v>
      </c>
      <c r="U9" s="13">
        <f>SUM(R9:T9)</f>
        <v>486231567.64999998</v>
      </c>
      <c r="W9" s="14">
        <f>251250315.343929+(1.9149*10^7)+(0.5850609340616*10^7)</f>
        <v>276249924.68454498</v>
      </c>
      <c r="X9" s="14">
        <f>306960086.778595+(0.535905409455*10^7)</f>
        <v>312319140.87314498</v>
      </c>
      <c r="Y9" s="14">
        <v>53134115.209782049</v>
      </c>
      <c r="Z9" s="13">
        <f>SUM(W9:Y9)</f>
        <v>641703180.76747191</v>
      </c>
      <c r="AB9" s="326">
        <v>49445210.000000015</v>
      </c>
      <c r="AC9" s="326">
        <f>U9-AB9</f>
        <v>436786357.64999998</v>
      </c>
      <c r="AD9" s="326">
        <v>436786357.64999998</v>
      </c>
      <c r="AE9" s="326">
        <f>AD9-AC9</f>
        <v>0</v>
      </c>
    </row>
    <row r="10" spans="2:31" ht="15" thickBot="1" x14ac:dyDescent="0.35">
      <c r="B10" s="17"/>
      <c r="C10" s="18"/>
      <c r="D10" s="18"/>
      <c r="E10" s="18"/>
      <c r="F10" s="18"/>
      <c r="H10" s="18"/>
      <c r="I10" s="18"/>
      <c r="J10" s="18"/>
      <c r="K10" s="18"/>
      <c r="M10" s="18"/>
      <c r="N10" s="18"/>
      <c r="O10" s="18"/>
      <c r="P10" s="18"/>
      <c r="R10" s="18"/>
      <c r="S10" s="18"/>
      <c r="T10" s="18"/>
      <c r="U10" s="18"/>
      <c r="W10" s="18"/>
      <c r="X10" s="18"/>
      <c r="Y10" s="18"/>
      <c r="Z10" s="18"/>
      <c r="AB10" s="326"/>
      <c r="AC10" s="326"/>
      <c r="AD10" s="326"/>
      <c r="AE10" s="326"/>
    </row>
    <row r="11" spans="2:31" ht="15" thickBot="1" x14ac:dyDescent="0.35">
      <c r="B11" s="19" t="s">
        <v>17</v>
      </c>
      <c r="C11" s="20">
        <f>C9</f>
        <v>45930024.419999994</v>
      </c>
      <c r="D11" s="20">
        <f>D9</f>
        <v>52565440.079999998</v>
      </c>
      <c r="E11" s="20">
        <f>E9</f>
        <v>16967829.5</v>
      </c>
      <c r="F11" s="21">
        <f>F9</f>
        <v>115463294</v>
      </c>
      <c r="H11" s="20">
        <f>H9</f>
        <v>83603125.025449306</v>
      </c>
      <c r="I11" s="20">
        <f>I9</f>
        <v>68435490.470201507</v>
      </c>
      <c r="J11" s="20">
        <f>J9</f>
        <v>11270025.699966196</v>
      </c>
      <c r="K11" s="21">
        <f>K9</f>
        <v>163308641.19561702</v>
      </c>
      <c r="M11" s="20">
        <f>M9</f>
        <v>145980046.56</v>
      </c>
      <c r="N11" s="20">
        <f>N9</f>
        <v>182105379.09</v>
      </c>
      <c r="O11" s="20">
        <f>O9</f>
        <v>42682848</v>
      </c>
      <c r="P11" s="21">
        <f>P9</f>
        <v>370768273.64999998</v>
      </c>
      <c r="R11" s="20">
        <f>R9</f>
        <v>191910070.97999999</v>
      </c>
      <c r="S11" s="20">
        <f>S9</f>
        <v>234670819.17000002</v>
      </c>
      <c r="T11" s="20">
        <f>T9</f>
        <v>59650677.5</v>
      </c>
      <c r="U11" s="21">
        <f>U9</f>
        <v>486231567.64999998</v>
      </c>
      <c r="W11" s="20">
        <f>W9</f>
        <v>276249924.68454498</v>
      </c>
      <c r="X11" s="20">
        <f>X9</f>
        <v>312319140.87314498</v>
      </c>
      <c r="Y11" s="20">
        <f>Y9</f>
        <v>53134115.209782049</v>
      </c>
      <c r="Z11" s="21">
        <f>Z9</f>
        <v>641703180.76747191</v>
      </c>
      <c r="AB11" s="326"/>
      <c r="AC11" s="326"/>
      <c r="AD11" s="326"/>
      <c r="AE11" s="326"/>
    </row>
    <row r="12" spans="2:31" x14ac:dyDescent="0.3">
      <c r="B12" s="23"/>
      <c r="C12" s="24">
        <f>C9/(C8*1000)</f>
        <v>50.330412373845284</v>
      </c>
      <c r="D12" s="24">
        <f t="shared" ref="D12:F12" si="3">D9/(D8*1000)</f>
        <v>10.680595208444501</v>
      </c>
      <c r="E12" s="24">
        <f t="shared" si="3"/>
        <v>11.33701672039688</v>
      </c>
      <c r="F12" s="24">
        <f t="shared" si="3"/>
        <v>15.750374677983187</v>
      </c>
      <c r="H12" s="24">
        <f>H9/(H8*1000)</f>
        <v>48.830682963703588</v>
      </c>
      <c r="I12" s="24">
        <f t="shared" ref="I12:K12" si="4">I9/(I8*1000)</f>
        <v>11.149155365052643</v>
      </c>
      <c r="J12" s="24">
        <f t="shared" si="4"/>
        <v>11.993771507699172</v>
      </c>
      <c r="K12" s="24">
        <f t="shared" si="4"/>
        <v>18.579047882113883</v>
      </c>
      <c r="M12" s="24"/>
      <c r="N12" s="24"/>
      <c r="O12" s="24"/>
      <c r="P12" s="24"/>
      <c r="R12" s="24">
        <f>R9/(R8*1000)</f>
        <v>51.164966433964437</v>
      </c>
      <c r="S12" s="24">
        <f t="shared" ref="S12:U12" si="5">S9/(S8*1000)</f>
        <v>10.649397713926682</v>
      </c>
      <c r="T12" s="24">
        <f t="shared" si="5"/>
        <v>11.570579734742866</v>
      </c>
      <c r="U12" s="24">
        <f t="shared" si="5"/>
        <v>15.714163263157964</v>
      </c>
      <c r="W12" s="24">
        <f>W9/(W8*1000)</f>
        <v>50.489825314537079</v>
      </c>
      <c r="X12" s="24">
        <f t="shared" ref="X12:Z12" si="6">X9/(X8*1000)</f>
        <v>10.615325838978341</v>
      </c>
      <c r="Y12" s="24">
        <f t="shared" si="6"/>
        <v>11.893490219724885</v>
      </c>
      <c r="Z12" s="24">
        <f t="shared" si="6"/>
        <v>16.303258533135637</v>
      </c>
      <c r="AB12" s="326"/>
      <c r="AC12" s="326"/>
      <c r="AD12" s="326"/>
      <c r="AE12" s="326"/>
    </row>
    <row r="13" spans="2:31" x14ac:dyDescent="0.3">
      <c r="B13" s="9" t="s">
        <v>18</v>
      </c>
      <c r="C13" s="10"/>
      <c r="D13" s="10"/>
      <c r="E13" s="10"/>
      <c r="F13" s="10"/>
      <c r="H13" s="10"/>
      <c r="I13" s="10"/>
      <c r="J13" s="10"/>
      <c r="K13" s="10"/>
      <c r="M13" s="10"/>
      <c r="N13" s="10"/>
      <c r="O13" s="10"/>
      <c r="P13" s="10"/>
      <c r="R13" s="10"/>
      <c r="S13" s="10"/>
      <c r="T13" s="10"/>
      <c r="U13" s="10"/>
      <c r="W13" s="10"/>
      <c r="X13" s="10"/>
      <c r="Y13" s="10"/>
      <c r="Z13" s="10"/>
      <c r="AB13" s="326"/>
      <c r="AC13" s="326"/>
      <c r="AD13" s="326"/>
      <c r="AE13" s="326"/>
    </row>
    <row r="14" spans="2:31" x14ac:dyDescent="0.3">
      <c r="B14" s="9" t="s">
        <v>19</v>
      </c>
      <c r="C14" s="10"/>
      <c r="D14" s="10"/>
      <c r="E14" s="10"/>
      <c r="F14" s="10"/>
      <c r="H14" s="10"/>
      <c r="I14" s="10"/>
      <c r="J14" s="10"/>
      <c r="K14" s="10"/>
      <c r="M14" s="10"/>
      <c r="N14" s="10"/>
      <c r="O14" s="10"/>
      <c r="P14" s="10"/>
      <c r="R14" s="10"/>
      <c r="S14" s="10"/>
      <c r="T14" s="10"/>
      <c r="U14" s="10"/>
      <c r="W14" s="10"/>
      <c r="X14" s="10"/>
      <c r="Y14" s="10"/>
      <c r="Z14" s="10"/>
      <c r="AB14" s="326"/>
      <c r="AC14" s="326"/>
      <c r="AD14" s="326"/>
      <c r="AE14" s="326"/>
    </row>
    <row r="15" spans="2:31" x14ac:dyDescent="0.3">
      <c r="B15" s="25" t="s">
        <v>20</v>
      </c>
      <c r="C15" s="13">
        <v>3169171.6849799999</v>
      </c>
      <c r="D15" s="13">
        <v>8883559.373519998</v>
      </c>
      <c r="E15" s="13">
        <v>2867563.1854999997</v>
      </c>
      <c r="F15" s="13">
        <f>SUM(C15:E15)</f>
        <v>14920294.243999997</v>
      </c>
      <c r="G15" s="5"/>
      <c r="H15" s="13">
        <f>6887056.91964464+(0.0403692044502504*10^7)</f>
        <v>7290748.964147144</v>
      </c>
      <c r="I15" s="13">
        <v>10659917.747485099</v>
      </c>
      <c r="J15" s="13">
        <v>1904634.3432942869</v>
      </c>
      <c r="K15" s="13">
        <f>SUM(H15:J15)</f>
        <v>19855301.05492653</v>
      </c>
      <c r="M15" s="13">
        <v>11646461.699157849</v>
      </c>
      <c r="N15" s="13">
        <v>32718741.810325619</v>
      </c>
      <c r="O15" s="13">
        <v>7751854.0813665306</v>
      </c>
      <c r="P15" s="13">
        <f>SUM(M15:O15)</f>
        <v>52117057.590850003</v>
      </c>
      <c r="R15" s="14">
        <f>M15+C15</f>
        <v>14815633.384137848</v>
      </c>
      <c r="S15" s="14">
        <f t="shared" ref="S15" si="7">N15+D15</f>
        <v>41602301.183845617</v>
      </c>
      <c r="T15" s="14">
        <f t="shared" ref="T15" si="8">O15+E15</f>
        <v>10619417.266866531</v>
      </c>
      <c r="U15" s="13">
        <f>SUM(R15:T15)</f>
        <v>67037351.834849998</v>
      </c>
      <c r="W15" s="13">
        <f>23251847.7808931+(0.0403692044502504*10^7)</f>
        <v>23655539.825395603</v>
      </c>
      <c r="X15" s="13">
        <v>51876254.665582582</v>
      </c>
      <c r="Y15" s="13">
        <v>8979665.4704531655</v>
      </c>
      <c r="Z15" s="13">
        <f>SUM(W15:Y15)</f>
        <v>84511459.961431354</v>
      </c>
      <c r="AB15" s="326">
        <v>6464313.6673499998</v>
      </c>
      <c r="AC15" s="326">
        <f>U15-AB15</f>
        <v>60573038.167499997</v>
      </c>
      <c r="AD15" s="326">
        <v>60573037.834849998</v>
      </c>
      <c r="AE15" s="326">
        <f>AD15-AC15</f>
        <v>-0.33264999836683273</v>
      </c>
    </row>
    <row r="16" spans="2:31" x14ac:dyDescent="0.3">
      <c r="B16" s="27"/>
      <c r="C16" s="327"/>
      <c r="D16" s="327"/>
      <c r="E16" s="327"/>
      <c r="F16" s="13"/>
      <c r="H16" s="327"/>
      <c r="I16" s="327"/>
      <c r="J16" s="327"/>
      <c r="K16" s="13"/>
      <c r="M16" s="327"/>
      <c r="N16" s="327"/>
      <c r="O16" s="327"/>
      <c r="P16" s="13"/>
      <c r="R16" s="327"/>
      <c r="S16" s="327"/>
      <c r="T16" s="327"/>
      <c r="U16" s="13"/>
      <c r="W16" s="327"/>
      <c r="X16" s="327"/>
      <c r="Y16" s="327"/>
      <c r="Z16" s="13"/>
      <c r="AB16" s="326"/>
      <c r="AC16" s="326"/>
      <c r="AD16" s="326"/>
      <c r="AE16" s="326"/>
    </row>
    <row r="17" spans="2:35" ht="15" thickBot="1" x14ac:dyDescent="0.35">
      <c r="B17" s="27"/>
      <c r="C17" s="18"/>
      <c r="D17" s="18"/>
      <c r="E17" s="18"/>
      <c r="F17" s="18"/>
      <c r="H17" s="18"/>
      <c r="I17" s="18"/>
      <c r="J17" s="18"/>
      <c r="K17" s="18"/>
      <c r="M17" s="18"/>
      <c r="N17" s="18"/>
      <c r="O17" s="18"/>
      <c r="P17" s="18"/>
      <c r="R17" s="18"/>
      <c r="S17" s="18"/>
      <c r="T17" s="18"/>
      <c r="U17" s="18"/>
      <c r="W17" s="18"/>
      <c r="X17" s="18"/>
      <c r="Y17" s="18"/>
      <c r="Z17" s="18"/>
      <c r="AB17" s="326"/>
      <c r="AC17" s="326"/>
      <c r="AD17" s="326"/>
      <c r="AE17" s="326"/>
    </row>
    <row r="18" spans="2:35" ht="15" thickBot="1" x14ac:dyDescent="0.35">
      <c r="B18" s="19" t="s">
        <v>21</v>
      </c>
      <c r="C18" s="20">
        <f>C11-C15</f>
        <v>42760852.735019997</v>
      </c>
      <c r="D18" s="20">
        <f>D11-D15</f>
        <v>43681880.706479996</v>
      </c>
      <c r="E18" s="20">
        <f>E11-E15</f>
        <v>14100266.3145</v>
      </c>
      <c r="F18" s="21">
        <f>SUM(C18:E18)</f>
        <v>100542999.756</v>
      </c>
      <c r="H18" s="20">
        <f t="shared" ref="H18:K18" si="9">H11-H15</f>
        <v>76312376.061302155</v>
      </c>
      <c r="I18" s="20">
        <f t="shared" si="9"/>
        <v>57775572.722716406</v>
      </c>
      <c r="J18" s="20">
        <f t="shared" si="9"/>
        <v>9365391.3566719089</v>
      </c>
      <c r="K18" s="20">
        <f t="shared" si="9"/>
        <v>143453340.14069051</v>
      </c>
      <c r="M18" s="20">
        <f t="shared" ref="M18:P18" si="10">M11-M15</f>
        <v>134333584.86084217</v>
      </c>
      <c r="N18" s="20">
        <f t="shared" si="10"/>
        <v>149386637.27967438</v>
      </c>
      <c r="O18" s="20">
        <f t="shared" si="10"/>
        <v>34930993.918633468</v>
      </c>
      <c r="P18" s="20">
        <f t="shared" si="10"/>
        <v>318651216.05914998</v>
      </c>
      <c r="R18" s="20">
        <f t="shared" ref="R18:U18" si="11">R11-R15</f>
        <v>177094437.59586215</v>
      </c>
      <c r="S18" s="20">
        <f t="shared" si="11"/>
        <v>193068517.98615441</v>
      </c>
      <c r="T18" s="20">
        <f t="shared" si="11"/>
        <v>49031260.233133465</v>
      </c>
      <c r="U18" s="20">
        <f t="shared" si="11"/>
        <v>419194215.81514996</v>
      </c>
      <c r="W18" s="20">
        <f t="shared" ref="W18:Z18" si="12">W11-W15</f>
        <v>252594384.85914937</v>
      </c>
      <c r="X18" s="20">
        <f t="shared" si="12"/>
        <v>260442886.20756239</v>
      </c>
      <c r="Y18" s="20">
        <f t="shared" si="12"/>
        <v>44154449.739328884</v>
      </c>
      <c r="Z18" s="20">
        <f t="shared" si="12"/>
        <v>557191720.80604053</v>
      </c>
      <c r="AB18" s="302">
        <v>42980896.332650013</v>
      </c>
      <c r="AC18" s="326">
        <f>U18-AB18</f>
        <v>376213319.48249996</v>
      </c>
      <c r="AD18" s="326">
        <v>376213319.81514996</v>
      </c>
      <c r="AE18" s="326">
        <f>AD18-AC18</f>
        <v>0.33265000581741333</v>
      </c>
    </row>
    <row r="19" spans="2:35" x14ac:dyDescent="0.3">
      <c r="B19" s="23"/>
      <c r="C19" s="24"/>
      <c r="D19" s="24"/>
      <c r="E19" s="24"/>
      <c r="F19" s="24"/>
      <c r="H19" s="24"/>
      <c r="I19" s="24"/>
      <c r="J19" s="24"/>
      <c r="K19" s="24"/>
      <c r="M19" s="24"/>
      <c r="N19" s="24"/>
      <c r="O19" s="24"/>
      <c r="P19" s="24"/>
      <c r="R19" s="24"/>
      <c r="S19" s="24"/>
      <c r="T19" s="24"/>
      <c r="U19" s="24"/>
      <c r="W19" s="24"/>
      <c r="X19" s="24"/>
      <c r="Y19" s="24"/>
      <c r="Z19" s="24"/>
      <c r="AB19" s="326"/>
      <c r="AC19" s="326"/>
      <c r="AD19" s="326"/>
      <c r="AE19" s="326"/>
    </row>
    <row r="20" spans="2:35" x14ac:dyDescent="0.3">
      <c r="B20" s="9" t="s">
        <v>22</v>
      </c>
      <c r="C20" s="10"/>
      <c r="D20" s="10"/>
      <c r="E20" s="10"/>
      <c r="F20" s="10"/>
      <c r="H20" s="10"/>
      <c r="I20" s="10"/>
      <c r="J20" s="43"/>
      <c r="K20" s="10"/>
      <c r="M20" s="10"/>
      <c r="N20" s="10"/>
      <c r="O20" s="10"/>
      <c r="P20" s="10"/>
      <c r="R20" s="10"/>
      <c r="S20" s="10"/>
      <c r="T20" s="10"/>
      <c r="U20" s="10"/>
      <c r="W20" s="10"/>
      <c r="X20" s="10"/>
      <c r="Y20" s="10"/>
      <c r="Z20" s="10"/>
      <c r="AB20" s="326"/>
      <c r="AC20" s="326"/>
      <c r="AD20" s="326"/>
      <c r="AE20" s="326"/>
    </row>
    <row r="21" spans="2:35" x14ac:dyDescent="0.3">
      <c r="B21" s="25" t="s">
        <v>23</v>
      </c>
      <c r="C21" s="14">
        <v>30445641.600000001</v>
      </c>
      <c r="D21" s="14">
        <v>24009142.563999999</v>
      </c>
      <c r="E21" s="14">
        <v>6284804</v>
      </c>
      <c r="F21" s="13">
        <f>SUM(C21:E21)</f>
        <v>60739588.164000005</v>
      </c>
      <c r="G21" s="5"/>
      <c r="H21" s="14">
        <f>(3.75461370628834*10^7)+(1.570218*10^7)+(0.350082165002518*10^7)</f>
        <v>56749138.712908581</v>
      </c>
      <c r="I21" s="14">
        <f>32043450.4259493+(2572345.965384)+53431.3487416133</f>
        <v>34669227.740074918</v>
      </c>
      <c r="J21" s="14">
        <v>4337823.4485985385</v>
      </c>
      <c r="K21" s="13">
        <f>SUM(H21:J21)</f>
        <v>95756189.901582032</v>
      </c>
      <c r="M21" s="14">
        <v>104817151</v>
      </c>
      <c r="N21" s="14">
        <v>86365785.099008083</v>
      </c>
      <c r="O21" s="14">
        <v>16065633.926862635</v>
      </c>
      <c r="P21" s="13">
        <f>SUM(M21:O21)</f>
        <v>207248570.02587071</v>
      </c>
      <c r="R21" s="14">
        <f>M21+C21</f>
        <v>135262792.59999999</v>
      </c>
      <c r="S21" s="14">
        <f t="shared" ref="S21" si="13">N21+D21</f>
        <v>110374927.66300808</v>
      </c>
      <c r="T21" s="14">
        <f t="shared" ref="T21" si="14">O21+E21</f>
        <v>22350437.926862635</v>
      </c>
      <c r="U21" s="13">
        <f>SUM(R21:T21)</f>
        <v>267988158.18987069</v>
      </c>
      <c r="W21" s="14">
        <f>19.4046080851942*10^7</f>
        <v>194046080.851942</v>
      </c>
      <c r="X21" s="14">
        <f>156360536.592301+(2572345.965384)+(53431.3487416133)</f>
        <v>158986313.90642664</v>
      </c>
      <c r="Y21" s="14">
        <v>20720880.398938943</v>
      </c>
      <c r="Z21" s="13">
        <f>SUM(W21:Y21)</f>
        <v>373753275.15730757</v>
      </c>
      <c r="AB21" s="326">
        <v>26337555.03968</v>
      </c>
      <c r="AC21" s="326">
        <f>U21-AB21</f>
        <v>241650603.15019068</v>
      </c>
      <c r="AD21" s="326">
        <v>241650603.70987073</v>
      </c>
      <c r="AE21" s="326">
        <f>AD21-AC21</f>
        <v>0.55968004465103149</v>
      </c>
    </row>
    <row r="22" spans="2:35" x14ac:dyDescent="0.3">
      <c r="B22" s="9" t="s">
        <v>24</v>
      </c>
      <c r="C22" s="10"/>
      <c r="D22" s="13"/>
      <c r="E22" s="13"/>
      <c r="F22" s="10"/>
      <c r="H22" s="10"/>
      <c r="I22" s="13"/>
      <c r="J22" s="13"/>
      <c r="K22" s="10"/>
      <c r="M22" s="10"/>
      <c r="N22" s="13"/>
      <c r="O22" s="13"/>
      <c r="P22" s="10"/>
      <c r="R22" s="10"/>
      <c r="S22" s="13"/>
      <c r="T22" s="13"/>
      <c r="U22" s="10"/>
      <c r="W22" s="10"/>
      <c r="X22" s="13"/>
      <c r="Y22" s="13"/>
      <c r="Z22" s="10"/>
      <c r="AB22" s="326"/>
      <c r="AC22" s="326"/>
      <c r="AD22" s="326"/>
      <c r="AE22" s="326"/>
    </row>
    <row r="23" spans="2:35" x14ac:dyDescent="0.3">
      <c r="B23" s="9" t="s">
        <v>25</v>
      </c>
      <c r="C23" s="10"/>
      <c r="D23" s="10"/>
      <c r="E23" s="10"/>
      <c r="F23" s="10"/>
      <c r="H23" s="10"/>
      <c r="I23" s="10"/>
      <c r="J23" s="10"/>
      <c r="K23" s="10"/>
      <c r="M23" s="10"/>
      <c r="N23" s="10"/>
      <c r="O23" s="10"/>
      <c r="P23" s="10"/>
      <c r="R23" s="10"/>
      <c r="S23" s="10"/>
      <c r="T23" s="10"/>
      <c r="U23" s="10"/>
      <c r="W23" s="10"/>
      <c r="X23" s="10"/>
      <c r="Y23" s="10"/>
      <c r="Z23" s="10"/>
      <c r="AB23" s="326"/>
      <c r="AC23" s="326"/>
      <c r="AD23" s="326"/>
      <c r="AE23" s="326"/>
    </row>
    <row r="24" spans="2:35" x14ac:dyDescent="0.3">
      <c r="B24" s="25" t="s">
        <v>26</v>
      </c>
      <c r="C24" s="14">
        <v>2297996.5</v>
      </c>
      <c r="D24" s="14">
        <v>6129828.5020000003</v>
      </c>
      <c r="E24" s="14">
        <v>1571574</v>
      </c>
      <c r="F24" s="14">
        <f>SUM(C24:E24)</f>
        <v>9999399.0020000003</v>
      </c>
      <c r="H24" s="14">
        <f>2526089.29733829+Sheet3!D4+Sheet3!E4</f>
        <v>3818059.6767052677</v>
      </c>
      <c r="I24" s="14">
        <f>6380595.77156009+Sheet3!H4</f>
        <v>6892809.6427737586</v>
      </c>
      <c r="J24" s="14">
        <v>699837.38938436972</v>
      </c>
      <c r="K24" s="14">
        <f>SUM(H24:J24)</f>
        <v>11410706.708863396</v>
      </c>
      <c r="M24" s="14">
        <v>6594899.7129192557</v>
      </c>
      <c r="N24" s="14">
        <v>22039658.693191759</v>
      </c>
      <c r="O24" s="14">
        <v>3916046.7720598117</v>
      </c>
      <c r="P24" s="14">
        <f>SUM(M24:O24)</f>
        <v>32550605.17817083</v>
      </c>
      <c r="R24" s="14">
        <f t="shared" ref="R24:R28" si="15">M24+C24</f>
        <v>8892896.2129192557</v>
      </c>
      <c r="S24" s="14">
        <f t="shared" ref="S24:S28" si="16">N24+D24</f>
        <v>28169487.19519176</v>
      </c>
      <c r="T24" s="14">
        <f t="shared" ref="T24:T28" si="17">O24+E24</f>
        <v>5487620.7720598113</v>
      </c>
      <c r="U24" s="14">
        <f>SUM(R24:T24)</f>
        <v>42550004.180170827</v>
      </c>
      <c r="W24" s="14">
        <f>10868768.8275985+Sheet3!D4+Sheet3!E4</f>
        <v>12160739.206965476</v>
      </c>
      <c r="X24" s="14">
        <f>30564336.068527+Sheet3!H4</f>
        <v>31076549.939740665</v>
      </c>
      <c r="Y24" s="14">
        <v>3539868.3719985108</v>
      </c>
      <c r="Z24" s="14">
        <f>SUM(W24:Y24)</f>
        <v>46777157.518704653</v>
      </c>
      <c r="AB24" s="326">
        <v>4338679.232722071</v>
      </c>
      <c r="AC24" s="326">
        <f t="shared" ref="AC24:AC29" si="18">U24-AB24</f>
        <v>38211324.947448753</v>
      </c>
      <c r="AD24" s="326"/>
      <c r="AE24" s="326"/>
    </row>
    <row r="25" spans="2:35" x14ac:dyDescent="0.3">
      <c r="B25" s="25" t="s">
        <v>27</v>
      </c>
      <c r="C25" s="14">
        <v>1718742</v>
      </c>
      <c r="D25" s="14">
        <v>7241039.8580000009</v>
      </c>
      <c r="E25" s="14">
        <v>2063788.5000000002</v>
      </c>
      <c r="F25" s="14">
        <f>SUM(C25:E25)</f>
        <v>11023570.358000001</v>
      </c>
      <c r="H25" s="14">
        <f>2201759.02141686+Sheet3!D5+Sheet3!E5</f>
        <v>3327850.4233209556</v>
      </c>
      <c r="I25" s="14">
        <f>13002087.4590375+Sheet3!H5</f>
        <v>14045853.557014883</v>
      </c>
      <c r="J25" s="14">
        <v>2358349.9555263189</v>
      </c>
      <c r="K25" s="14">
        <f>SUM(H25:J25)</f>
        <v>19732053.935862157</v>
      </c>
      <c r="M25" s="14">
        <v>5321610.7145999242</v>
      </c>
      <c r="N25" s="14">
        <v>25232174.628289133</v>
      </c>
      <c r="O25" s="14">
        <v>5565923.208385637</v>
      </c>
      <c r="P25" s="14">
        <f>SUM(M25:O25)</f>
        <v>36119708.551274695</v>
      </c>
      <c r="R25" s="14">
        <f t="shared" si="15"/>
        <v>7040352.7145999242</v>
      </c>
      <c r="S25" s="14">
        <f t="shared" si="16"/>
        <v>32473214.486289136</v>
      </c>
      <c r="T25" s="14">
        <f t="shared" si="17"/>
        <v>7629711.708385637</v>
      </c>
      <c r="U25" s="14">
        <f>SUM(R25:T25)</f>
        <v>47143278.909274697</v>
      </c>
      <c r="W25" s="14">
        <f>9192557.2677779+Sheet3!D5+Sheet3!E5</f>
        <v>10318648.669681994</v>
      </c>
      <c r="X25" s="14">
        <f>66818873.3645521+Sheet3!H5</f>
        <v>67862639.46252948</v>
      </c>
      <c r="Y25" s="14">
        <v>11167165.453612965</v>
      </c>
      <c r="Z25" s="14">
        <f>SUM(W25:Y25)</f>
        <v>89348453.585824445</v>
      </c>
      <c r="AB25" s="326">
        <v>5285296.759551785</v>
      </c>
      <c r="AC25" s="326">
        <f t="shared" si="18"/>
        <v>41857982.149722911</v>
      </c>
      <c r="AD25" s="326"/>
      <c r="AE25" s="326"/>
    </row>
    <row r="26" spans="2:35" x14ac:dyDescent="0.3">
      <c r="B26" s="25" t="s">
        <v>28</v>
      </c>
      <c r="C26" s="14">
        <v>26428903.5</v>
      </c>
      <c r="D26" s="14">
        <v>10638274.204</v>
      </c>
      <c r="E26" s="14">
        <v>2649441.5</v>
      </c>
      <c r="F26" s="14">
        <f>SUM(C26:E26)</f>
        <v>39716619.203999996</v>
      </c>
      <c r="H26" s="14">
        <f>31623658.1044498+Sheet3!D6+Sheet3!E6</f>
        <v>47797603.18280787</v>
      </c>
      <c r="I26" s="14">
        <f>12008344.2104329+Sheet3!H6+(53431.3487416133)</f>
        <v>13025767.119697426</v>
      </c>
      <c r="J26" s="14">
        <v>1186786.1956449673</v>
      </c>
      <c r="K26" s="14">
        <f>SUM(H26:J26)</f>
        <v>62010156.498150267</v>
      </c>
      <c r="M26" s="14">
        <v>94415935.215271547</v>
      </c>
      <c r="N26" s="14">
        <v>39093984.702527188</v>
      </c>
      <c r="O26" s="14">
        <v>6586859.3400976593</v>
      </c>
      <c r="P26" s="14">
        <f>SUM(M26:O26)</f>
        <v>140096779.25789639</v>
      </c>
      <c r="R26" s="14">
        <f t="shared" si="15"/>
        <v>120844838.71527155</v>
      </c>
      <c r="S26" s="14">
        <f t="shared" si="16"/>
        <v>49732258.906527191</v>
      </c>
      <c r="T26" s="14">
        <f t="shared" si="17"/>
        <v>9236300.8400976583</v>
      </c>
      <c r="U26" s="14">
        <f>SUM(R26:T26)</f>
        <v>179813398.46189642</v>
      </c>
      <c r="W26" s="14">
        <f>150238068.470555+Sheet3!D6+Sheet3!E6</f>
        <v>166412013.54891309</v>
      </c>
      <c r="X26" s="14">
        <f>56367635.2195461+Sheet3!H6</f>
        <v>57331626.780069016</v>
      </c>
      <c r="Y26" s="14">
        <v>5642446.9411559375</v>
      </c>
      <c r="Z26" s="14">
        <f>SUM(W26:Y26)</f>
        <v>229386087.27013806</v>
      </c>
      <c r="AB26" s="326">
        <v>16905459.504792795</v>
      </c>
      <c r="AC26" s="326">
        <f t="shared" si="18"/>
        <v>162907938.95710361</v>
      </c>
      <c r="AD26" s="326"/>
      <c r="AE26" s="326"/>
    </row>
    <row r="27" spans="2:35" x14ac:dyDescent="0.3">
      <c r="B27" s="25" t="s">
        <v>29</v>
      </c>
      <c r="C27" s="14">
        <v>0</v>
      </c>
      <c r="D27" s="14">
        <v>0</v>
      </c>
      <c r="E27" s="14">
        <v>0</v>
      </c>
      <c r="F27" s="14">
        <f>SUM(C27:E27)</f>
        <v>0</v>
      </c>
      <c r="H27" s="14">
        <f>-702787.401488224+Sheet3!D7+Sheet3!E7</f>
        <v>-1062228.5766960061</v>
      </c>
      <c r="I27" s="14">
        <v>0</v>
      </c>
      <c r="J27" s="14">
        <v>0</v>
      </c>
      <c r="K27" s="14">
        <f>SUM(H27:J27)</f>
        <v>-1062228.5766960061</v>
      </c>
      <c r="M27" s="14">
        <v>-1515294.5663294198</v>
      </c>
      <c r="N27" s="14">
        <v>0</v>
      </c>
      <c r="O27" s="14">
        <v>-3227.3936804735499</v>
      </c>
      <c r="P27" s="14">
        <f>SUM(M27:O27)</f>
        <v>-1518521.9600098934</v>
      </c>
      <c r="R27" s="14">
        <f t="shared" si="15"/>
        <v>-1515294.5663294198</v>
      </c>
      <c r="S27" s="14">
        <f t="shared" si="16"/>
        <v>0</v>
      </c>
      <c r="T27" s="14">
        <f t="shared" si="17"/>
        <v>-3227.3936804735499</v>
      </c>
      <c r="U27" s="14">
        <f>SUM(R27:T27)</f>
        <v>-1518521.9600098934</v>
      </c>
      <c r="W27" s="14">
        <f>-3019954.51314368+Sheet3!D7+Sheet3!E7</f>
        <v>-3379395.6883514621</v>
      </c>
      <c r="X27" s="14">
        <f>Sheet3!H7</f>
        <v>0</v>
      </c>
      <c r="Y27" s="14">
        <v>0</v>
      </c>
      <c r="Z27" s="14">
        <f>SUM(W27:Y27)</f>
        <v>-3379395.6883514621</v>
      </c>
      <c r="AB27" s="326">
        <v>-191880.38092533979</v>
      </c>
      <c r="AC27" s="326">
        <f t="shared" si="18"/>
        <v>-1326641.5790845535</v>
      </c>
      <c r="AD27" s="326"/>
      <c r="AE27" s="326"/>
    </row>
    <row r="28" spans="2:35" x14ac:dyDescent="0.3">
      <c r="B28" s="25" t="s">
        <v>30</v>
      </c>
      <c r="C28" s="14">
        <v>0</v>
      </c>
      <c r="D28" s="14">
        <v>0</v>
      </c>
      <c r="E28" s="14">
        <v>0</v>
      </c>
      <c r="F28" s="14">
        <f>SUM(C28:E28)</f>
        <v>0</v>
      </c>
      <c r="H28" s="14">
        <f>1897418.04116675+Sheet3!D8+Sheet3!E8</f>
        <v>2867854.0067705694</v>
      </c>
      <c r="I28" s="14">
        <f>652422.984918858+Sheet3!H8</f>
        <v>704797.42058889207</v>
      </c>
      <c r="J28" s="14">
        <v>92849.908042882365</v>
      </c>
      <c r="K28" s="14">
        <f>SUM(H28:J28)</f>
        <v>3665501.3354023439</v>
      </c>
      <c r="M28" s="14">
        <v>0</v>
      </c>
      <c r="N28" s="14">
        <v>0</v>
      </c>
      <c r="O28" s="14">
        <v>0</v>
      </c>
      <c r="P28" s="14">
        <f>SUM(M28:O28)</f>
        <v>0</v>
      </c>
      <c r="R28" s="14">
        <f t="shared" si="15"/>
        <v>0</v>
      </c>
      <c r="S28" s="14">
        <f t="shared" si="16"/>
        <v>0</v>
      </c>
      <c r="T28" s="14">
        <f t="shared" si="17"/>
        <v>0</v>
      </c>
      <c r="U28" s="14">
        <f>SUM(R28:T28)</f>
        <v>0</v>
      </c>
      <c r="W28" s="14">
        <f>7617070.49786975+Sheet3!D8+Sheet3!E8</f>
        <v>8587506.4634735696</v>
      </c>
      <c r="X28" s="14">
        <f>2609691.93967543+Sheet3!H8</f>
        <v>2662066.3753454639</v>
      </c>
      <c r="Y28" s="14">
        <v>371399.63217152946</v>
      </c>
      <c r="Z28" s="14">
        <f>SUM(W28:Y28)</f>
        <v>11620972.470990565</v>
      </c>
      <c r="AB28" s="326">
        <v>0</v>
      </c>
      <c r="AC28" s="326">
        <f t="shared" si="18"/>
        <v>0</v>
      </c>
      <c r="AD28" s="326"/>
      <c r="AE28" s="326"/>
    </row>
    <row r="29" spans="2:35" x14ac:dyDescent="0.3">
      <c r="B29" s="9" t="s">
        <v>31</v>
      </c>
      <c r="C29" s="30">
        <f>SUM(C24:C28)</f>
        <v>30445642</v>
      </c>
      <c r="D29" s="30">
        <f>SUM(D24:D28)</f>
        <v>24009142.564000003</v>
      </c>
      <c r="E29" s="30">
        <f>SUM(E24:E28)</f>
        <v>6284804</v>
      </c>
      <c r="F29" s="30">
        <f>SUM(F24:F28)</f>
        <v>60739588.563999996</v>
      </c>
      <c r="H29" s="30">
        <f>SUM(H24:H28)</f>
        <v>56749138.712908655</v>
      </c>
      <c r="I29" s="30">
        <f>SUM(I24:I28)</f>
        <v>34669227.740074962</v>
      </c>
      <c r="J29" s="30">
        <f>SUM(J24:J28)</f>
        <v>4337823.4485985385</v>
      </c>
      <c r="K29" s="30">
        <f>SUM(K24:K28)</f>
        <v>95756189.901582152</v>
      </c>
      <c r="M29" s="30">
        <f>SUM(M24:M28)</f>
        <v>104817151.07646132</v>
      </c>
      <c r="N29" s="30">
        <f>SUM(N24:N28)</f>
        <v>86365818.02400808</v>
      </c>
      <c r="O29" s="30">
        <f>SUM(O24:O28)</f>
        <v>16065601.926862633</v>
      </c>
      <c r="P29" s="30">
        <f>SUM(P24:P28)</f>
        <v>207248571.02733201</v>
      </c>
      <c r="R29" s="30">
        <f>SUM(R24:R28)</f>
        <v>135262793.07646132</v>
      </c>
      <c r="S29" s="30">
        <f>SUM(S24:S28)</f>
        <v>110374960.58800809</v>
      </c>
      <c r="T29" s="30">
        <f>SUM(T24:T28)</f>
        <v>22350405.926862635</v>
      </c>
      <c r="U29" s="30">
        <f>SUM(U24:U28)</f>
        <v>267988159.59133205</v>
      </c>
      <c r="W29" s="30">
        <f>SUM(W24:W28)</f>
        <v>194099512.20068267</v>
      </c>
      <c r="X29" s="30">
        <f>SUM(X24:X28)</f>
        <v>158932882.55768463</v>
      </c>
      <c r="Y29" s="30">
        <f>SUM(Y24:Y28)</f>
        <v>20720880.398938943</v>
      </c>
      <c r="Z29" s="30">
        <f>SUM(Z24:Z28)</f>
        <v>373753275.15730625</v>
      </c>
      <c r="AB29" s="328">
        <f>SUM(AB24:AB28)</f>
        <v>26337555.116141312</v>
      </c>
      <c r="AC29" s="326">
        <f t="shared" si="18"/>
        <v>241650604.47519073</v>
      </c>
      <c r="AD29" s="326"/>
      <c r="AE29" s="326"/>
      <c r="AI29" s="4"/>
    </row>
    <row r="30" spans="2:35" x14ac:dyDescent="0.3">
      <c r="B30" s="25"/>
      <c r="C30" s="10"/>
      <c r="D30" s="10"/>
      <c r="E30" s="10"/>
      <c r="F30" s="10"/>
      <c r="H30" s="10"/>
      <c r="I30" s="10"/>
      <c r="J30" s="10"/>
      <c r="K30" s="10"/>
      <c r="M30" s="10"/>
      <c r="N30" s="10"/>
      <c r="O30" s="10"/>
      <c r="P30" s="10"/>
      <c r="R30" s="10"/>
      <c r="S30" s="10"/>
      <c r="T30" s="10"/>
      <c r="U30" s="10"/>
      <c r="W30" s="10"/>
      <c r="X30" s="10"/>
      <c r="Y30" s="10"/>
      <c r="Z30" s="10"/>
      <c r="AB30" s="326"/>
      <c r="AC30" s="326"/>
      <c r="AD30" s="326"/>
      <c r="AE30" s="326"/>
    </row>
    <row r="31" spans="2:35" ht="15" thickBot="1" x14ac:dyDescent="0.35">
      <c r="B31" s="27"/>
      <c r="C31" s="18"/>
      <c r="D31" s="18"/>
      <c r="E31" s="18"/>
      <c r="F31" s="18"/>
      <c r="H31" s="18"/>
      <c r="I31" s="18"/>
      <c r="J31" s="18"/>
      <c r="K31" s="18"/>
      <c r="M31" s="18"/>
      <c r="N31" s="18"/>
      <c r="O31" s="18"/>
      <c r="P31" s="18"/>
      <c r="R31" s="18"/>
      <c r="S31" s="18"/>
      <c r="T31" s="18"/>
      <c r="U31" s="18"/>
      <c r="W31" s="18"/>
      <c r="X31" s="18"/>
      <c r="Y31" s="18"/>
      <c r="Z31" s="18"/>
      <c r="AB31" s="326"/>
      <c r="AC31" s="326"/>
      <c r="AD31" s="326"/>
      <c r="AE31" s="326"/>
    </row>
    <row r="32" spans="2:35" ht="15" thickBot="1" x14ac:dyDescent="0.35">
      <c r="B32" s="19" t="s">
        <v>32</v>
      </c>
      <c r="C32" s="20">
        <f>C21</f>
        <v>30445641.600000001</v>
      </c>
      <c r="D32" s="20">
        <f t="shared" ref="D32:F32" si="19">D21</f>
        <v>24009142.563999999</v>
      </c>
      <c r="E32" s="20">
        <f t="shared" si="19"/>
        <v>6284804</v>
      </c>
      <c r="F32" s="20">
        <f t="shared" si="19"/>
        <v>60739588.164000005</v>
      </c>
      <c r="G32" s="332"/>
      <c r="H32" s="20">
        <f t="shared" ref="H32:K32" si="20">H21</f>
        <v>56749138.712908581</v>
      </c>
      <c r="I32" s="20">
        <f t="shared" si="20"/>
        <v>34669227.740074918</v>
      </c>
      <c r="J32" s="20">
        <f t="shared" si="20"/>
        <v>4337823.4485985385</v>
      </c>
      <c r="K32" s="20">
        <f t="shared" si="20"/>
        <v>95756189.901582032</v>
      </c>
      <c r="L32" s="332">
        <f>K32/(K8*1000)</f>
        <v>10.89384385397746</v>
      </c>
      <c r="M32" s="20">
        <f t="shared" ref="M32:P32" si="21">M21</f>
        <v>104817151</v>
      </c>
      <c r="N32" s="20">
        <f t="shared" si="21"/>
        <v>86365785.099008083</v>
      </c>
      <c r="O32" s="20">
        <f t="shared" si="21"/>
        <v>16065633.926862635</v>
      </c>
      <c r="P32" s="20">
        <f t="shared" si="21"/>
        <v>207248570.02587071</v>
      </c>
      <c r="R32" s="20">
        <f t="shared" ref="R32:U32" si="22">R21</f>
        <v>135262792.59999999</v>
      </c>
      <c r="S32" s="20">
        <f t="shared" si="22"/>
        <v>110374927.66300808</v>
      </c>
      <c r="T32" s="20">
        <f t="shared" si="22"/>
        <v>22350437.926862635</v>
      </c>
      <c r="U32" s="20">
        <f t="shared" si="22"/>
        <v>267988158.18987069</v>
      </c>
      <c r="W32" s="20">
        <f t="shared" ref="W32:Z32" si="23">W21</f>
        <v>194046080.851942</v>
      </c>
      <c r="X32" s="20">
        <f t="shared" si="23"/>
        <v>158986313.90642664</v>
      </c>
      <c r="Y32" s="20">
        <f>Y21</f>
        <v>20720880.398938943</v>
      </c>
      <c r="Z32" s="20">
        <f t="shared" si="23"/>
        <v>373753275.15730757</v>
      </c>
      <c r="AB32" s="302">
        <v>26337555.116141312</v>
      </c>
      <c r="AC32" s="326">
        <f t="shared" ref="AC32:AC34" si="24">U32-AB32</f>
        <v>241650603.07372937</v>
      </c>
      <c r="AD32" s="326"/>
      <c r="AE32" s="326"/>
    </row>
    <row r="33" spans="2:35" x14ac:dyDescent="0.3">
      <c r="B33" s="32"/>
      <c r="C33" s="24">
        <f>C32/(C8*1000)</f>
        <v>33.362527367763569</v>
      </c>
      <c r="D33" s="24">
        <f t="shared" ref="D33:F33" si="25">D32/(D8*1000)</f>
        <v>4.8783370335652538</v>
      </c>
      <c r="E33" s="24">
        <f t="shared" si="25"/>
        <v>4.1991775101474937</v>
      </c>
      <c r="F33" s="24">
        <f t="shared" si="25"/>
        <v>8.2855012898678684</v>
      </c>
      <c r="H33" s="24">
        <f>H32/(H8*1000)</f>
        <v>33.145880612832798</v>
      </c>
      <c r="I33" s="24">
        <f t="shared" ref="I33" si="26">I32/(I8*1000)</f>
        <v>5.6481308719310483</v>
      </c>
      <c r="J33" s="24">
        <f t="shared" ref="J33" si="27">J32/(J8*1000)</f>
        <v>4.6163926035578218</v>
      </c>
      <c r="K33" s="24">
        <f t="shared" ref="K33" si="28">K32/(K8*1000)</f>
        <v>10.89384385397746</v>
      </c>
      <c r="M33" s="24"/>
      <c r="N33" s="24"/>
      <c r="O33" s="24"/>
      <c r="P33" s="24"/>
      <c r="R33" s="24"/>
      <c r="S33" s="24"/>
      <c r="T33" s="24"/>
      <c r="U33" s="24"/>
      <c r="W33" s="24"/>
      <c r="X33" s="24"/>
      <c r="Y33" s="24"/>
      <c r="Z33" s="24"/>
      <c r="AB33" s="326"/>
      <c r="AC33" s="326"/>
      <c r="AD33" s="326"/>
      <c r="AE33" s="326"/>
    </row>
    <row r="34" spans="2:35" x14ac:dyDescent="0.3">
      <c r="B34" s="9" t="s">
        <v>33</v>
      </c>
      <c r="C34" s="13">
        <f>C18-C32</f>
        <v>12315211.135019995</v>
      </c>
      <c r="D34" s="13">
        <f>D18-D32</f>
        <v>19672738.142479997</v>
      </c>
      <c r="E34" s="13">
        <f>E18-E32</f>
        <v>7815462.3145000003</v>
      </c>
      <c r="F34" s="13">
        <f>F18-F32</f>
        <v>39803411.591999993</v>
      </c>
      <c r="H34" s="13">
        <f>H18-H32</f>
        <v>19563237.348393574</v>
      </c>
      <c r="I34" s="13">
        <f>I18-I32</f>
        <v>23106344.982641488</v>
      </c>
      <c r="J34" s="13">
        <f>J18-J32</f>
        <v>5027567.9080733703</v>
      </c>
      <c r="K34" s="13">
        <f>K18-K32</f>
        <v>47697150.239108473</v>
      </c>
      <c r="M34" s="13">
        <f>M18-M32</f>
        <v>29516433.860842168</v>
      </c>
      <c r="N34" s="13">
        <f>N18-N32</f>
        <v>63020852.180666298</v>
      </c>
      <c r="O34" s="13">
        <f>O18-O32</f>
        <v>18865359.991770834</v>
      </c>
      <c r="P34" s="13">
        <f>P18-P32</f>
        <v>111402646.03327927</v>
      </c>
      <c r="R34" s="13">
        <f>R18-R32</f>
        <v>41831644.995862156</v>
      </c>
      <c r="S34" s="13">
        <f>S18-S32</f>
        <v>82693590.323146328</v>
      </c>
      <c r="T34" s="13">
        <f>T18-T32</f>
        <v>26680822.30627083</v>
      </c>
      <c r="U34" s="13">
        <f>U18-U32</f>
        <v>151206057.62527928</v>
      </c>
      <c r="W34" s="13">
        <f>W18-W32</f>
        <v>58548304.007207364</v>
      </c>
      <c r="X34" s="13">
        <f>X18-X32</f>
        <v>101456572.30113575</v>
      </c>
      <c r="Y34" s="13">
        <f>Y18-Y32</f>
        <v>23433569.340389941</v>
      </c>
      <c r="Z34" s="13">
        <f>Z18-Z32</f>
        <v>183438445.64873296</v>
      </c>
      <c r="AB34" s="304">
        <v>15146534.442969996</v>
      </c>
      <c r="AC34" s="326">
        <f t="shared" si="24"/>
        <v>136059523.18230927</v>
      </c>
      <c r="AD34" s="326">
        <v>134562716.10527924</v>
      </c>
      <c r="AE34" s="326">
        <f>AD34-AC34</f>
        <v>-1496807.0770300329</v>
      </c>
    </row>
    <row r="35" spans="2:35" x14ac:dyDescent="0.3">
      <c r="B35" s="9" t="s">
        <v>34</v>
      </c>
      <c r="C35" s="33">
        <f>C34/C18</f>
        <v>0.28800200059935116</v>
      </c>
      <c r="D35" s="33">
        <f>D34/D18</f>
        <v>0.45036380815814192</v>
      </c>
      <c r="E35" s="33">
        <f>E34/E18</f>
        <v>0.55427763846296818</v>
      </c>
      <c r="F35" s="33">
        <f>F34/F18</f>
        <v>0.39588446424510709</v>
      </c>
      <c r="H35" s="33">
        <f>H34/H18</f>
        <v>0.25635733491875967</v>
      </c>
      <c r="I35" s="33">
        <f>I34/I18</f>
        <v>0.39993277251506071</v>
      </c>
      <c r="J35" s="33">
        <f>J34/J18</f>
        <v>0.53682411301389221</v>
      </c>
      <c r="K35" s="33">
        <f>K34/K18</f>
        <v>0.33249243407180301</v>
      </c>
      <c r="M35" s="33">
        <f>M34/M18</f>
        <v>0.21972490268475012</v>
      </c>
      <c r="N35" s="33">
        <f>N34/N18</f>
        <v>0.42186405242312086</v>
      </c>
      <c r="O35" s="33">
        <f>O34/O18</f>
        <v>0.54007509879950366</v>
      </c>
      <c r="P35" s="33">
        <f>P34/P18</f>
        <v>0.34960684415715532</v>
      </c>
      <c r="R35" s="33">
        <f>R34/R18</f>
        <v>0.23621094803284529</v>
      </c>
      <c r="S35" s="33">
        <f>S34/S18</f>
        <v>0.42831214112844934</v>
      </c>
      <c r="T35" s="33">
        <f>T34/T18</f>
        <v>0.54415942358832015</v>
      </c>
      <c r="U35" s="33">
        <f>U34/U18</f>
        <v>0.36070645042477373</v>
      </c>
      <c r="W35" s="33">
        <f>W34/W18</f>
        <v>0.2317878286956174</v>
      </c>
      <c r="X35" s="33">
        <f>X34/X18</f>
        <v>0.38955401615492385</v>
      </c>
      <c r="Y35" s="33">
        <f>Y34/Y18</f>
        <v>0.53071818307628882</v>
      </c>
      <c r="Z35" s="33">
        <f>Z34/Z18</f>
        <v>0.32921961830905994</v>
      </c>
      <c r="AB35" s="326"/>
      <c r="AC35" s="326"/>
      <c r="AD35" s="326"/>
      <c r="AE35" s="326"/>
    </row>
    <row r="36" spans="2:35" x14ac:dyDescent="0.3">
      <c r="B36" s="25"/>
      <c r="C36" s="10"/>
      <c r="D36" s="10"/>
      <c r="E36" s="10"/>
      <c r="F36" s="10"/>
      <c r="H36" s="10"/>
      <c r="I36" s="10"/>
      <c r="J36" s="10"/>
      <c r="K36" s="10"/>
      <c r="M36" s="10"/>
      <c r="N36" s="10"/>
      <c r="O36" s="10"/>
      <c r="P36" s="10"/>
      <c r="R36" s="10"/>
      <c r="S36" s="10"/>
      <c r="T36" s="10"/>
      <c r="U36" s="10"/>
      <c r="W36" s="10"/>
      <c r="X36" s="10"/>
      <c r="Y36" s="10"/>
      <c r="Z36" s="10"/>
      <c r="AB36" s="326"/>
      <c r="AC36" s="326"/>
      <c r="AD36" s="326"/>
      <c r="AE36" s="326"/>
    </row>
    <row r="37" spans="2:35" x14ac:dyDescent="0.3">
      <c r="B37" s="25" t="s">
        <v>128</v>
      </c>
      <c r="C37" s="14">
        <v>3303503.4000000004</v>
      </c>
      <c r="D37" s="14">
        <v>0</v>
      </c>
      <c r="E37" s="14">
        <v>0</v>
      </c>
      <c r="F37" s="13">
        <f>SUM(C37:E37)</f>
        <v>3303503.4000000004</v>
      </c>
      <c r="G37" s="5"/>
      <c r="H37" s="14">
        <v>4117263.9605423664</v>
      </c>
      <c r="I37" s="14">
        <v>2471799.9744435777</v>
      </c>
      <c r="J37" s="14">
        <v>598924.9609611734</v>
      </c>
      <c r="K37" s="13">
        <f>SUM(H37:J37)</f>
        <v>7187988.8959471174</v>
      </c>
      <c r="M37" s="14">
        <v>10980255.000616923</v>
      </c>
      <c r="N37" s="14">
        <v>6124021.8464221153</v>
      </c>
      <c r="O37" s="14">
        <v>1399186.9174758187</v>
      </c>
      <c r="P37" s="13">
        <f>SUM(M37:O37)</f>
        <v>18503463.764514856</v>
      </c>
      <c r="R37" s="14">
        <f t="shared" ref="R37:R38" si="29">M37+C37</f>
        <v>14283758.400616923</v>
      </c>
      <c r="S37" s="14">
        <f t="shared" ref="S37:S38" si="30">N37+D37</f>
        <v>6124021.8464221153</v>
      </c>
      <c r="T37" s="14">
        <f t="shared" ref="T37:T38" si="31">O37+E37</f>
        <v>1399186.9174758187</v>
      </c>
      <c r="U37" s="13">
        <f>SUM(R37:T37)</f>
        <v>21806967.164514858</v>
      </c>
      <c r="W37" s="14">
        <v>17725914.036878284</v>
      </c>
      <c r="X37" s="14">
        <v>14751057.301817924</v>
      </c>
      <c r="Y37" s="14">
        <v>2930430.3762807921</v>
      </c>
      <c r="Z37" s="13">
        <f>SUM(W37:Y37)</f>
        <v>35407401.714976996</v>
      </c>
      <c r="AB37" s="326">
        <v>3335720.9645148572</v>
      </c>
      <c r="AC37" s="326">
        <f t="shared" ref="AC37:AC41" si="32">U37-AB37</f>
        <v>18471246.200000003</v>
      </c>
      <c r="AD37" s="326"/>
      <c r="AE37" s="326"/>
    </row>
    <row r="38" spans="2:35" x14ac:dyDescent="0.3">
      <c r="B38" s="25" t="s">
        <v>36</v>
      </c>
      <c r="C38" s="14">
        <v>2405070.4401251692</v>
      </c>
      <c r="D38" s="14">
        <v>14598484.532105617</v>
      </c>
      <c r="E38" s="14">
        <v>4712309.0023059007</v>
      </c>
      <c r="F38" s="13">
        <f>SUM(C38:E38)</f>
        <v>21715863.974536687</v>
      </c>
      <c r="G38" s="5"/>
      <c r="H38" s="14">
        <f>3231327.72905477+(0.11525*10^7)+(0.040954265384312*10^7)</f>
        <v>4793370.3828978892</v>
      </c>
      <c r="I38" s="14">
        <f>16156911.6622007+(0.17684878512015*10^7)</f>
        <v>17925399.513402201</v>
      </c>
      <c r="J38" s="14">
        <v>2530988.8304385785</v>
      </c>
      <c r="K38" s="13">
        <f>SUM(H38:J38)</f>
        <v>25249758.726738669</v>
      </c>
      <c r="M38" s="14">
        <v>7869211.9610142335</v>
      </c>
      <c r="N38" s="14">
        <v>48739790.365950614</v>
      </c>
      <c r="O38" s="14">
        <v>11510396.283129599</v>
      </c>
      <c r="P38" s="13">
        <f>SUM(M38:O38)</f>
        <v>68119398.610094443</v>
      </c>
      <c r="R38" s="14">
        <f t="shared" si="29"/>
        <v>10274282.401139403</v>
      </c>
      <c r="S38" s="14">
        <f t="shared" si="30"/>
        <v>63338274.898056231</v>
      </c>
      <c r="T38" s="14">
        <f t="shared" si="31"/>
        <v>16222705.2854355</v>
      </c>
      <c r="U38" s="13">
        <f>SUM(R38:T38)</f>
        <v>89835262.58463113</v>
      </c>
      <c r="W38" s="14">
        <f>14489659.1605648+(0.11525*10^7)+(0.040954265384312*10^7)</f>
        <v>16051701.81440792</v>
      </c>
      <c r="X38" s="14">
        <f>74942403.8347953+(0.17684878512015*10^7)</f>
        <v>76710891.685996801</v>
      </c>
      <c r="Y38" s="14">
        <v>11825986.726602921</v>
      </c>
      <c r="Z38" s="13">
        <f>SUM(W38:Y38)</f>
        <v>104588580.22700764</v>
      </c>
      <c r="AB38" s="326">
        <v>7465825.038304368</v>
      </c>
      <c r="AC38" s="326">
        <f t="shared" si="32"/>
        <v>82369437.546326756</v>
      </c>
      <c r="AD38" s="326"/>
      <c r="AE38" s="326"/>
    </row>
    <row r="39" spans="2:35" x14ac:dyDescent="0.3">
      <c r="B39" s="25" t="s">
        <v>11</v>
      </c>
      <c r="C39" s="13">
        <f>C37+C38</f>
        <v>5708573.8401251696</v>
      </c>
      <c r="D39" s="13">
        <f>D37+D38</f>
        <v>14598484.532105617</v>
      </c>
      <c r="E39" s="13">
        <f>E37+E38</f>
        <v>4712309.0023059007</v>
      </c>
      <c r="F39" s="13">
        <f>F37+F38</f>
        <v>25019367.374536686</v>
      </c>
      <c r="H39" s="13">
        <f>H37+H38</f>
        <v>8910634.3434402552</v>
      </c>
      <c r="I39" s="13">
        <f>I37+I38</f>
        <v>20397199.487845778</v>
      </c>
      <c r="J39" s="13">
        <f>J37+J38</f>
        <v>3129913.7913997518</v>
      </c>
      <c r="K39" s="13">
        <f>K37+K38</f>
        <v>32437747.622685786</v>
      </c>
      <c r="M39" s="13">
        <f>M37+M38</f>
        <v>18849466.961631157</v>
      </c>
      <c r="N39" s="13">
        <f>N37+N38</f>
        <v>54863812.212372728</v>
      </c>
      <c r="O39" s="13">
        <f>O37+O38</f>
        <v>12909583.200605419</v>
      </c>
      <c r="P39" s="13">
        <f>P37+P38</f>
        <v>86622862.374609292</v>
      </c>
      <c r="R39" s="13">
        <f>R37+R38</f>
        <v>24558040.801756326</v>
      </c>
      <c r="S39" s="13">
        <f>S37+S38</f>
        <v>69462296.744478345</v>
      </c>
      <c r="T39" s="13">
        <f>T37+T38</f>
        <v>17621892.202911317</v>
      </c>
      <c r="U39" s="13">
        <f>U37+U38</f>
        <v>111642229.74914598</v>
      </c>
      <c r="W39" s="13">
        <f>W37+W38</f>
        <v>33777615.851286203</v>
      </c>
      <c r="X39" s="13">
        <f>X37+X38</f>
        <v>91461948.987814724</v>
      </c>
      <c r="Y39" s="13">
        <f>Y37+Y38</f>
        <v>14756417.102883713</v>
      </c>
      <c r="Z39" s="13">
        <f>Z37+Z38</f>
        <v>139995981.94198465</v>
      </c>
      <c r="AB39" s="14">
        <f>AB37+AB38</f>
        <v>10801546.002819225</v>
      </c>
      <c r="AC39" s="326">
        <f t="shared" si="32"/>
        <v>100840683.74632676</v>
      </c>
      <c r="AD39" s="326">
        <v>100840683.56182654</v>
      </c>
      <c r="AE39" s="326">
        <f>AD39-AC39</f>
        <v>-0.18450021743774414</v>
      </c>
    </row>
    <row r="40" spans="2:35" ht="15" thickBot="1" x14ac:dyDescent="0.35">
      <c r="B40" s="25"/>
      <c r="C40" s="48">
        <f>C39/C18</f>
        <v>0.13350000000000001</v>
      </c>
      <c r="D40" s="48">
        <f>D39/D18</f>
        <v>0.33420000000000005</v>
      </c>
      <c r="E40" s="48">
        <f>E39/E18</f>
        <v>0.33420000000000005</v>
      </c>
      <c r="F40" s="329">
        <f>F39/F18</f>
        <v>0.24884245979585098</v>
      </c>
      <c r="H40" s="330">
        <f>H39/H18</f>
        <v>0.11676525883930404</v>
      </c>
      <c r="I40" s="330">
        <f>I39/I18</f>
        <v>0.35304192631267389</v>
      </c>
      <c r="J40" s="330">
        <f>J39/J18</f>
        <v>0.3342</v>
      </c>
      <c r="K40" s="330">
        <f>K39/K18</f>
        <v>0.22612054617112973</v>
      </c>
      <c r="M40" s="330">
        <f>M39/M18</f>
        <v>0.14031834988366873</v>
      </c>
      <c r="N40" s="330">
        <f>N39/N18</f>
        <v>0.36726050744190308</v>
      </c>
      <c r="O40" s="330">
        <f>O39/O18</f>
        <v>0.3695738870378657</v>
      </c>
      <c r="P40" s="330">
        <f>P39/P18</f>
        <v>0.2718422463466445</v>
      </c>
      <c r="R40" s="330">
        <f>R39/R18</f>
        <v>0.13867200537263025</v>
      </c>
      <c r="S40" s="330">
        <f>S39/S18</f>
        <v>0.35978054562712147</v>
      </c>
      <c r="T40" s="330">
        <f>T39/T18</f>
        <v>0.35940116813483636</v>
      </c>
      <c r="U40" s="330">
        <f>U39/U18</f>
        <v>0.26632578775461041</v>
      </c>
      <c r="W40" s="330">
        <f>W39/W18</f>
        <v>0.13372275029043554</v>
      </c>
      <c r="X40" s="330">
        <f>X39/X18</f>
        <v>0.35117852639262825</v>
      </c>
      <c r="Y40" s="330">
        <f>Y39/Y18</f>
        <v>0.3342</v>
      </c>
      <c r="Z40" s="330">
        <f>Z39/Z18</f>
        <v>0.25125280350444673</v>
      </c>
      <c r="AB40" s="326"/>
      <c r="AC40" s="326"/>
      <c r="AD40" s="326"/>
      <c r="AE40" s="326"/>
    </row>
    <row r="41" spans="2:35" ht="15" thickBot="1" x14ac:dyDescent="0.35">
      <c r="B41" s="19" t="s">
        <v>37</v>
      </c>
      <c r="C41" s="20">
        <f>C34-C39</f>
        <v>6606637.2948948257</v>
      </c>
      <c r="D41" s="20">
        <f>D34-D39</f>
        <v>5074253.6103743799</v>
      </c>
      <c r="E41" s="20">
        <f>E34-E39</f>
        <v>3103153.3121940996</v>
      </c>
      <c r="F41" s="21">
        <f>SUM(C41:E41)</f>
        <v>14784044.217463305</v>
      </c>
      <c r="H41" s="20">
        <f>H34-H39</f>
        <v>10652603.004953319</v>
      </c>
      <c r="I41" s="20">
        <f>I34-I39</f>
        <v>2709145.4947957098</v>
      </c>
      <c r="J41" s="20">
        <f>J34-J39</f>
        <v>1897654.1166736186</v>
      </c>
      <c r="K41" s="21">
        <f>SUM(H41:J41)</f>
        <v>15259402.616422648</v>
      </c>
      <c r="M41" s="20">
        <f>M34-M39</f>
        <v>10666966.899211012</v>
      </c>
      <c r="N41" s="20">
        <f>N34-N39</f>
        <v>8157039.96829357</v>
      </c>
      <c r="O41" s="20">
        <f>O34-O39</f>
        <v>5955776.7911654152</v>
      </c>
      <c r="P41" s="21">
        <f>SUM(M41:O41)</f>
        <v>24779783.658669997</v>
      </c>
      <c r="R41" s="20">
        <f>R34-R39</f>
        <v>17273604.19410583</v>
      </c>
      <c r="S41" s="20">
        <f>S34-S39</f>
        <v>13231293.578667983</v>
      </c>
      <c r="T41" s="20">
        <f>T34-T39</f>
        <v>9058930.103359513</v>
      </c>
      <c r="U41" s="21">
        <f>SUM(R41:T41)</f>
        <v>39563827.876133323</v>
      </c>
      <c r="W41" s="20">
        <f>W34-W39</f>
        <v>24770688.155921161</v>
      </c>
      <c r="X41" s="20">
        <f>X34-X39</f>
        <v>9994623.3133210242</v>
      </c>
      <c r="Y41" s="20">
        <f>Y34-Y39</f>
        <v>8677152.2375062276</v>
      </c>
      <c r="Z41" s="21">
        <f>SUM(W41:Y41)</f>
        <v>43442463.706748411</v>
      </c>
      <c r="AB41" s="326">
        <v>4344988.4401507722</v>
      </c>
      <c r="AC41" s="326">
        <f t="shared" si="32"/>
        <v>35218839.435982548</v>
      </c>
      <c r="AD41" s="326"/>
      <c r="AE41" s="326"/>
      <c r="AG41">
        <v>5.2138196245844997</v>
      </c>
      <c r="AH41">
        <f>AG41*10^7</f>
        <v>52138196.245844997</v>
      </c>
      <c r="AI41" s="4"/>
    </row>
    <row r="42" spans="2:35" x14ac:dyDescent="0.3">
      <c r="B42" s="9" t="s">
        <v>38</v>
      </c>
      <c r="C42" s="48">
        <f>C41/C11</f>
        <v>0.14384136255799593</v>
      </c>
      <c r="D42" s="48">
        <f t="shared" ref="D42:F42" si="33">D41/D11</f>
        <v>9.6532124579415873E-2</v>
      </c>
      <c r="E42" s="48">
        <f t="shared" si="33"/>
        <v>0.18288451756272656</v>
      </c>
      <c r="F42" s="48">
        <f t="shared" si="33"/>
        <v>0.12804107439948237</v>
      </c>
      <c r="H42" s="48">
        <f t="shared" ref="H42" si="34">H41/H11</f>
        <v>0.12741871792125714</v>
      </c>
      <c r="I42" s="48">
        <f t="shared" ref="I42" si="35">I41/I11</f>
        <v>3.95868499835672E-2</v>
      </c>
      <c r="J42" s="48">
        <f t="shared" ref="J42" si="36">J41/J11</f>
        <v>0.16838063791454447</v>
      </c>
      <c r="K42" s="48">
        <f t="shared" ref="K42" si="37">K41/K11</f>
        <v>9.3439039751389397E-2</v>
      </c>
      <c r="M42" s="38">
        <f>M41/M18</f>
        <v>7.9406552801081401E-2</v>
      </c>
      <c r="N42" s="38">
        <f>N41/N18</f>
        <v>5.4603544981217812E-2</v>
      </c>
      <c r="O42" s="38">
        <f>O41/O18</f>
        <v>0.17050121176163802</v>
      </c>
      <c r="P42" s="38">
        <f>P41/P18</f>
        <v>7.7764597810510858E-2</v>
      </c>
      <c r="R42" s="48">
        <f t="shared" ref="R42" si="38">R41/R11</f>
        <v>9.0008846882798602E-2</v>
      </c>
      <c r="S42" s="48">
        <f t="shared" ref="S42" si="39">S41/S11</f>
        <v>5.6382355613984463E-2</v>
      </c>
      <c r="T42" s="48">
        <f t="shared" ref="T42" si="40">T41/T11</f>
        <v>0.15186634055178189</v>
      </c>
      <c r="U42" s="48">
        <f t="shared" ref="U42" si="41">U41/U11</f>
        <v>8.1368283156416171E-2</v>
      </c>
      <c r="W42" s="48">
        <f t="shared" ref="W42" si="42">W41/W11</f>
        <v>8.9667673879756812E-2</v>
      </c>
      <c r="X42" s="48">
        <f t="shared" ref="X42" si="43">X41/X11</f>
        <v>3.2001315338468325E-2</v>
      </c>
      <c r="Y42" s="48">
        <f t="shared" ref="Y42" si="44">Y41/Y11</f>
        <v>0.16330661013639602</v>
      </c>
      <c r="Z42" s="48">
        <f t="shared" ref="Z42" si="45">Z41/Z11</f>
        <v>6.7698688441580682E-2</v>
      </c>
      <c r="AB42" s="326"/>
      <c r="AC42" s="326"/>
      <c r="AD42" s="326"/>
      <c r="AE42" s="326"/>
    </row>
    <row r="43" spans="2:35" x14ac:dyDescent="0.3">
      <c r="B43" s="25"/>
      <c r="C43" s="10"/>
      <c r="D43" s="10"/>
      <c r="E43" s="10"/>
      <c r="F43" s="10"/>
      <c r="H43" s="10"/>
      <c r="I43" s="10"/>
      <c r="J43" s="10"/>
      <c r="K43" s="10"/>
      <c r="M43" s="10"/>
      <c r="N43" s="10"/>
      <c r="O43" s="10"/>
      <c r="P43" s="10"/>
      <c r="R43" s="10"/>
      <c r="S43" s="10"/>
      <c r="T43" s="10"/>
      <c r="U43" s="10"/>
      <c r="W43" s="10"/>
      <c r="X43" s="10"/>
      <c r="Y43" s="10"/>
      <c r="Z43" s="10"/>
      <c r="AB43" s="326"/>
      <c r="AC43" s="326"/>
      <c r="AD43" s="326"/>
      <c r="AE43" s="326"/>
    </row>
    <row r="44" spans="2:35" x14ac:dyDescent="0.3">
      <c r="B44" s="9" t="s">
        <v>39</v>
      </c>
      <c r="C44" s="10"/>
      <c r="D44" s="10"/>
      <c r="E44" s="10"/>
      <c r="F44" s="10"/>
      <c r="H44" s="10"/>
      <c r="I44" s="10"/>
      <c r="J44" s="10"/>
      <c r="K44" s="10"/>
      <c r="M44" s="10"/>
      <c r="N44" s="10"/>
      <c r="O44" s="10"/>
      <c r="P44" s="10"/>
      <c r="R44" s="10"/>
      <c r="S44" s="10"/>
      <c r="T44" s="10"/>
      <c r="U44" s="10"/>
      <c r="W44" s="10"/>
      <c r="X44" s="10"/>
      <c r="Y44" s="10"/>
      <c r="Z44" s="10"/>
      <c r="AB44" s="326"/>
      <c r="AC44" s="326"/>
      <c r="AD44" s="326"/>
      <c r="AE44" s="326"/>
    </row>
    <row r="45" spans="2:35" x14ac:dyDescent="0.3">
      <c r="B45" s="25" t="s">
        <v>40</v>
      </c>
      <c r="C45" s="10"/>
      <c r="D45" s="10"/>
      <c r="E45" s="10"/>
      <c r="F45" s="14">
        <v>136597.95000000001</v>
      </c>
      <c r="H45" s="10"/>
      <c r="I45" s="10"/>
      <c r="J45" s="10"/>
      <c r="K45" s="14">
        <v>0</v>
      </c>
      <c r="M45" s="10"/>
      <c r="N45" s="10"/>
      <c r="O45" s="10"/>
      <c r="P45" s="14">
        <v>159041</v>
      </c>
      <c r="R45" s="10"/>
      <c r="S45" s="10"/>
      <c r="T45" s="10"/>
      <c r="U45" s="14">
        <f t="shared" ref="U45" si="46">P45+F45</f>
        <v>295638.95</v>
      </c>
      <c r="W45" s="10"/>
      <c r="X45" s="10"/>
      <c r="Y45" s="10"/>
      <c r="Z45" s="14">
        <v>0</v>
      </c>
      <c r="AB45" s="326">
        <v>0</v>
      </c>
      <c r="AC45" s="326">
        <f t="shared" ref="AC45" si="47">U45-AB45</f>
        <v>295638.95</v>
      </c>
      <c r="AD45" s="326">
        <v>295638.95</v>
      </c>
      <c r="AE45" s="326">
        <f>AD45-AC45</f>
        <v>0</v>
      </c>
    </row>
    <row r="46" spans="2:35" x14ac:dyDescent="0.3">
      <c r="B46" s="25"/>
      <c r="C46" s="10"/>
      <c r="D46" s="10"/>
      <c r="E46" s="10"/>
      <c r="F46" s="10"/>
      <c r="H46" s="10"/>
      <c r="I46" s="10"/>
      <c r="J46" s="10"/>
      <c r="K46" s="10"/>
      <c r="M46" s="10"/>
      <c r="N46" s="10"/>
      <c r="O46" s="10"/>
      <c r="P46" s="10"/>
      <c r="R46" s="10"/>
      <c r="S46" s="10"/>
      <c r="T46" s="10"/>
      <c r="U46" s="10"/>
      <c r="W46" s="10"/>
      <c r="X46" s="10"/>
      <c r="Y46" s="10"/>
      <c r="Z46" s="10"/>
      <c r="AB46" s="326"/>
      <c r="AC46" s="326"/>
      <c r="AD46" s="326"/>
      <c r="AE46" s="326"/>
    </row>
    <row r="47" spans="2:35" x14ac:dyDescent="0.3">
      <c r="B47" s="9" t="s">
        <v>41</v>
      </c>
      <c r="C47" s="10"/>
      <c r="D47" s="10"/>
      <c r="E47" s="10"/>
      <c r="F47" s="10"/>
      <c r="H47" s="10"/>
      <c r="I47" s="10"/>
      <c r="J47" s="10"/>
      <c r="K47" s="10"/>
      <c r="M47" s="10"/>
      <c r="N47" s="10"/>
      <c r="O47" s="10"/>
      <c r="P47" s="10"/>
      <c r="R47" s="10"/>
      <c r="S47" s="10"/>
      <c r="T47" s="10"/>
      <c r="U47" s="10"/>
      <c r="W47" s="10"/>
      <c r="X47" s="10"/>
      <c r="Y47" s="10"/>
      <c r="Z47" s="10"/>
      <c r="AB47" s="326"/>
      <c r="AC47" s="326"/>
      <c r="AD47" s="326"/>
      <c r="AE47" s="326"/>
    </row>
    <row r="48" spans="2:35" x14ac:dyDescent="0.3">
      <c r="B48" s="39" t="s">
        <v>42</v>
      </c>
      <c r="C48" s="42">
        <v>0</v>
      </c>
      <c r="D48" s="42">
        <v>0</v>
      </c>
      <c r="E48" s="42">
        <v>0</v>
      </c>
      <c r="F48" s="14">
        <v>851539</v>
      </c>
      <c r="G48" s="5"/>
      <c r="H48" s="42">
        <v>0</v>
      </c>
      <c r="I48" s="42">
        <v>0</v>
      </c>
      <c r="J48" s="42">
        <v>0</v>
      </c>
      <c r="K48" s="14">
        <v>200000</v>
      </c>
      <c r="M48" s="42">
        <v>0</v>
      </c>
      <c r="N48" s="42">
        <v>0</v>
      </c>
      <c r="O48" s="42">
        <v>0</v>
      </c>
      <c r="P48" s="40">
        <v>2141865.64</v>
      </c>
      <c r="R48" s="42">
        <v>0</v>
      </c>
      <c r="S48" s="42">
        <v>0</v>
      </c>
      <c r="T48" s="42">
        <v>0</v>
      </c>
      <c r="U48" s="14">
        <f t="shared" ref="U48:U62" si="48">P48+F48</f>
        <v>2993404.64</v>
      </c>
      <c r="W48" s="42">
        <v>0</v>
      </c>
      <c r="X48" s="42">
        <v>0</v>
      </c>
      <c r="Y48" s="42">
        <v>0</v>
      </c>
      <c r="Z48" s="14">
        <f>0.1830611*10^7</f>
        <v>1830611</v>
      </c>
      <c r="AB48" s="326">
        <v>430610.95</v>
      </c>
      <c r="AC48" s="326">
        <f t="shared" ref="AC48:AC61" si="49">U48-AB48</f>
        <v>2562793.69</v>
      </c>
      <c r="AD48" s="326">
        <v>2324735.6900000004</v>
      </c>
      <c r="AE48" s="326">
        <f>AD48-AC48</f>
        <v>-238057.99999999953</v>
      </c>
    </row>
    <row r="49" spans="2:31" x14ac:dyDescent="0.3">
      <c r="B49" s="39" t="s">
        <v>43</v>
      </c>
      <c r="C49" s="42">
        <v>0</v>
      </c>
      <c r="D49" s="42">
        <v>0</v>
      </c>
      <c r="E49" s="42">
        <v>0</v>
      </c>
      <c r="F49" s="14">
        <v>2760000</v>
      </c>
      <c r="G49" s="5"/>
      <c r="H49" s="42">
        <v>0</v>
      </c>
      <c r="I49" s="42">
        <v>0</v>
      </c>
      <c r="J49" s="42">
        <v>0</v>
      </c>
      <c r="K49" s="14">
        <f>1710000</f>
        <v>1710000</v>
      </c>
      <c r="M49" s="42">
        <v>0</v>
      </c>
      <c r="N49" s="42">
        <v>0</v>
      </c>
      <c r="O49" s="42">
        <v>0</v>
      </c>
      <c r="P49" s="40">
        <v>5801330</v>
      </c>
      <c r="R49" s="42">
        <v>0</v>
      </c>
      <c r="S49" s="42">
        <v>0</v>
      </c>
      <c r="T49" s="42">
        <v>0</v>
      </c>
      <c r="U49" s="14">
        <f t="shared" si="48"/>
        <v>8561330</v>
      </c>
      <c r="W49" s="42">
        <v>0</v>
      </c>
      <c r="X49" s="42">
        <v>0</v>
      </c>
      <c r="Y49" s="42">
        <v>0</v>
      </c>
      <c r="Z49" s="14">
        <f>0.534118047*10^7</f>
        <v>5341180.47</v>
      </c>
      <c r="AB49" s="326">
        <v>551180</v>
      </c>
      <c r="AC49" s="326">
        <f t="shared" si="49"/>
        <v>8010150</v>
      </c>
      <c r="AD49" s="326">
        <v>7860150</v>
      </c>
      <c r="AE49" s="326">
        <f t="shared" ref="AE49:AE65" si="50">AD49-AC49</f>
        <v>-150000</v>
      </c>
    </row>
    <row r="50" spans="2:31" x14ac:dyDescent="0.3">
      <c r="B50" s="39" t="s">
        <v>44</v>
      </c>
      <c r="C50" s="42">
        <v>0</v>
      </c>
      <c r="D50" s="42">
        <v>0</v>
      </c>
      <c r="E50" s="42">
        <v>0</v>
      </c>
      <c r="F50" s="14">
        <v>325000</v>
      </c>
      <c r="G50" s="5"/>
      <c r="H50" s="42">
        <v>0</v>
      </c>
      <c r="I50" s="42">
        <v>0</v>
      </c>
      <c r="J50" s="42">
        <v>0</v>
      </c>
      <c r="K50" s="14">
        <f>250000</f>
        <v>250000</v>
      </c>
      <c r="M50" s="42">
        <v>0</v>
      </c>
      <c r="N50" s="42">
        <v>0</v>
      </c>
      <c r="O50" s="42">
        <v>0</v>
      </c>
      <c r="P50" s="40">
        <v>150710.96</v>
      </c>
      <c r="R50" s="42">
        <v>0</v>
      </c>
      <c r="S50" s="42">
        <v>0</v>
      </c>
      <c r="T50" s="42">
        <v>0</v>
      </c>
      <c r="U50" s="14">
        <f t="shared" si="48"/>
        <v>475710.95999999996</v>
      </c>
      <c r="W50" s="42">
        <v>0</v>
      </c>
      <c r="X50" s="42">
        <v>0</v>
      </c>
      <c r="Y50" s="42">
        <v>0</v>
      </c>
      <c r="Z50" s="14">
        <f>0.107981096*10^7</f>
        <v>1079810.96</v>
      </c>
      <c r="AB50" s="326">
        <v>29810.959999999999</v>
      </c>
      <c r="AC50" s="326">
        <f t="shared" si="49"/>
        <v>445899.99999999994</v>
      </c>
      <c r="AD50" s="326">
        <v>445900</v>
      </c>
      <c r="AE50" s="326">
        <f t="shared" si="50"/>
        <v>0</v>
      </c>
    </row>
    <row r="51" spans="2:31" x14ac:dyDescent="0.3">
      <c r="B51" s="39" t="s">
        <v>45</v>
      </c>
      <c r="C51" s="42">
        <v>0</v>
      </c>
      <c r="D51" s="42">
        <v>0</v>
      </c>
      <c r="E51" s="42">
        <v>0</v>
      </c>
      <c r="F51" s="14">
        <v>3714893</v>
      </c>
      <c r="G51" s="5"/>
      <c r="H51" s="42">
        <v>0</v>
      </c>
      <c r="I51" s="42">
        <v>0</v>
      </c>
      <c r="J51" s="42">
        <v>0</v>
      </c>
      <c r="K51" s="14">
        <f>3865333.33333333</f>
        <v>3865333.3333333302</v>
      </c>
      <c r="M51" s="42">
        <v>0</v>
      </c>
      <c r="N51" s="42">
        <v>0</v>
      </c>
      <c r="O51" s="42">
        <v>0</v>
      </c>
      <c r="P51" s="40">
        <v>12428219.67</v>
      </c>
      <c r="R51" s="42">
        <v>0</v>
      </c>
      <c r="S51" s="42">
        <v>0</v>
      </c>
      <c r="T51" s="42">
        <v>0</v>
      </c>
      <c r="U51" s="14">
        <f t="shared" si="48"/>
        <v>16143112.67</v>
      </c>
      <c r="W51" s="42">
        <v>0</v>
      </c>
      <c r="X51" s="42">
        <v>0</v>
      </c>
      <c r="Y51" s="42">
        <v>0</v>
      </c>
      <c r="Z51" s="14">
        <f>1.36880003333333*10^7</f>
        <v>13688000.333333299</v>
      </c>
      <c r="AB51" s="326">
        <v>1666666.67</v>
      </c>
      <c r="AC51" s="326">
        <f t="shared" si="49"/>
        <v>14476446</v>
      </c>
      <c r="AD51" s="326">
        <v>11143113</v>
      </c>
      <c r="AE51" s="326">
        <f t="shared" si="50"/>
        <v>-3333333</v>
      </c>
    </row>
    <row r="52" spans="2:31" x14ac:dyDescent="0.3">
      <c r="B52" s="39" t="s">
        <v>129</v>
      </c>
      <c r="C52" s="42">
        <v>0</v>
      </c>
      <c r="D52" s="42">
        <v>0</v>
      </c>
      <c r="E52" s="42">
        <v>0</v>
      </c>
      <c r="F52" s="14">
        <v>72470</v>
      </c>
      <c r="G52" s="5"/>
      <c r="H52" s="42"/>
      <c r="I52" s="42"/>
      <c r="J52" s="42"/>
      <c r="K52" s="14">
        <v>0</v>
      </c>
      <c r="M52" s="42">
        <v>0</v>
      </c>
      <c r="N52" s="42">
        <v>0</v>
      </c>
      <c r="O52" s="42">
        <v>0</v>
      </c>
      <c r="P52" s="40">
        <v>201733</v>
      </c>
      <c r="R52" s="42">
        <v>0</v>
      </c>
      <c r="S52" s="42">
        <v>0</v>
      </c>
      <c r="T52" s="42">
        <v>0</v>
      </c>
      <c r="U52" s="14">
        <f t="shared" si="48"/>
        <v>274203</v>
      </c>
      <c r="W52" s="42"/>
      <c r="X52" s="42"/>
      <c r="Y52" s="42"/>
      <c r="Z52" s="14">
        <v>0</v>
      </c>
      <c r="AB52" s="326"/>
      <c r="AC52" s="326">
        <f t="shared" si="49"/>
        <v>274203</v>
      </c>
      <c r="AD52" s="326">
        <v>274203</v>
      </c>
      <c r="AE52" s="326">
        <f t="shared" si="50"/>
        <v>0</v>
      </c>
    </row>
    <row r="53" spans="2:31" x14ac:dyDescent="0.3">
      <c r="B53" s="39" t="s">
        <v>46</v>
      </c>
      <c r="C53" s="42">
        <v>0</v>
      </c>
      <c r="D53" s="42">
        <v>0</v>
      </c>
      <c r="E53" s="42">
        <v>0</v>
      </c>
      <c r="F53" s="14">
        <v>106000</v>
      </c>
      <c r="G53" s="5"/>
      <c r="H53" s="42">
        <v>0</v>
      </c>
      <c r="I53" s="42">
        <v>0</v>
      </c>
      <c r="J53" s="42">
        <v>0</v>
      </c>
      <c r="K53" s="14">
        <f>204000</f>
        <v>204000</v>
      </c>
      <c r="M53" s="42">
        <v>0</v>
      </c>
      <c r="N53" s="42">
        <v>0</v>
      </c>
      <c r="O53" s="42">
        <v>0</v>
      </c>
      <c r="P53" s="40">
        <v>20000</v>
      </c>
      <c r="R53" s="42">
        <v>0</v>
      </c>
      <c r="S53" s="42">
        <v>0</v>
      </c>
      <c r="T53" s="42">
        <v>0</v>
      </c>
      <c r="U53" s="14">
        <f t="shared" si="48"/>
        <v>126000</v>
      </c>
      <c r="W53" s="42">
        <v>0</v>
      </c>
      <c r="X53" s="42">
        <v>0</v>
      </c>
      <c r="Y53" s="42">
        <v>0</v>
      </c>
      <c r="Z53" s="14">
        <f>0.0508*10^7</f>
        <v>508000</v>
      </c>
      <c r="AB53" s="326"/>
      <c r="AC53" s="326">
        <f t="shared" si="49"/>
        <v>126000</v>
      </c>
      <c r="AD53" s="326">
        <v>126000</v>
      </c>
      <c r="AE53" s="326">
        <f t="shared" si="50"/>
        <v>0</v>
      </c>
    </row>
    <row r="54" spans="2:31" x14ac:dyDescent="0.3">
      <c r="B54" s="39" t="s">
        <v>47</v>
      </c>
      <c r="C54" s="42">
        <v>0</v>
      </c>
      <c r="D54" s="42">
        <v>0</v>
      </c>
      <c r="E54" s="42">
        <v>0</v>
      </c>
      <c r="F54" s="14">
        <v>0</v>
      </c>
      <c r="G54" s="5"/>
      <c r="H54" s="42">
        <v>0</v>
      </c>
      <c r="I54" s="42">
        <v>0</v>
      </c>
      <c r="J54" s="42">
        <v>0</v>
      </c>
      <c r="K54" s="14">
        <v>0</v>
      </c>
      <c r="M54" s="42">
        <v>0</v>
      </c>
      <c r="N54" s="42">
        <v>0</v>
      </c>
      <c r="O54" s="42">
        <v>0</v>
      </c>
      <c r="P54" s="40">
        <v>2155</v>
      </c>
      <c r="R54" s="42">
        <v>0</v>
      </c>
      <c r="S54" s="42">
        <v>0</v>
      </c>
      <c r="T54" s="42">
        <v>0</v>
      </c>
      <c r="U54" s="14">
        <f t="shared" si="48"/>
        <v>2155</v>
      </c>
      <c r="W54" s="42">
        <v>0</v>
      </c>
      <c r="X54" s="42">
        <v>0</v>
      </c>
      <c r="Y54" s="42">
        <v>0</v>
      </c>
      <c r="Z54" s="14">
        <v>0</v>
      </c>
      <c r="AB54" s="326"/>
      <c r="AC54" s="326">
        <f t="shared" si="49"/>
        <v>2155</v>
      </c>
      <c r="AD54" s="326">
        <v>2155</v>
      </c>
      <c r="AE54" s="326">
        <f t="shared" si="50"/>
        <v>0</v>
      </c>
    </row>
    <row r="55" spans="2:31" x14ac:dyDescent="0.3">
      <c r="B55" s="39" t="s">
        <v>130</v>
      </c>
      <c r="C55" s="42">
        <v>0</v>
      </c>
      <c r="D55" s="42">
        <v>0</v>
      </c>
      <c r="E55" s="42">
        <v>0</v>
      </c>
      <c r="F55" s="14">
        <v>0</v>
      </c>
      <c r="G55" s="5"/>
      <c r="H55" s="42"/>
      <c r="I55" s="42"/>
      <c r="J55" s="42"/>
      <c r="K55" s="14">
        <f>((0.025+0.4+0.06)*10^7)+100000+1500000+((0.0321543245673+0.0643086491346)*10^7)+(0.3*10^7)</f>
        <v>10414629.737018999</v>
      </c>
      <c r="M55" s="42">
        <v>0</v>
      </c>
      <c r="N55" s="42">
        <v>0</v>
      </c>
      <c r="O55" s="42">
        <v>0</v>
      </c>
      <c r="P55" s="40">
        <v>1812139</v>
      </c>
      <c r="R55" s="42">
        <v>0</v>
      </c>
      <c r="S55" s="42">
        <v>0</v>
      </c>
      <c r="T55" s="42">
        <v>0</v>
      </c>
      <c r="U55" s="14">
        <f t="shared" si="48"/>
        <v>1812139</v>
      </c>
      <c r="W55" s="42"/>
      <c r="X55" s="42"/>
      <c r="Y55" s="42"/>
      <c r="Z55" s="14">
        <f>(0.0971543245673+0.85+0.1243086491346)*10^7</f>
        <v>10714629.737018999</v>
      </c>
      <c r="AB55" s="326"/>
      <c r="AC55" s="326">
        <f t="shared" si="49"/>
        <v>1812139</v>
      </c>
      <c r="AD55" s="326">
        <v>1812139</v>
      </c>
      <c r="AE55" s="326">
        <f t="shared" si="50"/>
        <v>0</v>
      </c>
    </row>
    <row r="56" spans="2:31" x14ac:dyDescent="0.3">
      <c r="B56" s="39" t="s">
        <v>131</v>
      </c>
      <c r="C56" s="42">
        <v>0</v>
      </c>
      <c r="D56" s="42">
        <v>0</v>
      </c>
      <c r="E56" s="42">
        <v>0</v>
      </c>
      <c r="F56" s="14">
        <v>53300</v>
      </c>
      <c r="G56" s="5"/>
      <c r="H56" s="42"/>
      <c r="I56" s="42"/>
      <c r="J56" s="42"/>
      <c r="K56" s="14">
        <v>0</v>
      </c>
      <c r="M56" s="42">
        <v>0</v>
      </c>
      <c r="N56" s="42">
        <v>0</v>
      </c>
      <c r="O56" s="42">
        <v>0</v>
      </c>
      <c r="P56" s="14">
        <f>2085000-2085000</f>
        <v>0</v>
      </c>
      <c r="R56" s="42">
        <v>0</v>
      </c>
      <c r="S56" s="42">
        <v>0</v>
      </c>
      <c r="T56" s="42">
        <v>0</v>
      </c>
      <c r="U56" s="14">
        <f t="shared" si="48"/>
        <v>53300</v>
      </c>
      <c r="W56" s="42"/>
      <c r="X56" s="42"/>
      <c r="Y56" s="42"/>
      <c r="Z56" s="14">
        <v>0</v>
      </c>
      <c r="AB56" s="326"/>
      <c r="AC56" s="326">
        <f t="shared" si="49"/>
        <v>53300</v>
      </c>
      <c r="AD56" s="326">
        <v>53300</v>
      </c>
      <c r="AE56" s="326">
        <f t="shared" si="50"/>
        <v>0</v>
      </c>
    </row>
    <row r="57" spans="2:31" x14ac:dyDescent="0.3">
      <c r="B57" s="39" t="s">
        <v>48</v>
      </c>
      <c r="C57" s="42">
        <v>0</v>
      </c>
      <c r="D57" s="42">
        <v>0</v>
      </c>
      <c r="E57" s="42">
        <v>0</v>
      </c>
      <c r="F57" s="14">
        <v>10271</v>
      </c>
      <c r="G57" s="5"/>
      <c r="H57" s="42">
        <v>0</v>
      </c>
      <c r="I57" s="42">
        <v>0</v>
      </c>
      <c r="J57" s="42">
        <v>0</v>
      </c>
      <c r="K57" s="14">
        <f>20000+50000</f>
        <v>70000</v>
      </c>
      <c r="M57" s="42">
        <v>0</v>
      </c>
      <c r="N57" s="42">
        <v>0</v>
      </c>
      <c r="O57" s="42">
        <v>0</v>
      </c>
      <c r="P57" s="40">
        <v>2041</v>
      </c>
      <c r="R57" s="42">
        <v>0</v>
      </c>
      <c r="S57" s="42">
        <v>0</v>
      </c>
      <c r="T57" s="42">
        <v>0</v>
      </c>
      <c r="U57" s="14">
        <f t="shared" si="48"/>
        <v>12312</v>
      </c>
      <c r="W57" s="42">
        <v>0</v>
      </c>
      <c r="X57" s="42">
        <v>0</v>
      </c>
      <c r="Y57" s="42">
        <v>0</v>
      </c>
      <c r="Z57" s="14">
        <f>(0.008+0.02)*10^7</f>
        <v>280000</v>
      </c>
      <c r="AB57" s="326"/>
      <c r="AC57" s="326">
        <f t="shared" si="49"/>
        <v>12312</v>
      </c>
      <c r="AD57" s="326">
        <v>12312</v>
      </c>
      <c r="AE57" s="326">
        <f t="shared" si="50"/>
        <v>0</v>
      </c>
    </row>
    <row r="58" spans="2:31" x14ac:dyDescent="0.3">
      <c r="B58" s="39" t="s">
        <v>132</v>
      </c>
      <c r="C58" s="42">
        <v>0</v>
      </c>
      <c r="D58" s="42">
        <v>0</v>
      </c>
      <c r="E58" s="42">
        <v>0</v>
      </c>
      <c r="F58" s="14">
        <v>0</v>
      </c>
      <c r="G58" s="5"/>
      <c r="H58" s="42"/>
      <c r="I58" s="42"/>
      <c r="J58" s="42"/>
      <c r="K58" s="14">
        <v>0</v>
      </c>
      <c r="M58" s="42">
        <v>0</v>
      </c>
      <c r="N58" s="42">
        <v>0</v>
      </c>
      <c r="O58" s="42">
        <v>0</v>
      </c>
      <c r="P58" s="40">
        <v>204000</v>
      </c>
      <c r="R58" s="42">
        <v>0</v>
      </c>
      <c r="S58" s="42">
        <v>0</v>
      </c>
      <c r="T58" s="42">
        <v>0</v>
      </c>
      <c r="U58" s="14">
        <f t="shared" si="48"/>
        <v>204000</v>
      </c>
      <c r="W58" s="42"/>
      <c r="X58" s="42"/>
      <c r="Y58" s="42"/>
      <c r="Z58" s="14">
        <v>0</v>
      </c>
      <c r="AB58" s="326"/>
      <c r="AC58" s="326">
        <f t="shared" si="49"/>
        <v>204000</v>
      </c>
      <c r="AD58" s="326">
        <v>204000</v>
      </c>
      <c r="AE58" s="326">
        <f t="shared" si="50"/>
        <v>0</v>
      </c>
    </row>
    <row r="59" spans="2:31" x14ac:dyDescent="0.3">
      <c r="B59" s="39" t="s">
        <v>49</v>
      </c>
      <c r="C59" s="42">
        <v>0</v>
      </c>
      <c r="D59" s="42">
        <v>0</v>
      </c>
      <c r="E59" s="42">
        <v>0</v>
      </c>
      <c r="F59" s="14">
        <v>0</v>
      </c>
      <c r="G59" s="5"/>
      <c r="H59" s="42">
        <v>0</v>
      </c>
      <c r="I59" s="42">
        <v>0</v>
      </c>
      <c r="J59" s="42">
        <v>0</v>
      </c>
      <c r="K59" s="14">
        <v>0</v>
      </c>
      <c r="M59" s="42">
        <v>0</v>
      </c>
      <c r="N59" s="42">
        <v>0</v>
      </c>
      <c r="O59" s="42">
        <v>0</v>
      </c>
      <c r="P59" s="40">
        <v>200000</v>
      </c>
      <c r="R59" s="42">
        <v>0</v>
      </c>
      <c r="S59" s="42">
        <v>0</v>
      </c>
      <c r="T59" s="42">
        <v>0</v>
      </c>
      <c r="U59" s="14">
        <f t="shared" si="48"/>
        <v>200000</v>
      </c>
      <c r="W59" s="42">
        <v>0</v>
      </c>
      <c r="X59" s="42">
        <v>0</v>
      </c>
      <c r="Y59" s="42">
        <v>0</v>
      </c>
      <c r="Z59" s="14">
        <v>0</v>
      </c>
      <c r="AB59" s="326"/>
      <c r="AC59" s="326">
        <f t="shared" si="49"/>
        <v>200000</v>
      </c>
      <c r="AD59" s="326">
        <v>200000</v>
      </c>
      <c r="AE59" s="326">
        <f>AD59-AC59</f>
        <v>0</v>
      </c>
    </row>
    <row r="60" spans="2:31" x14ac:dyDescent="0.3">
      <c r="B60" s="39" t="s">
        <v>50</v>
      </c>
      <c r="C60" s="42">
        <v>0</v>
      </c>
      <c r="D60" s="42">
        <v>0</v>
      </c>
      <c r="E60" s="42">
        <v>0</v>
      </c>
      <c r="F60" s="14">
        <v>200000</v>
      </c>
      <c r="G60" s="5"/>
      <c r="H60" s="42">
        <v>0</v>
      </c>
      <c r="I60" s="42">
        <v>0</v>
      </c>
      <c r="J60" s="42">
        <v>0</v>
      </c>
      <c r="K60" s="14">
        <v>200000</v>
      </c>
      <c r="M60" s="42">
        <v>0</v>
      </c>
      <c r="N60" s="42">
        <v>0</v>
      </c>
      <c r="O60" s="42">
        <v>0</v>
      </c>
      <c r="P60" s="40">
        <v>600000</v>
      </c>
      <c r="R60" s="42">
        <v>0</v>
      </c>
      <c r="S60" s="42">
        <v>0</v>
      </c>
      <c r="T60" s="42">
        <v>0</v>
      </c>
      <c r="U60" s="14">
        <f t="shared" si="48"/>
        <v>800000</v>
      </c>
      <c r="W60" s="42">
        <v>0</v>
      </c>
      <c r="X60" s="42">
        <v>0</v>
      </c>
      <c r="Y60" s="42">
        <v>0</v>
      </c>
      <c r="Z60" s="14">
        <f>0.08*10^7</f>
        <v>800000</v>
      </c>
      <c r="AB60" s="326"/>
      <c r="AC60" s="326">
        <f t="shared" si="49"/>
        <v>800000</v>
      </c>
      <c r="AD60" s="326">
        <v>800000</v>
      </c>
      <c r="AE60" s="326">
        <f t="shared" si="50"/>
        <v>0</v>
      </c>
    </row>
    <row r="61" spans="2:31" x14ac:dyDescent="0.3">
      <c r="B61" s="39" t="s">
        <v>51</v>
      </c>
      <c r="C61" s="42">
        <v>0</v>
      </c>
      <c r="D61" s="42">
        <v>0</v>
      </c>
      <c r="E61" s="42">
        <v>0</v>
      </c>
      <c r="F61" s="14">
        <v>1200000</v>
      </c>
      <c r="G61" s="5"/>
      <c r="H61" s="42">
        <v>0</v>
      </c>
      <c r="I61" s="42">
        <v>0</v>
      </c>
      <c r="J61" s="42">
        <v>0</v>
      </c>
      <c r="K61" s="14">
        <f>1200000</f>
        <v>1200000</v>
      </c>
      <c r="M61" s="42">
        <v>0</v>
      </c>
      <c r="N61" s="42">
        <v>0</v>
      </c>
      <c r="O61" s="42">
        <v>0</v>
      </c>
      <c r="P61" s="40">
        <v>3600000</v>
      </c>
      <c r="R61" s="42">
        <v>0</v>
      </c>
      <c r="S61" s="42">
        <v>0</v>
      </c>
      <c r="T61" s="42">
        <v>0</v>
      </c>
      <c r="U61" s="14">
        <f t="shared" si="48"/>
        <v>4800000</v>
      </c>
      <c r="W61" s="42">
        <v>0</v>
      </c>
      <c r="X61" s="42">
        <v>0</v>
      </c>
      <c r="Y61" s="42">
        <v>0</v>
      </c>
      <c r="Z61" s="14">
        <f>0.48*10^7</f>
        <v>4800000</v>
      </c>
      <c r="AB61" s="326"/>
      <c r="AC61" s="326">
        <f t="shared" si="49"/>
        <v>4800000</v>
      </c>
      <c r="AD61" s="326">
        <v>4800000</v>
      </c>
      <c r="AE61" s="326">
        <f t="shared" si="50"/>
        <v>0</v>
      </c>
    </row>
    <row r="62" spans="2:31" x14ac:dyDescent="0.3">
      <c r="B62" s="39" t="s">
        <v>52</v>
      </c>
      <c r="C62" s="42">
        <v>0</v>
      </c>
      <c r="D62" s="42">
        <v>0</v>
      </c>
      <c r="E62" s="42">
        <v>0</v>
      </c>
      <c r="F62" s="14">
        <v>2020607.6450000003</v>
      </c>
      <c r="G62" s="5"/>
      <c r="H62" s="42">
        <v>0</v>
      </c>
      <c r="I62" s="42">
        <v>0</v>
      </c>
      <c r="J62" s="42">
        <v>0</v>
      </c>
      <c r="K62" s="14">
        <f>2326624.61080789</f>
        <v>2326624.6108078901</v>
      </c>
      <c r="M62" s="42">
        <v>0</v>
      </c>
      <c r="N62" s="42">
        <v>0</v>
      </c>
      <c r="O62" s="42">
        <v>0</v>
      </c>
      <c r="P62" s="14">
        <v>6735827.0066499999</v>
      </c>
      <c r="R62" s="42">
        <v>0</v>
      </c>
      <c r="S62" s="42">
        <v>0</v>
      </c>
      <c r="T62" s="42">
        <v>0</v>
      </c>
      <c r="U62" s="14">
        <f t="shared" si="48"/>
        <v>8756434.6516500004</v>
      </c>
      <c r="W62" s="42">
        <v>0</v>
      </c>
      <c r="X62" s="42">
        <v>0</v>
      </c>
      <c r="Y62" s="42">
        <v>0</v>
      </c>
      <c r="Z62" s="14">
        <f>1.06985290533154*10^7</f>
        <v>10698529.053315399</v>
      </c>
      <c r="AB62" s="326">
        <v>839097</v>
      </c>
      <c r="AC62" s="326">
        <f t="shared" ref="AC62:AC65" si="51">U62-AB62</f>
        <v>7917337.6516500004</v>
      </c>
      <c r="AD62" s="326">
        <v>7917337.6516500004</v>
      </c>
      <c r="AE62" s="326">
        <f t="shared" si="50"/>
        <v>0</v>
      </c>
    </row>
    <row r="63" spans="2:31" x14ac:dyDescent="0.3">
      <c r="B63" s="9" t="s">
        <v>53</v>
      </c>
      <c r="C63" s="43">
        <f>SUM(C48:C62)</f>
        <v>0</v>
      </c>
      <c r="D63" s="43">
        <f>SUM(D48:D62)</f>
        <v>0</v>
      </c>
      <c r="E63" s="43">
        <f>SUM(E48:E62)</f>
        <v>0</v>
      </c>
      <c r="F63" s="30">
        <f>SUM(F48:F62)</f>
        <v>11314080.645</v>
      </c>
      <c r="H63" s="43">
        <f>SUM(H48:H62)</f>
        <v>0</v>
      </c>
      <c r="I63" s="43">
        <f>SUM(I48:I62)</f>
        <v>0</v>
      </c>
      <c r="J63" s="43">
        <f>SUM(J48:J62)</f>
        <v>0</v>
      </c>
      <c r="K63" s="30">
        <f>SUM(K48:K62)</f>
        <v>20440587.681160219</v>
      </c>
      <c r="M63" s="43">
        <f>SUM(M48:M62)</f>
        <v>0</v>
      </c>
      <c r="N63" s="43">
        <f>SUM(N48:N62)</f>
        <v>0</v>
      </c>
      <c r="O63" s="43">
        <f>SUM(O48:O62)</f>
        <v>0</v>
      </c>
      <c r="P63" s="30">
        <f>SUM(P48:P62)</f>
        <v>33900021.276649997</v>
      </c>
      <c r="R63" s="43">
        <f>SUM(R48:R62)</f>
        <v>0</v>
      </c>
      <c r="S63" s="43">
        <f>SUM(S48:S62)</f>
        <v>0</v>
      </c>
      <c r="T63" s="43">
        <f>SUM(T48:T62)</f>
        <v>0</v>
      </c>
      <c r="U63" s="30">
        <f>SUM(U48:U62)</f>
        <v>45214101.921650007</v>
      </c>
      <c r="W63" s="43">
        <f>SUM(W48:W62)</f>
        <v>0</v>
      </c>
      <c r="X63" s="43">
        <f>SUM(X48:X62)</f>
        <v>0</v>
      </c>
      <c r="Y63" s="43">
        <f>SUM(Y48:Y62)</f>
        <v>0</v>
      </c>
      <c r="Z63" s="30">
        <f>SUM(Z48:Z62)</f>
        <v>49740761.553667694</v>
      </c>
      <c r="AB63" s="328">
        <f>SUM(AB48:AB62)</f>
        <v>3517365.58</v>
      </c>
      <c r="AC63" s="326">
        <f t="shared" si="51"/>
        <v>41696736.341650009</v>
      </c>
      <c r="AD63" s="326">
        <v>38070148.641644523</v>
      </c>
      <c r="AE63" s="326">
        <f t="shared" si="50"/>
        <v>-3626587.7000054866</v>
      </c>
    </row>
    <row r="64" spans="2:31" ht="15" thickBot="1" x14ac:dyDescent="0.35">
      <c r="B64" s="25"/>
      <c r="C64" s="10"/>
      <c r="D64" s="10"/>
      <c r="E64" s="13"/>
      <c r="F64" s="12"/>
      <c r="H64" s="10"/>
      <c r="I64" s="10"/>
      <c r="J64" s="10"/>
      <c r="K64" s="13"/>
      <c r="M64" s="10"/>
      <c r="N64" s="10"/>
      <c r="O64" s="10"/>
      <c r="P64" s="10"/>
      <c r="R64" s="10"/>
      <c r="S64" s="10"/>
      <c r="T64" s="10"/>
      <c r="U64" s="10"/>
      <c r="W64" s="10"/>
      <c r="X64" s="10"/>
      <c r="Y64" s="10"/>
      <c r="Z64" s="10"/>
      <c r="AB64" s="326"/>
      <c r="AC64" s="326"/>
      <c r="AD64" s="326"/>
      <c r="AE64" s="326"/>
    </row>
    <row r="65" spans="2:31" ht="15" thickBot="1" x14ac:dyDescent="0.35">
      <c r="B65" s="19" t="s">
        <v>54</v>
      </c>
      <c r="C65" s="20"/>
      <c r="D65" s="20"/>
      <c r="E65" s="20"/>
      <c r="F65" s="21">
        <f>F41+F45-F63</f>
        <v>3606561.5224633049</v>
      </c>
      <c r="H65" s="20"/>
      <c r="I65" s="20"/>
      <c r="J65" s="20"/>
      <c r="K65" s="21">
        <f>K41+K45-K63</f>
        <v>-5181185.0647375714</v>
      </c>
      <c r="M65" s="20"/>
      <c r="N65" s="20"/>
      <c r="O65" s="20"/>
      <c r="P65" s="21">
        <f>P41+P45-P63</f>
        <v>-8961196.6179799996</v>
      </c>
      <c r="R65" s="20"/>
      <c r="S65" s="20"/>
      <c r="T65" s="20"/>
      <c r="U65" s="21">
        <f>U41+U45-U63</f>
        <v>-5354635.0955166817</v>
      </c>
      <c r="W65" s="20"/>
      <c r="X65" s="20"/>
      <c r="Y65" s="20"/>
      <c r="Z65" s="21">
        <f>Z41+Z45-Z63</f>
        <v>-6298297.8469192833</v>
      </c>
      <c r="AB65" s="326">
        <v>827622.86015077215</v>
      </c>
      <c r="AC65" s="326">
        <f t="shared" si="51"/>
        <v>-6182257.9556674538</v>
      </c>
      <c r="AD65" s="326">
        <v>-4052477.1481918246</v>
      </c>
      <c r="AE65" s="326">
        <f t="shared" si="50"/>
        <v>2129780.8074756293</v>
      </c>
    </row>
    <row r="66" spans="2:31" x14ac:dyDescent="0.3">
      <c r="B66" s="45" t="s">
        <v>55</v>
      </c>
      <c r="C66" s="10"/>
      <c r="D66" s="10"/>
      <c r="E66" s="10"/>
      <c r="F66" s="48">
        <f>F65/F11</f>
        <v>3.1235567577548109E-2</v>
      </c>
      <c r="H66" s="10"/>
      <c r="I66" s="10"/>
      <c r="J66" s="10"/>
      <c r="K66" s="48">
        <f>K65/K11</f>
        <v>-3.1726337484685577E-2</v>
      </c>
      <c r="M66" s="10"/>
      <c r="N66" s="10"/>
      <c r="O66" s="10"/>
      <c r="P66" s="48">
        <f>P65/P11</f>
        <v>-2.4169264888179842E-2</v>
      </c>
      <c r="R66" s="10"/>
      <c r="S66" s="10"/>
      <c r="T66" s="10"/>
      <c r="U66" s="48">
        <f>U65/U11</f>
        <v>-1.101252047742623E-2</v>
      </c>
      <c r="W66" s="10"/>
      <c r="X66" s="10"/>
      <c r="Y66" s="10"/>
      <c r="Z66" s="48">
        <f>Z65/Z11</f>
        <v>-9.8149705902759732E-3</v>
      </c>
      <c r="AB66" s="326"/>
      <c r="AC66" s="326"/>
      <c r="AD66" s="326"/>
      <c r="AE66" s="326"/>
    </row>
    <row r="67" spans="2:31" x14ac:dyDescent="0.3">
      <c r="B67" s="45"/>
      <c r="C67" s="10"/>
      <c r="D67" s="10"/>
      <c r="E67" s="10"/>
      <c r="F67" s="10"/>
      <c r="H67" s="10"/>
      <c r="I67" s="10"/>
      <c r="J67" s="10"/>
      <c r="K67" s="10"/>
      <c r="M67" s="10"/>
      <c r="N67" s="10"/>
      <c r="O67" s="10"/>
      <c r="P67" s="10"/>
      <c r="R67" s="10"/>
      <c r="S67" s="10"/>
      <c r="T67" s="10"/>
      <c r="U67" s="10"/>
      <c r="W67" s="10"/>
      <c r="X67" s="10"/>
      <c r="Y67" s="10"/>
      <c r="Z67" s="10"/>
      <c r="AB67" s="326"/>
      <c r="AC67" s="326"/>
      <c r="AD67" s="326"/>
      <c r="AE67" s="326"/>
    </row>
    <row r="68" spans="2:31" x14ac:dyDescent="0.3">
      <c r="B68" s="45" t="s">
        <v>56</v>
      </c>
      <c r="C68" s="10"/>
      <c r="D68" s="10"/>
      <c r="E68" s="10"/>
      <c r="F68" s="10"/>
      <c r="H68" s="10"/>
      <c r="I68" s="10"/>
      <c r="J68" s="10"/>
      <c r="K68" s="10"/>
      <c r="M68" s="10"/>
      <c r="N68" s="10"/>
      <c r="O68" s="10"/>
      <c r="P68" s="10"/>
      <c r="R68" s="10"/>
      <c r="S68" s="10"/>
      <c r="T68" s="10"/>
      <c r="U68" s="10"/>
      <c r="W68" s="10"/>
      <c r="X68" s="10"/>
      <c r="Y68" s="10"/>
      <c r="Z68" s="10"/>
      <c r="AB68" s="326"/>
      <c r="AC68" s="326"/>
      <c r="AD68" s="326"/>
      <c r="AE68" s="326"/>
    </row>
    <row r="69" spans="2:31" x14ac:dyDescent="0.3">
      <c r="B69" s="39"/>
      <c r="C69" s="10"/>
      <c r="D69" s="10"/>
      <c r="E69" s="10"/>
      <c r="F69" s="10"/>
      <c r="H69" s="10"/>
      <c r="I69" s="10"/>
      <c r="J69" s="10"/>
      <c r="K69" s="10"/>
      <c r="M69" s="10"/>
      <c r="N69" s="10"/>
      <c r="O69" s="10"/>
      <c r="P69" s="10"/>
      <c r="R69" s="10"/>
      <c r="S69" s="10"/>
      <c r="T69" s="10"/>
      <c r="U69" s="10"/>
      <c r="W69" s="10"/>
      <c r="X69" s="10"/>
      <c r="Y69" s="10"/>
      <c r="Z69" s="10"/>
      <c r="AB69" s="326"/>
      <c r="AC69" s="326"/>
      <c r="AD69" s="326"/>
      <c r="AE69" s="326"/>
    </row>
    <row r="70" spans="2:31" x14ac:dyDescent="0.3">
      <c r="B70" s="39" t="s">
        <v>57</v>
      </c>
      <c r="C70" s="10"/>
      <c r="D70" s="10"/>
      <c r="E70" s="10"/>
      <c r="F70" s="14">
        <v>497233.41</v>
      </c>
      <c r="G70" s="5"/>
      <c r="H70" s="10"/>
      <c r="I70" s="10"/>
      <c r="J70" s="10"/>
      <c r="K70" s="14">
        <f>0.0416664673582606*10^7</f>
        <v>416664.67358260602</v>
      </c>
      <c r="M70" s="10"/>
      <c r="N70" s="10"/>
      <c r="O70" s="10"/>
      <c r="P70" s="14">
        <v>744912.32</v>
      </c>
      <c r="R70" s="10"/>
      <c r="S70" s="10"/>
      <c r="T70" s="10"/>
      <c r="U70" s="14">
        <f t="shared" ref="U70:U72" si="52">P70+F70</f>
        <v>1242145.73</v>
      </c>
      <c r="W70" s="10"/>
      <c r="X70" s="10"/>
      <c r="Y70" s="10"/>
      <c r="Z70" s="14">
        <f>0.163555137557865*10^7</f>
        <v>1635551.37557865</v>
      </c>
      <c r="AB70" s="326">
        <v>0</v>
      </c>
      <c r="AC70" s="326">
        <f t="shared" ref="AC70" si="53">U70-AB70</f>
        <v>1242145.73</v>
      </c>
      <c r="AD70" s="326">
        <v>1242145.73</v>
      </c>
      <c r="AE70" s="326">
        <f t="shared" ref="AE70" si="54">AD70-AC70</f>
        <v>0</v>
      </c>
    </row>
    <row r="71" spans="2:31" x14ac:dyDescent="0.3">
      <c r="B71" s="39" t="s">
        <v>58</v>
      </c>
      <c r="C71" s="10"/>
      <c r="D71" s="10"/>
      <c r="E71" s="10"/>
      <c r="F71" s="14">
        <v>0</v>
      </c>
      <c r="G71" s="5"/>
      <c r="H71" s="10"/>
      <c r="I71" s="10"/>
      <c r="J71" s="10"/>
      <c r="K71" s="14">
        <v>70532.55</v>
      </c>
      <c r="M71" s="10"/>
      <c r="N71" s="10"/>
      <c r="O71" s="10"/>
      <c r="P71" s="14">
        <f>96060.25+485033.69</f>
        <v>581093.93999999994</v>
      </c>
      <c r="R71" s="10"/>
      <c r="S71" s="10"/>
      <c r="T71" s="10"/>
      <c r="U71" s="14">
        <f t="shared" si="52"/>
        <v>581093.93999999994</v>
      </c>
      <c r="W71" s="10"/>
      <c r="X71" s="10"/>
      <c r="Y71" s="10"/>
      <c r="Z71" s="14">
        <f>0.035266275*10^7</f>
        <v>352662.75</v>
      </c>
      <c r="AB71" s="326">
        <v>70532.55</v>
      </c>
      <c r="AC71" s="326">
        <f>U71-AB71</f>
        <v>510561.38999999996</v>
      </c>
      <c r="AD71" s="326"/>
      <c r="AE71" s="326"/>
    </row>
    <row r="72" spans="2:31" x14ac:dyDescent="0.3">
      <c r="B72" s="39" t="s">
        <v>204</v>
      </c>
      <c r="C72" s="10"/>
      <c r="D72" s="10"/>
      <c r="E72" s="10"/>
      <c r="F72" s="14">
        <v>94803.299994520596</v>
      </c>
      <c r="G72" s="5"/>
      <c r="H72" s="10"/>
      <c r="I72" s="10"/>
      <c r="J72" s="10"/>
      <c r="K72" s="14">
        <f>0.008375*10^7</f>
        <v>83750</v>
      </c>
      <c r="M72" s="10"/>
      <c r="N72" s="10"/>
      <c r="O72" s="10"/>
      <c r="P72" s="14"/>
      <c r="R72" s="10"/>
      <c r="S72" s="10"/>
      <c r="T72" s="10"/>
      <c r="U72" s="14">
        <f t="shared" si="52"/>
        <v>94803.299994520596</v>
      </c>
      <c r="W72" s="10"/>
      <c r="X72" s="10"/>
      <c r="Y72" s="10"/>
      <c r="Z72" s="14">
        <f>0.01675*10^7</f>
        <v>167500</v>
      </c>
      <c r="AB72" s="326"/>
      <c r="AC72" s="326"/>
      <c r="AD72" s="326"/>
      <c r="AE72" s="326"/>
    </row>
    <row r="73" spans="2:31" x14ac:dyDescent="0.3">
      <c r="B73" s="25"/>
      <c r="C73" s="10"/>
      <c r="D73" s="10"/>
      <c r="E73" s="10"/>
      <c r="F73" s="10"/>
      <c r="H73" s="10"/>
      <c r="I73" s="10"/>
      <c r="J73" s="10"/>
      <c r="K73" s="10"/>
      <c r="M73" s="10"/>
      <c r="N73" s="10"/>
      <c r="O73" s="10"/>
      <c r="P73" s="10"/>
      <c r="R73" s="10"/>
      <c r="S73" s="10"/>
      <c r="T73" s="10"/>
      <c r="U73" s="10"/>
      <c r="W73" s="10"/>
      <c r="X73" s="10"/>
      <c r="Y73" s="10"/>
      <c r="Z73" s="10"/>
      <c r="AB73" s="326"/>
      <c r="AC73" s="326"/>
      <c r="AD73" s="326"/>
      <c r="AE73" s="326"/>
    </row>
    <row r="74" spans="2:31" x14ac:dyDescent="0.3">
      <c r="B74" s="9" t="s">
        <v>59</v>
      </c>
      <c r="C74" s="10"/>
      <c r="D74" s="10"/>
      <c r="E74" s="10"/>
      <c r="F74" s="10"/>
      <c r="H74" s="10"/>
      <c r="I74" s="10"/>
      <c r="J74" s="10"/>
      <c r="K74" s="10"/>
      <c r="M74" s="10"/>
      <c r="N74" s="10"/>
      <c r="O74" s="10"/>
      <c r="P74" s="10"/>
      <c r="R74" s="10"/>
      <c r="S74" s="10"/>
      <c r="T74" s="10"/>
      <c r="U74" s="10"/>
      <c r="W74" s="10"/>
      <c r="X74" s="10"/>
      <c r="Y74" s="10"/>
      <c r="Z74" s="10"/>
      <c r="AB74" s="326"/>
      <c r="AC74" s="326"/>
      <c r="AD74" s="326"/>
      <c r="AE74" s="326"/>
    </row>
    <row r="75" spans="2:31" x14ac:dyDescent="0.3">
      <c r="B75" s="25" t="s">
        <v>60</v>
      </c>
      <c r="C75" s="10"/>
      <c r="D75" s="10"/>
      <c r="E75" s="10"/>
      <c r="F75" s="14">
        <v>0</v>
      </c>
      <c r="H75" s="10"/>
      <c r="I75" s="10"/>
      <c r="J75" s="10"/>
      <c r="K75" s="14">
        <v>0</v>
      </c>
      <c r="M75" s="10"/>
      <c r="N75" s="10"/>
      <c r="O75" s="10"/>
      <c r="P75" s="14">
        <v>7303411</v>
      </c>
      <c r="R75" s="10"/>
      <c r="S75" s="10"/>
      <c r="T75" s="10"/>
      <c r="U75" s="14">
        <f t="shared" ref="U75:U76" si="55">P75+F75</f>
        <v>7303411</v>
      </c>
      <c r="W75" s="10"/>
      <c r="X75" s="10"/>
      <c r="Y75" s="10"/>
      <c r="Z75" s="14">
        <v>0</v>
      </c>
      <c r="AB75" s="326"/>
      <c r="AC75" s="326">
        <f t="shared" ref="AC75:AC76" si="56">U75-AB75</f>
        <v>7303411</v>
      </c>
      <c r="AD75" s="326">
        <v>7303411</v>
      </c>
      <c r="AE75" s="326">
        <f t="shared" ref="AE75:AE76" si="57">AD75-AC75</f>
        <v>0</v>
      </c>
    </row>
    <row r="76" spans="2:31" x14ac:dyDescent="0.3">
      <c r="B76" s="25" t="s">
        <v>61</v>
      </c>
      <c r="C76" s="10"/>
      <c r="D76" s="10"/>
      <c r="E76" s="10"/>
      <c r="F76" s="14">
        <v>0</v>
      </c>
      <c r="H76" s="10"/>
      <c r="I76" s="10"/>
      <c r="J76" s="10"/>
      <c r="K76" s="14">
        <v>0</v>
      </c>
      <c r="M76" s="10"/>
      <c r="N76" s="10"/>
      <c r="O76" s="10"/>
      <c r="P76" s="14">
        <v>0</v>
      </c>
      <c r="R76" s="10"/>
      <c r="S76" s="10"/>
      <c r="T76" s="10"/>
      <c r="U76" s="14">
        <f t="shared" si="55"/>
        <v>0</v>
      </c>
      <c r="W76" s="10"/>
      <c r="X76" s="10"/>
      <c r="Y76" s="10"/>
      <c r="Z76" s="14">
        <v>0</v>
      </c>
      <c r="AB76" s="326"/>
      <c r="AC76" s="326">
        <f t="shared" si="56"/>
        <v>0</v>
      </c>
      <c r="AD76" s="326">
        <v>0</v>
      </c>
      <c r="AE76" s="326">
        <f t="shared" si="57"/>
        <v>0</v>
      </c>
    </row>
    <row r="77" spans="2:31" x14ac:dyDescent="0.3">
      <c r="B77" s="25"/>
      <c r="C77" s="10"/>
      <c r="D77" s="10"/>
      <c r="E77" s="10"/>
      <c r="F77" s="10"/>
      <c r="H77" s="10"/>
      <c r="I77" s="10"/>
      <c r="J77" s="10"/>
      <c r="K77" s="10"/>
      <c r="M77" s="10"/>
      <c r="N77" s="10"/>
      <c r="O77" s="10"/>
      <c r="P77" s="10"/>
      <c r="R77" s="10"/>
      <c r="S77" s="10"/>
      <c r="T77" s="10"/>
      <c r="U77" s="10"/>
      <c r="W77" s="10"/>
      <c r="X77" s="10"/>
      <c r="Y77" s="10"/>
      <c r="Z77" s="10"/>
      <c r="AB77" s="326"/>
      <c r="AC77" s="326"/>
      <c r="AD77" s="326"/>
      <c r="AE77" s="326"/>
    </row>
    <row r="78" spans="2:31" ht="15" thickBot="1" x14ac:dyDescent="0.35">
      <c r="B78" s="25"/>
      <c r="C78" s="10"/>
      <c r="D78" s="10"/>
      <c r="E78" s="10"/>
      <c r="F78" s="10"/>
      <c r="H78" s="10"/>
      <c r="I78" s="10"/>
      <c r="J78" s="10"/>
      <c r="K78" s="10"/>
      <c r="M78" s="10"/>
      <c r="N78" s="10"/>
      <c r="O78" s="10"/>
      <c r="P78" s="10"/>
      <c r="R78" s="10"/>
      <c r="S78" s="10"/>
      <c r="T78" s="10"/>
      <c r="U78" s="10"/>
      <c r="W78" s="10"/>
      <c r="X78" s="10"/>
      <c r="Y78" s="10"/>
      <c r="Z78" s="10"/>
      <c r="AB78" s="326"/>
      <c r="AC78" s="326"/>
      <c r="AD78" s="326"/>
      <c r="AE78" s="326"/>
    </row>
    <row r="79" spans="2:31" ht="15" thickBot="1" x14ac:dyDescent="0.35">
      <c r="B79" s="19" t="s">
        <v>62</v>
      </c>
      <c r="C79" s="20"/>
      <c r="D79" s="20"/>
      <c r="E79" s="20"/>
      <c r="F79" s="21">
        <f>F65-F70-F71+F75+F76-F72</f>
        <v>3014524.8124687844</v>
      </c>
      <c r="H79" s="20"/>
      <c r="I79" s="20"/>
      <c r="J79" s="20"/>
      <c r="K79" s="21">
        <f>K65-K70-K71+K75+K76-K72</f>
        <v>-5752132.2883201772</v>
      </c>
      <c r="M79" s="20"/>
      <c r="N79" s="20"/>
      <c r="O79" s="20"/>
      <c r="P79" s="21">
        <f>P65-P70-P71+P75+P76</f>
        <v>-2983791.8779799994</v>
      </c>
      <c r="R79" s="20"/>
      <c r="S79" s="20"/>
      <c r="T79" s="20"/>
      <c r="U79" s="21">
        <f>U65-U70-U71+U75+U76-U72</f>
        <v>30732.934488797808</v>
      </c>
      <c r="W79" s="20"/>
      <c r="X79" s="20"/>
      <c r="Y79" s="20"/>
      <c r="Z79" s="21">
        <f>Z65-Z70-Z71+Z75+Z76-Z72</f>
        <v>-8454011.9724979326</v>
      </c>
      <c r="AB79" s="326">
        <v>757090.3101507721</v>
      </c>
      <c r="AC79" s="326">
        <f t="shared" ref="AC79" si="58">U79-AB79</f>
        <v>-726357.37566197431</v>
      </c>
      <c r="AD79" s="326">
        <v>2008788.121808175</v>
      </c>
      <c r="AE79" s="326">
        <f t="shared" ref="AE79" si="59">AD79-AC79</f>
        <v>2735145.4974701493</v>
      </c>
    </row>
    <row r="80" spans="2:31" x14ac:dyDescent="0.3">
      <c r="B80" s="50"/>
      <c r="AB80" s="326"/>
      <c r="AC80" s="326"/>
      <c r="AD80" s="326"/>
      <c r="AE80" s="326"/>
    </row>
    <row r="81" spans="6:31" x14ac:dyDescent="0.3">
      <c r="F81" s="326"/>
      <c r="K81" s="4">
        <v>-0.57521322883202075</v>
      </c>
      <c r="P81" s="326"/>
      <c r="U81" s="326"/>
      <c r="Z81" s="4"/>
      <c r="AB81" s="326"/>
      <c r="AC81" s="326"/>
      <c r="AD81" s="326"/>
      <c r="AE81" s="326"/>
    </row>
    <row r="82" spans="6:31" x14ac:dyDescent="0.3">
      <c r="F82" s="326"/>
      <c r="K82" s="5">
        <f>K81*10^7</f>
        <v>-5752132.288320208</v>
      </c>
      <c r="U82" s="326"/>
      <c r="AB82" s="326"/>
      <c r="AC82" s="326"/>
      <c r="AD82" s="326"/>
      <c r="AE82" s="326"/>
    </row>
    <row r="83" spans="6:31" x14ac:dyDescent="0.3">
      <c r="F83" s="326"/>
      <c r="K83" s="5">
        <f>K82-K79</f>
        <v>-3.0733644962310791E-8</v>
      </c>
      <c r="U83" s="326"/>
      <c r="AB83" s="326"/>
      <c r="AC83" s="326"/>
      <c r="AD83" s="326"/>
      <c r="AE83" s="326"/>
    </row>
    <row r="84" spans="6:31" x14ac:dyDescent="0.3">
      <c r="F84" s="326"/>
      <c r="U84" s="326"/>
      <c r="AB84" s="326"/>
      <c r="AC84" s="326"/>
      <c r="AD84" s="326"/>
      <c r="AE84" s="326"/>
    </row>
    <row r="85" spans="6:31" x14ac:dyDescent="0.3">
      <c r="F85" s="4"/>
      <c r="AB85" s="326"/>
      <c r="AC85" s="326"/>
      <c r="AD85" s="326"/>
      <c r="AE85" s="326"/>
    </row>
    <row r="86" spans="6:31" x14ac:dyDescent="0.3">
      <c r="F86" s="326"/>
      <c r="AB86" s="326"/>
      <c r="AC86" s="326"/>
      <c r="AD86" s="326"/>
      <c r="AE86" s="326"/>
    </row>
    <row r="87" spans="6:31" x14ac:dyDescent="0.3">
      <c r="F87" s="4"/>
      <c r="U87" s="4"/>
      <c r="AB87" s="326"/>
      <c r="AC87" s="326"/>
      <c r="AD87" s="326"/>
      <c r="AE87" s="326"/>
    </row>
  </sheetData>
  <mergeCells count="16">
    <mergeCell ref="W4:Z4"/>
    <mergeCell ref="W5:X5"/>
    <mergeCell ref="Z5:Z6"/>
    <mergeCell ref="B4:B6"/>
    <mergeCell ref="C4:F4"/>
    <mergeCell ref="C5:D5"/>
    <mergeCell ref="F5:F6"/>
    <mergeCell ref="H4:K4"/>
    <mergeCell ref="H5:I5"/>
    <mergeCell ref="K5:K6"/>
    <mergeCell ref="M4:P4"/>
    <mergeCell ref="M5:N5"/>
    <mergeCell ref="P5:P6"/>
    <mergeCell ref="R4:U4"/>
    <mergeCell ref="R5:S5"/>
    <mergeCell ref="U5:U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AAF0-90D6-48C9-8BDE-6AC57006B94D}">
  <sheetPr>
    <pageSetUpPr fitToPage="1"/>
  </sheetPr>
  <dimension ref="B1:G52"/>
  <sheetViews>
    <sheetView showGridLines="0" zoomScaleNormal="100" zoomScaleSheetLayoutView="100" workbookViewId="0"/>
  </sheetViews>
  <sheetFormatPr defaultColWidth="8.77734375" defaultRowHeight="14.4" x14ac:dyDescent="0.3"/>
  <cols>
    <col min="1" max="1" width="1.77734375" style="51" bestFit="1" customWidth="1"/>
    <col min="2" max="2" width="60" style="51" customWidth="1"/>
    <col min="3" max="3" width="15.21875" style="256" bestFit="1" customWidth="1"/>
    <col min="4" max="4" width="14.21875" style="51" bestFit="1" customWidth="1"/>
    <col min="5" max="5" width="15.5546875" style="51" bestFit="1" customWidth="1"/>
    <col min="6" max="6" width="13.21875" style="51" bestFit="1" customWidth="1"/>
    <col min="7" max="7" width="14.21875" style="51" bestFit="1" customWidth="1"/>
    <col min="8" max="16384" width="8.77734375" style="51"/>
  </cols>
  <sheetData>
    <row r="1" spans="2:6" ht="15" thickBot="1" x14ac:dyDescent="0.35"/>
    <row r="2" spans="2:6" x14ac:dyDescent="0.3">
      <c r="B2" s="353" t="s">
        <v>0</v>
      </c>
      <c r="C2" s="354"/>
    </row>
    <row r="3" spans="2:6" ht="15" thickBot="1" x14ac:dyDescent="0.35">
      <c r="B3" s="355" t="s">
        <v>134</v>
      </c>
      <c r="C3" s="356"/>
    </row>
    <row r="4" spans="2:6" ht="15" thickBot="1" x14ac:dyDescent="0.35">
      <c r="B4" s="257" t="s">
        <v>2</v>
      </c>
      <c r="C4" s="258">
        <v>45108</v>
      </c>
    </row>
    <row r="5" spans="2:6" x14ac:dyDescent="0.3">
      <c r="B5" s="259"/>
      <c r="C5" s="260"/>
    </row>
    <row r="6" spans="2:6" x14ac:dyDescent="0.3">
      <c r="B6" s="261" t="s">
        <v>135</v>
      </c>
      <c r="C6" s="260"/>
    </row>
    <row r="7" spans="2:6" x14ac:dyDescent="0.3">
      <c r="B7" s="261" t="s">
        <v>136</v>
      </c>
      <c r="C7" s="260"/>
    </row>
    <row r="8" spans="2:6" x14ac:dyDescent="0.3">
      <c r="B8" s="262" t="s">
        <v>137</v>
      </c>
      <c r="C8" s="325">
        <v>100000</v>
      </c>
    </row>
    <row r="9" spans="2:6" x14ac:dyDescent="0.3">
      <c r="B9" s="262" t="s">
        <v>138</v>
      </c>
      <c r="C9" s="325">
        <v>-299449.12551124953</v>
      </c>
      <c r="D9" s="264"/>
      <c r="F9" s="264"/>
    </row>
    <row r="10" spans="2:6" x14ac:dyDescent="0.3">
      <c r="B10" s="262" t="s">
        <v>139</v>
      </c>
      <c r="C10" s="263"/>
    </row>
    <row r="11" spans="2:6" x14ac:dyDescent="0.3">
      <c r="B11" s="261" t="s">
        <v>140</v>
      </c>
      <c r="C11" s="263"/>
    </row>
    <row r="12" spans="2:6" x14ac:dyDescent="0.3">
      <c r="B12" s="262" t="s">
        <v>141</v>
      </c>
      <c r="C12" s="325">
        <v>650000000</v>
      </c>
    </row>
    <row r="13" spans="2:6" x14ac:dyDescent="0.3">
      <c r="B13" s="261" t="s">
        <v>142</v>
      </c>
      <c r="C13" s="263"/>
    </row>
    <row r="14" spans="2:6" x14ac:dyDescent="0.3">
      <c r="B14" s="262" t="s">
        <v>143</v>
      </c>
      <c r="C14" s="331">
        <v>174000</v>
      </c>
    </row>
    <row r="15" spans="2:6" x14ac:dyDescent="0.3">
      <c r="B15" s="262" t="s">
        <v>144</v>
      </c>
      <c r="C15" s="331">
        <v>600000</v>
      </c>
    </row>
    <row r="16" spans="2:6" x14ac:dyDescent="0.3">
      <c r="B16" s="262" t="s">
        <v>145</v>
      </c>
      <c r="C16" s="331">
        <v>41667415</v>
      </c>
    </row>
    <row r="17" spans="2:6" x14ac:dyDescent="0.3">
      <c r="B17" s="262" t="s">
        <v>146</v>
      </c>
      <c r="C17" s="331">
        <v>6076408</v>
      </c>
    </row>
    <row r="18" spans="2:6" x14ac:dyDescent="0.3">
      <c r="B18" s="262" t="s">
        <v>147</v>
      </c>
      <c r="C18" s="331">
        <v>693856</v>
      </c>
      <c r="D18" s="265"/>
      <c r="E18" s="266"/>
      <c r="F18" s="264"/>
    </row>
    <row r="19" spans="2:6" x14ac:dyDescent="0.3">
      <c r="B19" s="262" t="s">
        <v>148</v>
      </c>
      <c r="C19" s="331">
        <v>2830000</v>
      </c>
    </row>
    <row r="20" spans="2:6" x14ac:dyDescent="0.3">
      <c r="B20" s="262" t="s">
        <v>221</v>
      </c>
      <c r="C20" s="331">
        <v>72470</v>
      </c>
    </row>
    <row r="21" spans="2:6" x14ac:dyDescent="0.3">
      <c r="B21" s="262" t="s">
        <v>149</v>
      </c>
      <c r="C21" s="331">
        <v>126000</v>
      </c>
    </row>
    <row r="22" spans="2:6" x14ac:dyDescent="0.3">
      <c r="B22" s="262" t="s">
        <v>150</v>
      </c>
      <c r="C22" s="331">
        <v>50000</v>
      </c>
    </row>
    <row r="23" spans="2:6" x14ac:dyDescent="0.3">
      <c r="B23" s="262" t="s">
        <v>151</v>
      </c>
      <c r="C23" s="331">
        <v>1812139</v>
      </c>
    </row>
    <row r="24" spans="2:6" x14ac:dyDescent="0.3">
      <c r="B24" s="262" t="s">
        <v>152</v>
      </c>
      <c r="C24" s="331">
        <v>119514555.95</v>
      </c>
    </row>
    <row r="25" spans="2:6" x14ac:dyDescent="0.3">
      <c r="B25" s="262" t="s">
        <v>153</v>
      </c>
      <c r="C25" s="331">
        <v>2947047</v>
      </c>
    </row>
    <row r="26" spans="2:6" ht="15" thickBot="1" x14ac:dyDescent="0.35">
      <c r="B26" s="267" t="s">
        <v>11</v>
      </c>
      <c r="C26" s="268">
        <f>SUM(C8:C25)</f>
        <v>826364441.82448876</v>
      </c>
    </row>
    <row r="27" spans="2:6" ht="15" thickTop="1" x14ac:dyDescent="0.3">
      <c r="B27" s="261" t="s">
        <v>154</v>
      </c>
      <c r="C27" s="263"/>
    </row>
    <row r="28" spans="2:6" x14ac:dyDescent="0.3">
      <c r="B28" s="261" t="s">
        <v>155</v>
      </c>
      <c r="C28" s="263"/>
    </row>
    <row r="29" spans="2:6" x14ac:dyDescent="0.3">
      <c r="B29" s="262" t="s">
        <v>156</v>
      </c>
      <c r="C29" s="263"/>
    </row>
    <row r="30" spans="2:6" x14ac:dyDescent="0.3">
      <c r="B30" s="269" t="s">
        <v>157</v>
      </c>
      <c r="C30" s="331">
        <v>465900000</v>
      </c>
    </row>
    <row r="31" spans="2:6" x14ac:dyDescent="0.3">
      <c r="B31" s="269" t="s">
        <v>158</v>
      </c>
      <c r="C31" s="331">
        <v>38191.124876712332</v>
      </c>
    </row>
    <row r="32" spans="2:6" x14ac:dyDescent="0.3">
      <c r="B32" s="269" t="s">
        <v>159</v>
      </c>
      <c r="C32" s="331">
        <v>1410310.9657534247</v>
      </c>
    </row>
    <row r="33" spans="2:7" x14ac:dyDescent="0.3">
      <c r="B33" s="269" t="s">
        <v>160</v>
      </c>
      <c r="C33" s="331">
        <v>4327708</v>
      </c>
    </row>
    <row r="34" spans="2:7" x14ac:dyDescent="0.3">
      <c r="B34" s="261" t="s">
        <v>161</v>
      </c>
      <c r="C34" s="263"/>
    </row>
    <row r="35" spans="2:7" x14ac:dyDescent="0.3">
      <c r="B35" s="262" t="s">
        <v>162</v>
      </c>
      <c r="C35" s="325">
        <v>250000</v>
      </c>
    </row>
    <row r="36" spans="2:7" x14ac:dyDescent="0.3">
      <c r="B36" s="262" t="s">
        <v>163</v>
      </c>
      <c r="C36" s="325">
        <v>120465796.71000001</v>
      </c>
      <c r="D36" s="265"/>
    </row>
    <row r="37" spans="2:7" x14ac:dyDescent="0.3">
      <c r="B37" s="262" t="s">
        <v>164</v>
      </c>
      <c r="C37" s="325">
        <v>135696095.38999999</v>
      </c>
    </row>
    <row r="38" spans="2:7" x14ac:dyDescent="0.3">
      <c r="B38" s="262" t="s">
        <v>165</v>
      </c>
      <c r="C38" s="325">
        <v>574689.04</v>
      </c>
      <c r="D38" s="265"/>
    </row>
    <row r="39" spans="2:7" x14ac:dyDescent="0.3">
      <c r="B39" s="262" t="s">
        <v>166</v>
      </c>
      <c r="C39" s="325">
        <v>549762</v>
      </c>
    </row>
    <row r="40" spans="2:7" x14ac:dyDescent="0.3">
      <c r="B40" s="262" t="s">
        <v>167</v>
      </c>
      <c r="C40" s="325">
        <v>396673.06</v>
      </c>
    </row>
    <row r="41" spans="2:7" x14ac:dyDescent="0.3">
      <c r="B41" s="262" t="s">
        <v>168</v>
      </c>
      <c r="C41" s="325">
        <v>2040000</v>
      </c>
    </row>
    <row r="42" spans="2:7" x14ac:dyDescent="0.3">
      <c r="B42" s="262" t="s">
        <v>169</v>
      </c>
      <c r="C42" s="325">
        <v>94715215.769999996</v>
      </c>
    </row>
    <row r="43" spans="2:7" ht="15" thickBot="1" x14ac:dyDescent="0.35">
      <c r="B43" s="270"/>
      <c r="C43" s="271">
        <f>SUM(C30:C42)</f>
        <v>826364442.06063008</v>
      </c>
      <c r="D43" s="265"/>
      <c r="E43" s="265">
        <f>C43-C26</f>
        <v>0.23614132404327393</v>
      </c>
    </row>
    <row r="44" spans="2:7" x14ac:dyDescent="0.3">
      <c r="D44" s="265"/>
      <c r="E44" s="265"/>
      <c r="G44" s="265"/>
    </row>
    <row r="45" spans="2:7" hidden="1" x14ac:dyDescent="0.3">
      <c r="B45" s="52" t="s">
        <v>63</v>
      </c>
    </row>
    <row r="46" spans="2:7" hidden="1" x14ac:dyDescent="0.3">
      <c r="B46" s="51" t="s">
        <v>170</v>
      </c>
    </row>
    <row r="47" spans="2:7" hidden="1" x14ac:dyDescent="0.3">
      <c r="B47" s="272" t="s">
        <v>73</v>
      </c>
      <c r="C47" s="273" t="s">
        <v>171</v>
      </c>
      <c r="E47" s="265"/>
    </row>
    <row r="48" spans="2:7" hidden="1" x14ac:dyDescent="0.3">
      <c r="B48" s="274" t="s">
        <v>172</v>
      </c>
      <c r="C48" s="275">
        <v>2607235.33</v>
      </c>
    </row>
    <row r="49" spans="2:5" hidden="1" x14ac:dyDescent="0.3">
      <c r="B49" s="274" t="s">
        <v>173</v>
      </c>
      <c r="C49" s="275">
        <v>366100</v>
      </c>
    </row>
    <row r="50" spans="2:5" hidden="1" x14ac:dyDescent="0.3">
      <c r="B50" s="272" t="s">
        <v>174</v>
      </c>
      <c r="C50" s="273">
        <f>SUM(C48:C49)</f>
        <v>2973335.33</v>
      </c>
    </row>
    <row r="51" spans="2:5" x14ac:dyDescent="0.3">
      <c r="E51" s="266"/>
    </row>
    <row r="52" spans="2:5" x14ac:dyDescent="0.3">
      <c r="E52" s="264"/>
    </row>
  </sheetData>
  <mergeCells count="2">
    <mergeCell ref="B2:C2"/>
    <mergeCell ref="B3:C3"/>
  </mergeCells>
  <pageMargins left="0.54" right="0.42" top="0.75" bottom="0.49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0AFE-543E-40C4-9F80-CD84D6F2D732}">
  <dimension ref="B2:L13"/>
  <sheetViews>
    <sheetView workbookViewId="0"/>
  </sheetViews>
  <sheetFormatPr defaultRowHeight="14.4" x14ac:dyDescent="0.3"/>
  <cols>
    <col min="2" max="2" width="12.109375" bestFit="1" customWidth="1"/>
    <col min="3" max="3" width="13.77734375" bestFit="1" customWidth="1"/>
    <col min="4" max="4" width="10.77734375" customWidth="1"/>
    <col min="5" max="5" width="14.21875" bestFit="1" customWidth="1"/>
    <col min="8" max="8" width="12.109375" bestFit="1" customWidth="1"/>
    <col min="9" max="9" width="13.77734375" bestFit="1" customWidth="1"/>
    <col min="10" max="10" width="9.88671875" customWidth="1"/>
    <col min="11" max="11" width="14.33203125" bestFit="1" customWidth="1"/>
    <col min="12" max="12" width="7.21875" bestFit="1" customWidth="1"/>
  </cols>
  <sheetData>
    <row r="2" spans="2:12" x14ac:dyDescent="0.3">
      <c r="B2" s="298" t="s">
        <v>2</v>
      </c>
      <c r="C2" s="298" t="s">
        <v>189</v>
      </c>
      <c r="D2" s="298" t="s">
        <v>190</v>
      </c>
      <c r="E2" s="298" t="s">
        <v>191</v>
      </c>
      <c r="F2" s="298" t="s">
        <v>11</v>
      </c>
      <c r="H2" s="298" t="s">
        <v>2</v>
      </c>
      <c r="I2" s="298" t="s">
        <v>189</v>
      </c>
      <c r="J2" s="298" t="s">
        <v>190</v>
      </c>
      <c r="K2" s="298" t="s">
        <v>191</v>
      </c>
      <c r="L2" s="298" t="s">
        <v>11</v>
      </c>
    </row>
    <row r="3" spans="2:12" x14ac:dyDescent="0.3">
      <c r="B3" s="324" t="s">
        <v>15</v>
      </c>
      <c r="C3" s="10"/>
      <c r="D3" s="10"/>
      <c r="E3" s="10"/>
      <c r="F3" s="10"/>
      <c r="H3" s="324" t="s">
        <v>15</v>
      </c>
      <c r="I3" s="10"/>
      <c r="J3" s="10"/>
      <c r="K3" s="10"/>
      <c r="L3" s="10"/>
    </row>
    <row r="4" spans="2:12" x14ac:dyDescent="0.3">
      <c r="B4" s="10" t="s">
        <v>193</v>
      </c>
      <c r="C4" s="12">
        <f>('Brand Wise_Summary'!$AW$5*1000)*80%</f>
        <v>5509.6418732782367</v>
      </c>
      <c r="D4" s="12">
        <f>('Brand Wise_Summary'!$AW$5*1000)*20%</f>
        <v>1377.4104683195592</v>
      </c>
      <c r="E4" s="12">
        <f>'Brand Wise_Summary'!AR5*1000</f>
        <v>1129.12779505405</v>
      </c>
      <c r="F4" s="13">
        <f>SUM(C4:E4)</f>
        <v>8016.1801366518457</v>
      </c>
      <c r="H4" s="10" t="s">
        <v>193</v>
      </c>
      <c r="I4" s="12">
        <f>('Brand Wise_Summary'!$BL$5*1000)*80%</f>
        <v>27548.20936639118</v>
      </c>
      <c r="J4" s="12">
        <f>('Brand Wise_Summary'!$BL$5*1000)*20%</f>
        <v>6887.052341597795</v>
      </c>
      <c r="K4" s="12">
        <f>'Brand Wise_Summary'!BG5*1000</f>
        <v>5645.6389752702498</v>
      </c>
      <c r="L4" s="13">
        <f>SUM(I4:K4)</f>
        <v>40080.900683259228</v>
      </c>
    </row>
    <row r="5" spans="2:12" x14ac:dyDescent="0.3">
      <c r="B5" s="301">
        <v>45108</v>
      </c>
      <c r="C5" s="12">
        <f>'Brand Wise_Summary'!H5*1000</f>
        <v>4921.5834000000004</v>
      </c>
      <c r="D5" s="12">
        <f>'Brand Wise_Summary'!M5*1000</f>
        <v>1496.675</v>
      </c>
      <c r="E5" s="12">
        <f>'Brand Wise_Summary'!C5*1000</f>
        <v>912.57</v>
      </c>
      <c r="F5" s="13">
        <f>SUM(C5:E5)</f>
        <v>7330.8284000000003</v>
      </c>
      <c r="H5" s="301">
        <v>45108</v>
      </c>
      <c r="I5" s="12">
        <f>'Brand Wise_Summary'!AB5*1000</f>
        <v>22036.064900000001</v>
      </c>
      <c r="J5" s="12">
        <f>'Brand Wise_Summary'!AG5*1000</f>
        <v>5155.375</v>
      </c>
      <c r="K5" s="12">
        <f>'Brand Wise_Summary'!W5*1000</f>
        <v>3750.8100631256511</v>
      </c>
      <c r="L5" s="13">
        <f>SUM(I5:K5)</f>
        <v>30942.249963125651</v>
      </c>
    </row>
    <row r="6" spans="2:12" x14ac:dyDescent="0.3">
      <c r="B6" s="10" t="s">
        <v>78</v>
      </c>
      <c r="C6" s="13">
        <f>C5-C4</f>
        <v>-588.05847327823631</v>
      </c>
      <c r="D6" s="13">
        <f t="shared" ref="D6:F6" si="0">D5-D4</f>
        <v>119.26453168044077</v>
      </c>
      <c r="E6" s="13">
        <f t="shared" si="0"/>
        <v>-216.55779505404996</v>
      </c>
      <c r="F6" s="13">
        <f t="shared" si="0"/>
        <v>-685.35173665184539</v>
      </c>
      <c r="H6" s="10" t="s">
        <v>78</v>
      </c>
      <c r="I6" s="13">
        <f>I5-I4</f>
        <v>-5512.1444663911789</v>
      </c>
      <c r="J6" s="13">
        <f>J5-J4</f>
        <v>-1731.677341597795</v>
      </c>
      <c r="K6" s="13">
        <f t="shared" ref="K6:L6" si="1">K5-K4</f>
        <v>-1894.8289121445987</v>
      </c>
      <c r="L6" s="13">
        <f t="shared" si="1"/>
        <v>-9138.6507201335771</v>
      </c>
    </row>
    <row r="7" spans="2:12" x14ac:dyDescent="0.3">
      <c r="B7" s="10" t="s">
        <v>133</v>
      </c>
      <c r="C7" s="291">
        <f>C6/C4</f>
        <v>-0.1067326128999999</v>
      </c>
      <c r="D7" s="291">
        <f t="shared" ref="D7:F7" si="2">D6/D4</f>
        <v>8.6586049999999998E-2</v>
      </c>
      <c r="E7" s="291">
        <f t="shared" si="2"/>
        <v>-0.1917921036065573</v>
      </c>
      <c r="F7" s="291">
        <f t="shared" si="2"/>
        <v>-8.5496049860239218E-2</v>
      </c>
      <c r="H7" s="10" t="s">
        <v>133</v>
      </c>
      <c r="I7" s="291">
        <f>I6/I4</f>
        <v>-0.20009084412999983</v>
      </c>
      <c r="J7" s="291">
        <f>J6/J4</f>
        <v>-0.2514395499999999</v>
      </c>
      <c r="K7" s="291">
        <f>K6/K4</f>
        <v>-0.33562700704819609</v>
      </c>
      <c r="L7" s="291">
        <f>L6/L4</f>
        <v>-0.22800512374589824</v>
      </c>
    </row>
    <row r="8" spans="2:12" x14ac:dyDescent="0.3">
      <c r="B8" s="10"/>
      <c r="C8" s="10"/>
      <c r="D8" s="10"/>
      <c r="E8" s="10"/>
      <c r="F8" s="10"/>
      <c r="H8" s="10"/>
      <c r="I8" s="10"/>
      <c r="J8" s="10"/>
      <c r="K8" s="10"/>
      <c r="L8" s="10"/>
    </row>
    <row r="9" spans="2:12" x14ac:dyDescent="0.3">
      <c r="B9" s="324" t="s">
        <v>194</v>
      </c>
      <c r="C9" s="10"/>
      <c r="D9" s="10"/>
      <c r="E9" s="10"/>
      <c r="F9" s="10"/>
      <c r="H9" s="324" t="s">
        <v>194</v>
      </c>
      <c r="I9" s="10"/>
      <c r="J9" s="10"/>
      <c r="K9" s="10"/>
      <c r="L9" s="10"/>
    </row>
    <row r="10" spans="2:12" x14ac:dyDescent="0.3">
      <c r="B10" s="10" t="s">
        <v>193</v>
      </c>
      <c r="C10" s="11">
        <f>('Brand Wise_Summary'!$AW$7)*80%</f>
        <v>6</v>
      </c>
      <c r="D10" s="11">
        <f>('Brand Wise_Summary'!$AW$7)*20%</f>
        <v>1.5</v>
      </c>
      <c r="E10" s="11">
        <f>'Brand Wise_Summary'!AR7</f>
        <v>5.083333333333333</v>
      </c>
      <c r="F10" s="11">
        <f>SUM(C10:E10)</f>
        <v>12.583333333333332</v>
      </c>
      <c r="H10" s="10" t="s">
        <v>193</v>
      </c>
      <c r="I10" s="11">
        <f>('Brand Wise_Summary'!$BL$7)*80%</f>
        <v>30</v>
      </c>
      <c r="J10" s="11">
        <f>('Brand Wise_Summary'!$BL$7)*20%</f>
        <v>7.5</v>
      </c>
      <c r="K10" s="11">
        <f>'Brand Wise_Summary'!BG7</f>
        <v>25.416666666666664</v>
      </c>
      <c r="L10" s="11">
        <f>SUM(I10:K10)</f>
        <v>62.916666666666664</v>
      </c>
    </row>
    <row r="11" spans="2:12" x14ac:dyDescent="0.3">
      <c r="B11" s="301">
        <v>45108</v>
      </c>
      <c r="C11" s="11">
        <f>'Brand Wise_Summary'!H7</f>
        <v>5.2565440079999997</v>
      </c>
      <c r="D11" s="11">
        <f>'Brand Wise_Summary'!M7</f>
        <v>1.69678295</v>
      </c>
      <c r="E11" s="11">
        <f>'Brand Wise_Summary'!C7</f>
        <v>4.5930024419999995</v>
      </c>
      <c r="F11" s="11">
        <f>SUM(C11:E11)</f>
        <v>11.546329399999999</v>
      </c>
      <c r="H11" s="301">
        <v>45108</v>
      </c>
      <c r="I11" s="11">
        <f>'Brand Wise_Summary'!AB7</f>
        <v>23.467081917000002</v>
      </c>
      <c r="J11" s="11">
        <f>'Brand Wise_Summary'!AG7</f>
        <v>5.9650677500000002</v>
      </c>
      <c r="K11" s="11">
        <f>'Brand Wise_Summary'!W7</f>
        <v>19.191007098</v>
      </c>
      <c r="L11" s="11">
        <f>SUM(I11:K11)</f>
        <v>48.623156765000004</v>
      </c>
    </row>
    <row r="12" spans="2:12" x14ac:dyDescent="0.3">
      <c r="B12" s="10" t="s">
        <v>78</v>
      </c>
      <c r="C12" s="11">
        <f>C11-C10</f>
        <v>-0.74345599200000034</v>
      </c>
      <c r="D12" s="11">
        <f t="shared" ref="D12" si="3">D11-D10</f>
        <v>0.19678295000000001</v>
      </c>
      <c r="E12" s="11">
        <f t="shared" ref="E12" si="4">E11-E10</f>
        <v>-0.49033089133333352</v>
      </c>
      <c r="F12" s="11">
        <f t="shared" ref="F12" si="5">F11-F10</f>
        <v>-1.0370039333333327</v>
      </c>
      <c r="H12" s="10" t="s">
        <v>78</v>
      </c>
      <c r="I12" s="11">
        <f>I11-I10</f>
        <v>-6.5329180829999984</v>
      </c>
      <c r="J12" s="11">
        <f>J11-J10</f>
        <v>-1.5349322499999998</v>
      </c>
      <c r="K12" s="11">
        <f>K11-K10</f>
        <v>-6.2256595686666643</v>
      </c>
      <c r="L12" s="11">
        <f t="shared" ref="L12" si="6">L11-L10</f>
        <v>-14.29350990166666</v>
      </c>
    </row>
    <row r="13" spans="2:12" x14ac:dyDescent="0.3">
      <c r="B13" s="10" t="s">
        <v>133</v>
      </c>
      <c r="C13" s="291">
        <f>C12/C10</f>
        <v>-0.12390933200000005</v>
      </c>
      <c r="D13" s="291">
        <f t="shared" ref="D13" si="7">D12/D10</f>
        <v>0.13118863333333333</v>
      </c>
      <c r="E13" s="291">
        <f t="shared" ref="E13" si="8">E12/E10</f>
        <v>-9.6458536000000039E-2</v>
      </c>
      <c r="F13" s="291">
        <f t="shared" ref="F13" si="9">F12/F10</f>
        <v>-8.2410908609271485E-2</v>
      </c>
      <c r="H13" s="10" t="s">
        <v>133</v>
      </c>
      <c r="I13" s="291">
        <f>I12/I10</f>
        <v>-0.21776393609999994</v>
      </c>
      <c r="J13" s="291">
        <f t="shared" ref="J13:L13" si="10">J12/J10</f>
        <v>-0.20465763333333331</v>
      </c>
      <c r="K13" s="291">
        <f>K12/K10</f>
        <v>-0.24494398302950812</v>
      </c>
      <c r="L13" s="291">
        <f t="shared" si="10"/>
        <v>-0.22718161433112571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8295-C73C-496D-B215-D891559AFE14}">
  <dimension ref="B2:C7"/>
  <sheetViews>
    <sheetView workbookViewId="0">
      <selection activeCell="B2" sqref="B2:B25 R2:AE25"/>
    </sheetView>
  </sheetViews>
  <sheetFormatPr defaultRowHeight="14.4" x14ac:dyDescent="0.3"/>
  <sheetData>
    <row r="2" spans="2:3" x14ac:dyDescent="0.3">
      <c r="B2" t="s">
        <v>228</v>
      </c>
    </row>
    <row r="3" spans="2:3" x14ac:dyDescent="0.3">
      <c r="B3" t="s">
        <v>227</v>
      </c>
    </row>
    <row r="4" spans="2:3" x14ac:dyDescent="0.3">
      <c r="B4" t="s">
        <v>226</v>
      </c>
    </row>
    <row r="5" spans="2:3" x14ac:dyDescent="0.3">
      <c r="B5" t="s">
        <v>225</v>
      </c>
      <c r="C5">
        <f>427+3226</f>
        <v>3653</v>
      </c>
    </row>
    <row r="6" spans="2:3" x14ac:dyDescent="0.3">
      <c r="B6" t="s">
        <v>224</v>
      </c>
      <c r="C6">
        <f>339+651</f>
        <v>990</v>
      </c>
    </row>
    <row r="7" spans="2:3" x14ac:dyDescent="0.3">
      <c r="B7" t="s">
        <v>223</v>
      </c>
      <c r="C7">
        <f>308+170</f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May 23_P&amp;L Brand wise</vt:lpstr>
      <vt:lpstr>HUL Avg Comparison</vt:lpstr>
      <vt:lpstr>Sheet3</vt:lpstr>
      <vt:lpstr>Reco</vt:lpstr>
      <vt:lpstr>Brand Wise_Summary</vt:lpstr>
      <vt:lpstr>P&amp;L Brand wise</vt:lpstr>
      <vt:lpstr>BS in INR</vt:lpstr>
      <vt:lpstr>Sheet8</vt:lpstr>
      <vt:lpstr>Notes</vt:lpstr>
      <vt:lpstr>P&amp;L PPT</vt:lpstr>
      <vt:lpstr>Annapurna Brand Total</vt:lpstr>
      <vt:lpstr>CC Brand</vt:lpstr>
      <vt:lpstr>Cross Charge Workings</vt:lpstr>
      <vt:lpstr>BS PPT</vt:lpstr>
      <vt:lpstr>Sheet1</vt:lpstr>
      <vt:lpstr>Sheet2</vt:lpstr>
      <vt:lpstr>Brand Wise</vt:lpstr>
      <vt:lpstr>YTD Jun 23 Brand Wise</vt:lpstr>
      <vt:lpstr>'BS in INR'!Print_Area</vt:lpstr>
      <vt:lpstr>'BS PPT'!Print_Area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2023-07-04T07:05:37Z</dcterms:created>
  <dcterms:modified xsi:type="dcterms:W3CDTF">2023-08-07T04:27:36Z</dcterms:modified>
</cp:coreProperties>
</file>