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SA671268\Desktop\Current Work\Work\EW\"/>
    </mc:Choice>
  </mc:AlternateContent>
  <xr:revisionPtr revIDLastSave="0" documentId="13_ncr:1_{529734A5-B32F-4630-B78F-80AD997B3DEE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Analog Cabinets" sheetId="2" r:id="rId1"/>
    <sheet name="Digital Cabinets" sheetId="6" r:id="rId2"/>
  </sheets>
  <definedNames>
    <definedName name="_xlnm._FilterDatabase" localSheetId="0" hidden="1">'Analog Cabinets'!$A$1:$AF$56</definedName>
    <definedName name="_xlnm._FilterDatabase" localSheetId="1" hidden="1">'Digital Cabinets'!$A$1:$P$65</definedName>
    <definedName name="AI">'Analog Cabinets'!$C$3:$C$30</definedName>
    <definedName name="AI_A">'Analog Cabinets'!$D$3:$D$30</definedName>
    <definedName name="AI_B">'Analog Cabinets'!$E$3:$E$30</definedName>
    <definedName name="AIR">'Analog Cabinets'!$F$3:$F$30</definedName>
    <definedName name="AIR_A">'Analog Cabinets'!$G$3:$G$30</definedName>
    <definedName name="AIR_B">'Analog Cabinets'!$H$3:$H$30</definedName>
    <definedName name="AIR_C">'Analog Cabinets'!$I$3:$I$30</definedName>
    <definedName name="AO">'Analog Cabinets'!$J$3:$J$30</definedName>
    <definedName name="AO_A">'Analog Cabinets'!$K$3:$K$30</definedName>
    <definedName name="AO_B">'Analog Cabinets'!$L$3:$L$30</definedName>
    <definedName name="AOR">'Analog Cabinets'!$M$3:$M$30</definedName>
    <definedName name="BALANCE_A">'Analog Cabinets'!$Y$43:$Z$53</definedName>
    <definedName name="BALANCE_D">'Digital Cabinets'!$O$53:$P$61</definedName>
    <definedName name="CABINET1_A">'Analog Cabinets'!$Y$3:$Y$30</definedName>
    <definedName name="cabinet1_D">'Digital Cabinets'!$O$4:$O$42</definedName>
    <definedName name="CABINET2_A">'Analog Cabinets'!$Z$3:$Z$30</definedName>
    <definedName name="cabinet2_D">'Digital Cabinets'!$P$4:$P$42</definedName>
    <definedName name="Cables_A">'Analog Cabinets'!$AA$3:$AA$30</definedName>
    <definedName name="Cables_D">'Digital Cabinets'!$Q$4:$Q$42</definedName>
    <definedName name="CABLES_Sizes_A">'Analog Cabinets'!$B$3:$B$30</definedName>
    <definedName name="CABLES_Sizes_D">'Digital Cabinets'!$B$4:$B$42</definedName>
    <definedName name="CARDS_A">'Analog Cabinets'!$Y$31:$Z$41</definedName>
    <definedName name="CARDS_D">'Digital Cabinets'!$O$43:$P$51</definedName>
    <definedName name="DI">'Digital Cabinets'!$C$4:$C$42</definedName>
    <definedName name="DI_A">'Digital Cabinets'!$D$4:$D$42</definedName>
    <definedName name="DI_B">'Digital Cabinets'!$E$4:$E$42</definedName>
    <definedName name="DO">'Digital Cabinets'!$F$4:$F$42</definedName>
    <definedName name="DO_A">'Digital Cabinets'!$G$4:$G$42</definedName>
    <definedName name="DO_B">'Digital Cabinets'!$H$4:$H$42</definedName>
    <definedName name="DOR">'Digital Cabinets'!$I$4:$I$42</definedName>
    <definedName name="DOR_A">'Digital Cabinets'!$J$4:$J$42</definedName>
    <definedName name="DOR_B">'Digital Cabinets'!$K$4:$K$42</definedName>
    <definedName name="OpenSolver_ChosenSolver" localSheetId="0" hidden="1">CBC</definedName>
    <definedName name="OpenSolver_ChosenSolver" localSheetId="1" hidden="1">CBC</definedName>
    <definedName name="OpenSolver_DualsNewSheet" localSheetId="0" hidden="1">0</definedName>
    <definedName name="OpenSolver_DualsNewSheet" localSheetId="1" hidden="1">0</definedName>
    <definedName name="OpenSolver_LinearityCheck" localSheetId="0" hidden="1">1</definedName>
    <definedName name="OpenSolver_LinearityCheck" localSheetId="1" hidden="1">1</definedName>
    <definedName name="OpenSolver_UpdateSensitivity" localSheetId="0" hidden="1">1</definedName>
    <definedName name="OpenSolver_UpdateSensitivity" localSheetId="1" hidden="1">1</definedName>
    <definedName name="solver_adj" localSheetId="0" hidden="1">'Analog Cabinets'!$Y$5:$Z$41</definedName>
    <definedName name="solver_adj" localSheetId="1" hidden="1">'Digital Cabinets'!$O$4:$P$51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'Analog Cabinets'!$AB$32</definedName>
    <definedName name="solver_lhs1" localSheetId="1" hidden="1">'Digital Cabinets'!$R$45</definedName>
    <definedName name="solver_lhs10" localSheetId="0" hidden="1">'Analog Cabinets'!$AB$41</definedName>
    <definedName name="solver_lhs10" localSheetId="1" hidden="1">'Digital Cabinets'!$P$64</definedName>
    <definedName name="solver_lhs11" localSheetId="0" hidden="1">'Analog Cabinets'!$AB$31</definedName>
    <definedName name="solver_lhs11" localSheetId="1" hidden="1">'Digital Cabinets'!$O$43:$P$51</definedName>
    <definedName name="solver_lhs12" localSheetId="0" hidden="1">'Analog Cabinets'!$Y$55</definedName>
    <definedName name="solver_lhs12" localSheetId="1" hidden="1">'Digital Cabinets'!$Q$4:$Q$42</definedName>
    <definedName name="solver_lhs13" localSheetId="0" hidden="1">'Analog Cabinets'!$Z$55</definedName>
    <definedName name="solver_lhs13" localSheetId="1" hidden="1">'Digital Cabinets'!$R$46</definedName>
    <definedName name="solver_lhs14" localSheetId="0" hidden="1">'Analog Cabinets'!$Y$5:$Y$30</definedName>
    <definedName name="solver_lhs14" localSheetId="1" hidden="1">'Digital Cabinets'!$O$53:$P$61</definedName>
    <definedName name="solver_lhs15" localSheetId="0" hidden="1">'Analog Cabinets'!$Y$31:$Z$41</definedName>
    <definedName name="solver_lhs15" localSheetId="1" hidden="1">'Digital Cabinets'!$O$64</definedName>
    <definedName name="solver_lhs16" localSheetId="0" hidden="1">'Analog Cabinets'!$Z$5:$Z$30</definedName>
    <definedName name="solver_lhs16" localSheetId="1" hidden="1">'Digital Cabinets'!$O$4:$O$42</definedName>
    <definedName name="solver_lhs17" localSheetId="0" hidden="1">'Analog Cabinets'!$Y$43:$Z$53</definedName>
    <definedName name="solver_lhs17" localSheetId="1" hidden="1">'Digital Cabinets'!$R$47</definedName>
    <definedName name="solver_lhs18" localSheetId="0" hidden="1">'Analog Cabinets'!$AA$3:$AA$30</definedName>
    <definedName name="solver_lhs18" localSheetId="1" hidden="1">'Digital Cabinets'!#REF!</definedName>
    <definedName name="solver_lhs19" localSheetId="0" hidden="1">'Analog Cabinets'!$AB$35</definedName>
    <definedName name="solver_lhs19" localSheetId="1" hidden="1">'Digital Cabinets'!$R$48</definedName>
    <definedName name="solver_lhs2" localSheetId="0" hidden="1">'Analog Cabinets'!$AB$33</definedName>
    <definedName name="solver_lhs2" localSheetId="1" hidden="1">'Digital Cabinets'!$R$49</definedName>
    <definedName name="solver_lhs20" localSheetId="0" hidden="1">'Analog Cabinets'!$AB$37</definedName>
    <definedName name="solver_lhs20" localSheetId="1" hidden="1">'Digital Cabinets'!#REF!</definedName>
    <definedName name="solver_lhs21" localSheetId="0" hidden="1">'Analog Cabinets'!$AB$38</definedName>
    <definedName name="solver_lhs21" localSheetId="1" hidden="1">'Digital Cabinets'!$R$49</definedName>
    <definedName name="solver_lhs22" localSheetId="0" hidden="1">'Analog Cabinets'!$AB$39</definedName>
    <definedName name="solver_lhs22" localSheetId="1" hidden="1">'Digital Cabinets'!$R$50</definedName>
    <definedName name="solver_lhs23" localSheetId="0" hidden="1">'Analog Cabinets'!$AB$40</definedName>
    <definedName name="solver_lhs23" localSheetId="1" hidden="1">'Digital Cabinets'!$R$51</definedName>
    <definedName name="solver_lhs24" localSheetId="0" hidden="1">'Analog Cabinets'!$AB$41</definedName>
    <definedName name="solver_lhs25" localSheetId="0" hidden="1">'Analog Cabinets'!#REF!</definedName>
    <definedName name="solver_lhs3" localSheetId="0" hidden="1">'Analog Cabinets'!$AB$34</definedName>
    <definedName name="solver_lhs3" localSheetId="1" hidden="1">'Digital Cabinets'!$R$47</definedName>
    <definedName name="solver_lhs4" localSheetId="0" hidden="1">'Analog Cabinets'!$AB$35</definedName>
    <definedName name="solver_lhs4" localSheetId="1" hidden="1">'Digital Cabinets'!$R$48</definedName>
    <definedName name="solver_lhs5" localSheetId="0" hidden="1">'Analog Cabinets'!$AB$36</definedName>
    <definedName name="solver_lhs5" localSheetId="1" hidden="1">'Digital Cabinets'!$R$43</definedName>
    <definedName name="solver_lhs6" localSheetId="0" hidden="1">'Analog Cabinets'!$AB$37</definedName>
    <definedName name="solver_lhs6" localSheetId="1" hidden="1">'Digital Cabinets'!$P$4:$P$42</definedName>
    <definedName name="solver_lhs7" localSheetId="0" hidden="1">'Analog Cabinets'!$AB$38</definedName>
    <definedName name="solver_lhs7" localSheetId="1" hidden="1">'Digital Cabinets'!$R$51</definedName>
    <definedName name="solver_lhs8" localSheetId="0" hidden="1">'Analog Cabinets'!$AB$39</definedName>
    <definedName name="solver_lhs8" localSheetId="1" hidden="1">'Digital Cabinets'!$R$44</definedName>
    <definedName name="solver_lhs9" localSheetId="0" hidden="1">'Analog Cabinets'!$AB$40</definedName>
    <definedName name="solver_lhs9" localSheetId="1" hidden="1">'Digital Cabinets'!$R$50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18</definedName>
    <definedName name="solver_num" localSheetId="1" hidden="1">16</definedName>
    <definedName name="solver_nwt" localSheetId="0" hidden="1">1</definedName>
    <definedName name="solver_nwt" localSheetId="1" hidden="1">1</definedName>
    <definedName name="solver_opt" localSheetId="0" hidden="1">'Analog Cabinets'!$AF$42</definedName>
    <definedName name="solver_opt" localSheetId="1" hidden="1">'Digital Cabinets'!$V$51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2</definedName>
    <definedName name="solver_rel10" localSheetId="0" hidden="1">3</definedName>
    <definedName name="solver_rel10" localSheetId="1" hidden="1">1</definedName>
    <definedName name="solver_rel11" localSheetId="0" hidden="1">3</definedName>
    <definedName name="solver_rel11" localSheetId="1" hidden="1">4</definedName>
    <definedName name="solver_rel12" localSheetId="0" hidden="1">1</definedName>
    <definedName name="solver_rel12" localSheetId="1" hidden="1">2</definedName>
    <definedName name="solver_rel13" localSheetId="0" hidden="1">1</definedName>
    <definedName name="solver_rel13" localSheetId="1" hidden="1">2</definedName>
    <definedName name="solver_rel14" localSheetId="0" hidden="1">5</definedName>
    <definedName name="solver_rel14" localSheetId="1" hidden="1">3</definedName>
    <definedName name="solver_rel15" localSheetId="0" hidden="1">4</definedName>
    <definedName name="solver_rel15" localSheetId="1" hidden="1">1</definedName>
    <definedName name="solver_rel16" localSheetId="0" hidden="1">5</definedName>
    <definedName name="solver_rel16" localSheetId="1" hidden="1">5</definedName>
    <definedName name="solver_rel17" localSheetId="0" hidden="1">3</definedName>
    <definedName name="solver_rel17" localSheetId="1" hidden="1">2</definedName>
    <definedName name="solver_rel18" localSheetId="0" hidden="1">2</definedName>
    <definedName name="solver_rel18" localSheetId="1" hidden="1">2</definedName>
    <definedName name="solver_rel19" localSheetId="0" hidden="1">2</definedName>
    <definedName name="solver_rel19" localSheetId="1" hidden="1">2</definedName>
    <definedName name="solver_rel2" localSheetId="0" hidden="1">3</definedName>
    <definedName name="solver_rel2" localSheetId="1" hidden="1">2</definedName>
    <definedName name="solver_rel20" localSheetId="0" hidden="1">2</definedName>
    <definedName name="solver_rel20" localSheetId="1" hidden="1">2</definedName>
    <definedName name="solver_rel21" localSheetId="0" hidden="1">2</definedName>
    <definedName name="solver_rel21" localSheetId="1" hidden="1">2</definedName>
    <definedName name="solver_rel22" localSheetId="0" hidden="1">2</definedName>
    <definedName name="solver_rel22" localSheetId="1" hidden="1">2</definedName>
    <definedName name="solver_rel23" localSheetId="0" hidden="1">2</definedName>
    <definedName name="solver_rel23" localSheetId="1" hidden="1">2</definedName>
    <definedName name="solver_rel24" localSheetId="0" hidden="1">2</definedName>
    <definedName name="solver_rel25" localSheetId="0" hidden="1">2</definedName>
    <definedName name="solver_rel3" localSheetId="0" hidden="1">3</definedName>
    <definedName name="solver_rel3" localSheetId="1" hidden="1">2</definedName>
    <definedName name="solver_rel4" localSheetId="0" hidden="1">3</definedName>
    <definedName name="solver_rel4" localSheetId="1" hidden="1">2</definedName>
    <definedName name="solver_rel5" localSheetId="0" hidden="1">3</definedName>
    <definedName name="solver_rel5" localSheetId="1" hidden="1">2</definedName>
    <definedName name="solver_rel6" localSheetId="0" hidden="1">3</definedName>
    <definedName name="solver_rel6" localSheetId="1" hidden="1">5</definedName>
    <definedName name="solver_rel7" localSheetId="0" hidden="1">3</definedName>
    <definedName name="solver_rel7" localSheetId="1" hidden="1">2</definedName>
    <definedName name="solver_rel8" localSheetId="0" hidden="1">3</definedName>
    <definedName name="solver_rel8" localSheetId="1" hidden="1">2</definedName>
    <definedName name="solver_rel9" localSheetId="0" hidden="1">3</definedName>
    <definedName name="solver_rel9" localSheetId="1" hidden="1">2</definedName>
    <definedName name="solver_rhs1" localSheetId="0" hidden="1">'Analog Cabinets'!$E$40</definedName>
    <definedName name="solver_rhs1" localSheetId="1" hidden="1">'Digital Cabinets'!$C$51</definedName>
    <definedName name="solver_rhs10" localSheetId="0" hidden="1">'Analog Cabinets'!$M$40</definedName>
    <definedName name="solver_rhs10" localSheetId="1" hidden="1">3960</definedName>
    <definedName name="solver_rhs11" localSheetId="0" hidden="1">'Analog Cabinets'!$D$40</definedName>
    <definedName name="solver_rhs11" localSheetId="1" hidden="1">"integer"</definedName>
    <definedName name="solver_rhs12" localSheetId="0" hidden="1">3960</definedName>
    <definedName name="solver_rhs12" localSheetId="1" hidden="1">1</definedName>
    <definedName name="solver_rhs13" localSheetId="0" hidden="1">1320</definedName>
    <definedName name="solver_rhs13" localSheetId="1" hidden="1">'Digital Cabinets'!$G$51</definedName>
    <definedName name="solver_rhs14" localSheetId="0" hidden="1">"binary"</definedName>
    <definedName name="solver_rhs14" localSheetId="1" hidden="1">0</definedName>
    <definedName name="solver_rhs15" localSheetId="0" hidden="1">"integer"</definedName>
    <definedName name="solver_rhs15" localSheetId="1" hidden="1">3960</definedName>
    <definedName name="solver_rhs16" localSheetId="0" hidden="1">"binary"</definedName>
    <definedName name="solver_rhs16" localSheetId="1" hidden="1">"binary"</definedName>
    <definedName name="solver_rhs17" localSheetId="0" hidden="1">0</definedName>
    <definedName name="solver_rhs17" localSheetId="1" hidden="1">'Digital Cabinets'!$H$51</definedName>
    <definedName name="solver_rhs18" localSheetId="0" hidden="1">1</definedName>
    <definedName name="solver_rhs18" localSheetId="1" hidden="1">'Digital Cabinets'!$I$51</definedName>
    <definedName name="solver_rhs19" localSheetId="0" hidden="1">'Analog Cabinets'!$H$40</definedName>
    <definedName name="solver_rhs19" localSheetId="1" hidden="1">'Digital Cabinets'!$J$51</definedName>
    <definedName name="solver_rhs2" localSheetId="0" hidden="1">'Analog Cabinets'!$C$40</definedName>
    <definedName name="solver_rhs2" localSheetId="1" hidden="1">'Digital Cabinets'!$J$51</definedName>
    <definedName name="solver_rhs20" localSheetId="0" hidden="1">'Analog Cabinets'!$I$40</definedName>
    <definedName name="solver_rhs20" localSheetId="1" hidden="1">'Digital Cabinets'!$K$51</definedName>
    <definedName name="solver_rhs21" localSheetId="0" hidden="1">'Analog Cabinets'!$J$40</definedName>
    <definedName name="solver_rhs21" localSheetId="1" hidden="1">'Digital Cabinets'!#REF!</definedName>
    <definedName name="solver_rhs22" localSheetId="0" hidden="1">'Analog Cabinets'!$K$40</definedName>
    <definedName name="solver_rhs22" localSheetId="1" hidden="1">'Digital Cabinets'!#REF!</definedName>
    <definedName name="solver_rhs23" localSheetId="0" hidden="1">'Analog Cabinets'!$L$40</definedName>
    <definedName name="solver_rhs23" localSheetId="1" hidden="1">'Digital Cabinets'!#REF!</definedName>
    <definedName name="solver_rhs24" localSheetId="0" hidden="1">'Analog Cabinets'!$M$40</definedName>
    <definedName name="solver_rhs25" localSheetId="0" hidden="1">'Analog Cabinets'!$M$40</definedName>
    <definedName name="solver_rhs3" localSheetId="0" hidden="1">'Analog Cabinets'!$G$40</definedName>
    <definedName name="solver_rhs3" localSheetId="1" hidden="1">'Digital Cabinets'!$H$51</definedName>
    <definedName name="solver_rhs4" localSheetId="0" hidden="1">'Analog Cabinets'!$H$40</definedName>
    <definedName name="solver_rhs4" localSheetId="1" hidden="1">'Digital Cabinets'!$F$51</definedName>
    <definedName name="solver_rhs5" localSheetId="0" hidden="1">'Analog Cabinets'!$I$40</definedName>
    <definedName name="solver_rhs5" localSheetId="1" hidden="1">'Digital Cabinets'!$D$51</definedName>
    <definedName name="solver_rhs6" localSheetId="0" hidden="1">'Analog Cabinets'!$F$40</definedName>
    <definedName name="solver_rhs6" localSheetId="1" hidden="1">"binary"</definedName>
    <definedName name="solver_rhs7" localSheetId="0" hidden="1">'Analog Cabinets'!$J$40</definedName>
    <definedName name="solver_rhs7" localSheetId="1" hidden="1">'Digital Cabinets'!$I$51</definedName>
    <definedName name="solver_rhs8" localSheetId="0" hidden="1">'Analog Cabinets'!$K$40</definedName>
    <definedName name="solver_rhs8" localSheetId="1" hidden="1">'Digital Cabinets'!$E$51</definedName>
    <definedName name="solver_rhs9" localSheetId="0" hidden="1">'Analog Cabinets'!$L$40</definedName>
    <definedName name="solver_rhs9" localSheetId="1" hidden="1">'Digital Cabinets'!$K$51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300</definedName>
    <definedName name="solver_tim" localSheetId="1" hidden="1">2147483647</definedName>
    <definedName name="solver_tol" localSheetId="0" hidden="1">0.01</definedName>
    <definedName name="solver_tol" localSheetId="1" hidden="1">0.05</definedName>
    <definedName name="solver_typ" localSheetId="0" hidden="1">2</definedName>
    <definedName name="solver_typ" localSheetId="1" hidden="1">2</definedName>
    <definedName name="solver_val" localSheetId="0" hidden="1">83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0" i="6" l="1"/>
  <c r="O60" i="6"/>
  <c r="P59" i="6"/>
  <c r="O59" i="6"/>
  <c r="P57" i="6"/>
  <c r="O57" i="6"/>
  <c r="P56" i="6"/>
  <c r="O56" i="6"/>
  <c r="P54" i="6"/>
  <c r="O54" i="6"/>
  <c r="P53" i="6"/>
  <c r="O53" i="6"/>
  <c r="K43" i="6"/>
  <c r="K51" i="6" s="1"/>
  <c r="J43" i="6"/>
  <c r="J51" i="6" s="1"/>
  <c r="I43" i="6"/>
  <c r="H43" i="6"/>
  <c r="H51" i="6" s="1"/>
  <c r="G43" i="6"/>
  <c r="G51" i="6" s="1"/>
  <c r="F43" i="6"/>
  <c r="E43" i="6"/>
  <c r="E51" i="6" s="1"/>
  <c r="D43" i="6"/>
  <c r="D51" i="6" s="1"/>
  <c r="C43" i="6"/>
  <c r="O55" i="6" l="1"/>
  <c r="O58" i="6"/>
  <c r="O61" i="6"/>
  <c r="P55" i="6"/>
  <c r="P58" i="6"/>
  <c r="P61" i="6"/>
  <c r="F51" i="6"/>
  <c r="C51" i="6"/>
  <c r="I51" i="6"/>
  <c r="Y53" i="2"/>
  <c r="Z52" i="2"/>
  <c r="Y52" i="2"/>
  <c r="Z51" i="2"/>
  <c r="Y51" i="2"/>
  <c r="Z48" i="2"/>
  <c r="Y48" i="2"/>
  <c r="Z47" i="2"/>
  <c r="Y47" i="2"/>
  <c r="Z46" i="2"/>
  <c r="Y46" i="2"/>
  <c r="Z44" i="2"/>
  <c r="Y44" i="2"/>
  <c r="Z43" i="2"/>
  <c r="Y43" i="2"/>
  <c r="AB39" i="2"/>
  <c r="AB36" i="2"/>
  <c r="B32" i="2"/>
  <c r="Z53" i="2" l="1"/>
  <c r="Y49" i="2"/>
  <c r="Z49" i="2"/>
  <c r="Y45" i="2"/>
  <c r="Y50" i="2"/>
  <c r="Z50" i="2"/>
  <c r="Z45" i="2"/>
  <c r="D32" i="2"/>
  <c r="D40" i="2" s="1"/>
  <c r="E32" i="2"/>
  <c r="E40" i="2" s="1"/>
  <c r="F32" i="2"/>
  <c r="G32" i="2"/>
  <c r="G40" i="2" s="1"/>
  <c r="H32" i="2"/>
  <c r="H40" i="2" s="1"/>
  <c r="I32" i="2"/>
  <c r="I40" i="2" s="1"/>
  <c r="J32" i="2"/>
  <c r="K32" i="2"/>
  <c r="L32" i="2"/>
  <c r="L40" i="2" s="1"/>
  <c r="M32" i="2"/>
  <c r="C32" i="2"/>
  <c r="Y42" i="2"/>
  <c r="B45" i="2"/>
  <c r="C45" i="2" s="1"/>
  <c r="D45" i="2" s="1"/>
  <c r="AB32" i="2"/>
  <c r="AB33" i="2"/>
  <c r="AB34" i="2"/>
  <c r="AB35" i="2"/>
  <c r="AB37" i="2"/>
  <c r="AB38" i="2"/>
  <c r="AB40" i="2"/>
  <c r="AB41" i="2"/>
  <c r="AB31" i="2"/>
  <c r="Z75" i="2"/>
  <c r="Y75" i="2"/>
  <c r="C40" i="2" l="1"/>
  <c r="K40" i="2"/>
  <c r="M40" i="2" s="1"/>
  <c r="J40" i="2"/>
  <c r="F40" i="2"/>
  <c r="AF42" i="2"/>
  <c r="Z55" i="2"/>
  <c r="Y55" i="2"/>
  <c r="P64" i="6"/>
  <c r="P52" i="6"/>
  <c r="O52" i="6"/>
  <c r="O64" i="6"/>
  <c r="R44" i="6"/>
  <c r="R45" i="6"/>
  <c r="R46" i="6"/>
  <c r="R47" i="6"/>
  <c r="R48" i="6"/>
  <c r="R49" i="6"/>
  <c r="R50" i="6"/>
  <c r="R51" i="6"/>
  <c r="R43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" i="6"/>
  <c r="B43" i="6"/>
  <c r="V51" i="6" l="1"/>
  <c r="R52" i="6"/>
  <c r="B51" i="6" l="1"/>
  <c r="B56" i="6" s="1"/>
  <c r="Z54" i="2"/>
  <c r="Y54" i="2"/>
  <c r="B40" i="2" l="1"/>
  <c r="B43" i="2" s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" i="2"/>
  <c r="Z42" i="2" l="1"/>
</calcChain>
</file>

<file path=xl/sharedStrings.xml><?xml version="1.0" encoding="utf-8"?>
<sst xmlns="http://schemas.openxmlformats.org/spreadsheetml/2006/main" count="170" uniqueCount="116">
  <si>
    <t>AI</t>
  </si>
  <si>
    <t>AIR</t>
  </si>
  <si>
    <t>AO</t>
  </si>
  <si>
    <t>AOR</t>
  </si>
  <si>
    <t>1DCP01</t>
  </si>
  <si>
    <t>1DCP02</t>
  </si>
  <si>
    <t>NEW_CABLE</t>
  </si>
  <si>
    <t>SIZE</t>
  </si>
  <si>
    <t>A</t>
  </si>
  <si>
    <t>B</t>
  </si>
  <si>
    <t>C</t>
  </si>
  <si>
    <t>cabinet1</t>
  </si>
  <si>
    <t>cabinet2</t>
  </si>
  <si>
    <t>A0001_L1B1-IC-105</t>
  </si>
  <si>
    <t>Solver decision</t>
  </si>
  <si>
    <t>A0002_L1B1-IC-120</t>
  </si>
  <si>
    <t>A0003_L1B1-IC-501</t>
  </si>
  <si>
    <t>A0004_L1B1-IC-502</t>
  </si>
  <si>
    <t>A0005_1B04-ME-009</t>
  </si>
  <si>
    <t>A0006_1B04-ME-011</t>
  </si>
  <si>
    <t>A0007_1B04-ME-005</t>
  </si>
  <si>
    <t>A0008_1B04-ME-012</t>
  </si>
  <si>
    <t>A0009_1B04-ME-008</t>
  </si>
  <si>
    <t>A0010_1B04-ME-001</t>
  </si>
  <si>
    <t>A0011_1B04-ME-571</t>
  </si>
  <si>
    <t>A0012_1B04-ME-003</t>
  </si>
  <si>
    <t>A0013_1B04-ME-006</t>
  </si>
  <si>
    <t>A0014_1B04-ME-563</t>
  </si>
  <si>
    <t>A0015_1B04-ME-013</t>
  </si>
  <si>
    <t>A0016_1B04-ME-561</t>
  </si>
  <si>
    <t>A0017_1B04-ME-562</t>
  </si>
  <si>
    <t>A0018_1B04-ME-566</t>
  </si>
  <si>
    <t>A0019_1B04-ME-564</t>
  </si>
  <si>
    <t>A0020_1B04-ME-523</t>
  </si>
  <si>
    <t>A0021_1B04-ME-002</t>
  </si>
  <si>
    <t>A0022_1B04-ME-565</t>
  </si>
  <si>
    <t>A0023_1B04-MEZ-552</t>
  </si>
  <si>
    <t>A0024_1B04-ME-551</t>
  </si>
  <si>
    <t>A0025_1B04-ME-521</t>
  </si>
  <si>
    <t>A0026_1B04-ME-522</t>
  </si>
  <si>
    <t>A0027_1B04-ME-581</t>
  </si>
  <si>
    <t>A0028_1B04-ME-582</t>
  </si>
  <si>
    <t>AI-A</t>
  </si>
  <si>
    <t xml:space="preserve">Total </t>
  </si>
  <si>
    <t>AI-B</t>
  </si>
  <si>
    <t>AIR-A</t>
  </si>
  <si>
    <t>AIR-B</t>
  </si>
  <si>
    <t>AIR-C</t>
  </si>
  <si>
    <t>Total Number of Modules</t>
  </si>
  <si>
    <t>Minimum Module Count</t>
  </si>
  <si>
    <t>AO-A</t>
  </si>
  <si>
    <t>AO-B</t>
  </si>
  <si>
    <t>TOTAL IO</t>
  </si>
  <si>
    <t>Objective function</t>
  </si>
  <si>
    <t>Spare Channels</t>
  </si>
  <si>
    <t>AOR-A</t>
  </si>
  <si>
    <t>AOR-B</t>
  </si>
  <si>
    <t>Cable Sizes</t>
  </si>
  <si>
    <t>DI</t>
  </si>
  <si>
    <t>DO</t>
  </si>
  <si>
    <t>DOR</t>
  </si>
  <si>
    <t>Dry Contact</t>
  </si>
  <si>
    <t>24 Vdc</t>
  </si>
  <si>
    <t>Cable Name</t>
  </si>
  <si>
    <t>Cable Size</t>
  </si>
  <si>
    <t>A0029_1B04-MD-LPK003-B</t>
  </si>
  <si>
    <t>Solver Decision</t>
  </si>
  <si>
    <t>A0030_L1B1-IC-453</t>
  </si>
  <si>
    <t>A0031_L1B1-IC-452</t>
  </si>
  <si>
    <t>A0032_L1B1-IC-450</t>
  </si>
  <si>
    <t>A0033_L1B1-IC-451</t>
  </si>
  <si>
    <t>A0034_L1B1-IC-122</t>
  </si>
  <si>
    <t>A0035_L1B1-IC-113</t>
  </si>
  <si>
    <t>A0036_1B04-MD-LPK001-A</t>
  </si>
  <si>
    <t>A0037_L1B1-IC-125</t>
  </si>
  <si>
    <t>A0038_L1B1-IC-106</t>
  </si>
  <si>
    <t>A0039_L1B1-IC-121</t>
  </si>
  <si>
    <t>A0040_L1B1-IC-107</t>
  </si>
  <si>
    <t>A0041_L1B1-IC-123</t>
  </si>
  <si>
    <t>A0042_L1B1-IC-108</t>
  </si>
  <si>
    <t>A0043_1B04-LP-MD-LPK002-C</t>
  </si>
  <si>
    <t>A0044_L1B1-IC-110</t>
  </si>
  <si>
    <t>A0045_1B04-MD-LPK002-D</t>
  </si>
  <si>
    <t>A0046_L1B1-IC-111</t>
  </si>
  <si>
    <t>A0047_L1B1-IC-129</t>
  </si>
  <si>
    <t>A0048_L1B1-IC-099</t>
  </si>
  <si>
    <t>A0049_L1B1-IC-114</t>
  </si>
  <si>
    <t>A0050_L1B1-IC-112</t>
  </si>
  <si>
    <t>A0051_L1B1-IC-097</t>
  </si>
  <si>
    <t>A0052_L1B1-IC-098</t>
  </si>
  <si>
    <t>A0053_L1B1-IC-100</t>
  </si>
  <si>
    <t>A0054_L1B1-IC-115</t>
  </si>
  <si>
    <t>A0055_1B04-MD-LPK003-A</t>
  </si>
  <si>
    <t>A0056_1B04-MD-LPK001-B</t>
  </si>
  <si>
    <t>A0057_1B04-MD-LPK002-A</t>
  </si>
  <si>
    <t>A0058_L1B1-IC-104</t>
  </si>
  <si>
    <t>A0059_1B04-MD-002</t>
  </si>
  <si>
    <t>A0060_L1B1-IC-119</t>
  </si>
  <si>
    <t>A0061_1B04-MD-LPK002-B</t>
  </si>
  <si>
    <t>A0062_L1B1-IC-118</t>
  </si>
  <si>
    <t>A0063_L1B1-IC-103</t>
  </si>
  <si>
    <t>A0064_1B04-MD-001</t>
  </si>
  <si>
    <t>A0065_1B04-MDZ-LPK001-A</t>
  </si>
  <si>
    <t>A0066_L1B1-IC-130</t>
  </si>
  <si>
    <t>A0067_L1B1-IC-131</t>
  </si>
  <si>
    <t>Total</t>
  </si>
  <si>
    <t>DI-A</t>
  </si>
  <si>
    <t>DI-B</t>
  </si>
  <si>
    <t>DO-A</t>
  </si>
  <si>
    <t>DO-B</t>
  </si>
  <si>
    <t>DOR-A</t>
  </si>
  <si>
    <t>Total Number Of Modules</t>
  </si>
  <si>
    <t xml:space="preserve">Minimum Number Of Modules </t>
  </si>
  <si>
    <t>DOR-B</t>
  </si>
  <si>
    <t>Spare Points</t>
  </si>
  <si>
    <t>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</si>
</sst>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1" xfId="0" applyFont="1" applyFill="1" applyBorder="1"/>
    <xf numFmtId="0" fontId="0" fillId="0" borderId="2" xfId="0" applyBorder="1"/>
    <xf numFmtId="0" fontId="1" fillId="4" borderId="2" xfId="0" applyFont="1" applyFill="1" applyBorder="1"/>
    <xf numFmtId="0" fontId="1" fillId="0" borderId="2" xfId="0" applyFont="1" applyBorder="1"/>
    <xf numFmtId="0" fontId="0" fillId="3" borderId="2" xfId="0" applyFill="1" applyBorder="1"/>
    <xf numFmtId="0" fontId="0" fillId="0" borderId="3" xfId="0" applyBorder="1"/>
    <xf numFmtId="0" fontId="0" fillId="4" borderId="2" xfId="0" applyFill="1" applyBorder="1" applyAlignment="1">
      <alignment vertical="center"/>
    </xf>
    <xf numFmtId="0" fontId="1" fillId="2" borderId="2" xfId="0" applyFont="1" applyFill="1" applyBorder="1"/>
    <xf numFmtId="0" fontId="1" fillId="4" borderId="5" xfId="0" applyFont="1" applyFill="1" applyBorder="1"/>
    <xf numFmtId="0" fontId="1" fillId="5" borderId="2" xfId="0" applyFont="1" applyFill="1" applyBorder="1"/>
    <xf numFmtId="0" fontId="1" fillId="3" borderId="2" xfId="0" applyFont="1" applyFill="1" applyBorder="1"/>
    <xf numFmtId="0" fontId="0" fillId="3" borderId="0" xfId="0" applyFill="1"/>
    <xf numFmtId="0" fontId="0" fillId="0" borderId="5" xfId="0" applyFill="1" applyBorder="1"/>
    <xf numFmtId="0" fontId="1" fillId="4" borderId="2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75"/>
  <sheetViews>
    <sheetView topLeftCell="C1" zoomScaleNormal="100" workbookViewId="0">
      <pane ySplit="2" topLeftCell="A3" activePane="bottomLeft" state="frozen"/>
      <selection pane="bottomLeft" activeCell="Y4" sqref="Y4"/>
    </sheetView>
  </sheetViews>
  <sheetFormatPr defaultColWidth="5.90625" defaultRowHeight="14.5" x14ac:dyDescent="0.35"/>
  <cols>
    <col min="1" max="1" width="20" bestFit="1" customWidth="1"/>
    <col min="2" max="2" width="22.36328125" bestFit="1" customWidth="1"/>
    <col min="10" max="10" width="6" bestFit="1" customWidth="1"/>
    <col min="13" max="13" width="7.08984375" bestFit="1" customWidth="1"/>
    <col min="24" max="24" width="22.36328125" bestFit="1" customWidth="1"/>
    <col min="25" max="26" width="8.54296875" bestFit="1" customWidth="1"/>
    <col min="27" max="27" width="9" bestFit="1" customWidth="1"/>
    <col min="31" max="31" width="16.6328125" bestFit="1" customWidth="1"/>
    <col min="32" max="32" width="3" bestFit="1" customWidth="1"/>
  </cols>
  <sheetData>
    <row r="1" spans="1:32" x14ac:dyDescent="0.35">
      <c r="A1" s="5"/>
      <c r="B1" s="5"/>
      <c r="C1" s="11" t="s">
        <v>0</v>
      </c>
      <c r="D1" s="11"/>
      <c r="E1" s="11"/>
      <c r="F1" s="11" t="s">
        <v>1</v>
      </c>
      <c r="G1" s="11"/>
      <c r="H1" s="11"/>
      <c r="I1" s="11"/>
      <c r="J1" s="11" t="s">
        <v>2</v>
      </c>
      <c r="K1" s="11"/>
      <c r="L1" s="11"/>
      <c r="M1" s="11" t="s">
        <v>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t="s">
        <v>4</v>
      </c>
      <c r="Z1" t="s">
        <v>5</v>
      </c>
    </row>
    <row r="2" spans="1:32" x14ac:dyDescent="0.35">
      <c r="A2" s="11" t="s">
        <v>6</v>
      </c>
      <c r="B2" s="11" t="s">
        <v>7</v>
      </c>
      <c r="C2" s="11"/>
      <c r="D2" s="11" t="s">
        <v>8</v>
      </c>
      <c r="E2" s="11" t="s">
        <v>9</v>
      </c>
      <c r="F2" s="11"/>
      <c r="G2" s="11" t="s">
        <v>8</v>
      </c>
      <c r="H2" s="11" t="s">
        <v>9</v>
      </c>
      <c r="I2" s="11" t="s">
        <v>10</v>
      </c>
      <c r="J2" s="11"/>
      <c r="K2" s="11" t="s">
        <v>8</v>
      </c>
      <c r="L2" s="11" t="s">
        <v>9</v>
      </c>
      <c r="M2" s="1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 t="s">
        <v>11</v>
      </c>
      <c r="Z2" s="1" t="s">
        <v>12</v>
      </c>
      <c r="AB2" s="1"/>
      <c r="AC2" s="1"/>
      <c r="AD2" s="1"/>
      <c r="AE2" s="1"/>
      <c r="AF2" s="1"/>
    </row>
    <row r="3" spans="1:32" x14ac:dyDescent="0.35">
      <c r="A3" s="7" t="s">
        <v>13</v>
      </c>
      <c r="B3" s="5">
        <v>12</v>
      </c>
      <c r="C3" s="5"/>
      <c r="D3" s="5">
        <v>1</v>
      </c>
      <c r="E3" s="5"/>
      <c r="F3" s="5"/>
      <c r="G3" s="5"/>
      <c r="H3" s="5"/>
      <c r="I3" s="5"/>
      <c r="J3" s="5"/>
      <c r="K3" s="5">
        <v>1</v>
      </c>
      <c r="L3" s="5"/>
      <c r="M3" s="5"/>
      <c r="X3" s="18" t="s">
        <v>14</v>
      </c>
      <c r="Y3" s="5"/>
      <c r="Z3" s="5">
        <v>1</v>
      </c>
      <c r="AA3" s="5">
        <f t="shared" ref="AA3:AA30" si="0">SUM(Y3:Z3)</f>
        <v>1</v>
      </c>
    </row>
    <row r="4" spans="1:32" x14ac:dyDescent="0.35">
      <c r="A4" s="7" t="s">
        <v>15</v>
      </c>
      <c r="B4" s="5">
        <v>12</v>
      </c>
      <c r="C4" s="5">
        <v>1</v>
      </c>
      <c r="D4" s="5"/>
      <c r="E4" s="5">
        <v>1</v>
      </c>
      <c r="F4" s="5"/>
      <c r="G4" s="5"/>
      <c r="H4" s="5"/>
      <c r="I4" s="5"/>
      <c r="J4" s="5"/>
      <c r="K4" s="5"/>
      <c r="L4" s="5">
        <v>1</v>
      </c>
      <c r="M4" s="5"/>
      <c r="X4" s="19"/>
      <c r="Y4" s="5"/>
      <c r="Z4" s="5">
        <v>1</v>
      </c>
      <c r="AA4" s="5">
        <f t="shared" si="0"/>
        <v>1</v>
      </c>
    </row>
    <row r="5" spans="1:32" x14ac:dyDescent="0.35">
      <c r="A5" s="7" t="s">
        <v>16</v>
      </c>
      <c r="B5" s="5">
        <v>6</v>
      </c>
      <c r="C5" s="5"/>
      <c r="D5" s="5"/>
      <c r="E5" s="5"/>
      <c r="F5" s="5"/>
      <c r="G5" s="5"/>
      <c r="H5" s="5"/>
      <c r="I5" s="5"/>
      <c r="J5" s="5">
        <v>3</v>
      </c>
      <c r="K5" s="5"/>
      <c r="L5" s="5"/>
      <c r="M5" s="5"/>
      <c r="X5" s="19"/>
      <c r="Y5" s="5">
        <v>1</v>
      </c>
      <c r="Z5" s="5">
        <v>0</v>
      </c>
      <c r="AA5" s="5">
        <f t="shared" si="0"/>
        <v>1</v>
      </c>
    </row>
    <row r="6" spans="1:32" x14ac:dyDescent="0.35">
      <c r="A6" s="7" t="s">
        <v>17</v>
      </c>
      <c r="B6" s="5">
        <v>6</v>
      </c>
      <c r="C6" s="5"/>
      <c r="D6" s="5"/>
      <c r="E6" s="5"/>
      <c r="F6" s="5"/>
      <c r="G6" s="5"/>
      <c r="H6" s="5"/>
      <c r="I6" s="5"/>
      <c r="J6" s="5">
        <v>2</v>
      </c>
      <c r="K6" s="5"/>
      <c r="L6" s="5"/>
      <c r="M6" s="5"/>
      <c r="X6" s="19"/>
      <c r="Y6" s="5">
        <v>1</v>
      </c>
      <c r="Z6" s="5">
        <v>0</v>
      </c>
      <c r="AA6" s="5">
        <f t="shared" si="0"/>
        <v>1</v>
      </c>
    </row>
    <row r="7" spans="1:32" x14ac:dyDescent="0.35">
      <c r="A7" s="7" t="s">
        <v>18</v>
      </c>
      <c r="B7" s="5">
        <v>24</v>
      </c>
      <c r="C7" s="5">
        <v>8</v>
      </c>
      <c r="D7" s="5">
        <v>2</v>
      </c>
      <c r="E7" s="5">
        <v>2</v>
      </c>
      <c r="F7" s="5">
        <v>1</v>
      </c>
      <c r="G7" s="5"/>
      <c r="H7" s="5"/>
      <c r="I7" s="5"/>
      <c r="J7" s="5"/>
      <c r="K7" s="5"/>
      <c r="L7" s="5"/>
      <c r="M7" s="5">
        <v>6</v>
      </c>
      <c r="X7" s="19"/>
      <c r="Y7" s="5">
        <v>0</v>
      </c>
      <c r="Z7" s="5">
        <v>1</v>
      </c>
      <c r="AA7" s="5">
        <f t="shared" si="0"/>
        <v>1</v>
      </c>
    </row>
    <row r="8" spans="1:32" x14ac:dyDescent="0.35">
      <c r="A8" s="7" t="s">
        <v>19</v>
      </c>
      <c r="B8" s="5">
        <v>24</v>
      </c>
      <c r="C8" s="5">
        <v>16</v>
      </c>
      <c r="D8" s="5"/>
      <c r="E8" s="5"/>
      <c r="F8" s="5">
        <v>4</v>
      </c>
      <c r="G8" s="5"/>
      <c r="H8" s="5"/>
      <c r="I8" s="5"/>
      <c r="J8" s="5"/>
      <c r="K8" s="5"/>
      <c r="L8" s="5"/>
      <c r="M8" s="5">
        <v>4</v>
      </c>
      <c r="X8" s="19"/>
      <c r="Y8" s="5">
        <v>1</v>
      </c>
      <c r="Z8" s="5">
        <v>0</v>
      </c>
      <c r="AA8" s="5">
        <f t="shared" si="0"/>
        <v>1</v>
      </c>
    </row>
    <row r="9" spans="1:32" x14ac:dyDescent="0.35">
      <c r="A9" s="7" t="s">
        <v>20</v>
      </c>
      <c r="B9" s="5">
        <v>24</v>
      </c>
      <c r="C9" s="5">
        <v>11</v>
      </c>
      <c r="D9" s="5"/>
      <c r="E9" s="5"/>
      <c r="F9" s="5">
        <v>3</v>
      </c>
      <c r="G9" s="5"/>
      <c r="H9" s="5"/>
      <c r="I9" s="5"/>
      <c r="J9" s="5"/>
      <c r="K9" s="5"/>
      <c r="L9" s="5"/>
      <c r="M9" s="5">
        <v>6</v>
      </c>
      <c r="X9" s="19"/>
      <c r="Y9" s="5">
        <v>1</v>
      </c>
      <c r="Z9" s="5">
        <v>0</v>
      </c>
      <c r="AA9" s="5">
        <f t="shared" si="0"/>
        <v>1</v>
      </c>
    </row>
    <row r="10" spans="1:32" x14ac:dyDescent="0.35">
      <c r="A10" s="7" t="s">
        <v>21</v>
      </c>
      <c r="B10" s="5">
        <v>24</v>
      </c>
      <c r="C10" s="5">
        <v>10</v>
      </c>
      <c r="D10" s="5"/>
      <c r="E10" s="5"/>
      <c r="F10" s="5">
        <v>6</v>
      </c>
      <c r="G10" s="5"/>
      <c r="H10" s="5"/>
      <c r="I10" s="5"/>
      <c r="J10" s="5"/>
      <c r="K10" s="5"/>
      <c r="L10" s="5"/>
      <c r="M10" s="5">
        <v>4</v>
      </c>
      <c r="X10" s="19"/>
      <c r="Y10" s="5">
        <v>0</v>
      </c>
      <c r="Z10" s="5">
        <v>1</v>
      </c>
      <c r="AA10" s="5">
        <f t="shared" si="0"/>
        <v>1</v>
      </c>
    </row>
    <row r="11" spans="1:32" x14ac:dyDescent="0.35">
      <c r="A11" s="7" t="s">
        <v>22</v>
      </c>
      <c r="B11" s="5">
        <v>24</v>
      </c>
      <c r="C11" s="5">
        <v>1</v>
      </c>
      <c r="D11" s="5"/>
      <c r="E11" s="5"/>
      <c r="F11" s="5">
        <v>9</v>
      </c>
      <c r="G11" s="5"/>
      <c r="H11" s="5"/>
      <c r="I11" s="5"/>
      <c r="J11" s="5"/>
      <c r="K11" s="5"/>
      <c r="L11" s="5"/>
      <c r="M11" s="5">
        <v>9</v>
      </c>
      <c r="X11" s="19"/>
      <c r="Y11" s="5">
        <v>0</v>
      </c>
      <c r="Z11" s="5">
        <v>1</v>
      </c>
      <c r="AA11" s="5">
        <f t="shared" si="0"/>
        <v>1</v>
      </c>
    </row>
    <row r="12" spans="1:32" x14ac:dyDescent="0.35">
      <c r="A12" s="7" t="s">
        <v>23</v>
      </c>
      <c r="B12" s="5">
        <v>24</v>
      </c>
      <c r="C12" s="5">
        <v>6</v>
      </c>
      <c r="D12" s="5"/>
      <c r="E12" s="5"/>
      <c r="F12" s="5">
        <v>5</v>
      </c>
      <c r="G12" s="5"/>
      <c r="H12" s="5"/>
      <c r="I12" s="5"/>
      <c r="J12" s="5"/>
      <c r="K12" s="5"/>
      <c r="L12" s="5"/>
      <c r="M12" s="5">
        <v>5</v>
      </c>
      <c r="X12" s="19"/>
      <c r="Y12" s="5">
        <v>1</v>
      </c>
      <c r="Z12" s="5">
        <v>0</v>
      </c>
      <c r="AA12" s="5">
        <f t="shared" si="0"/>
        <v>1</v>
      </c>
    </row>
    <row r="13" spans="1:32" x14ac:dyDescent="0.35">
      <c r="A13" s="7" t="s">
        <v>24</v>
      </c>
      <c r="B13" s="5">
        <v>24</v>
      </c>
      <c r="C13" s="5">
        <v>10</v>
      </c>
      <c r="D13" s="5"/>
      <c r="E13" s="5"/>
      <c r="F13" s="5">
        <v>4</v>
      </c>
      <c r="G13" s="5"/>
      <c r="H13" s="5"/>
      <c r="I13" s="5"/>
      <c r="J13" s="5"/>
      <c r="K13" s="5"/>
      <c r="L13" s="5"/>
      <c r="M13" s="5">
        <v>2</v>
      </c>
      <c r="X13" s="19"/>
      <c r="Y13" s="5">
        <v>1</v>
      </c>
      <c r="Z13" s="5">
        <v>0</v>
      </c>
      <c r="AA13" s="5">
        <f t="shared" si="0"/>
        <v>1</v>
      </c>
    </row>
    <row r="14" spans="1:32" x14ac:dyDescent="0.35">
      <c r="A14" s="7" t="s">
        <v>25</v>
      </c>
      <c r="B14" s="5">
        <v>24</v>
      </c>
      <c r="C14" s="5">
        <v>11</v>
      </c>
      <c r="D14" s="5"/>
      <c r="E14" s="5"/>
      <c r="F14" s="5">
        <v>2</v>
      </c>
      <c r="G14" s="5"/>
      <c r="H14" s="5"/>
      <c r="I14" s="5"/>
      <c r="J14" s="5"/>
      <c r="K14" s="5"/>
      <c r="L14" s="5"/>
      <c r="M14" s="5">
        <v>2</v>
      </c>
      <c r="X14" s="19"/>
      <c r="Y14" s="5">
        <v>1</v>
      </c>
      <c r="Z14" s="5">
        <v>0</v>
      </c>
      <c r="AA14" s="5">
        <f t="shared" si="0"/>
        <v>1</v>
      </c>
    </row>
    <row r="15" spans="1:32" x14ac:dyDescent="0.35">
      <c r="A15" s="7" t="s">
        <v>26</v>
      </c>
      <c r="B15" s="5">
        <v>24</v>
      </c>
      <c r="C15" s="5">
        <v>3</v>
      </c>
      <c r="D15" s="5"/>
      <c r="E15" s="5"/>
      <c r="F15" s="5">
        <v>7</v>
      </c>
      <c r="G15" s="5"/>
      <c r="H15" s="5"/>
      <c r="I15" s="5"/>
      <c r="J15" s="5"/>
      <c r="K15" s="5"/>
      <c r="L15" s="5"/>
      <c r="M15" s="5">
        <v>4</v>
      </c>
      <c r="X15" s="19"/>
      <c r="Y15" s="5">
        <v>1</v>
      </c>
      <c r="Z15" s="5">
        <v>0</v>
      </c>
      <c r="AA15" s="5">
        <f t="shared" si="0"/>
        <v>1</v>
      </c>
    </row>
    <row r="16" spans="1:32" x14ac:dyDescent="0.35">
      <c r="A16" s="7" t="s">
        <v>27</v>
      </c>
      <c r="B16" s="5">
        <v>24</v>
      </c>
      <c r="C16" s="5">
        <v>5</v>
      </c>
      <c r="D16" s="5"/>
      <c r="E16" s="5"/>
      <c r="F16" s="5">
        <v>5</v>
      </c>
      <c r="G16" s="5"/>
      <c r="H16" s="5"/>
      <c r="I16" s="5"/>
      <c r="J16" s="5"/>
      <c r="K16" s="5"/>
      <c r="L16" s="5"/>
      <c r="M16" s="5">
        <v>2</v>
      </c>
      <c r="X16" s="19"/>
      <c r="Y16" s="5">
        <v>1</v>
      </c>
      <c r="Z16" s="5">
        <v>0</v>
      </c>
      <c r="AA16" s="5">
        <f t="shared" si="0"/>
        <v>1</v>
      </c>
    </row>
    <row r="17" spans="1:28" x14ac:dyDescent="0.35">
      <c r="A17" s="7" t="s">
        <v>28</v>
      </c>
      <c r="B17" s="5">
        <v>12</v>
      </c>
      <c r="C17" s="5">
        <v>4</v>
      </c>
      <c r="D17" s="5"/>
      <c r="E17" s="5"/>
      <c r="F17" s="5">
        <v>4</v>
      </c>
      <c r="G17" s="5"/>
      <c r="H17" s="5"/>
      <c r="I17" s="5"/>
      <c r="J17" s="5"/>
      <c r="K17" s="5"/>
      <c r="L17" s="5"/>
      <c r="M17" s="5">
        <v>3</v>
      </c>
      <c r="X17" s="19"/>
      <c r="Y17" s="5">
        <v>1</v>
      </c>
      <c r="Z17" s="5">
        <v>0</v>
      </c>
      <c r="AA17" s="5">
        <f t="shared" si="0"/>
        <v>1</v>
      </c>
    </row>
    <row r="18" spans="1:28" x14ac:dyDescent="0.35">
      <c r="A18" s="7" t="s">
        <v>29</v>
      </c>
      <c r="B18" s="5">
        <v>12</v>
      </c>
      <c r="C18" s="5">
        <v>3</v>
      </c>
      <c r="D18" s="5"/>
      <c r="E18" s="5"/>
      <c r="F18" s="5">
        <v>4</v>
      </c>
      <c r="G18" s="5"/>
      <c r="H18" s="5"/>
      <c r="I18" s="5"/>
      <c r="J18" s="5"/>
      <c r="K18" s="5"/>
      <c r="L18" s="5"/>
      <c r="M18" s="5">
        <v>4</v>
      </c>
      <c r="X18" s="19"/>
      <c r="Y18" s="5">
        <v>1</v>
      </c>
      <c r="Z18" s="5">
        <v>0</v>
      </c>
      <c r="AA18" s="5">
        <f t="shared" si="0"/>
        <v>1</v>
      </c>
    </row>
    <row r="19" spans="1:28" x14ac:dyDescent="0.35">
      <c r="A19" s="7" t="s">
        <v>30</v>
      </c>
      <c r="B19" s="5">
        <v>12</v>
      </c>
      <c r="C19" s="5">
        <v>2</v>
      </c>
      <c r="D19" s="5"/>
      <c r="E19" s="5"/>
      <c r="F19" s="5">
        <v>3</v>
      </c>
      <c r="G19" s="5"/>
      <c r="H19" s="5"/>
      <c r="I19" s="5"/>
      <c r="J19" s="5"/>
      <c r="K19" s="5"/>
      <c r="L19" s="5"/>
      <c r="M19" s="5">
        <v>3</v>
      </c>
      <c r="X19" s="19"/>
      <c r="Y19" s="5">
        <v>1</v>
      </c>
      <c r="Z19" s="5">
        <v>0</v>
      </c>
      <c r="AA19" s="5">
        <f t="shared" si="0"/>
        <v>1</v>
      </c>
    </row>
    <row r="20" spans="1:28" x14ac:dyDescent="0.35">
      <c r="A20" s="7" t="s">
        <v>31</v>
      </c>
      <c r="B20" s="5">
        <v>12</v>
      </c>
      <c r="C20" s="5">
        <v>7</v>
      </c>
      <c r="D20" s="5"/>
      <c r="E20" s="5"/>
      <c r="F20" s="5"/>
      <c r="G20" s="5"/>
      <c r="H20" s="5"/>
      <c r="I20" s="5"/>
      <c r="J20" s="5"/>
      <c r="K20" s="5"/>
      <c r="L20" s="5"/>
      <c r="M20" s="5">
        <v>1</v>
      </c>
      <c r="X20" s="19"/>
      <c r="Y20" s="5">
        <v>0</v>
      </c>
      <c r="Z20" s="5">
        <v>1</v>
      </c>
      <c r="AA20" s="5">
        <f t="shared" si="0"/>
        <v>1</v>
      </c>
    </row>
    <row r="21" spans="1:28" x14ac:dyDescent="0.35">
      <c r="A21" s="7" t="s">
        <v>32</v>
      </c>
      <c r="B21" s="5">
        <v>24</v>
      </c>
      <c r="C21" s="5">
        <v>5</v>
      </c>
      <c r="D21" s="5"/>
      <c r="E21" s="5"/>
      <c r="F21" s="5">
        <v>3</v>
      </c>
      <c r="G21" s="5">
        <v>1</v>
      </c>
      <c r="H21" s="5">
        <v>1</v>
      </c>
      <c r="I21" s="5">
        <v>1</v>
      </c>
      <c r="J21" s="5"/>
      <c r="K21" s="5"/>
      <c r="L21" s="5"/>
      <c r="M21" s="5"/>
      <c r="X21" s="19"/>
      <c r="Y21" s="5">
        <v>1</v>
      </c>
      <c r="Z21" s="5">
        <v>0</v>
      </c>
      <c r="AA21" s="5">
        <f t="shared" si="0"/>
        <v>1</v>
      </c>
    </row>
    <row r="22" spans="1:28" x14ac:dyDescent="0.35">
      <c r="A22" s="7" t="s">
        <v>33</v>
      </c>
      <c r="B22" s="5">
        <v>12</v>
      </c>
      <c r="C22" s="5">
        <v>10</v>
      </c>
      <c r="D22" s="5"/>
      <c r="E22" s="5"/>
      <c r="F22" s="5">
        <v>1</v>
      </c>
      <c r="G22" s="5"/>
      <c r="H22" s="5"/>
      <c r="I22" s="5"/>
      <c r="J22" s="5"/>
      <c r="K22" s="5"/>
      <c r="L22" s="5"/>
      <c r="M22" s="5"/>
      <c r="X22" s="19"/>
      <c r="Y22" s="5">
        <v>1</v>
      </c>
      <c r="Z22" s="5">
        <v>0</v>
      </c>
      <c r="AA22" s="5">
        <f t="shared" si="0"/>
        <v>1</v>
      </c>
    </row>
    <row r="23" spans="1:28" x14ac:dyDescent="0.35">
      <c r="A23" s="7" t="s">
        <v>34</v>
      </c>
      <c r="B23" s="5">
        <v>24</v>
      </c>
      <c r="C23" s="5">
        <v>19</v>
      </c>
      <c r="D23" s="5"/>
      <c r="E23" s="5"/>
      <c r="F23" s="5"/>
      <c r="G23" s="5"/>
      <c r="H23" s="5"/>
      <c r="I23" s="5"/>
      <c r="J23" s="5"/>
      <c r="K23" s="5"/>
      <c r="L23" s="5"/>
      <c r="M23" s="5"/>
      <c r="X23" s="19"/>
      <c r="Y23" s="5">
        <v>1</v>
      </c>
      <c r="Z23" s="5">
        <v>0</v>
      </c>
      <c r="AA23" s="5">
        <f t="shared" si="0"/>
        <v>1</v>
      </c>
    </row>
    <row r="24" spans="1:28" x14ac:dyDescent="0.35">
      <c r="A24" s="7" t="s">
        <v>35</v>
      </c>
      <c r="B24" s="5">
        <v>24</v>
      </c>
      <c r="C24" s="5">
        <v>14</v>
      </c>
      <c r="D24" s="5"/>
      <c r="E24" s="5"/>
      <c r="F24" s="5"/>
      <c r="G24" s="5"/>
      <c r="H24" s="5"/>
      <c r="I24" s="5"/>
      <c r="J24" s="5"/>
      <c r="K24" s="5"/>
      <c r="L24" s="5"/>
      <c r="M24" s="5"/>
      <c r="X24" s="19"/>
      <c r="Y24" s="5">
        <v>1</v>
      </c>
      <c r="Z24" s="5">
        <v>0</v>
      </c>
      <c r="AA24" s="5">
        <f t="shared" si="0"/>
        <v>1</v>
      </c>
    </row>
    <row r="25" spans="1:28" x14ac:dyDescent="0.35">
      <c r="A25" s="7" t="s">
        <v>36</v>
      </c>
      <c r="B25" s="5">
        <v>12</v>
      </c>
      <c r="C25" s="5">
        <v>7</v>
      </c>
      <c r="D25" s="5"/>
      <c r="E25" s="5"/>
      <c r="F25" s="5"/>
      <c r="G25" s="5"/>
      <c r="H25" s="5"/>
      <c r="I25" s="5"/>
      <c r="J25" s="5"/>
      <c r="K25" s="5"/>
      <c r="L25" s="5"/>
      <c r="M25" s="5"/>
      <c r="X25" s="19"/>
      <c r="Y25" s="5">
        <v>1</v>
      </c>
      <c r="Z25" s="5">
        <v>0</v>
      </c>
      <c r="AA25" s="5">
        <f t="shared" si="0"/>
        <v>1</v>
      </c>
    </row>
    <row r="26" spans="1:28" x14ac:dyDescent="0.35">
      <c r="A26" s="7" t="s">
        <v>37</v>
      </c>
      <c r="B26" s="5">
        <v>12</v>
      </c>
      <c r="C26" s="5">
        <v>6</v>
      </c>
      <c r="D26" s="5"/>
      <c r="E26" s="5"/>
      <c r="F26" s="5"/>
      <c r="G26" s="5"/>
      <c r="H26" s="5"/>
      <c r="I26" s="5"/>
      <c r="J26" s="5"/>
      <c r="K26" s="5"/>
      <c r="L26" s="5"/>
      <c r="M26" s="5"/>
      <c r="X26" s="19"/>
      <c r="Y26" s="5">
        <v>0</v>
      </c>
      <c r="Z26" s="5">
        <v>1</v>
      </c>
      <c r="AA26" s="5">
        <f t="shared" si="0"/>
        <v>1</v>
      </c>
    </row>
    <row r="27" spans="1:28" x14ac:dyDescent="0.35">
      <c r="A27" s="7" t="s">
        <v>38</v>
      </c>
      <c r="B27" s="5">
        <v>6</v>
      </c>
      <c r="C27" s="5">
        <v>5</v>
      </c>
      <c r="D27" s="5"/>
      <c r="E27" s="5"/>
      <c r="F27" s="5"/>
      <c r="G27" s="5"/>
      <c r="H27" s="5"/>
      <c r="I27" s="5"/>
      <c r="J27" s="5"/>
      <c r="K27" s="5"/>
      <c r="L27" s="5"/>
      <c r="M27" s="5"/>
      <c r="X27" s="19"/>
      <c r="Y27" s="5">
        <v>1</v>
      </c>
      <c r="Z27" s="5">
        <v>0</v>
      </c>
      <c r="AA27" s="5">
        <f t="shared" si="0"/>
        <v>1</v>
      </c>
    </row>
    <row r="28" spans="1:28" x14ac:dyDescent="0.35">
      <c r="A28" s="7" t="s">
        <v>39</v>
      </c>
      <c r="B28" s="5">
        <v>6</v>
      </c>
      <c r="C28" s="5">
        <v>4</v>
      </c>
      <c r="D28" s="5"/>
      <c r="E28" s="5"/>
      <c r="F28" s="5"/>
      <c r="G28" s="5"/>
      <c r="H28" s="5"/>
      <c r="I28" s="5"/>
      <c r="J28" s="5"/>
      <c r="K28" s="5"/>
      <c r="L28" s="5"/>
      <c r="M28" s="5"/>
      <c r="X28" s="19"/>
      <c r="Y28" s="5">
        <v>1</v>
      </c>
      <c r="Z28" s="5">
        <v>0</v>
      </c>
      <c r="AA28" s="5">
        <f t="shared" si="0"/>
        <v>1</v>
      </c>
    </row>
    <row r="29" spans="1:28" x14ac:dyDescent="0.35">
      <c r="A29" s="7" t="s">
        <v>40</v>
      </c>
      <c r="B29" s="5">
        <v>1</v>
      </c>
      <c r="C29" s="5">
        <v>1</v>
      </c>
      <c r="D29" s="5"/>
      <c r="E29" s="5"/>
      <c r="F29" s="5"/>
      <c r="G29" s="5"/>
      <c r="H29" s="5"/>
      <c r="I29" s="5"/>
      <c r="J29" s="5"/>
      <c r="K29" s="5"/>
      <c r="L29" s="5"/>
      <c r="M29" s="5"/>
      <c r="X29" s="19"/>
      <c r="Y29" s="5">
        <v>0</v>
      </c>
      <c r="Z29" s="5">
        <v>1</v>
      </c>
      <c r="AA29" s="5">
        <f t="shared" si="0"/>
        <v>1</v>
      </c>
    </row>
    <row r="30" spans="1:28" x14ac:dyDescent="0.35">
      <c r="A30" s="7" t="s">
        <v>41</v>
      </c>
      <c r="B30" s="5">
        <v>1</v>
      </c>
      <c r="C30" s="5">
        <v>1</v>
      </c>
      <c r="D30" s="5"/>
      <c r="E30" s="5"/>
      <c r="F30" s="5"/>
      <c r="G30" s="5"/>
      <c r="H30" s="5"/>
      <c r="I30" s="5"/>
      <c r="J30" s="5"/>
      <c r="K30" s="5"/>
      <c r="L30" s="5"/>
      <c r="M30" s="5"/>
      <c r="X30" s="19"/>
      <c r="Y30" s="5">
        <v>1</v>
      </c>
      <c r="Z30" s="5">
        <v>0</v>
      </c>
      <c r="AA30" s="5">
        <f t="shared" si="0"/>
        <v>1</v>
      </c>
    </row>
    <row r="31" spans="1:28" x14ac:dyDescent="0.35">
      <c r="X31" s="19"/>
      <c r="Y31" s="5">
        <v>0</v>
      </c>
      <c r="Z31" s="5">
        <v>1</v>
      </c>
      <c r="AA31" s="5" t="s">
        <v>42</v>
      </c>
      <c r="AB31" s="9">
        <f t="shared" ref="AB31:AB41" si="1">SUM(Y31:Z31)</f>
        <v>1</v>
      </c>
    </row>
    <row r="32" spans="1:28" x14ac:dyDescent="0.35">
      <c r="A32" s="6" t="s">
        <v>43</v>
      </c>
      <c r="B32" s="5">
        <f t="shared" ref="B32:M32" si="2">SUM(B3:B30)</f>
        <v>446</v>
      </c>
      <c r="C32" s="5">
        <f t="shared" si="2"/>
        <v>170</v>
      </c>
      <c r="D32" s="5">
        <f t="shared" si="2"/>
        <v>3</v>
      </c>
      <c r="E32" s="5">
        <f t="shared" si="2"/>
        <v>3</v>
      </c>
      <c r="F32" s="5">
        <f t="shared" si="2"/>
        <v>61</v>
      </c>
      <c r="G32" s="5">
        <f t="shared" si="2"/>
        <v>1</v>
      </c>
      <c r="H32" s="5">
        <f t="shared" si="2"/>
        <v>1</v>
      </c>
      <c r="I32" s="5">
        <f t="shared" si="2"/>
        <v>1</v>
      </c>
      <c r="J32" s="5">
        <f t="shared" si="2"/>
        <v>5</v>
      </c>
      <c r="K32" s="5">
        <f t="shared" si="2"/>
        <v>1</v>
      </c>
      <c r="L32" s="5">
        <f t="shared" si="2"/>
        <v>1</v>
      </c>
      <c r="M32" s="5">
        <f t="shared" si="2"/>
        <v>55</v>
      </c>
      <c r="X32" s="19"/>
      <c r="Y32" s="5">
        <v>0</v>
      </c>
      <c r="Z32" s="5">
        <v>1</v>
      </c>
      <c r="AA32" s="5" t="s">
        <v>44</v>
      </c>
      <c r="AB32" s="9">
        <f t="shared" si="1"/>
        <v>1</v>
      </c>
    </row>
    <row r="33" spans="2:32" x14ac:dyDescent="0.35">
      <c r="X33" s="19"/>
      <c r="Y33" s="5">
        <v>17</v>
      </c>
      <c r="Z33" s="5">
        <v>3</v>
      </c>
      <c r="AA33" s="5" t="s">
        <v>0</v>
      </c>
      <c r="AB33" s="9">
        <f t="shared" si="1"/>
        <v>20</v>
      </c>
    </row>
    <row r="34" spans="2:32" x14ac:dyDescent="0.35">
      <c r="X34" s="19"/>
      <c r="Y34" s="5">
        <v>1</v>
      </c>
      <c r="Z34" s="5">
        <v>0</v>
      </c>
      <c r="AA34" s="5" t="s">
        <v>45</v>
      </c>
      <c r="AB34" s="9">
        <f t="shared" si="1"/>
        <v>1</v>
      </c>
    </row>
    <row r="35" spans="2:32" x14ac:dyDescent="0.35">
      <c r="X35" s="19"/>
      <c r="Y35" s="5">
        <v>1</v>
      </c>
      <c r="Z35" s="5">
        <v>0</v>
      </c>
      <c r="AA35" s="5" t="s">
        <v>46</v>
      </c>
      <c r="AB35" s="9">
        <f t="shared" si="1"/>
        <v>1</v>
      </c>
    </row>
    <row r="36" spans="2:32" x14ac:dyDescent="0.35">
      <c r="X36" s="19"/>
      <c r="Y36" s="5">
        <v>1</v>
      </c>
      <c r="Z36" s="5">
        <v>0</v>
      </c>
      <c r="AA36" s="5" t="s">
        <v>47</v>
      </c>
      <c r="AB36" s="9">
        <f t="shared" si="1"/>
        <v>1</v>
      </c>
    </row>
    <row r="37" spans="2:32" x14ac:dyDescent="0.35">
      <c r="X37" s="19"/>
      <c r="Y37" s="5">
        <v>3</v>
      </c>
      <c r="Z37" s="5">
        <v>2</v>
      </c>
      <c r="AA37" s="5" t="s">
        <v>1</v>
      </c>
      <c r="AB37" s="9">
        <f t="shared" si="1"/>
        <v>5</v>
      </c>
    </row>
    <row r="38" spans="2:32" x14ac:dyDescent="0.35">
      <c r="X38" s="19"/>
      <c r="Y38" s="5">
        <v>1</v>
      </c>
      <c r="Z38" s="5">
        <v>0</v>
      </c>
      <c r="AA38" s="5" t="s">
        <v>2</v>
      </c>
      <c r="AB38" s="9">
        <f t="shared" si="1"/>
        <v>1</v>
      </c>
    </row>
    <row r="39" spans="2:32" x14ac:dyDescent="0.35">
      <c r="B39" s="5" t="s">
        <v>48</v>
      </c>
      <c r="C39" s="17" t="s">
        <v>49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X39" s="19"/>
      <c r="Y39" s="5">
        <v>0</v>
      </c>
      <c r="Z39" s="5">
        <v>1</v>
      </c>
      <c r="AA39" s="5" t="s">
        <v>50</v>
      </c>
      <c r="AB39" s="9">
        <f t="shared" si="1"/>
        <v>1</v>
      </c>
    </row>
    <row r="40" spans="2:32" x14ac:dyDescent="0.35">
      <c r="B40" s="5">
        <f>SUM(C40:M40)</f>
        <v>39</v>
      </c>
      <c r="C40" s="8">
        <f>ROUNDUP(SUM(C32:E32)/8,0) - SUM(D40:E40)</f>
        <v>20</v>
      </c>
      <c r="D40" s="5">
        <f>ROUNDUP(D32/8,0)</f>
        <v>1</v>
      </c>
      <c r="E40" s="5">
        <f>ROUNDUP(E32/8,0)</f>
        <v>1</v>
      </c>
      <c r="F40" s="8">
        <f>MAX(ROUNDUP(SUM(F32:I32)/8,0) - SUM(G40:I40),0)</f>
        <v>5</v>
      </c>
      <c r="G40" s="5">
        <f>ROUNDUP(G32/8,0)</f>
        <v>1</v>
      </c>
      <c r="H40" s="5">
        <f>ROUNDUP(H32/8,0)</f>
        <v>1</v>
      </c>
      <c r="I40" s="5">
        <f>ROUNDUP(I32/8,0)</f>
        <v>1</v>
      </c>
      <c r="J40" s="8">
        <f>MAX(ROUNDUP(SUM(J32:L32)/8,0),0)</f>
        <v>1</v>
      </c>
      <c r="K40" s="5">
        <f>ROUNDUP(K32/8,0)</f>
        <v>1</v>
      </c>
      <c r="L40" s="5">
        <f>ROUNDUP(L32/8,0)</f>
        <v>1</v>
      </c>
      <c r="M40" s="5">
        <f>ROUNDUP(SUM(K32:M32)/8,0)-SUM(K40:L40)</f>
        <v>6</v>
      </c>
      <c r="X40" s="19"/>
      <c r="Y40" s="5">
        <v>0</v>
      </c>
      <c r="Z40" s="5">
        <v>1</v>
      </c>
      <c r="AA40" s="5" t="s">
        <v>51</v>
      </c>
      <c r="AB40" s="9">
        <f t="shared" si="1"/>
        <v>1</v>
      </c>
    </row>
    <row r="41" spans="2:32" x14ac:dyDescent="0.35">
      <c r="X41" s="20"/>
      <c r="Y41" s="5">
        <v>5</v>
      </c>
      <c r="Z41" s="5">
        <v>1</v>
      </c>
      <c r="AA41" s="5" t="s">
        <v>3</v>
      </c>
      <c r="AB41" s="9">
        <f t="shared" si="1"/>
        <v>6</v>
      </c>
    </row>
    <row r="42" spans="2:32" x14ac:dyDescent="0.35">
      <c r="Y42">
        <f>SUMPRODUCT(CABINET1_A,CABLES_Sizes_A)</f>
        <v>325</v>
      </c>
      <c r="Z42">
        <f>SUMPRODUCT(CABINET2_A,CABLES_Sizes_A)</f>
        <v>121</v>
      </c>
      <c r="AA42" t="s">
        <v>52</v>
      </c>
      <c r="AE42" s="6" t="s">
        <v>53</v>
      </c>
      <c r="AF42">
        <f>SUM(AB31:AB41)</f>
        <v>39</v>
      </c>
    </row>
    <row r="43" spans="2:32" x14ac:dyDescent="0.35">
      <c r="B43">
        <f>B40+SUM(F40:I40)+M40</f>
        <v>53</v>
      </c>
      <c r="X43" s="18" t="s">
        <v>54</v>
      </c>
      <c r="Y43" s="5">
        <f>Y31*8-SUMPRODUCT(CABINET1_A,AI_A)</f>
        <v>0</v>
      </c>
      <c r="Z43" s="5">
        <f>Z31*8-SUMPRODUCT(CABINET2_A,AI_A)</f>
        <v>5</v>
      </c>
      <c r="AA43" s="5" t="s">
        <v>42</v>
      </c>
    </row>
    <row r="44" spans="2:32" x14ac:dyDescent="0.35">
      <c r="X44" s="19"/>
      <c r="Y44" s="5">
        <f>Y32*8-SUMPRODUCT(CABINET1_A,AI_B)</f>
        <v>0</v>
      </c>
      <c r="Z44" s="5">
        <f>Z32*8-SUMPRODUCT(CABINET2_A,AI_B)</f>
        <v>5</v>
      </c>
      <c r="AA44" s="5" t="s">
        <v>44</v>
      </c>
    </row>
    <row r="45" spans="2:32" x14ac:dyDescent="0.35">
      <c r="B45">
        <f>227+49</f>
        <v>276</v>
      </c>
      <c r="C45">
        <f>B45/4</f>
        <v>69</v>
      </c>
      <c r="D45">
        <f>C45/12</f>
        <v>5.75</v>
      </c>
      <c r="X45" s="19"/>
      <c r="Y45" s="5">
        <f>Y33*8-SUMPRODUCT(CABINET1_A,AI) + SUM(Y43:Y44)</f>
        <v>0</v>
      </c>
      <c r="Z45" s="5">
        <f>Z33*8-SUMPRODUCT(CABINET2_A,AI) + SUM(Z43:Z44)</f>
        <v>0</v>
      </c>
      <c r="AA45" s="5" t="s">
        <v>0</v>
      </c>
    </row>
    <row r="46" spans="2:32" x14ac:dyDescent="0.35">
      <c r="X46" s="19"/>
      <c r="Y46" s="5">
        <f>Y34*8-SUMPRODUCT(CABINET1_A,AIR_A)</f>
        <v>7</v>
      </c>
      <c r="Z46" s="5">
        <f>Z34*8-SUMPRODUCT(CABINET2_A,AIR_A)</f>
        <v>0</v>
      </c>
      <c r="AA46" s="5" t="s">
        <v>45</v>
      </c>
    </row>
    <row r="47" spans="2:32" x14ac:dyDescent="0.35">
      <c r="C47" s="3" t="s">
        <v>0</v>
      </c>
      <c r="D47" s="3"/>
      <c r="E47" s="3"/>
      <c r="F47" s="3" t="s">
        <v>1</v>
      </c>
      <c r="G47" s="3"/>
      <c r="H47" s="3"/>
      <c r="I47" s="3"/>
      <c r="J47" s="3" t="s">
        <v>2</v>
      </c>
      <c r="K47" s="3"/>
      <c r="L47" s="3"/>
      <c r="M47" s="3" t="s">
        <v>3</v>
      </c>
      <c r="X47" s="19"/>
      <c r="Y47" s="5">
        <f>Y35*8-SUMPRODUCT(CABINET1_A,AIR_B)</f>
        <v>7</v>
      </c>
      <c r="Z47" s="5">
        <f>Z35*8-SUMPRODUCT(CABINET2_A,AIR_B)</f>
        <v>0</v>
      </c>
      <c r="AA47" s="5" t="s">
        <v>46</v>
      </c>
    </row>
    <row r="48" spans="2:32" x14ac:dyDescent="0.35">
      <c r="C48" s="4"/>
      <c r="D48" s="4" t="s">
        <v>8</v>
      </c>
      <c r="E48" s="4" t="s">
        <v>9</v>
      </c>
      <c r="F48" s="4"/>
      <c r="G48" s="4" t="s">
        <v>8</v>
      </c>
      <c r="H48" s="4" t="s">
        <v>9</v>
      </c>
      <c r="I48" s="4" t="s">
        <v>10</v>
      </c>
      <c r="J48" s="4"/>
      <c r="K48" s="4" t="s">
        <v>8</v>
      </c>
      <c r="L48" s="4" t="s">
        <v>9</v>
      </c>
      <c r="M48" s="4"/>
      <c r="X48" s="19"/>
      <c r="Y48" s="5">
        <f>Y36*8-SUMPRODUCT(CABINET1_A,AIR_C)</f>
        <v>7</v>
      </c>
      <c r="Z48" s="5">
        <f>Z36*8-SUMPRODUCT(CABINET2_A,AIR_C)</f>
        <v>0</v>
      </c>
      <c r="AA48" s="5" t="s">
        <v>47</v>
      </c>
    </row>
    <row r="49" spans="24:27" x14ac:dyDescent="0.35">
      <c r="X49" s="19"/>
      <c r="Y49" s="5">
        <f>Y37*8-SUMPRODUCT(CABINET1_A,AIR)+SUM(Y46:Y48)</f>
        <v>0</v>
      </c>
      <c r="Z49" s="5">
        <f>Z37*8-SUMPRODUCT(CABINET2_A,AIR)+SUM(Z46:Z48)</f>
        <v>0</v>
      </c>
      <c r="AA49" s="5" t="s">
        <v>1</v>
      </c>
    </row>
    <row r="50" spans="24:27" x14ac:dyDescent="0.35">
      <c r="X50" s="19"/>
      <c r="Y50" s="5">
        <f>Y38*8-SUMPRODUCT(CABINET1_A,AO)+ SUM(Y51:Y52)</f>
        <v>3</v>
      </c>
      <c r="Z50" s="5">
        <f>Z38*8-SUMPRODUCT(CABINET2_A,AO) + SUM(Z51:Z52)</f>
        <v>14</v>
      </c>
      <c r="AA50" s="5" t="s">
        <v>2</v>
      </c>
    </row>
    <row r="51" spans="24:27" x14ac:dyDescent="0.35">
      <c r="X51" s="19"/>
      <c r="Y51" s="5">
        <f>Y39*8-SUMPRODUCT(CABINET1_A,AO_A)</f>
        <v>0</v>
      </c>
      <c r="Z51" s="5">
        <f>Z39*8-SUMPRODUCT(CABINET2_A,AO_A)</f>
        <v>7</v>
      </c>
      <c r="AA51" s="5" t="s">
        <v>55</v>
      </c>
    </row>
    <row r="52" spans="24:27" x14ac:dyDescent="0.35">
      <c r="X52" s="19"/>
      <c r="Y52" s="5">
        <f>Y40*8-SUMPRODUCT(CABINET1_A,AO_B)</f>
        <v>0</v>
      </c>
      <c r="Z52" s="5">
        <f>Z40*8-SUMPRODUCT(CABINET2_A,AO_B)</f>
        <v>7</v>
      </c>
      <c r="AA52" s="5" t="s">
        <v>56</v>
      </c>
    </row>
    <row r="53" spans="24:27" x14ac:dyDescent="0.35">
      <c r="X53" s="20"/>
      <c r="Y53" s="5">
        <f>Y41*8-SUMPRODUCT(CABINET1_A,AOR)</f>
        <v>5</v>
      </c>
      <c r="Z53" s="5">
        <f>Z41*8-SUMPRODUCT(CABINET2_A,AOR)+SUM(Z51:Z52)</f>
        <v>2</v>
      </c>
      <c r="AA53" s="5" t="s">
        <v>3</v>
      </c>
    </row>
    <row r="54" spans="24:27" x14ac:dyDescent="0.35">
      <c r="X54" s="10" t="s">
        <v>48</v>
      </c>
      <c r="Y54" s="5">
        <f>SUM(Y31:Y41)</f>
        <v>29</v>
      </c>
      <c r="Z54" s="5">
        <f t="shared" ref="Z54" si="3">SUM(Z31:Z41)</f>
        <v>10</v>
      </c>
      <c r="AA54" s="5"/>
    </row>
    <row r="55" spans="24:27" x14ac:dyDescent="0.35">
      <c r="X55" s="10" t="s">
        <v>57</v>
      </c>
      <c r="Y55" s="5">
        <f>SUMPRODUCT(CABINET1_A,CABLES_Sizes_A)*10.2+SUM(CABINET1_A)*10</f>
        <v>3514.9999999999995</v>
      </c>
      <c r="Z55" s="5">
        <f>SUMPRODUCT(CABINET2_A,CABLES_Sizes_A)*10.2+SUM(CABINET2_A)*10</f>
        <v>1314.1999999999998</v>
      </c>
      <c r="AA55" s="5"/>
    </row>
    <row r="75" spans="25:26" x14ac:dyDescent="0.35">
      <c r="Y75">
        <f>SUM(Y31:Y41)+SUM(Y39:Y41)+SUM(Y34:Y37)</f>
        <v>40</v>
      </c>
      <c r="Z75">
        <f>SUM(Z31:Z41)+SUM(Z39:Z41)+SUM(Z34:Z37)</f>
        <v>15</v>
      </c>
    </row>
  </sheetData>
  <autoFilter ref="A1:AF56" xr:uid="{00000000-0009-0000-0000-000003000000}"/>
  <sortState xmlns:xlrd2="http://schemas.microsoft.com/office/spreadsheetml/2017/richdata2" ref="A49:M79">
    <sortCondition descending="1" ref="L51:L81"/>
  </sortState>
  <mergeCells count="3">
    <mergeCell ref="C39:M39"/>
    <mergeCell ref="X3:X41"/>
    <mergeCell ref="X43:X53"/>
  </mergeCells>
  <pageMargins left="0.7" right="0.7" top="0.75" bottom="0.75" header="0.3" footer="0.3"/>
  <pageSetup paperSize="8" orientation="landscape" r:id="rId1"/>
  <headerFooter>
    <oddFooter>&amp;C&amp;1#&amp;"Arial"&amp;6&amp;K626469Internal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64"/>
  <sheetViews>
    <sheetView tabSelected="1" topLeftCell="B1" workbookViewId="0">
      <selection activeCell="O4" sqref="O4"/>
    </sheetView>
  </sheetViews>
  <sheetFormatPr defaultRowHeight="14.5" x14ac:dyDescent="0.35"/>
  <cols>
    <col min="1" max="1" width="26.6328125" bestFit="1" customWidth="1"/>
    <col min="2" max="2" width="23.08984375" bestFit="1" customWidth="1"/>
    <col min="3" max="3" width="11.08984375" bestFit="1" customWidth="1"/>
    <col min="8" max="8" width="6.6328125" bestFit="1" customWidth="1"/>
    <col min="9" max="11" width="11.08984375" bestFit="1" customWidth="1"/>
    <col min="12" max="13" width="8.54296875" bestFit="1" customWidth="1"/>
    <col min="14" max="14" width="14" bestFit="1" customWidth="1"/>
    <col min="21" max="21" width="16.6328125" bestFit="1" customWidth="1"/>
  </cols>
  <sheetData>
    <row r="1" spans="1:20" x14ac:dyDescent="0.35">
      <c r="A1" s="5"/>
      <c r="B1" s="5"/>
      <c r="C1" s="11" t="s">
        <v>58</v>
      </c>
      <c r="D1" s="11"/>
      <c r="E1" s="11"/>
      <c r="F1" s="11" t="s">
        <v>59</v>
      </c>
      <c r="G1" s="11"/>
      <c r="H1" s="11"/>
      <c r="I1" s="11" t="s">
        <v>60</v>
      </c>
      <c r="J1" s="11"/>
      <c r="K1" s="11"/>
    </row>
    <row r="2" spans="1:20" x14ac:dyDescent="0.35">
      <c r="A2" s="5"/>
      <c r="B2" s="5"/>
      <c r="C2" s="11" t="s">
        <v>61</v>
      </c>
      <c r="D2" s="11"/>
      <c r="E2" s="11"/>
      <c r="F2" s="11" t="s">
        <v>62</v>
      </c>
      <c r="G2" s="11"/>
      <c r="H2" s="11"/>
      <c r="I2" s="11" t="s">
        <v>61</v>
      </c>
      <c r="J2" s="11"/>
      <c r="K2" s="11"/>
    </row>
    <row r="3" spans="1:20" x14ac:dyDescent="0.35">
      <c r="A3" s="7" t="s">
        <v>63</v>
      </c>
      <c r="B3" s="5" t="s">
        <v>64</v>
      </c>
      <c r="C3" s="11"/>
      <c r="D3" s="11" t="s">
        <v>8</v>
      </c>
      <c r="E3" s="11" t="s">
        <v>9</v>
      </c>
      <c r="F3" s="11"/>
      <c r="G3" s="11" t="s">
        <v>8</v>
      </c>
      <c r="H3" s="11" t="s">
        <v>9</v>
      </c>
      <c r="I3" s="11"/>
      <c r="J3" s="11" t="s">
        <v>8</v>
      </c>
      <c r="K3" s="11" t="s">
        <v>9</v>
      </c>
      <c r="O3" s="1" t="s">
        <v>11</v>
      </c>
      <c r="P3" s="1" t="s">
        <v>12</v>
      </c>
    </row>
    <row r="4" spans="1:20" s="15" customFormat="1" x14ac:dyDescent="0.35">
      <c r="A4" s="14" t="s">
        <v>65</v>
      </c>
      <c r="B4" s="8">
        <v>12</v>
      </c>
      <c r="C4" s="8"/>
      <c r="D4" s="8"/>
      <c r="E4" s="8"/>
      <c r="F4" s="8">
        <v>10</v>
      </c>
      <c r="G4" s="8"/>
      <c r="H4" s="8"/>
      <c r="I4" s="8"/>
      <c r="J4" s="8"/>
      <c r="K4" s="8"/>
      <c r="N4" s="24" t="s">
        <v>66</v>
      </c>
      <c r="O4" s="8"/>
      <c r="P4" s="8"/>
      <c r="Q4" s="8">
        <f t="shared" ref="Q4:Q42" si="0">SUM(O4:P4)</f>
        <v>0</v>
      </c>
      <c r="S4" s="15" t="s">
        <v>59</v>
      </c>
      <c r="T4" s="15">
        <v>10</v>
      </c>
    </row>
    <row r="5" spans="1:20" x14ac:dyDescent="0.35">
      <c r="A5" s="7" t="s">
        <v>67</v>
      </c>
      <c r="B5" s="5">
        <v>12</v>
      </c>
      <c r="C5" s="5"/>
      <c r="D5" s="5"/>
      <c r="E5" s="5"/>
      <c r="F5" s="5">
        <v>1</v>
      </c>
      <c r="G5" s="5"/>
      <c r="H5" s="5"/>
      <c r="I5" s="5">
        <v>8</v>
      </c>
      <c r="J5" s="5"/>
      <c r="K5" s="5"/>
      <c r="N5" s="24"/>
      <c r="O5" s="5"/>
      <c r="P5" s="5"/>
      <c r="Q5" s="5">
        <f t="shared" si="0"/>
        <v>0</v>
      </c>
      <c r="S5" t="s">
        <v>115</v>
      </c>
    </row>
    <row r="6" spans="1:20" x14ac:dyDescent="0.35">
      <c r="A6" s="7" t="s">
        <v>68</v>
      </c>
      <c r="B6" s="5">
        <v>12</v>
      </c>
      <c r="C6" s="5"/>
      <c r="D6" s="5"/>
      <c r="E6" s="5"/>
      <c r="F6" s="5">
        <v>1</v>
      </c>
      <c r="G6" s="5"/>
      <c r="H6" s="5"/>
      <c r="I6" s="5">
        <v>9</v>
      </c>
      <c r="J6" s="5"/>
      <c r="K6" s="5"/>
      <c r="N6" s="24"/>
      <c r="O6" s="5"/>
      <c r="P6" s="5"/>
      <c r="Q6" s="5">
        <f t="shared" si="0"/>
        <v>0</v>
      </c>
    </row>
    <row r="7" spans="1:20" x14ac:dyDescent="0.35">
      <c r="A7" s="7" t="s">
        <v>69</v>
      </c>
      <c r="B7" s="5">
        <v>12</v>
      </c>
      <c r="C7" s="5"/>
      <c r="D7" s="5"/>
      <c r="E7" s="5"/>
      <c r="F7" s="5"/>
      <c r="G7" s="5"/>
      <c r="H7" s="5"/>
      <c r="I7" s="5">
        <v>1</v>
      </c>
      <c r="J7" s="5">
        <v>7</v>
      </c>
      <c r="K7" s="5"/>
      <c r="N7" s="24"/>
      <c r="O7" s="5"/>
      <c r="P7" s="5"/>
      <c r="Q7" s="5">
        <f t="shared" si="0"/>
        <v>0</v>
      </c>
    </row>
    <row r="8" spans="1:20" x14ac:dyDescent="0.35">
      <c r="A8" s="7" t="s">
        <v>70</v>
      </c>
      <c r="B8" s="5">
        <v>12</v>
      </c>
      <c r="C8" s="5"/>
      <c r="D8" s="5"/>
      <c r="E8" s="5"/>
      <c r="F8" s="5"/>
      <c r="G8" s="5"/>
      <c r="H8" s="5"/>
      <c r="I8" s="5"/>
      <c r="J8" s="5"/>
      <c r="K8" s="5">
        <v>7</v>
      </c>
      <c r="N8" s="24"/>
      <c r="O8" s="5"/>
      <c r="P8" s="5"/>
      <c r="Q8" s="5">
        <f t="shared" si="0"/>
        <v>0</v>
      </c>
    </row>
    <row r="9" spans="1:20" x14ac:dyDescent="0.35">
      <c r="A9" s="7" t="s">
        <v>71</v>
      </c>
      <c r="B9" s="5">
        <v>12</v>
      </c>
      <c r="C9" s="5"/>
      <c r="D9" s="5"/>
      <c r="E9" s="5">
        <v>1</v>
      </c>
      <c r="F9" s="5">
        <v>1</v>
      </c>
      <c r="G9" s="5"/>
      <c r="H9" s="5">
        <v>8</v>
      </c>
      <c r="I9" s="5"/>
      <c r="J9" s="5"/>
      <c r="K9" s="5"/>
      <c r="N9" s="24"/>
      <c r="O9" s="5"/>
      <c r="P9" s="5"/>
      <c r="Q9" s="5">
        <f t="shared" si="0"/>
        <v>0</v>
      </c>
    </row>
    <row r="10" spans="1:20" x14ac:dyDescent="0.35">
      <c r="A10" s="7" t="s">
        <v>72</v>
      </c>
      <c r="B10" s="5">
        <v>12</v>
      </c>
      <c r="C10" s="5"/>
      <c r="D10" s="5"/>
      <c r="E10" s="5">
        <v>7</v>
      </c>
      <c r="F10" s="5">
        <v>1</v>
      </c>
      <c r="G10" s="5"/>
      <c r="H10" s="5">
        <v>2</v>
      </c>
      <c r="I10" s="5"/>
      <c r="J10" s="5"/>
      <c r="K10" s="5"/>
      <c r="N10" s="24"/>
      <c r="O10" s="5"/>
      <c r="P10" s="5"/>
      <c r="Q10" s="5">
        <f t="shared" si="0"/>
        <v>0</v>
      </c>
    </row>
    <row r="11" spans="1:20" x14ac:dyDescent="0.35">
      <c r="A11" s="7" t="s">
        <v>73</v>
      </c>
      <c r="B11" s="5">
        <v>12</v>
      </c>
      <c r="C11" s="5">
        <v>1</v>
      </c>
      <c r="D11" s="5"/>
      <c r="E11" s="5"/>
      <c r="F11" s="5">
        <v>8</v>
      </c>
      <c r="G11" s="5"/>
      <c r="H11" s="5"/>
      <c r="I11" s="5"/>
      <c r="J11" s="5"/>
      <c r="K11" s="5"/>
      <c r="N11" s="24"/>
      <c r="O11" s="5"/>
      <c r="P11" s="5"/>
      <c r="Q11" s="5">
        <f t="shared" si="0"/>
        <v>0</v>
      </c>
    </row>
    <row r="12" spans="1:20" x14ac:dyDescent="0.35">
      <c r="A12" s="7" t="s">
        <v>74</v>
      </c>
      <c r="B12" s="5">
        <v>12</v>
      </c>
      <c r="C12" s="5">
        <v>2</v>
      </c>
      <c r="D12" s="5"/>
      <c r="E12" s="5"/>
      <c r="F12" s="5">
        <v>7</v>
      </c>
      <c r="G12" s="5"/>
      <c r="H12" s="5"/>
      <c r="I12" s="5"/>
      <c r="J12" s="5"/>
      <c r="K12" s="5"/>
      <c r="N12" s="24"/>
      <c r="O12" s="5"/>
      <c r="P12" s="5"/>
      <c r="Q12" s="5">
        <f t="shared" si="0"/>
        <v>0</v>
      </c>
    </row>
    <row r="13" spans="1:20" x14ac:dyDescent="0.35">
      <c r="A13" s="7" t="s">
        <v>75</v>
      </c>
      <c r="B13" s="5">
        <v>12</v>
      </c>
      <c r="C13" s="5"/>
      <c r="D13" s="5"/>
      <c r="E13" s="5"/>
      <c r="F13" s="5">
        <v>1</v>
      </c>
      <c r="G13" s="5">
        <v>10</v>
      </c>
      <c r="H13" s="5"/>
      <c r="I13" s="5"/>
      <c r="J13" s="5"/>
      <c r="K13" s="5"/>
      <c r="N13" s="24"/>
      <c r="O13" s="5"/>
      <c r="P13" s="5"/>
      <c r="Q13" s="5">
        <f t="shared" si="0"/>
        <v>0</v>
      </c>
    </row>
    <row r="14" spans="1:20" s="15" customFormat="1" x14ac:dyDescent="0.35">
      <c r="A14" s="14" t="s">
        <v>76</v>
      </c>
      <c r="B14" s="8">
        <v>12</v>
      </c>
      <c r="C14" s="8"/>
      <c r="D14" s="8"/>
      <c r="E14" s="8"/>
      <c r="F14" s="8">
        <v>1</v>
      </c>
      <c r="G14" s="8"/>
      <c r="H14" s="8">
        <v>10</v>
      </c>
      <c r="I14" s="8"/>
      <c r="J14" s="8"/>
      <c r="K14" s="8"/>
      <c r="N14" s="24"/>
      <c r="O14" s="8"/>
      <c r="P14" s="8"/>
      <c r="Q14" s="8">
        <f t="shared" si="0"/>
        <v>0</v>
      </c>
    </row>
    <row r="15" spans="1:20" s="15" customFormat="1" x14ac:dyDescent="0.35">
      <c r="A15" s="14" t="s">
        <v>77</v>
      </c>
      <c r="B15" s="8">
        <v>12</v>
      </c>
      <c r="C15" s="8"/>
      <c r="D15" s="8"/>
      <c r="E15" s="8"/>
      <c r="F15" s="8">
        <v>1</v>
      </c>
      <c r="G15" s="8">
        <v>9</v>
      </c>
      <c r="H15" s="8"/>
      <c r="I15" s="8"/>
      <c r="J15" s="8"/>
      <c r="K15" s="8"/>
      <c r="N15" s="24"/>
      <c r="O15" s="8"/>
      <c r="P15" s="8"/>
      <c r="Q15" s="8">
        <f t="shared" si="0"/>
        <v>0</v>
      </c>
    </row>
    <row r="16" spans="1:20" s="15" customFormat="1" x14ac:dyDescent="0.35">
      <c r="A16" s="14" t="s">
        <v>78</v>
      </c>
      <c r="B16" s="8">
        <v>12</v>
      </c>
      <c r="C16" s="8"/>
      <c r="D16" s="8"/>
      <c r="E16" s="8"/>
      <c r="F16" s="8"/>
      <c r="G16" s="8"/>
      <c r="H16" s="8">
        <v>4</v>
      </c>
      <c r="I16" s="8"/>
      <c r="J16" s="8"/>
      <c r="K16" s="8"/>
      <c r="N16" s="24"/>
      <c r="O16" s="8"/>
      <c r="P16" s="8"/>
      <c r="Q16" s="8">
        <f t="shared" si="0"/>
        <v>0</v>
      </c>
    </row>
    <row r="17" spans="1:17" s="15" customFormat="1" x14ac:dyDescent="0.35">
      <c r="A17" s="14" t="s">
        <v>79</v>
      </c>
      <c r="B17" s="8">
        <v>12</v>
      </c>
      <c r="C17" s="8"/>
      <c r="D17" s="8"/>
      <c r="E17" s="8"/>
      <c r="F17" s="8"/>
      <c r="G17" s="8">
        <v>4</v>
      </c>
      <c r="H17" s="8"/>
      <c r="I17" s="8"/>
      <c r="J17" s="8"/>
      <c r="K17" s="8"/>
      <c r="N17" s="24"/>
      <c r="O17" s="8"/>
      <c r="P17" s="8"/>
      <c r="Q17" s="8">
        <f t="shared" si="0"/>
        <v>0</v>
      </c>
    </row>
    <row r="18" spans="1:17" s="15" customFormat="1" x14ac:dyDescent="0.35">
      <c r="A18" s="14" t="s">
        <v>80</v>
      </c>
      <c r="B18" s="8">
        <v>12</v>
      </c>
      <c r="C18" s="8"/>
      <c r="D18" s="8"/>
      <c r="E18" s="8"/>
      <c r="F18" s="8">
        <v>10</v>
      </c>
      <c r="G18" s="8"/>
      <c r="H18" s="8"/>
      <c r="I18" s="8"/>
      <c r="J18" s="8"/>
      <c r="K18" s="8"/>
      <c r="N18" s="24"/>
      <c r="O18" s="8"/>
      <c r="P18" s="8"/>
      <c r="Q18" s="8">
        <f t="shared" si="0"/>
        <v>0</v>
      </c>
    </row>
    <row r="19" spans="1:17" s="15" customFormat="1" x14ac:dyDescent="0.35">
      <c r="A19" s="14" t="s">
        <v>81</v>
      </c>
      <c r="B19" s="8">
        <v>12</v>
      </c>
      <c r="C19" s="8"/>
      <c r="D19" s="8"/>
      <c r="E19" s="8"/>
      <c r="F19" s="8">
        <v>8</v>
      </c>
      <c r="G19" s="8"/>
      <c r="H19" s="8"/>
      <c r="I19" s="8"/>
      <c r="J19" s="8"/>
      <c r="K19" s="8"/>
      <c r="N19" s="24"/>
      <c r="O19" s="8"/>
      <c r="P19" s="8"/>
      <c r="Q19" s="8">
        <f t="shared" si="0"/>
        <v>0</v>
      </c>
    </row>
    <row r="20" spans="1:17" s="15" customFormat="1" x14ac:dyDescent="0.35">
      <c r="A20" s="14" t="s">
        <v>82</v>
      </c>
      <c r="B20" s="8">
        <v>12</v>
      </c>
      <c r="C20" s="8"/>
      <c r="D20" s="8"/>
      <c r="E20" s="8"/>
      <c r="F20" s="8">
        <v>3</v>
      </c>
      <c r="G20" s="8"/>
      <c r="H20" s="8"/>
      <c r="I20" s="8"/>
      <c r="J20" s="8"/>
      <c r="K20" s="8"/>
      <c r="N20" s="24"/>
      <c r="O20" s="8"/>
      <c r="P20" s="8"/>
      <c r="Q20" s="8">
        <f t="shared" si="0"/>
        <v>0</v>
      </c>
    </row>
    <row r="21" spans="1:17" s="15" customFormat="1" x14ac:dyDescent="0.35">
      <c r="A21" s="14" t="s">
        <v>83</v>
      </c>
      <c r="B21" s="8">
        <v>6</v>
      </c>
      <c r="C21" s="8"/>
      <c r="D21" s="8"/>
      <c r="E21" s="8"/>
      <c r="F21" s="8">
        <v>2</v>
      </c>
      <c r="G21" s="8"/>
      <c r="H21" s="8"/>
      <c r="I21" s="8"/>
      <c r="J21" s="8"/>
      <c r="K21" s="8"/>
      <c r="N21" s="24"/>
      <c r="O21" s="8"/>
      <c r="P21" s="8"/>
      <c r="Q21" s="8">
        <f t="shared" si="0"/>
        <v>0</v>
      </c>
    </row>
    <row r="22" spans="1:17" s="15" customFormat="1" x14ac:dyDescent="0.35">
      <c r="A22" s="14" t="s">
        <v>84</v>
      </c>
      <c r="B22" s="8">
        <v>6</v>
      </c>
      <c r="C22" s="8"/>
      <c r="D22" s="8"/>
      <c r="E22" s="8"/>
      <c r="F22" s="8">
        <v>1</v>
      </c>
      <c r="G22" s="8"/>
      <c r="H22" s="8"/>
      <c r="I22" s="8"/>
      <c r="J22" s="8"/>
      <c r="K22" s="8"/>
      <c r="N22" s="24"/>
      <c r="O22" s="8"/>
      <c r="P22" s="8"/>
      <c r="Q22" s="8">
        <f t="shared" si="0"/>
        <v>0</v>
      </c>
    </row>
    <row r="23" spans="1:17" x14ac:dyDescent="0.35">
      <c r="A23" s="7" t="s">
        <v>85</v>
      </c>
      <c r="B23" s="5">
        <v>12</v>
      </c>
      <c r="C23" s="5">
        <v>1</v>
      </c>
      <c r="D23" s="5">
        <v>10</v>
      </c>
      <c r="E23" s="5"/>
      <c r="F23" s="5"/>
      <c r="G23" s="5"/>
      <c r="H23" s="5"/>
      <c r="I23" s="5"/>
      <c r="J23" s="5"/>
      <c r="K23" s="5"/>
      <c r="N23" s="24"/>
      <c r="O23" s="5"/>
      <c r="P23" s="5"/>
      <c r="Q23" s="5">
        <f t="shared" si="0"/>
        <v>0</v>
      </c>
    </row>
    <row r="24" spans="1:17" x14ac:dyDescent="0.35">
      <c r="A24" s="7" t="s">
        <v>86</v>
      </c>
      <c r="B24" s="5">
        <v>12</v>
      </c>
      <c r="C24" s="5">
        <v>1</v>
      </c>
      <c r="D24" s="5"/>
      <c r="E24" s="5">
        <v>10</v>
      </c>
      <c r="F24" s="5"/>
      <c r="G24" s="5"/>
      <c r="H24" s="5"/>
      <c r="I24" s="5"/>
      <c r="J24" s="5"/>
      <c r="K24" s="5"/>
      <c r="N24" s="24"/>
      <c r="O24" s="5"/>
      <c r="P24" s="5"/>
      <c r="Q24" s="5">
        <f t="shared" si="0"/>
        <v>0</v>
      </c>
    </row>
    <row r="25" spans="1:17" x14ac:dyDescent="0.35">
      <c r="A25" s="7" t="s">
        <v>87</v>
      </c>
      <c r="B25" s="5">
        <v>12</v>
      </c>
      <c r="C25" s="5">
        <v>1</v>
      </c>
      <c r="D25" s="5"/>
      <c r="E25" s="5">
        <v>9</v>
      </c>
      <c r="F25" s="5"/>
      <c r="G25" s="5"/>
      <c r="H25" s="5"/>
      <c r="I25" s="5"/>
      <c r="J25" s="5"/>
      <c r="K25" s="5"/>
      <c r="N25" s="24"/>
      <c r="O25" s="5"/>
      <c r="P25" s="5"/>
      <c r="Q25" s="5">
        <f t="shared" si="0"/>
        <v>0</v>
      </c>
    </row>
    <row r="26" spans="1:17" x14ac:dyDescent="0.35">
      <c r="A26" s="7" t="s">
        <v>88</v>
      </c>
      <c r="B26" s="5">
        <v>12</v>
      </c>
      <c r="C26" s="5">
        <v>1</v>
      </c>
      <c r="D26" s="5">
        <v>9</v>
      </c>
      <c r="E26" s="5"/>
      <c r="F26" s="5"/>
      <c r="G26" s="5"/>
      <c r="H26" s="5"/>
      <c r="I26" s="5"/>
      <c r="J26" s="5"/>
      <c r="K26" s="5"/>
      <c r="N26" s="24"/>
      <c r="O26" s="5"/>
      <c r="P26" s="5"/>
      <c r="Q26" s="5">
        <f t="shared" si="0"/>
        <v>0</v>
      </c>
    </row>
    <row r="27" spans="1:17" x14ac:dyDescent="0.35">
      <c r="A27" s="7" t="s">
        <v>89</v>
      </c>
      <c r="B27" s="5">
        <v>12</v>
      </c>
      <c r="C27" s="5">
        <v>1</v>
      </c>
      <c r="D27" s="5">
        <v>9</v>
      </c>
      <c r="E27" s="5"/>
      <c r="F27" s="5"/>
      <c r="G27" s="5"/>
      <c r="H27" s="5"/>
      <c r="I27" s="5"/>
      <c r="J27" s="5"/>
      <c r="K27" s="5"/>
      <c r="N27" s="24"/>
      <c r="O27" s="5"/>
      <c r="P27" s="5"/>
      <c r="Q27" s="5">
        <f t="shared" si="0"/>
        <v>0</v>
      </c>
    </row>
    <row r="28" spans="1:17" x14ac:dyDescent="0.35">
      <c r="A28" s="7" t="s">
        <v>90</v>
      </c>
      <c r="B28" s="5">
        <v>12</v>
      </c>
      <c r="C28" s="5">
        <v>1</v>
      </c>
      <c r="D28" s="5">
        <v>6</v>
      </c>
      <c r="E28" s="5"/>
      <c r="F28" s="5"/>
      <c r="G28" s="5"/>
      <c r="H28" s="5"/>
      <c r="I28" s="5"/>
      <c r="J28" s="5"/>
      <c r="K28" s="5"/>
      <c r="N28" s="24"/>
      <c r="O28" s="5"/>
      <c r="P28" s="5"/>
      <c r="Q28" s="5">
        <f t="shared" si="0"/>
        <v>0</v>
      </c>
    </row>
    <row r="29" spans="1:17" x14ac:dyDescent="0.35">
      <c r="A29" s="7" t="s">
        <v>91</v>
      </c>
      <c r="B29" s="5">
        <v>12</v>
      </c>
      <c r="C29" s="5">
        <v>1</v>
      </c>
      <c r="D29" s="5"/>
      <c r="E29" s="5">
        <v>6</v>
      </c>
      <c r="F29" s="5"/>
      <c r="G29" s="5"/>
      <c r="H29" s="5"/>
      <c r="I29" s="5"/>
      <c r="J29" s="5"/>
      <c r="K29" s="5"/>
      <c r="N29" s="24"/>
      <c r="O29" s="5"/>
      <c r="P29" s="5"/>
      <c r="Q29" s="5">
        <f t="shared" si="0"/>
        <v>0</v>
      </c>
    </row>
    <row r="30" spans="1:17" x14ac:dyDescent="0.35">
      <c r="A30" s="7" t="s">
        <v>92</v>
      </c>
      <c r="B30" s="5">
        <v>24</v>
      </c>
      <c r="C30" s="5">
        <v>11</v>
      </c>
      <c r="D30" s="5"/>
      <c r="E30" s="5"/>
      <c r="F30" s="5"/>
      <c r="G30" s="5"/>
      <c r="H30" s="5"/>
      <c r="I30" s="5"/>
      <c r="J30" s="5"/>
      <c r="K30" s="5"/>
      <c r="N30" s="24"/>
      <c r="O30" s="5"/>
      <c r="P30" s="5"/>
      <c r="Q30" s="5">
        <f t="shared" si="0"/>
        <v>0</v>
      </c>
    </row>
    <row r="31" spans="1:17" x14ac:dyDescent="0.35">
      <c r="A31" s="7" t="s">
        <v>93</v>
      </c>
      <c r="B31" s="5">
        <v>12</v>
      </c>
      <c r="C31" s="5">
        <v>11</v>
      </c>
      <c r="D31" s="5"/>
      <c r="E31" s="5"/>
      <c r="F31" s="5"/>
      <c r="G31" s="5"/>
      <c r="H31" s="5"/>
      <c r="I31" s="5"/>
      <c r="J31" s="5"/>
      <c r="K31" s="5"/>
      <c r="N31" s="24"/>
      <c r="O31" s="5"/>
      <c r="P31" s="5"/>
      <c r="Q31" s="5">
        <f t="shared" si="0"/>
        <v>0</v>
      </c>
    </row>
    <row r="32" spans="1:17" x14ac:dyDescent="0.35">
      <c r="A32" s="7" t="s">
        <v>94</v>
      </c>
      <c r="B32" s="5">
        <v>12</v>
      </c>
      <c r="C32" s="5">
        <v>10</v>
      </c>
      <c r="D32" s="5"/>
      <c r="E32" s="5"/>
      <c r="F32" s="5"/>
      <c r="G32" s="5"/>
      <c r="H32" s="5"/>
      <c r="I32" s="5"/>
      <c r="J32" s="5"/>
      <c r="K32" s="5"/>
      <c r="N32" s="24"/>
      <c r="O32" s="5"/>
      <c r="P32" s="5"/>
      <c r="Q32" s="5">
        <f t="shared" si="0"/>
        <v>0</v>
      </c>
    </row>
    <row r="33" spans="1:18" x14ac:dyDescent="0.35">
      <c r="A33" s="7" t="s">
        <v>95</v>
      </c>
      <c r="B33" s="5">
        <v>12</v>
      </c>
      <c r="C33" s="5">
        <v>10</v>
      </c>
      <c r="D33" s="5"/>
      <c r="E33" s="5"/>
      <c r="F33" s="5"/>
      <c r="G33" s="5"/>
      <c r="H33" s="5"/>
      <c r="I33" s="5"/>
      <c r="J33" s="5"/>
      <c r="K33" s="5"/>
      <c r="N33" s="24"/>
      <c r="O33" s="5"/>
      <c r="P33" s="5"/>
      <c r="Q33" s="5">
        <f t="shared" si="0"/>
        <v>0</v>
      </c>
    </row>
    <row r="34" spans="1:18" x14ac:dyDescent="0.35">
      <c r="A34" s="7" t="s">
        <v>96</v>
      </c>
      <c r="B34" s="5">
        <v>12</v>
      </c>
      <c r="C34" s="5">
        <v>7</v>
      </c>
      <c r="D34" s="5"/>
      <c r="E34" s="5"/>
      <c r="F34" s="5"/>
      <c r="G34" s="5"/>
      <c r="H34" s="5"/>
      <c r="I34" s="5"/>
      <c r="J34" s="5"/>
      <c r="K34" s="5"/>
      <c r="N34" s="24"/>
      <c r="O34" s="5"/>
      <c r="P34" s="5"/>
      <c r="Q34" s="5">
        <f t="shared" si="0"/>
        <v>0</v>
      </c>
    </row>
    <row r="35" spans="1:18" x14ac:dyDescent="0.35">
      <c r="A35" s="7" t="s">
        <v>97</v>
      </c>
      <c r="B35" s="5">
        <v>12</v>
      </c>
      <c r="C35" s="5">
        <v>7</v>
      </c>
      <c r="D35" s="5"/>
      <c r="E35" s="5"/>
      <c r="F35" s="5"/>
      <c r="G35" s="5"/>
      <c r="H35" s="5"/>
      <c r="I35" s="5"/>
      <c r="J35" s="5"/>
      <c r="K35" s="5"/>
      <c r="N35" s="24"/>
      <c r="O35" s="5"/>
      <c r="P35" s="5"/>
      <c r="Q35" s="5">
        <f t="shared" si="0"/>
        <v>0</v>
      </c>
    </row>
    <row r="36" spans="1:18" x14ac:dyDescent="0.35">
      <c r="A36" s="7" t="s">
        <v>98</v>
      </c>
      <c r="B36" s="5">
        <v>12</v>
      </c>
      <c r="C36" s="5">
        <v>6</v>
      </c>
      <c r="D36" s="5"/>
      <c r="E36" s="5"/>
      <c r="F36" s="5"/>
      <c r="G36" s="5"/>
      <c r="H36" s="5"/>
      <c r="I36" s="5"/>
      <c r="J36" s="5"/>
      <c r="K36" s="5"/>
      <c r="N36" s="24"/>
      <c r="O36" s="5"/>
      <c r="P36" s="5"/>
      <c r="Q36" s="5">
        <f t="shared" si="0"/>
        <v>0</v>
      </c>
    </row>
    <row r="37" spans="1:18" x14ac:dyDescent="0.35">
      <c r="A37" s="7" t="s">
        <v>99</v>
      </c>
      <c r="B37" s="5">
        <v>12</v>
      </c>
      <c r="C37" s="5">
        <v>4</v>
      </c>
      <c r="D37" s="5"/>
      <c r="E37" s="5"/>
      <c r="F37" s="5"/>
      <c r="G37" s="5"/>
      <c r="H37" s="5"/>
      <c r="I37" s="5"/>
      <c r="J37" s="5"/>
      <c r="K37" s="5"/>
      <c r="N37" s="24"/>
      <c r="O37" s="5"/>
      <c r="P37" s="5"/>
      <c r="Q37" s="5">
        <f t="shared" si="0"/>
        <v>0</v>
      </c>
    </row>
    <row r="38" spans="1:18" x14ac:dyDescent="0.35">
      <c r="A38" s="7" t="s">
        <v>100</v>
      </c>
      <c r="B38" s="5">
        <v>12</v>
      </c>
      <c r="C38" s="5">
        <v>3</v>
      </c>
      <c r="D38" s="5"/>
      <c r="E38" s="5"/>
      <c r="F38" s="5"/>
      <c r="G38" s="5"/>
      <c r="H38" s="5"/>
      <c r="I38" s="5"/>
      <c r="J38" s="5"/>
      <c r="K38" s="5"/>
      <c r="N38" s="24"/>
      <c r="O38" s="5"/>
      <c r="P38" s="5"/>
      <c r="Q38" s="5">
        <f t="shared" si="0"/>
        <v>0</v>
      </c>
    </row>
    <row r="39" spans="1:18" x14ac:dyDescent="0.35">
      <c r="A39" s="7" t="s">
        <v>101</v>
      </c>
      <c r="B39" s="5">
        <v>6</v>
      </c>
      <c r="C39" s="5">
        <v>3</v>
      </c>
      <c r="D39" s="5"/>
      <c r="E39" s="5"/>
      <c r="F39" s="5"/>
      <c r="G39" s="5"/>
      <c r="H39" s="5"/>
      <c r="I39" s="5"/>
      <c r="J39" s="5"/>
      <c r="K39" s="5"/>
      <c r="N39" s="24"/>
      <c r="O39" s="5"/>
      <c r="P39" s="5"/>
      <c r="Q39" s="5">
        <f t="shared" si="0"/>
        <v>0</v>
      </c>
    </row>
    <row r="40" spans="1:18" x14ac:dyDescent="0.35">
      <c r="A40" s="7" t="s">
        <v>102</v>
      </c>
      <c r="B40" s="5">
        <v>6</v>
      </c>
      <c r="C40" s="5">
        <v>1</v>
      </c>
      <c r="D40" s="5"/>
      <c r="E40" s="5"/>
      <c r="F40" s="5"/>
      <c r="G40" s="5"/>
      <c r="H40" s="5"/>
      <c r="I40" s="5"/>
      <c r="J40" s="5"/>
      <c r="K40" s="5"/>
      <c r="N40" s="24"/>
      <c r="O40" s="5"/>
      <c r="P40" s="5"/>
      <c r="Q40" s="5">
        <f t="shared" si="0"/>
        <v>0</v>
      </c>
    </row>
    <row r="41" spans="1:18" x14ac:dyDescent="0.35">
      <c r="A41" s="7" t="s">
        <v>103</v>
      </c>
      <c r="B41" s="5">
        <v>6</v>
      </c>
      <c r="C41" s="5">
        <v>1</v>
      </c>
      <c r="D41" s="5"/>
      <c r="E41" s="5"/>
      <c r="F41" s="5"/>
      <c r="G41" s="5"/>
      <c r="H41" s="5"/>
      <c r="I41" s="5"/>
      <c r="J41" s="5"/>
      <c r="K41" s="5"/>
      <c r="N41" s="24"/>
      <c r="O41" s="5"/>
      <c r="P41" s="5"/>
      <c r="Q41" s="5">
        <f t="shared" si="0"/>
        <v>0</v>
      </c>
    </row>
    <row r="42" spans="1:18" x14ac:dyDescent="0.35">
      <c r="A42" s="7" t="s">
        <v>104</v>
      </c>
      <c r="B42" s="5">
        <v>6</v>
      </c>
      <c r="C42" s="5">
        <v>1</v>
      </c>
      <c r="D42" s="5"/>
      <c r="E42" s="5"/>
      <c r="F42" s="5"/>
      <c r="G42" s="5"/>
      <c r="H42" s="5"/>
      <c r="I42" s="5"/>
      <c r="J42" s="5"/>
      <c r="K42" s="5"/>
      <c r="N42" s="24"/>
      <c r="O42" s="5"/>
      <c r="P42" s="5"/>
      <c r="Q42" s="5">
        <f t="shared" si="0"/>
        <v>0</v>
      </c>
    </row>
    <row r="43" spans="1:18" x14ac:dyDescent="0.35">
      <c r="A43" s="12" t="s">
        <v>105</v>
      </c>
      <c r="B43" s="7">
        <f>SUM(B4:B42)</f>
        <v>444</v>
      </c>
      <c r="C43" s="7">
        <f>SUM(DI)</f>
        <v>85</v>
      </c>
      <c r="D43" s="7">
        <f>SUM(DI_A)</f>
        <v>34</v>
      </c>
      <c r="E43" s="7">
        <f>SUM(DI_B)</f>
        <v>33</v>
      </c>
      <c r="F43" s="7">
        <f>SUM(DO)</f>
        <v>56</v>
      </c>
      <c r="G43" s="7">
        <f>SUM(DO_A)</f>
        <v>23</v>
      </c>
      <c r="H43" s="7">
        <f>SUM(DO_B)</f>
        <v>24</v>
      </c>
      <c r="I43" s="7">
        <f>SUM(DOR)</f>
        <v>18</v>
      </c>
      <c r="J43" s="7">
        <f>SUM(DOR_A)</f>
        <v>7</v>
      </c>
      <c r="K43" s="7">
        <f>SUM(DOR_B)</f>
        <v>7</v>
      </c>
      <c r="N43" s="24"/>
      <c r="O43" s="5"/>
      <c r="P43" s="5"/>
      <c r="Q43" s="11" t="s">
        <v>106</v>
      </c>
      <c r="R43">
        <f t="shared" ref="R43:R52" si="1">SUM(O43:P43)</f>
        <v>0</v>
      </c>
    </row>
    <row r="44" spans="1:18" x14ac:dyDescent="0.35">
      <c r="C44" s="16"/>
      <c r="N44" s="24"/>
      <c r="O44" s="5"/>
      <c r="P44" s="5"/>
      <c r="Q44" s="11" t="s">
        <v>107</v>
      </c>
      <c r="R44">
        <f t="shared" si="1"/>
        <v>0</v>
      </c>
    </row>
    <row r="45" spans="1:18" x14ac:dyDescent="0.35">
      <c r="N45" s="24"/>
      <c r="O45" s="5"/>
      <c r="P45" s="5"/>
      <c r="Q45" s="11" t="s">
        <v>58</v>
      </c>
      <c r="R45">
        <f t="shared" si="1"/>
        <v>0</v>
      </c>
    </row>
    <row r="46" spans="1:18" x14ac:dyDescent="0.35">
      <c r="N46" s="24"/>
      <c r="O46" s="5"/>
      <c r="P46" s="5"/>
      <c r="Q46" s="11" t="s">
        <v>108</v>
      </c>
      <c r="R46">
        <f t="shared" si="1"/>
        <v>0</v>
      </c>
    </row>
    <row r="47" spans="1:18" x14ac:dyDescent="0.35">
      <c r="N47" s="24"/>
      <c r="O47" s="5"/>
      <c r="P47" s="5"/>
      <c r="Q47" s="11" t="s">
        <v>109</v>
      </c>
      <c r="R47">
        <f t="shared" si="1"/>
        <v>0</v>
      </c>
    </row>
    <row r="48" spans="1:18" x14ac:dyDescent="0.35">
      <c r="N48" s="24"/>
      <c r="O48" s="5"/>
      <c r="P48" s="5"/>
      <c r="Q48" s="11" t="s">
        <v>59</v>
      </c>
      <c r="R48">
        <f t="shared" si="1"/>
        <v>0</v>
      </c>
    </row>
    <row r="49" spans="2:22" x14ac:dyDescent="0.35">
      <c r="N49" s="24"/>
      <c r="O49" s="5"/>
      <c r="P49" s="5"/>
      <c r="Q49" s="11" t="s">
        <v>110</v>
      </c>
      <c r="R49">
        <f t="shared" si="1"/>
        <v>0</v>
      </c>
    </row>
    <row r="50" spans="2:22" x14ac:dyDescent="0.35">
      <c r="B50" s="6" t="s">
        <v>111</v>
      </c>
      <c r="C50" s="21" t="s">
        <v>112</v>
      </c>
      <c r="D50" s="22"/>
      <c r="E50" s="22"/>
      <c r="F50" s="22"/>
      <c r="G50" s="22"/>
      <c r="H50" s="22"/>
      <c r="I50" s="22"/>
      <c r="J50" s="22"/>
      <c r="K50" s="23"/>
      <c r="N50" s="24"/>
      <c r="O50" s="5"/>
      <c r="P50" s="5"/>
      <c r="Q50" s="11" t="s">
        <v>113</v>
      </c>
      <c r="R50">
        <f t="shared" si="1"/>
        <v>0</v>
      </c>
    </row>
    <row r="51" spans="2:22" x14ac:dyDescent="0.35">
      <c r="B51" s="5">
        <f>SUM(C51:K51)</f>
        <v>14</v>
      </c>
      <c r="C51" s="8">
        <f>ROUNDUP(SUM(C43:E43)/32,0) - SUM(D51:E51)</f>
        <v>1</v>
      </c>
      <c r="D51" s="5">
        <f>ROUNDUP(D43/32,0)</f>
        <v>2</v>
      </c>
      <c r="E51" s="5">
        <f>ROUNDUP(E43/32,0)</f>
        <v>2</v>
      </c>
      <c r="F51" s="8">
        <f>ROUNDUP(SUM(F43:H43)/16,0) - SUM(G51:H51)</f>
        <v>3</v>
      </c>
      <c r="G51" s="5">
        <f>ROUNDUP(G43/16,0)</f>
        <v>2</v>
      </c>
      <c r="H51" s="5">
        <f>ROUNDUP(H43/16,0)</f>
        <v>2</v>
      </c>
      <c r="I51" s="8">
        <f>ROUNDUP(SUM(I43:K43)/16,0) - SUM(J51:K51)</f>
        <v>0</v>
      </c>
      <c r="J51" s="5">
        <f>ROUNDUP(J43/16,0)</f>
        <v>1</v>
      </c>
      <c r="K51" s="5">
        <f>ROUNDUP(K43/16,0)</f>
        <v>1</v>
      </c>
      <c r="N51" s="24"/>
      <c r="O51" s="5"/>
      <c r="P51" s="5"/>
      <c r="Q51" s="11" t="s">
        <v>60</v>
      </c>
      <c r="R51">
        <f t="shared" si="1"/>
        <v>0</v>
      </c>
      <c r="U51" s="6" t="s">
        <v>53</v>
      </c>
      <c r="V51" s="13">
        <f>SUM(R43:R51)</f>
        <v>0</v>
      </c>
    </row>
    <row r="52" spans="2:22" x14ac:dyDescent="0.35">
      <c r="O52">
        <f>SUMPRODUCT(cabinet1_D,CABLES_Sizes_D)</f>
        <v>0</v>
      </c>
      <c r="P52">
        <f>SUMPRODUCT(cabinet2_D,CABLES_Sizes_D)</f>
        <v>0</v>
      </c>
      <c r="Q52" t="s">
        <v>52</v>
      </c>
      <c r="R52">
        <f t="shared" si="1"/>
        <v>0</v>
      </c>
    </row>
    <row r="53" spans="2:22" x14ac:dyDescent="0.35">
      <c r="N53" s="24" t="s">
        <v>114</v>
      </c>
      <c r="O53" s="5">
        <f>O43*32-SUMPRODUCT(cabinet1_D,DI_A)</f>
        <v>0</v>
      </c>
      <c r="P53" s="5">
        <f>P43*32-SUMPRODUCT(cabinet2_D,DI_A)</f>
        <v>0</v>
      </c>
      <c r="Q53" s="11" t="s">
        <v>106</v>
      </c>
    </row>
    <row r="54" spans="2:22" x14ac:dyDescent="0.35">
      <c r="N54" s="24"/>
      <c r="O54" s="5">
        <f>O44*32-SUMPRODUCT(cabinet1_D,DI_B)</f>
        <v>0</v>
      </c>
      <c r="P54" s="5">
        <f>P44*32-SUMPRODUCT(cabinet2_D,DI_B)</f>
        <v>0</v>
      </c>
      <c r="Q54" s="11" t="s">
        <v>107</v>
      </c>
    </row>
    <row r="55" spans="2:22" x14ac:dyDescent="0.35">
      <c r="N55" s="24"/>
      <c r="O55" s="5">
        <f>O45*32-SUMPRODUCT(cabinet1_D,DI)+SUM(O53:O54)</f>
        <v>0</v>
      </c>
      <c r="P55" s="5">
        <f>P45*32-SUMPRODUCT(cabinet2_D,DI)+SUM(P53:P54)</f>
        <v>0</v>
      </c>
      <c r="Q55" s="11" t="s">
        <v>58</v>
      </c>
    </row>
    <row r="56" spans="2:22" x14ac:dyDescent="0.35">
      <c r="B56">
        <f>B51+SUM(I51:K51)</f>
        <v>16</v>
      </c>
      <c r="N56" s="24"/>
      <c r="O56" s="5">
        <f>O46*16-SUMPRODUCT(cabinet1_D,DO_A)</f>
        <v>0</v>
      </c>
      <c r="P56" s="5">
        <f>P46*16-SUMPRODUCT(cabinet2_D,DO_A)</f>
        <v>0</v>
      </c>
      <c r="Q56" s="11" t="s">
        <v>108</v>
      </c>
    </row>
    <row r="57" spans="2:22" x14ac:dyDescent="0.35">
      <c r="N57" s="24"/>
      <c r="O57" s="5">
        <f>O47*16-SUMPRODUCT(cabinet1_D,DO_B)</f>
        <v>0</v>
      </c>
      <c r="P57" s="5">
        <f>P47*16-SUMPRODUCT(cabinet2_D,DO_B)</f>
        <v>0</v>
      </c>
      <c r="Q57" s="11" t="s">
        <v>109</v>
      </c>
    </row>
    <row r="58" spans="2:22" x14ac:dyDescent="0.35">
      <c r="N58" s="24"/>
      <c r="O58" s="5">
        <f>O48*16-SUMPRODUCT(cabinet1_D,DO)+SUM(O56:O57)</f>
        <v>0</v>
      </c>
      <c r="P58" s="5">
        <f>P48*16-SUMPRODUCT(cabinet2_D,DO)+SUM(P56:P57)</f>
        <v>0</v>
      </c>
      <c r="Q58" s="11" t="s">
        <v>59</v>
      </c>
    </row>
    <row r="59" spans="2:22" x14ac:dyDescent="0.35">
      <c r="N59" s="24"/>
      <c r="O59" s="5">
        <f>O49*16-SUMPRODUCT(cabinet1_D,DOR_A)</f>
        <v>0</v>
      </c>
      <c r="P59" s="5">
        <f>P49*16-SUMPRODUCT(cabinet2_D,DOR_A)</f>
        <v>0</v>
      </c>
      <c r="Q59" s="11" t="s">
        <v>110</v>
      </c>
    </row>
    <row r="60" spans="2:22" x14ac:dyDescent="0.35">
      <c r="N60" s="24"/>
      <c r="O60" s="5">
        <f>O50*16-SUMPRODUCT(cabinet1_D,DOR_B)</f>
        <v>0</v>
      </c>
      <c r="P60" s="5">
        <f>P50*16-SUMPRODUCT(cabinet2_D,DOR_B)</f>
        <v>0</v>
      </c>
      <c r="Q60" s="11" t="s">
        <v>113</v>
      </c>
    </row>
    <row r="61" spans="2:22" x14ac:dyDescent="0.35">
      <c r="N61" s="24"/>
      <c r="O61" s="5">
        <f>O51*16-SUMPRODUCT(cabinet1_D,DOR)+SUM(O59:O60)</f>
        <v>0</v>
      </c>
      <c r="P61" s="5">
        <f>P51*16-SUMPRODUCT(cabinet2_D,DOR)+SUM(P59:P60)</f>
        <v>0</v>
      </c>
      <c r="Q61" s="11" t="s">
        <v>60</v>
      </c>
    </row>
    <row r="64" spans="2:22" x14ac:dyDescent="0.35">
      <c r="N64" s="6" t="s">
        <v>57</v>
      </c>
      <c r="O64" s="7">
        <f>SUMPRODUCT(cabinet1_D,CABLES_Sizes_D)*12.2+SUM(cabinet1_D)*10</f>
        <v>0</v>
      </c>
      <c r="P64" s="7">
        <f>SUMPRODUCT(cabinet2_D,CABLES_Sizes_D)*12.2+SUM(cabinet2_D)*10</f>
        <v>0</v>
      </c>
    </row>
  </sheetData>
  <autoFilter ref="A1:P65" xr:uid="{00000000-0009-0000-0000-000004000000}"/>
  <mergeCells count="3">
    <mergeCell ref="C50:K50"/>
    <mergeCell ref="N4:N51"/>
    <mergeCell ref="N53:N61"/>
  </mergeCells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268333847E724F97906BEFB176E3EC" ma:contentTypeVersion="13" ma:contentTypeDescription="Create a new document." ma:contentTypeScope="" ma:versionID="f8c19d567d81fb2dd348794eacd18486">
  <xsd:schema xmlns:xsd="http://www.w3.org/2001/XMLSchema" xmlns:xs="http://www.w3.org/2001/XMLSchema" xmlns:p="http://schemas.microsoft.com/office/2006/metadata/properties" xmlns:ns2="f927c95b-179b-4f82-976b-aae42a01e5a8" xmlns:ns3="2dbe9fb7-725d-479f-b043-818c752b2022" targetNamespace="http://schemas.microsoft.com/office/2006/metadata/properties" ma:root="true" ma:fieldsID="abe3f8fc0268c6c40394354b93d1c433" ns2:_="" ns3:_="">
    <xsd:import namespace="f927c95b-179b-4f82-976b-aae42a01e5a8"/>
    <xsd:import namespace="2dbe9fb7-725d-479f-b043-818c752b20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27c95b-179b-4f82-976b-aae42a01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be9fb7-725d-479f-b043-818c752b202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41120-FAFC-40E4-BCF7-124BA9C77C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A40D463-DA27-4DDB-AC4C-BC97928048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C19A27-DE10-4EAC-8336-4AAE44DDC5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27c95b-179b-4f82-976b-aae42a01e5a8"/>
    <ds:schemaRef ds:uri="2dbe9fb7-725d-479f-b043-818c752b20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size="34" baseType="lpstr">
      <vt:lpstr>Analog Cabinets</vt:lpstr>
      <vt:lpstr>Digital Cabinets</vt:lpstr>
      <vt:lpstr>AI</vt:lpstr>
      <vt:lpstr>AI_A</vt:lpstr>
      <vt:lpstr>AI_B</vt:lpstr>
      <vt:lpstr>AIR</vt:lpstr>
      <vt:lpstr>AIR_A</vt:lpstr>
      <vt:lpstr>AIR_B</vt:lpstr>
      <vt:lpstr>AIR_C</vt:lpstr>
      <vt:lpstr>AO</vt:lpstr>
      <vt:lpstr>AO_A</vt:lpstr>
      <vt:lpstr>AO_B</vt:lpstr>
      <vt:lpstr>AOR</vt:lpstr>
      <vt:lpstr>BALANCE_A</vt:lpstr>
      <vt:lpstr>BALANCE_D</vt:lpstr>
      <vt:lpstr>CABINET1_A</vt:lpstr>
      <vt:lpstr>cabinet1_D</vt:lpstr>
      <vt:lpstr>CABINET2_A</vt:lpstr>
      <vt:lpstr>cabinet2_D</vt:lpstr>
      <vt:lpstr>Cables_A</vt:lpstr>
      <vt:lpstr>Cables_D</vt:lpstr>
      <vt:lpstr>CABLES_Sizes_A</vt:lpstr>
      <vt:lpstr>CABLES_Sizes_D</vt:lpstr>
      <vt:lpstr>CARDS_A</vt:lpstr>
      <vt:lpstr>CARDS_D</vt:lpstr>
      <vt:lpstr>DI</vt:lpstr>
      <vt:lpstr>DI_A</vt:lpstr>
      <vt:lpstr>DI_B</vt:lpstr>
      <vt:lpstr>DO</vt:lpstr>
      <vt:lpstr>DO_A</vt:lpstr>
      <vt:lpstr>DO_B</vt:lpstr>
      <vt:lpstr>DOR</vt:lpstr>
      <vt:lpstr>DOR_A</vt:lpstr>
      <vt:lpstr>DOR_B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Account2</dc:creator>
  <cp:keywords/>
  <dc:description/>
  <cp:lastModifiedBy>Shashiram Reddy Piendla</cp:lastModifiedBy>
  <cp:revision/>
  <dcterms:created xsi:type="dcterms:W3CDTF">2022-04-10T10:18:31Z</dcterms:created>
  <dcterms:modified xsi:type="dcterms:W3CDTF">2022-09-02T06:30:06Z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0x01010098268333847E724F97906BEFB176E3EC</vt:lpwstr>
  </property>
  <property fmtid="{D5CDD505-2E9C-101B-9397-08002B2CF9AE}" pid="3" name="MSIP_Label_23f93e5f-d3c2-49a7-ba94-15405423c204_Enabled">
    <vt:lpwstr>true</vt:lpwstr>
  </property>
  <property fmtid="{D5CDD505-2E9C-101B-9397-08002B2CF9AE}" pid="4" name="MSIP_Label_23f93e5f-d3c2-49a7-ba94-15405423c204_SetDate">
    <vt:lpwstr>2022-09-02T06:30:06Z</vt:lpwstr>
  </property>
  <property fmtid="{D5CDD505-2E9C-101B-9397-08002B2CF9AE}" pid="5" name="MSIP_Label_23f93e5f-d3c2-49a7-ba94-15405423c204_Method">
    <vt:lpwstr>Standard</vt:lpwstr>
  </property>
  <property fmtid="{D5CDD505-2E9C-101B-9397-08002B2CF9AE}" pid="6" name="MSIP_Label_23f93e5f-d3c2-49a7-ba94-15405423c204_Name">
    <vt:lpwstr>SE Internal</vt:lpwstr>
  </property>
  <property fmtid="{D5CDD505-2E9C-101B-9397-08002B2CF9AE}" pid="7" name="MSIP_Label_23f93e5f-d3c2-49a7-ba94-15405423c204_SiteId">
    <vt:lpwstr>6e51e1ad-c54b-4b39-b598-0ffe9ae68fef</vt:lpwstr>
  </property>
  <property fmtid="{D5CDD505-2E9C-101B-9397-08002B2CF9AE}" pid="8" name="MSIP_Label_23f93e5f-d3c2-49a7-ba94-15405423c204_ActionId">
    <vt:lpwstr>cb38497f-3fe2-418f-833b-159eca3ac703</vt:lpwstr>
  </property>
  <property fmtid="{D5CDD505-2E9C-101B-9397-08002B2CF9AE}" pid="9" name="MSIP_Label_23f93e5f-d3c2-49a7-ba94-15405423c204_ContentBits">
    <vt:lpwstr>2</vt:lpwstr>
  </property>
</Properties>
</file>