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threadedComments/threadedComment2.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166925"/>
  <mc:AlternateContent xmlns:mc="http://schemas.openxmlformats.org/markup-compatibility/2006">
    <mc:Choice Requires="x15">
      <x15ac:absPath xmlns:x15ac="http://schemas.microsoft.com/office/spreadsheetml/2010/11/ac" url="https://ucd.sharepoint.com/sites/FinancialAnalysis943/Shared Documents/Financial analysis/"/>
    </mc:Choice>
  </mc:AlternateContent>
  <xr:revisionPtr revIDLastSave="0" documentId="8_{3CB3784C-2B83-4E76-8439-C6EE18CAC8B9}" xr6:coauthVersionLast="47" xr6:coauthVersionMax="47" xr10:uidLastSave="{00000000-0000-0000-0000-000000000000}"/>
  <bookViews>
    <workbookView xWindow="-2220" yWindow="-21120" windowWidth="38400" windowHeight="21120" firstSheet="8" activeTab="18" xr2:uid="{00000000-000D-0000-FFFF-FFFF00000000}"/>
  </bookViews>
  <sheets>
    <sheet name="Steps" sheetId="15" r:id="rId1"/>
    <sheet name="Notes" sheetId="16" r:id="rId2"/>
    <sheet name="Downloading Data" sheetId="11" r:id="rId3"/>
    <sheet name="A.Raw Historical data - IS" sheetId="2" state="hidden" r:id="rId4"/>
    <sheet name="A.Raw Historical - CF" sheetId="18" state="hidden" r:id="rId5"/>
    <sheet name="A.Raw Historical data - BS" sheetId="17" state="hidden" r:id="rId6"/>
    <sheet name="A. Raw Historical - CF" sheetId="22" r:id="rId7"/>
    <sheet name="A. Raw Historical Data - IS" sheetId="20" r:id="rId8"/>
    <sheet name="A. Raw Historical Data - BS" sheetId="23" r:id="rId9"/>
    <sheet name="B. old Integrated fin." sheetId="12" state="hidden" r:id="rId10"/>
    <sheet name="B. Integrated Fin - Income St." sheetId="19" r:id="rId11"/>
    <sheet name="B. Integrated Fin - Balance S." sheetId="24" r:id="rId12"/>
    <sheet name="C1.Hist. &amp; Forecast Ratio" sheetId="25" r:id="rId13"/>
    <sheet name="D.Market data &amp; WACC" sheetId="8" r:id="rId14"/>
    <sheet name="Sheet1" sheetId="28" r:id="rId15"/>
    <sheet name="E.Reorg. fin.Stmt (Shash notes)" sheetId="26" r:id="rId16"/>
    <sheet name="E.Reorg. fin. stmts (Shash)" sheetId="7" r:id="rId17"/>
    <sheet name="F.ROIC &amp; FCF (Shash)" sheetId="10" r:id="rId18"/>
    <sheet name="G.Valuation (Shash)" sheetId="27" r:id="rId19"/>
    <sheet name="G.Valuation" sheetId="9" r:id="rId20"/>
    <sheet name="F. Sensitivity Analysis" sheetId="29" r:id="rId21"/>
  </sheets>
  <definedNames>
    <definedName name="_xlnm._FilterDatabase" localSheetId="8" hidden="1">'A. Raw Historical Data - BS'!$A$1:$V$100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0" i="23" l="1"/>
  <c r="Z30" i="23"/>
  <c r="AA30" i="23"/>
  <c r="AB30" i="23"/>
  <c r="AC30" i="23"/>
  <c r="AD30" i="23"/>
  <c r="AE30" i="23"/>
  <c r="AF30" i="23"/>
  <c r="AG30" i="23"/>
  <c r="AH30" i="23"/>
  <c r="X30" i="23"/>
  <c r="L11" i="27"/>
  <c r="B9" i="27"/>
  <c r="B30" i="27"/>
  <c r="B28" i="27"/>
  <c r="L27" i="27"/>
  <c r="L26" i="27"/>
  <c r="L25" i="27"/>
  <c r="L24" i="27"/>
  <c r="C25" i="27"/>
  <c r="D25" i="27"/>
  <c r="E25" i="27"/>
  <c r="F25" i="27"/>
  <c r="G25" i="27"/>
  <c r="H25" i="27"/>
  <c r="I25" i="27"/>
  <c r="J25" i="27"/>
  <c r="K25" i="27"/>
  <c r="B25" i="27"/>
  <c r="C7" i="27"/>
  <c r="D7" i="27"/>
  <c r="E7" i="27"/>
  <c r="F7" i="27"/>
  <c r="G7" i="27"/>
  <c r="H7" i="27"/>
  <c r="I7" i="27"/>
  <c r="J7" i="27"/>
  <c r="K7" i="27"/>
  <c r="B7" i="27"/>
  <c r="C24" i="27"/>
  <c r="D24" i="27"/>
  <c r="E24" i="27"/>
  <c r="F24" i="27"/>
  <c r="G24" i="27"/>
  <c r="H24" i="27"/>
  <c r="I24" i="27"/>
  <c r="J24" i="27"/>
  <c r="K24" i="27"/>
  <c r="B24" i="27"/>
  <c r="B13" i="27"/>
  <c r="L9" i="27"/>
  <c r="B8" i="27"/>
  <c r="L10" i="27"/>
  <c r="C9" i="27"/>
  <c r="D9" i="27"/>
  <c r="E9" i="27"/>
  <c r="F9" i="27"/>
  <c r="G9" i="27"/>
  <c r="H9" i="27"/>
  <c r="I9" i="27"/>
  <c r="J9" i="27"/>
  <c r="K9" i="27"/>
  <c r="B12" i="27"/>
  <c r="B14" i="27" s="1"/>
  <c r="B16" i="27" s="1"/>
  <c r="L8" i="27"/>
  <c r="C8" i="27"/>
  <c r="D8" i="27"/>
  <c r="E8" i="27"/>
  <c r="F8" i="27"/>
  <c r="G8" i="27"/>
  <c r="H8" i="27"/>
  <c r="I8" i="27"/>
  <c r="J8" i="27"/>
  <c r="K8" i="27"/>
  <c r="M7" i="7"/>
  <c r="C11" i="10"/>
  <c r="D11" i="10"/>
  <c r="E11" i="10"/>
  <c r="F11" i="10"/>
  <c r="G11" i="10"/>
  <c r="H11" i="10"/>
  <c r="I11" i="10"/>
  <c r="J11" i="10"/>
  <c r="K11" i="10"/>
  <c r="L11" i="10"/>
  <c r="M11" i="10"/>
  <c r="N11" i="10"/>
  <c r="O11" i="10"/>
  <c r="P11" i="10"/>
  <c r="Q11" i="10"/>
  <c r="R11" i="10"/>
  <c r="S11" i="10"/>
  <c r="T11" i="10"/>
  <c r="U11" i="10"/>
  <c r="V11" i="10"/>
  <c r="B11" i="10"/>
  <c r="B9" i="10"/>
  <c r="C9" i="10"/>
  <c r="D9" i="10"/>
  <c r="E9" i="10"/>
  <c r="F9" i="10"/>
  <c r="G9" i="10"/>
  <c r="H9" i="10"/>
  <c r="I9" i="10"/>
  <c r="J9" i="10"/>
  <c r="K9" i="10"/>
  <c r="L9" i="10"/>
  <c r="M9" i="10"/>
  <c r="N9" i="10"/>
  <c r="O9" i="10"/>
  <c r="P9" i="10"/>
  <c r="Q9" i="10"/>
  <c r="R9" i="10"/>
  <c r="S9" i="10"/>
  <c r="T9" i="10"/>
  <c r="U9" i="10"/>
  <c r="V9" i="10"/>
  <c r="B175" i="19"/>
  <c r="C175" i="19"/>
  <c r="D175" i="19"/>
  <c r="E175" i="19"/>
  <c r="F175" i="19"/>
  <c r="G175" i="19"/>
  <c r="H175" i="19"/>
  <c r="I175" i="19"/>
  <c r="J175" i="19"/>
  <c r="K175" i="19"/>
  <c r="L175" i="19"/>
  <c r="M175" i="19"/>
  <c r="N175" i="19"/>
  <c r="O175" i="19"/>
  <c r="P175" i="19"/>
  <c r="Q175" i="19"/>
  <c r="R175" i="19"/>
  <c r="S175" i="19"/>
  <c r="T175" i="19"/>
  <c r="U175" i="19"/>
  <c r="V175" i="19"/>
  <c r="W175" i="19"/>
  <c r="A130" i="19"/>
  <c r="B130" i="19"/>
  <c r="C130" i="19"/>
  <c r="D130" i="19"/>
  <c r="E130" i="19"/>
  <c r="F130" i="19"/>
  <c r="G130" i="19"/>
  <c r="H130" i="19"/>
  <c r="I130" i="19"/>
  <c r="J130" i="19"/>
  <c r="K130" i="19"/>
  <c r="L130" i="19"/>
  <c r="M130" i="19"/>
  <c r="W130" i="19"/>
  <c r="A131" i="19"/>
  <c r="B131" i="19"/>
  <c r="C131" i="19"/>
  <c r="D131" i="19"/>
  <c r="E131" i="19"/>
  <c r="F131" i="19"/>
  <c r="G131" i="19"/>
  <c r="H131" i="19"/>
  <c r="I131" i="19"/>
  <c r="J131" i="19"/>
  <c r="K131" i="19"/>
  <c r="L131" i="19"/>
  <c r="M131" i="19"/>
  <c r="N131" i="19"/>
  <c r="O131" i="19"/>
  <c r="P131" i="19"/>
  <c r="Q131" i="19"/>
  <c r="R131" i="19"/>
  <c r="S131" i="19"/>
  <c r="T131" i="19"/>
  <c r="U131" i="19"/>
  <c r="V131" i="19"/>
  <c r="W131" i="19"/>
  <c r="A132" i="19"/>
  <c r="A133" i="19"/>
  <c r="A134" i="19"/>
  <c r="A135" i="19"/>
  <c r="B135" i="19"/>
  <c r="C135" i="19"/>
  <c r="D135" i="19"/>
  <c r="E135" i="19"/>
  <c r="F135" i="19"/>
  <c r="G135" i="19"/>
  <c r="H135" i="19"/>
  <c r="I135" i="19"/>
  <c r="J135" i="19"/>
  <c r="K135" i="19"/>
  <c r="L135" i="19"/>
  <c r="M135" i="19"/>
  <c r="N135" i="19"/>
  <c r="O135" i="19"/>
  <c r="P135" i="19"/>
  <c r="Q135" i="19"/>
  <c r="R135" i="19"/>
  <c r="S135" i="19"/>
  <c r="T135" i="19"/>
  <c r="U135" i="19"/>
  <c r="V135" i="19"/>
  <c r="W135" i="19"/>
  <c r="A136" i="19"/>
  <c r="A137" i="19"/>
  <c r="A138" i="19"/>
  <c r="A139" i="19"/>
  <c r="B139" i="19"/>
  <c r="C139" i="19"/>
  <c r="D139" i="19"/>
  <c r="E139" i="19"/>
  <c r="F139" i="19"/>
  <c r="G139" i="19"/>
  <c r="H139" i="19"/>
  <c r="I139" i="19"/>
  <c r="J139" i="19"/>
  <c r="K139" i="19"/>
  <c r="L139" i="19"/>
  <c r="M139" i="19"/>
  <c r="N139" i="19"/>
  <c r="O139" i="19"/>
  <c r="P139" i="19"/>
  <c r="Q139" i="19"/>
  <c r="R139" i="19"/>
  <c r="S139" i="19"/>
  <c r="T139" i="19"/>
  <c r="U139" i="19"/>
  <c r="V139" i="19"/>
  <c r="W139" i="19"/>
  <c r="A140" i="19"/>
  <c r="A141" i="19"/>
  <c r="A142" i="19"/>
  <c r="B142" i="19"/>
  <c r="C142" i="19"/>
  <c r="D142" i="19"/>
  <c r="E142" i="19"/>
  <c r="F142" i="19"/>
  <c r="G142" i="19"/>
  <c r="H142" i="19"/>
  <c r="I142" i="19"/>
  <c r="J142" i="19"/>
  <c r="K142" i="19"/>
  <c r="L142" i="19"/>
  <c r="W142" i="19"/>
  <c r="A143" i="19"/>
  <c r="A144" i="19"/>
  <c r="A145" i="19"/>
  <c r="A146" i="19"/>
  <c r="B146" i="19"/>
  <c r="C146" i="19"/>
  <c r="D146" i="19"/>
  <c r="E146" i="19"/>
  <c r="F146" i="19"/>
  <c r="G146" i="19"/>
  <c r="H146" i="19"/>
  <c r="I146" i="19"/>
  <c r="J146" i="19"/>
  <c r="K146" i="19"/>
  <c r="L146" i="19"/>
  <c r="M146" i="19"/>
  <c r="N146" i="19"/>
  <c r="O146" i="19"/>
  <c r="P146" i="19"/>
  <c r="Q146" i="19"/>
  <c r="R146" i="19"/>
  <c r="S146" i="19"/>
  <c r="T146" i="19"/>
  <c r="U146" i="19"/>
  <c r="V146" i="19"/>
  <c r="W146" i="19"/>
  <c r="A147" i="19"/>
  <c r="A148" i="19"/>
  <c r="B148" i="19"/>
  <c r="C148" i="19"/>
  <c r="D148" i="19"/>
  <c r="E148" i="19"/>
  <c r="F148" i="19"/>
  <c r="G148" i="19"/>
  <c r="H148" i="19"/>
  <c r="I148" i="19"/>
  <c r="J148" i="19"/>
  <c r="K148" i="19"/>
  <c r="L148" i="19"/>
  <c r="M148" i="19"/>
  <c r="N148" i="19"/>
  <c r="O148" i="19"/>
  <c r="P148" i="19"/>
  <c r="Q148" i="19"/>
  <c r="R148" i="19"/>
  <c r="S148" i="19"/>
  <c r="T148" i="19"/>
  <c r="U148" i="19"/>
  <c r="V148" i="19"/>
  <c r="W148" i="19"/>
  <c r="A149" i="19"/>
  <c r="A150" i="19"/>
  <c r="B150" i="19"/>
  <c r="C150" i="19"/>
  <c r="D150" i="19"/>
  <c r="E150" i="19"/>
  <c r="F150" i="19"/>
  <c r="G150" i="19"/>
  <c r="H150" i="19"/>
  <c r="I150" i="19"/>
  <c r="J150" i="19"/>
  <c r="K150" i="19"/>
  <c r="L150" i="19"/>
  <c r="M150" i="19"/>
  <c r="N150" i="19"/>
  <c r="O150" i="19"/>
  <c r="P150" i="19"/>
  <c r="Q150" i="19"/>
  <c r="R150" i="19"/>
  <c r="S150" i="19"/>
  <c r="T150" i="19"/>
  <c r="U150" i="19"/>
  <c r="V150" i="19"/>
  <c r="W150" i="19"/>
  <c r="A151" i="19"/>
  <c r="B151" i="19"/>
  <c r="C151" i="19"/>
  <c r="D151" i="19"/>
  <c r="E151" i="19"/>
  <c r="F151" i="19"/>
  <c r="G151" i="19"/>
  <c r="H151" i="19"/>
  <c r="I151" i="19"/>
  <c r="J151" i="19"/>
  <c r="K151" i="19"/>
  <c r="L151" i="19"/>
  <c r="M151" i="19"/>
  <c r="N151" i="19"/>
  <c r="O151" i="19"/>
  <c r="P151" i="19"/>
  <c r="Q151" i="19"/>
  <c r="R151" i="19"/>
  <c r="S151" i="19"/>
  <c r="T151" i="19"/>
  <c r="U151" i="19"/>
  <c r="V151" i="19"/>
  <c r="W151" i="19"/>
  <c r="A152" i="19"/>
  <c r="B152" i="19"/>
  <c r="C152" i="19"/>
  <c r="D152" i="19"/>
  <c r="E152" i="19"/>
  <c r="F152" i="19"/>
  <c r="G152" i="19"/>
  <c r="H152" i="19"/>
  <c r="I152" i="19"/>
  <c r="J152" i="19"/>
  <c r="K152" i="19"/>
  <c r="L152" i="19"/>
  <c r="M152" i="19"/>
  <c r="N152" i="19"/>
  <c r="O152" i="19"/>
  <c r="P152" i="19"/>
  <c r="Q152" i="19"/>
  <c r="R152" i="19"/>
  <c r="S152" i="19"/>
  <c r="T152" i="19"/>
  <c r="U152" i="19"/>
  <c r="V152" i="19"/>
  <c r="W152" i="19"/>
  <c r="A153" i="19"/>
  <c r="B153" i="19"/>
  <c r="C153" i="19"/>
  <c r="D153" i="19"/>
  <c r="E153" i="19"/>
  <c r="F153" i="19"/>
  <c r="G153" i="19"/>
  <c r="H153" i="19"/>
  <c r="I153" i="19"/>
  <c r="J153" i="19"/>
  <c r="K153" i="19"/>
  <c r="L153" i="19"/>
  <c r="M153" i="19"/>
  <c r="A154" i="19"/>
  <c r="B154" i="19"/>
  <c r="C154" i="19"/>
  <c r="D154" i="19"/>
  <c r="E154" i="19"/>
  <c r="F154" i="19"/>
  <c r="G154" i="19"/>
  <c r="H154" i="19"/>
  <c r="I154" i="19"/>
  <c r="J154" i="19"/>
  <c r="K154" i="19"/>
  <c r="L154" i="19"/>
  <c r="A155" i="19"/>
  <c r="A156" i="19"/>
  <c r="B156" i="19"/>
  <c r="C156" i="19"/>
  <c r="D156" i="19"/>
  <c r="E156" i="19"/>
  <c r="F156" i="19"/>
  <c r="G156" i="19"/>
  <c r="H156" i="19"/>
  <c r="I156" i="19"/>
  <c r="J156" i="19"/>
  <c r="K156" i="19"/>
  <c r="L156" i="19"/>
  <c r="A157" i="19"/>
  <c r="A158" i="19"/>
  <c r="B158" i="19"/>
  <c r="C158" i="19"/>
  <c r="D158" i="19"/>
  <c r="E158" i="19"/>
  <c r="F158" i="19"/>
  <c r="G158" i="19"/>
  <c r="H158" i="19"/>
  <c r="I158" i="19"/>
  <c r="J158" i="19"/>
  <c r="K158" i="19"/>
  <c r="L158" i="19"/>
  <c r="M158" i="19"/>
  <c r="N158" i="19"/>
  <c r="O158" i="19"/>
  <c r="P158" i="19"/>
  <c r="Q158" i="19"/>
  <c r="R158" i="19"/>
  <c r="S158" i="19"/>
  <c r="T158" i="19"/>
  <c r="U158" i="19"/>
  <c r="V158" i="19"/>
  <c r="W158" i="19"/>
  <c r="A159" i="19"/>
  <c r="B159" i="19"/>
  <c r="C159" i="19"/>
  <c r="D159" i="19"/>
  <c r="E159" i="19"/>
  <c r="F159" i="19"/>
  <c r="G159" i="19"/>
  <c r="H159" i="19"/>
  <c r="I159" i="19"/>
  <c r="J159" i="19"/>
  <c r="K159" i="19"/>
  <c r="L159" i="19"/>
  <c r="M159" i="19"/>
  <c r="N159" i="19"/>
  <c r="O159" i="19"/>
  <c r="P159" i="19"/>
  <c r="Q159" i="19"/>
  <c r="R159" i="19"/>
  <c r="S159" i="19"/>
  <c r="T159" i="19"/>
  <c r="U159" i="19"/>
  <c r="V159" i="19"/>
  <c r="W159" i="19"/>
  <c r="A160" i="19"/>
  <c r="A161" i="19"/>
  <c r="B161" i="19"/>
  <c r="C161" i="19"/>
  <c r="D161" i="19"/>
  <c r="E161" i="19"/>
  <c r="F161" i="19"/>
  <c r="G161" i="19"/>
  <c r="H161" i="19"/>
  <c r="I161" i="19"/>
  <c r="J161" i="19"/>
  <c r="K161" i="19"/>
  <c r="L161" i="19"/>
  <c r="M161" i="19"/>
  <c r="N161" i="19"/>
  <c r="O161" i="19"/>
  <c r="P161" i="19"/>
  <c r="Q161" i="19"/>
  <c r="R161" i="19"/>
  <c r="S161" i="19"/>
  <c r="T161" i="19"/>
  <c r="U161" i="19"/>
  <c r="V161" i="19"/>
  <c r="W161" i="19"/>
  <c r="A162" i="19"/>
  <c r="B162" i="19"/>
  <c r="C162" i="19"/>
  <c r="D162" i="19"/>
  <c r="E162" i="19"/>
  <c r="F162" i="19"/>
  <c r="G162" i="19"/>
  <c r="H162" i="19"/>
  <c r="I162" i="19"/>
  <c r="J162" i="19"/>
  <c r="K162" i="19"/>
  <c r="L162" i="19"/>
  <c r="M162" i="19"/>
  <c r="N162" i="19"/>
  <c r="O162" i="19"/>
  <c r="P162" i="19"/>
  <c r="Q162" i="19"/>
  <c r="R162" i="19"/>
  <c r="S162" i="19"/>
  <c r="T162" i="19"/>
  <c r="U162" i="19"/>
  <c r="V162" i="19"/>
  <c r="W162" i="19"/>
  <c r="A163" i="19"/>
  <c r="A164" i="19"/>
  <c r="A165" i="19"/>
  <c r="A166" i="19"/>
  <c r="A167" i="19"/>
  <c r="A168" i="19"/>
  <c r="B168" i="19"/>
  <c r="C168" i="19"/>
  <c r="D168" i="19"/>
  <c r="E168" i="19"/>
  <c r="F168" i="19"/>
  <c r="G168" i="19"/>
  <c r="H168" i="19"/>
  <c r="I168" i="19"/>
  <c r="J168" i="19"/>
  <c r="K168" i="19"/>
  <c r="L168" i="19"/>
  <c r="M168" i="19"/>
  <c r="N168" i="19"/>
  <c r="O168" i="19"/>
  <c r="P168" i="19"/>
  <c r="Q168" i="19"/>
  <c r="R168" i="19"/>
  <c r="S168" i="19"/>
  <c r="T168" i="19"/>
  <c r="U168" i="19"/>
  <c r="V168" i="19"/>
  <c r="W168" i="19"/>
  <c r="A169" i="19"/>
  <c r="B169" i="19"/>
  <c r="C169" i="19"/>
  <c r="D169" i="19"/>
  <c r="E169" i="19"/>
  <c r="F169" i="19"/>
  <c r="G169" i="19"/>
  <c r="H169" i="19"/>
  <c r="I169" i="19"/>
  <c r="J169" i="19"/>
  <c r="K169" i="19"/>
  <c r="L169" i="19"/>
  <c r="M169" i="19"/>
  <c r="N169" i="19"/>
  <c r="O169" i="19"/>
  <c r="P169" i="19"/>
  <c r="Q169" i="19"/>
  <c r="R169" i="19"/>
  <c r="S169" i="19"/>
  <c r="T169" i="19"/>
  <c r="U169" i="19"/>
  <c r="V169" i="19"/>
  <c r="W169" i="19"/>
  <c r="A170" i="19"/>
  <c r="B170" i="19"/>
  <c r="C170" i="19"/>
  <c r="D170" i="19"/>
  <c r="E170" i="19"/>
  <c r="G170" i="19"/>
  <c r="H170" i="19"/>
  <c r="I170" i="19"/>
  <c r="J170" i="19"/>
  <c r="K170" i="19"/>
  <c r="L170" i="19"/>
  <c r="M170" i="19"/>
  <c r="N170" i="19"/>
  <c r="O170" i="19"/>
  <c r="P170" i="19"/>
  <c r="Q170" i="19"/>
  <c r="R170" i="19"/>
  <c r="S170" i="19"/>
  <c r="T170" i="19"/>
  <c r="U170" i="19"/>
  <c r="V170" i="19"/>
  <c r="W170" i="19"/>
  <c r="L23" i="27" l="1"/>
  <c r="C20" i="27"/>
  <c r="D20" i="27" s="1"/>
  <c r="E20" i="27" s="1"/>
  <c r="F20" i="27" s="1"/>
  <c r="G20" i="27" s="1"/>
  <c r="H20" i="27" s="1"/>
  <c r="I20" i="27" s="1"/>
  <c r="J20" i="27" s="1"/>
  <c r="K20" i="27" s="1"/>
  <c r="L7" i="27"/>
  <c r="C4" i="27"/>
  <c r="D4" i="27" s="1"/>
  <c r="E4" i="27" s="1"/>
  <c r="F4" i="27" s="1"/>
  <c r="G4" i="27" s="1"/>
  <c r="H4" i="27" s="1"/>
  <c r="I4" i="27" s="1"/>
  <c r="J4" i="27" s="1"/>
  <c r="K4" i="27" s="1"/>
  <c r="C4" i="9"/>
  <c r="D4" i="9"/>
  <c r="E4" i="9"/>
  <c r="F4" i="9"/>
  <c r="G4" i="9"/>
  <c r="H4" i="9"/>
  <c r="I4" i="9"/>
  <c r="J4" i="9"/>
  <c r="K4" i="9"/>
  <c r="C15" i="10"/>
  <c r="D15" i="10"/>
  <c r="E15" i="10"/>
  <c r="F15" i="10"/>
  <c r="G15" i="10"/>
  <c r="H15" i="10"/>
  <c r="I15" i="10"/>
  <c r="J15" i="10"/>
  <c r="K15" i="10"/>
  <c r="L15" i="10"/>
  <c r="B15" i="10"/>
  <c r="C10" i="10"/>
  <c r="D10" i="10"/>
  <c r="E10" i="10"/>
  <c r="F10" i="10"/>
  <c r="G10" i="10"/>
  <c r="H10" i="10"/>
  <c r="I10" i="10"/>
  <c r="J10" i="10"/>
  <c r="K10" i="10"/>
  <c r="L10" i="10"/>
  <c r="B10" i="10"/>
  <c r="C6" i="10"/>
  <c r="D6" i="10"/>
  <c r="E6" i="10"/>
  <c r="F6" i="10"/>
  <c r="G6" i="10"/>
  <c r="H6" i="10"/>
  <c r="I6" i="10"/>
  <c r="J6" i="10"/>
  <c r="K6" i="10"/>
  <c r="L6" i="10"/>
  <c r="B6" i="10"/>
  <c r="C5" i="10"/>
  <c r="D5" i="10"/>
  <c r="E5" i="10"/>
  <c r="F5" i="10"/>
  <c r="G5" i="10"/>
  <c r="H5" i="10"/>
  <c r="I5" i="10"/>
  <c r="J5" i="10"/>
  <c r="K5" i="10"/>
  <c r="L5" i="10"/>
  <c r="B5" i="10"/>
  <c r="M25" i="7"/>
  <c r="L33" i="24"/>
  <c r="L160" i="19" s="1"/>
  <c r="L25" i="7"/>
  <c r="C26" i="7"/>
  <c r="D26" i="7"/>
  <c r="E26" i="7"/>
  <c r="F26" i="7"/>
  <c r="G26" i="7"/>
  <c r="H26" i="7"/>
  <c r="I26" i="7"/>
  <c r="J26" i="7"/>
  <c r="K26" i="7"/>
  <c r="L26" i="7"/>
  <c r="C25" i="7"/>
  <c r="C27" i="7" s="1"/>
  <c r="D25" i="7"/>
  <c r="D27" i="7" s="1"/>
  <c r="E25" i="7"/>
  <c r="E27" i="7" s="1"/>
  <c r="F25" i="7"/>
  <c r="F27" i="7" s="1"/>
  <c r="G25" i="7"/>
  <c r="G27" i="7" s="1"/>
  <c r="H25" i="7"/>
  <c r="H27" i="7" s="1"/>
  <c r="I25" i="7"/>
  <c r="I27" i="7" s="1"/>
  <c r="J25" i="7"/>
  <c r="J27" i="7" s="1"/>
  <c r="K25" i="7"/>
  <c r="K27" i="7" s="1"/>
  <c r="L27" i="7"/>
  <c r="C23" i="7"/>
  <c r="D23" i="7"/>
  <c r="E23" i="7"/>
  <c r="F23" i="7"/>
  <c r="G23" i="7"/>
  <c r="H23" i="7"/>
  <c r="I23" i="7"/>
  <c r="J23" i="7"/>
  <c r="K23" i="7"/>
  <c r="L23" i="7"/>
  <c r="C19" i="7"/>
  <c r="D19" i="7"/>
  <c r="E19" i="7"/>
  <c r="F19" i="7"/>
  <c r="G19" i="7"/>
  <c r="H19" i="7"/>
  <c r="I19" i="7"/>
  <c r="J19" i="7"/>
  <c r="K19" i="7"/>
  <c r="L19" i="7"/>
  <c r="C17" i="7"/>
  <c r="C18" i="7" s="1"/>
  <c r="D17" i="7"/>
  <c r="D18" i="7" s="1"/>
  <c r="E17" i="7"/>
  <c r="E18" i="7" s="1"/>
  <c r="F17" i="7"/>
  <c r="F18" i="7" s="1"/>
  <c r="G17" i="7"/>
  <c r="G18" i="7" s="1"/>
  <c r="H17" i="7"/>
  <c r="H18" i="7" s="1"/>
  <c r="I17" i="7"/>
  <c r="I18" i="7" s="1"/>
  <c r="J17" i="7"/>
  <c r="J18" i="7" s="1"/>
  <c r="K17" i="7"/>
  <c r="K18" i="7" s="1"/>
  <c r="L17" i="7"/>
  <c r="C13" i="7"/>
  <c r="D13" i="7"/>
  <c r="E13" i="7"/>
  <c r="F13" i="7"/>
  <c r="G13" i="7"/>
  <c r="H13" i="7"/>
  <c r="I13" i="7"/>
  <c r="J13" i="7"/>
  <c r="K13" i="7"/>
  <c r="L13" i="7"/>
  <c r="B26" i="7"/>
  <c r="B23" i="7"/>
  <c r="B25" i="7"/>
  <c r="B27" i="7" s="1"/>
  <c r="B19" i="7"/>
  <c r="B17" i="7"/>
  <c r="B18" i="7" s="1"/>
  <c r="B13" i="7"/>
  <c r="B15" i="7" s="1"/>
  <c r="M29" i="24"/>
  <c r="C33" i="24"/>
  <c r="C160" i="19" s="1"/>
  <c r="D33" i="24"/>
  <c r="D160" i="19" s="1"/>
  <c r="E33" i="24"/>
  <c r="E160" i="19" s="1"/>
  <c r="F33" i="24"/>
  <c r="F160" i="19" s="1"/>
  <c r="G33" i="24"/>
  <c r="G160" i="19" s="1"/>
  <c r="H33" i="24"/>
  <c r="H160" i="19" s="1"/>
  <c r="I33" i="24"/>
  <c r="I160" i="19" s="1"/>
  <c r="J33" i="24"/>
  <c r="J160" i="19" s="1"/>
  <c r="K33" i="24"/>
  <c r="K160" i="19" s="1"/>
  <c r="C17" i="24"/>
  <c r="C144" i="19" s="1"/>
  <c r="C16" i="24"/>
  <c r="C143" i="19" s="1"/>
  <c r="D17" i="24"/>
  <c r="D144" i="19" s="1"/>
  <c r="E17" i="24"/>
  <c r="E144" i="19" s="1"/>
  <c r="B33" i="24"/>
  <c r="B160" i="19" s="1"/>
  <c r="F17" i="24"/>
  <c r="F144" i="19" s="1"/>
  <c r="G17" i="24"/>
  <c r="G144" i="19" s="1"/>
  <c r="H17" i="24"/>
  <c r="H144" i="19" s="1"/>
  <c r="I17" i="24"/>
  <c r="I144" i="19" s="1"/>
  <c r="J17" i="24"/>
  <c r="J144" i="19" s="1"/>
  <c r="K17" i="24"/>
  <c r="K144" i="19" s="1"/>
  <c r="L17" i="24"/>
  <c r="L144" i="19" s="1"/>
  <c r="B17" i="24"/>
  <c r="B144" i="19" s="1"/>
  <c r="Z31" i="24"/>
  <c r="Z32" i="24"/>
  <c r="B22" i="19"/>
  <c r="B23" i="19"/>
  <c r="N8" i="25"/>
  <c r="O8" i="25"/>
  <c r="P8" i="25"/>
  <c r="Q8" i="25"/>
  <c r="R8" i="25"/>
  <c r="S8" i="25"/>
  <c r="T8" i="25"/>
  <c r="U8" i="25"/>
  <c r="V8" i="25"/>
  <c r="W8" i="25"/>
  <c r="M8" i="25"/>
  <c r="G6" i="24"/>
  <c r="G133" i="19" s="1"/>
  <c r="H6" i="24"/>
  <c r="H133" i="19" s="1"/>
  <c r="I6" i="24"/>
  <c r="I133" i="19" s="1"/>
  <c r="J6" i="24"/>
  <c r="J133" i="19" s="1"/>
  <c r="K6" i="24"/>
  <c r="K133" i="19" s="1"/>
  <c r="L6" i="24"/>
  <c r="L133" i="19" s="1"/>
  <c r="F6" i="24"/>
  <c r="F133" i="19" s="1"/>
  <c r="C9" i="24"/>
  <c r="C136" i="19" s="1"/>
  <c r="D9" i="24"/>
  <c r="D136" i="19" s="1"/>
  <c r="E9" i="24"/>
  <c r="E136" i="19" s="1"/>
  <c r="F9" i="24"/>
  <c r="F136" i="19" s="1"/>
  <c r="G9" i="24"/>
  <c r="G136" i="19" s="1"/>
  <c r="H9" i="24"/>
  <c r="H136" i="19" s="1"/>
  <c r="I9" i="24"/>
  <c r="I136" i="19" s="1"/>
  <c r="J9" i="24"/>
  <c r="J136" i="19" s="1"/>
  <c r="K9" i="24"/>
  <c r="K136" i="19" s="1"/>
  <c r="L9" i="24"/>
  <c r="B9" i="24"/>
  <c r="B136" i="19" s="1"/>
  <c r="C6" i="24"/>
  <c r="C133" i="19" s="1"/>
  <c r="D6" i="24"/>
  <c r="D133" i="19" s="1"/>
  <c r="E6" i="24"/>
  <c r="E133" i="19" s="1"/>
  <c r="C5" i="24"/>
  <c r="C132" i="19" s="1"/>
  <c r="D5" i="24"/>
  <c r="D132" i="19" s="1"/>
  <c r="E5" i="24"/>
  <c r="E132" i="19" s="1"/>
  <c r="F5" i="24"/>
  <c r="F132" i="19" s="1"/>
  <c r="G5" i="24"/>
  <c r="G132" i="19" s="1"/>
  <c r="H5" i="24"/>
  <c r="H132" i="19" s="1"/>
  <c r="I5" i="24"/>
  <c r="I132" i="19" s="1"/>
  <c r="J5" i="24"/>
  <c r="J132" i="19" s="1"/>
  <c r="K5" i="24"/>
  <c r="K132" i="19" s="1"/>
  <c r="L5" i="24"/>
  <c r="L132" i="19" s="1"/>
  <c r="N3" i="24"/>
  <c r="O3" i="24" l="1"/>
  <c r="N130" i="19"/>
  <c r="L136" i="19"/>
  <c r="M21" i="7"/>
  <c r="M156" i="19"/>
  <c r="N29" i="24"/>
  <c r="L18" i="7"/>
  <c r="L14" i="7"/>
  <c r="L15" i="7" s="1"/>
  <c r="K14" i="7"/>
  <c r="K15" i="7" s="1"/>
  <c r="J14" i="7"/>
  <c r="J15" i="7" s="1"/>
  <c r="I14" i="7"/>
  <c r="I15" i="7" s="1"/>
  <c r="H14" i="7"/>
  <c r="H15" i="7" s="1"/>
  <c r="G14" i="7"/>
  <c r="G15" i="7" s="1"/>
  <c r="F14" i="7"/>
  <c r="F15" i="7" s="1"/>
  <c r="E14" i="7"/>
  <c r="E15" i="7" s="1"/>
  <c r="D14" i="7"/>
  <c r="D15" i="7" s="1"/>
  <c r="C14" i="7"/>
  <c r="C15" i="7" s="1"/>
  <c r="X38" i="23"/>
  <c r="Z52" i="23"/>
  <c r="C10" i="24"/>
  <c r="C137" i="19" s="1"/>
  <c r="D10" i="24"/>
  <c r="D137" i="19" s="1"/>
  <c r="E10" i="24"/>
  <c r="E137" i="19" s="1"/>
  <c r="F10" i="24"/>
  <c r="F137" i="19" s="1"/>
  <c r="G10" i="24"/>
  <c r="G137" i="19" s="1"/>
  <c r="H10" i="24"/>
  <c r="H137" i="19" s="1"/>
  <c r="I10" i="24"/>
  <c r="I137" i="19" s="1"/>
  <c r="J10" i="24"/>
  <c r="J137" i="19" s="1"/>
  <c r="K10" i="24"/>
  <c r="K137" i="19" s="1"/>
  <c r="L10" i="24"/>
  <c r="L137" i="19" s="1"/>
  <c r="B10" i="24"/>
  <c r="B137" i="19" s="1"/>
  <c r="N156" i="19" l="1"/>
  <c r="O29" i="24"/>
  <c r="P3" i="24"/>
  <c r="O130" i="19"/>
  <c r="K30" i="25"/>
  <c r="J30" i="25"/>
  <c r="I30" i="25"/>
  <c r="F30" i="25"/>
  <c r="H30" i="25"/>
  <c r="G30" i="25"/>
  <c r="E30" i="25"/>
  <c r="Q3" i="24" l="1"/>
  <c r="Q130" i="19" s="1"/>
  <c r="P130" i="19"/>
  <c r="O156" i="19"/>
  <c r="P29" i="24"/>
  <c r="C7" i="25"/>
  <c r="D7" i="25"/>
  <c r="E7" i="25"/>
  <c r="F7" i="25"/>
  <c r="G7" i="25"/>
  <c r="H7" i="25"/>
  <c r="I7" i="25"/>
  <c r="J7" i="25"/>
  <c r="K7" i="25"/>
  <c r="L7" i="25"/>
  <c r="B7" i="25"/>
  <c r="C6" i="25"/>
  <c r="D6" i="25"/>
  <c r="E6" i="25"/>
  <c r="F6" i="25"/>
  <c r="G6" i="25"/>
  <c r="H6" i="25"/>
  <c r="I6" i="25"/>
  <c r="J6" i="25"/>
  <c r="K6" i="25"/>
  <c r="L6" i="25"/>
  <c r="B6" i="25"/>
  <c r="C4" i="25"/>
  <c r="D4" i="25"/>
  <c r="E4" i="25"/>
  <c r="F4" i="25"/>
  <c r="G4" i="25"/>
  <c r="H4" i="25"/>
  <c r="I4" i="25"/>
  <c r="J4" i="25"/>
  <c r="K4" i="25"/>
  <c r="L4" i="25"/>
  <c r="B4" i="25"/>
  <c r="C3" i="25"/>
  <c r="D3" i="25"/>
  <c r="E3" i="25"/>
  <c r="F3" i="25"/>
  <c r="G3" i="25"/>
  <c r="H3" i="25"/>
  <c r="I3" i="25"/>
  <c r="J3" i="25"/>
  <c r="K3" i="25"/>
  <c r="L3" i="25"/>
  <c r="B3" i="25"/>
  <c r="C2" i="25"/>
  <c r="D2" i="25"/>
  <c r="E2" i="25"/>
  <c r="F2" i="25"/>
  <c r="G2" i="25"/>
  <c r="H2" i="25"/>
  <c r="I2" i="25"/>
  <c r="J2" i="25"/>
  <c r="K2" i="25"/>
  <c r="L2" i="25"/>
  <c r="B2" i="25"/>
  <c r="C23" i="19"/>
  <c r="D23" i="19"/>
  <c r="E23" i="19"/>
  <c r="F23" i="19"/>
  <c r="G23" i="19"/>
  <c r="H23" i="19"/>
  <c r="I23" i="19"/>
  <c r="J23" i="19"/>
  <c r="K23" i="19"/>
  <c r="L23" i="19"/>
  <c r="B12" i="25" a="1"/>
  <c r="B12" i="25" s="1"/>
  <c r="I13" i="24"/>
  <c r="I140" i="19" s="1"/>
  <c r="J13" i="24"/>
  <c r="J140" i="19" s="1"/>
  <c r="K13" i="24"/>
  <c r="K140" i="19" s="1"/>
  <c r="L13" i="24"/>
  <c r="L140" i="19" s="1"/>
  <c r="H13" i="24"/>
  <c r="H140" i="19" s="1"/>
  <c r="D16" i="24"/>
  <c r="D143" i="19" s="1"/>
  <c r="E16" i="24"/>
  <c r="E143" i="19" s="1"/>
  <c r="F16" i="24"/>
  <c r="F143" i="19" s="1"/>
  <c r="G16" i="24"/>
  <c r="G143" i="19" s="1"/>
  <c r="H16" i="24"/>
  <c r="H143" i="19" s="1"/>
  <c r="I16" i="24"/>
  <c r="I143" i="19" s="1"/>
  <c r="J16" i="24"/>
  <c r="J143" i="19" s="1"/>
  <c r="K16" i="24"/>
  <c r="K143" i="19" s="1"/>
  <c r="L16" i="24"/>
  <c r="L143" i="19" s="1"/>
  <c r="B16" i="24"/>
  <c r="B143" i="19" s="1"/>
  <c r="C38" i="24"/>
  <c r="C165" i="19" s="1"/>
  <c r="D38" i="24"/>
  <c r="D165" i="19" s="1"/>
  <c r="E38" i="24"/>
  <c r="E165" i="19" s="1"/>
  <c r="F38" i="24"/>
  <c r="F165" i="19" s="1"/>
  <c r="G38" i="24"/>
  <c r="G165" i="19" s="1"/>
  <c r="H38" i="24"/>
  <c r="H165" i="19" s="1"/>
  <c r="I38" i="24"/>
  <c r="I165" i="19" s="1"/>
  <c r="J38" i="24"/>
  <c r="J165" i="19" s="1"/>
  <c r="K38" i="24"/>
  <c r="K165" i="19" s="1"/>
  <c r="L38" i="24"/>
  <c r="B38" i="24"/>
  <c r="C36" i="24"/>
  <c r="C163" i="19" s="1"/>
  <c r="D36" i="24"/>
  <c r="D163" i="19" s="1"/>
  <c r="E36" i="24"/>
  <c r="E163" i="19" s="1"/>
  <c r="F36" i="24"/>
  <c r="F163" i="19" s="1"/>
  <c r="G36" i="24"/>
  <c r="G163" i="19" s="1"/>
  <c r="H36" i="24"/>
  <c r="H163" i="19" s="1"/>
  <c r="I36" i="24"/>
  <c r="I163" i="19" s="1"/>
  <c r="J36" i="24"/>
  <c r="J163" i="19" s="1"/>
  <c r="K36" i="24"/>
  <c r="K163" i="19" s="1"/>
  <c r="L36" i="24"/>
  <c r="B36" i="24"/>
  <c r="B163" i="19" s="1"/>
  <c r="B6" i="24"/>
  <c r="B133" i="19" s="1"/>
  <c r="H7" i="24"/>
  <c r="H134" i="19" s="1"/>
  <c r="I7" i="24"/>
  <c r="I134" i="19" s="1"/>
  <c r="J7" i="24"/>
  <c r="J134" i="19" s="1"/>
  <c r="B5" i="24"/>
  <c r="B132" i="19" s="1"/>
  <c r="B28" i="24"/>
  <c r="I59" i="19"/>
  <c r="C77" i="19"/>
  <c r="D77" i="19"/>
  <c r="E77" i="19"/>
  <c r="F77" i="19"/>
  <c r="G77" i="19"/>
  <c r="H77" i="19"/>
  <c r="I77" i="19"/>
  <c r="J77" i="19"/>
  <c r="K77" i="19"/>
  <c r="L77" i="19"/>
  <c r="B77" i="19"/>
  <c r="C74" i="19"/>
  <c r="D74" i="19"/>
  <c r="E74" i="19"/>
  <c r="F74" i="19"/>
  <c r="G74" i="19"/>
  <c r="H74" i="19"/>
  <c r="I74" i="19"/>
  <c r="J74" i="19"/>
  <c r="K74" i="19"/>
  <c r="L74" i="19"/>
  <c r="B74" i="19"/>
  <c r="C70" i="19"/>
  <c r="D70" i="19"/>
  <c r="E70" i="19"/>
  <c r="F70" i="19"/>
  <c r="G70" i="19"/>
  <c r="H70" i="19"/>
  <c r="I70" i="19"/>
  <c r="J70" i="19"/>
  <c r="K70" i="19"/>
  <c r="L70" i="19"/>
  <c r="B70" i="19"/>
  <c r="C68" i="19"/>
  <c r="D68" i="19"/>
  <c r="E68" i="19"/>
  <c r="F68" i="19"/>
  <c r="G68" i="19"/>
  <c r="H68" i="19"/>
  <c r="I68" i="19"/>
  <c r="J68" i="19"/>
  <c r="K68" i="19"/>
  <c r="L68" i="19"/>
  <c r="B68" i="19"/>
  <c r="C60" i="19"/>
  <c r="D60" i="19"/>
  <c r="E60" i="19"/>
  <c r="F60" i="19"/>
  <c r="G60" i="19"/>
  <c r="H60" i="19"/>
  <c r="I60" i="19"/>
  <c r="J60" i="19"/>
  <c r="K60" i="19"/>
  <c r="L60" i="19"/>
  <c r="B60" i="19"/>
  <c r="C28" i="24"/>
  <c r="D28" i="24"/>
  <c r="E28" i="24"/>
  <c r="F28" i="24"/>
  <c r="G28" i="24"/>
  <c r="H28" i="24"/>
  <c r="I28" i="24"/>
  <c r="J28" i="24"/>
  <c r="K28" i="24"/>
  <c r="L28" i="24"/>
  <c r="C59" i="19"/>
  <c r="D59" i="19"/>
  <c r="E59" i="19"/>
  <c r="F59" i="19"/>
  <c r="G59" i="19"/>
  <c r="H59" i="19"/>
  <c r="J59" i="19"/>
  <c r="K59" i="19"/>
  <c r="L59" i="19"/>
  <c r="B59" i="19"/>
  <c r="C56" i="19"/>
  <c r="D56" i="19"/>
  <c r="E56" i="19"/>
  <c r="F56" i="19"/>
  <c r="G56" i="19"/>
  <c r="H56" i="19"/>
  <c r="I56" i="19"/>
  <c r="J56" i="19"/>
  <c r="K56" i="19"/>
  <c r="L56" i="19"/>
  <c r="B56" i="19"/>
  <c r="K52" i="19"/>
  <c r="C53" i="19"/>
  <c r="D53" i="19"/>
  <c r="E53" i="19"/>
  <c r="F53" i="19"/>
  <c r="G53" i="19"/>
  <c r="H53" i="19"/>
  <c r="I53" i="19"/>
  <c r="J53" i="19"/>
  <c r="K53" i="19"/>
  <c r="L53" i="19"/>
  <c r="B53" i="19"/>
  <c r="C52" i="19"/>
  <c r="D52" i="19"/>
  <c r="E52" i="19"/>
  <c r="F52" i="19"/>
  <c r="G52" i="19"/>
  <c r="H52" i="19"/>
  <c r="I52" i="19"/>
  <c r="J52" i="19"/>
  <c r="L52" i="19"/>
  <c r="B52" i="19"/>
  <c r="C48" i="19"/>
  <c r="D48" i="19"/>
  <c r="E48" i="19"/>
  <c r="F48" i="19"/>
  <c r="G48" i="19"/>
  <c r="H48" i="19"/>
  <c r="I48" i="19"/>
  <c r="J48" i="19"/>
  <c r="K48" i="19"/>
  <c r="L48" i="19"/>
  <c r="B48" i="19"/>
  <c r="C49" i="19"/>
  <c r="D49" i="19"/>
  <c r="E49" i="19"/>
  <c r="F49" i="19"/>
  <c r="G49" i="19"/>
  <c r="H49" i="19"/>
  <c r="I49" i="19"/>
  <c r="J49" i="19"/>
  <c r="K49" i="19"/>
  <c r="L49" i="19"/>
  <c r="B49" i="19"/>
  <c r="B48" i="23" a="1"/>
  <c r="B48" i="23" s="1"/>
  <c r="C22" i="19"/>
  <c r="D22" i="19"/>
  <c r="E22" i="19"/>
  <c r="F22" i="19"/>
  <c r="G22" i="19"/>
  <c r="H22" i="19"/>
  <c r="I22" i="19"/>
  <c r="J22" i="19"/>
  <c r="K22" i="19"/>
  <c r="L22" i="19"/>
  <c r="C18" i="19"/>
  <c r="D18" i="19"/>
  <c r="E18" i="19"/>
  <c r="F18" i="19"/>
  <c r="G18" i="19"/>
  <c r="H18" i="19"/>
  <c r="I18" i="19"/>
  <c r="J18" i="19"/>
  <c r="K18" i="19"/>
  <c r="L18" i="19"/>
  <c r="B18" i="19"/>
  <c r="C17" i="19"/>
  <c r="D17" i="19"/>
  <c r="D19" i="19" s="1"/>
  <c r="E17" i="19"/>
  <c r="F17" i="19"/>
  <c r="F19" i="19" s="1"/>
  <c r="G17" i="19"/>
  <c r="H17" i="19"/>
  <c r="H19" i="19" s="1"/>
  <c r="I17" i="19"/>
  <c r="I19" i="19" s="1"/>
  <c r="J17" i="19"/>
  <c r="J19" i="19" s="1"/>
  <c r="K17" i="19"/>
  <c r="L17" i="19"/>
  <c r="B17" i="19"/>
  <c r="B19" i="19" s="1"/>
  <c r="B27" i="19" s="1"/>
  <c r="B28" i="19" s="1"/>
  <c r="I84" i="20"/>
  <c r="C37" i="24"/>
  <c r="C164" i="19" s="1"/>
  <c r="D37" i="24"/>
  <c r="D164" i="19" s="1"/>
  <c r="E37" i="24"/>
  <c r="E164" i="19" s="1"/>
  <c r="F37" i="24"/>
  <c r="F164" i="19" s="1"/>
  <c r="G37" i="24"/>
  <c r="G164" i="19" s="1"/>
  <c r="H37" i="24"/>
  <c r="H164" i="19" s="1"/>
  <c r="I37" i="24"/>
  <c r="I164" i="19" s="1"/>
  <c r="J37" i="24"/>
  <c r="J164" i="19" s="1"/>
  <c r="K37" i="24"/>
  <c r="K164" i="19" s="1"/>
  <c r="L37" i="24"/>
  <c r="L164" i="19" s="1"/>
  <c r="B37" i="24"/>
  <c r="B164" i="19" s="1"/>
  <c r="C14" i="19"/>
  <c r="D14" i="19"/>
  <c r="E14" i="19"/>
  <c r="F14" i="19"/>
  <c r="G14" i="19"/>
  <c r="H14" i="19"/>
  <c r="I14" i="19"/>
  <c r="J14" i="19"/>
  <c r="K14" i="19"/>
  <c r="L14" i="19"/>
  <c r="B14" i="19"/>
  <c r="L30" i="24" l="1"/>
  <c r="L157" i="19" s="1"/>
  <c r="L155" i="19"/>
  <c r="L32" i="25"/>
  <c r="K30" i="24"/>
  <c r="K157" i="19" s="1"/>
  <c r="K155" i="19"/>
  <c r="K32" i="25"/>
  <c r="J30" i="24"/>
  <c r="J157" i="19" s="1"/>
  <c r="J155" i="19"/>
  <c r="J32" i="25"/>
  <c r="I30" i="24"/>
  <c r="I157" i="19" s="1"/>
  <c r="I155" i="19"/>
  <c r="I32" i="25"/>
  <c r="H30" i="24"/>
  <c r="H157" i="19" s="1"/>
  <c r="H155" i="19"/>
  <c r="H32" i="25"/>
  <c r="M32" i="25" s="1"/>
  <c r="N32" i="25" s="1"/>
  <c r="O32" i="25" s="1"/>
  <c r="P32" i="25" s="1"/>
  <c r="Q32" i="25" s="1"/>
  <c r="R32" i="25" s="1"/>
  <c r="S32" i="25" s="1"/>
  <c r="T32" i="25" s="1"/>
  <c r="U32" i="25" s="1"/>
  <c r="V32" i="25" s="1"/>
  <c r="W32" i="25" s="1"/>
  <c r="G30" i="24"/>
  <c r="G157" i="19" s="1"/>
  <c r="G155" i="19"/>
  <c r="G32" i="25"/>
  <c r="F30" i="24"/>
  <c r="F157" i="19" s="1"/>
  <c r="F155" i="19"/>
  <c r="F32" i="25"/>
  <c r="E30" i="24"/>
  <c r="E157" i="19" s="1"/>
  <c r="E155" i="19"/>
  <c r="E32" i="25"/>
  <c r="D30" i="24"/>
  <c r="D157" i="19" s="1"/>
  <c r="D155" i="19"/>
  <c r="D32" i="25"/>
  <c r="C30" i="24"/>
  <c r="C157" i="19" s="1"/>
  <c r="C155" i="19"/>
  <c r="C32" i="25"/>
  <c r="B30" i="24"/>
  <c r="B157" i="19" s="1"/>
  <c r="B155" i="19"/>
  <c r="B32" i="25"/>
  <c r="M36" i="24"/>
  <c r="L163" i="19"/>
  <c r="B39" i="24"/>
  <c r="B166" i="19" s="1"/>
  <c r="B165" i="19"/>
  <c r="M38" i="24"/>
  <c r="L165" i="19"/>
  <c r="P156" i="19"/>
  <c r="Q29" i="24"/>
  <c r="M14" i="19"/>
  <c r="B9" i="7"/>
  <c r="B7" i="7"/>
  <c r="L9" i="7"/>
  <c r="L7" i="7"/>
  <c r="K9" i="7"/>
  <c r="K7" i="7"/>
  <c r="J9" i="7"/>
  <c r="J7" i="7"/>
  <c r="I9" i="7"/>
  <c r="I7" i="7"/>
  <c r="H9" i="7"/>
  <c r="H7" i="7"/>
  <c r="G9" i="7"/>
  <c r="G7" i="7"/>
  <c r="F9" i="7"/>
  <c r="F7" i="7"/>
  <c r="E9" i="7"/>
  <c r="E7" i="7"/>
  <c r="D9" i="7"/>
  <c r="D7" i="7"/>
  <c r="C9" i="7"/>
  <c r="C7" i="7"/>
  <c r="L39" i="24"/>
  <c r="L166" i="19" s="1"/>
  <c r="J39" i="24"/>
  <c r="J166" i="19" s="1"/>
  <c r="I39" i="24"/>
  <c r="I166" i="19" s="1"/>
  <c r="H39" i="24"/>
  <c r="H166" i="19" s="1"/>
  <c r="K39" i="24"/>
  <c r="K166" i="19" s="1"/>
  <c r="E39" i="24"/>
  <c r="E166" i="19" s="1"/>
  <c r="G39" i="24"/>
  <c r="G166" i="19" s="1"/>
  <c r="D25" i="25"/>
  <c r="D39" i="24"/>
  <c r="D166" i="19" s="1"/>
  <c r="F39" i="24"/>
  <c r="F166" i="19" s="1"/>
  <c r="C25" i="25"/>
  <c r="C39" i="24"/>
  <c r="C166" i="19" s="1"/>
  <c r="L19" i="19"/>
  <c r="L27" i="19" s="1"/>
  <c r="L28" i="19" s="1"/>
  <c r="N14" i="19"/>
  <c r="K19" i="19"/>
  <c r="K27" i="19" s="1"/>
  <c r="K28" i="19" s="1"/>
  <c r="M23" i="19"/>
  <c r="G19" i="19"/>
  <c r="G27" i="19" s="1"/>
  <c r="G28" i="19" s="1"/>
  <c r="E19" i="19"/>
  <c r="E11" i="25" s="1"/>
  <c r="C19" i="19"/>
  <c r="C27" i="19" s="1"/>
  <c r="C28" i="19" s="1"/>
  <c r="J11" i="25"/>
  <c r="J27" i="19"/>
  <c r="J28" i="19" s="1"/>
  <c r="I11" i="25"/>
  <c r="I27" i="19"/>
  <c r="I28" i="19" s="1"/>
  <c r="H11" i="25"/>
  <c r="H27" i="19"/>
  <c r="H28" i="19" s="1"/>
  <c r="G11" i="25"/>
  <c r="F11" i="25"/>
  <c r="F27" i="19"/>
  <c r="F28" i="19" s="1"/>
  <c r="D11" i="25"/>
  <c r="D27" i="19"/>
  <c r="D28" i="19" s="1"/>
  <c r="C11" i="25"/>
  <c r="L11" i="25"/>
  <c r="K11" i="25"/>
  <c r="L7" i="24"/>
  <c r="F7" i="24"/>
  <c r="F134" i="19" s="1"/>
  <c r="B7" i="24"/>
  <c r="B134" i="19" s="1"/>
  <c r="K7" i="24"/>
  <c r="K134" i="19" s="1"/>
  <c r="G7" i="24"/>
  <c r="G134" i="19" s="1"/>
  <c r="E7" i="24"/>
  <c r="E134" i="19" s="1"/>
  <c r="D7" i="24"/>
  <c r="D134" i="19" s="1"/>
  <c r="C7" i="24"/>
  <c r="C134" i="19" s="1"/>
  <c r="F25" i="25"/>
  <c r="D30" i="25"/>
  <c r="C30" i="25"/>
  <c r="B30" i="25"/>
  <c r="K25" i="25"/>
  <c r="G25" i="25"/>
  <c r="M3" i="25"/>
  <c r="M6" i="25"/>
  <c r="M7" i="25"/>
  <c r="H25" i="25"/>
  <c r="I25" i="25"/>
  <c r="L25" i="25"/>
  <c r="J25" i="25"/>
  <c r="E25" i="25"/>
  <c r="Z6" i="25"/>
  <c r="L61" i="19"/>
  <c r="C54" i="19"/>
  <c r="I50" i="19"/>
  <c r="G50" i="19"/>
  <c r="G61" i="19"/>
  <c r="F50" i="19"/>
  <c r="H50" i="19"/>
  <c r="D61" i="19"/>
  <c r="B50" i="19"/>
  <c r="J54" i="19"/>
  <c r="K50" i="19"/>
  <c r="J50" i="19"/>
  <c r="I54" i="19"/>
  <c r="H54" i="19"/>
  <c r="G54" i="19"/>
  <c r="F54" i="19"/>
  <c r="B61" i="19"/>
  <c r="K54" i="19"/>
  <c r="E54" i="19"/>
  <c r="D54" i="19"/>
  <c r="E61" i="19"/>
  <c r="J61" i="19"/>
  <c r="H61" i="19"/>
  <c r="L50" i="19"/>
  <c r="K61" i="19"/>
  <c r="I61" i="19"/>
  <c r="E50" i="19"/>
  <c r="D50" i="19"/>
  <c r="F61" i="19"/>
  <c r="C50" i="19"/>
  <c r="C61" i="19"/>
  <c r="B54" i="19"/>
  <c r="L54" i="19"/>
  <c r="L134" i="19" l="1"/>
  <c r="M13" i="7"/>
  <c r="Q156" i="19"/>
  <c r="R29" i="24"/>
  <c r="N38" i="24"/>
  <c r="M165" i="19"/>
  <c r="N36" i="24"/>
  <c r="M163" i="19"/>
  <c r="M12" i="25"/>
  <c r="N23" i="19"/>
  <c r="E27" i="19"/>
  <c r="E28" i="19" s="1"/>
  <c r="O14" i="19"/>
  <c r="M11" i="25"/>
  <c r="N11" i="25" s="1"/>
  <c r="M25" i="25"/>
  <c r="U6" i="25"/>
  <c r="T6" i="25"/>
  <c r="Q6" i="25"/>
  <c r="P6" i="25"/>
  <c r="O6" i="25"/>
  <c r="S6" i="25"/>
  <c r="N6" i="25"/>
  <c r="W6" i="25"/>
  <c r="V6" i="25"/>
  <c r="R6" i="25"/>
  <c r="T3" i="25"/>
  <c r="T4" i="25" s="1"/>
  <c r="R3" i="25"/>
  <c r="R4" i="25" s="1"/>
  <c r="Q3" i="25"/>
  <c r="P3" i="25"/>
  <c r="O3" i="25"/>
  <c r="M4" i="25"/>
  <c r="N3" i="25"/>
  <c r="W3" i="25"/>
  <c r="W4" i="25" s="1"/>
  <c r="V3" i="25"/>
  <c r="V4" i="25" s="1"/>
  <c r="U3" i="25"/>
  <c r="U4" i="25" s="1"/>
  <c r="S3" i="25"/>
  <c r="S4" i="25" s="1"/>
  <c r="R7" i="25"/>
  <c r="O7" i="25"/>
  <c r="P7" i="25"/>
  <c r="Q7" i="25"/>
  <c r="S7" i="25"/>
  <c r="W7" i="25"/>
  <c r="N7" i="25"/>
  <c r="V7" i="25"/>
  <c r="U7" i="25"/>
  <c r="T7" i="25"/>
  <c r="H57" i="19"/>
  <c r="H65" i="19" s="1"/>
  <c r="G57" i="19"/>
  <c r="G65" i="19" s="1"/>
  <c r="I57" i="19"/>
  <c r="I65" i="19" s="1"/>
  <c r="B57" i="19"/>
  <c r="B65" i="19" s="1"/>
  <c r="J57" i="19"/>
  <c r="F57" i="19"/>
  <c r="F65" i="19" s="1"/>
  <c r="J65" i="19"/>
  <c r="L57" i="19"/>
  <c r="L65" i="19" s="1"/>
  <c r="K57" i="19"/>
  <c r="K65" i="19" s="1"/>
  <c r="E57" i="19"/>
  <c r="E65" i="19" s="1"/>
  <c r="D57" i="19"/>
  <c r="D65" i="19" s="1"/>
  <c r="C57" i="19"/>
  <c r="C65" i="19" s="1"/>
  <c r="O36" i="24" l="1"/>
  <c r="N163" i="19"/>
  <c r="O38" i="24"/>
  <c r="N165" i="19"/>
  <c r="R156" i="19"/>
  <c r="S29" i="24"/>
  <c r="N25" i="25"/>
  <c r="O25" i="25" s="1"/>
  <c r="P25" i="25" s="1"/>
  <c r="Q25" i="25" s="1"/>
  <c r="R25" i="25" s="1"/>
  <c r="S25" i="25" s="1"/>
  <c r="T25" i="25" s="1"/>
  <c r="U25" i="25" s="1"/>
  <c r="V25" i="25" s="1"/>
  <c r="W25" i="25" s="1"/>
  <c r="M33" i="24"/>
  <c r="P14" i="19"/>
  <c r="Q14" i="19"/>
  <c r="R14" i="19"/>
  <c r="N12" i="25"/>
  <c r="O23" i="19"/>
  <c r="O11" i="25"/>
  <c r="P11" i="25" s="1"/>
  <c r="O4" i="25"/>
  <c r="P4" i="25"/>
  <c r="N4" i="25"/>
  <c r="Q4" i="25"/>
  <c r="G18" i="24"/>
  <c r="J18" i="24"/>
  <c r="J145" i="19" s="1"/>
  <c r="B18" i="24"/>
  <c r="B145" i="19" s="1"/>
  <c r="C18" i="24"/>
  <c r="D18" i="24"/>
  <c r="E18" i="24"/>
  <c r="F18" i="24"/>
  <c r="H18" i="24"/>
  <c r="H145" i="19" s="1"/>
  <c r="I18" i="24"/>
  <c r="I145" i="19" s="1"/>
  <c r="C5" i="19"/>
  <c r="D5" i="19"/>
  <c r="E5" i="19"/>
  <c r="F5" i="19"/>
  <c r="G5" i="19"/>
  <c r="H5" i="19"/>
  <c r="I5" i="19"/>
  <c r="J5" i="19"/>
  <c r="K5" i="19"/>
  <c r="L5" i="19"/>
  <c r="B5" i="19"/>
  <c r="C4" i="19"/>
  <c r="C27" i="25" s="1"/>
  <c r="D4" i="19"/>
  <c r="D27" i="25" s="1"/>
  <c r="E4" i="19"/>
  <c r="E27" i="25" s="1"/>
  <c r="F4" i="19"/>
  <c r="F27" i="25" s="1"/>
  <c r="G4" i="19"/>
  <c r="G27" i="25" s="1"/>
  <c r="H4" i="19"/>
  <c r="H27" i="25" s="1"/>
  <c r="I4" i="19"/>
  <c r="I27" i="25" s="1"/>
  <c r="J4" i="19"/>
  <c r="J27" i="25" s="1"/>
  <c r="K4" i="19"/>
  <c r="K27" i="25" s="1"/>
  <c r="L4" i="19"/>
  <c r="L27" i="25" s="1"/>
  <c r="B4" i="19"/>
  <c r="B27" i="25" s="1"/>
  <c r="C13" i="24"/>
  <c r="C140" i="19" s="1"/>
  <c r="D13" i="24"/>
  <c r="D140" i="19" s="1"/>
  <c r="E13" i="24"/>
  <c r="E140" i="19" s="1"/>
  <c r="F13" i="24"/>
  <c r="F140" i="19" s="1"/>
  <c r="G13" i="24"/>
  <c r="G140" i="19" s="1"/>
  <c r="B13" i="24"/>
  <c r="B140" i="19" s="1"/>
  <c r="C9" i="19"/>
  <c r="D9" i="19"/>
  <c r="E9" i="19"/>
  <c r="F9" i="19"/>
  <c r="G9" i="19"/>
  <c r="H9" i="19"/>
  <c r="I9" i="19"/>
  <c r="J9" i="19"/>
  <c r="K9" i="19"/>
  <c r="L9" i="19"/>
  <c r="B9" i="19"/>
  <c r="C10" i="19"/>
  <c r="D10" i="19"/>
  <c r="E10" i="19"/>
  <c r="F10" i="19"/>
  <c r="G10" i="19"/>
  <c r="H10" i="19"/>
  <c r="I10" i="19"/>
  <c r="J10" i="19"/>
  <c r="K10" i="19"/>
  <c r="L10" i="19"/>
  <c r="B10" i="19"/>
  <c r="C6" i="19"/>
  <c r="D6" i="19"/>
  <c r="E6" i="19"/>
  <c r="F6" i="19"/>
  <c r="G6" i="19"/>
  <c r="H6" i="19"/>
  <c r="I6" i="19"/>
  <c r="J6" i="19"/>
  <c r="K6" i="19"/>
  <c r="L6" i="19"/>
  <c r="B6" i="19"/>
  <c r="D3" i="19"/>
  <c r="E3" i="19"/>
  <c r="F3" i="19"/>
  <c r="F21" i="25" s="1"/>
  <c r="G3" i="19"/>
  <c r="G21" i="25" s="1"/>
  <c r="H3" i="19"/>
  <c r="H21" i="25" s="1"/>
  <c r="I3" i="19"/>
  <c r="J3" i="19"/>
  <c r="K3" i="19"/>
  <c r="L3" i="19"/>
  <c r="M3" i="19" s="1"/>
  <c r="C3" i="19"/>
  <c r="B3" i="19"/>
  <c r="R3" i="24"/>
  <c r="C111" i="19"/>
  <c r="D111" i="19"/>
  <c r="E111" i="19"/>
  <c r="F111" i="19"/>
  <c r="G111" i="19"/>
  <c r="H111" i="19"/>
  <c r="I111" i="19"/>
  <c r="J111" i="19"/>
  <c r="K111" i="19"/>
  <c r="L111" i="19"/>
  <c r="M111" i="19"/>
  <c r="N108" i="19"/>
  <c r="O108" i="19"/>
  <c r="P108" i="19"/>
  <c r="Q108" i="19"/>
  <c r="D109" i="19"/>
  <c r="E109" i="19"/>
  <c r="F109" i="19"/>
  <c r="G109" i="19"/>
  <c r="H109" i="19"/>
  <c r="I109" i="19"/>
  <c r="J109" i="19"/>
  <c r="K109" i="19"/>
  <c r="L109" i="19"/>
  <c r="M109" i="19"/>
  <c r="N106" i="19"/>
  <c r="O106" i="19"/>
  <c r="P106" i="19"/>
  <c r="Q106" i="19"/>
  <c r="C109" i="19"/>
  <c r="D107" i="19"/>
  <c r="E107" i="19"/>
  <c r="F107" i="19"/>
  <c r="G107" i="19"/>
  <c r="H107" i="19"/>
  <c r="I107" i="19"/>
  <c r="J107" i="19"/>
  <c r="K107" i="19"/>
  <c r="L107" i="19"/>
  <c r="M107" i="19"/>
  <c r="N104" i="19"/>
  <c r="O104" i="19"/>
  <c r="P104" i="19"/>
  <c r="Q104" i="19"/>
  <c r="C107" i="19"/>
  <c r="I71" i="12"/>
  <c r="J71" i="12"/>
  <c r="K71" i="12"/>
  <c r="C71" i="12"/>
  <c r="D71" i="12"/>
  <c r="E71" i="12"/>
  <c r="F71" i="12"/>
  <c r="G71" i="12"/>
  <c r="H71" i="12"/>
  <c r="B71" i="12"/>
  <c r="C67" i="12"/>
  <c r="D67" i="12"/>
  <c r="E67" i="12"/>
  <c r="F67" i="12"/>
  <c r="G67" i="12"/>
  <c r="H67" i="12"/>
  <c r="I67" i="12"/>
  <c r="J67" i="12"/>
  <c r="K67" i="12"/>
  <c r="B67" i="12"/>
  <c r="C65" i="12"/>
  <c r="D65" i="12"/>
  <c r="E65" i="12"/>
  <c r="F65" i="12"/>
  <c r="G65" i="12"/>
  <c r="H65" i="12"/>
  <c r="I65" i="12"/>
  <c r="J65" i="12"/>
  <c r="K65" i="12"/>
  <c r="B65" i="12"/>
  <c r="C57" i="12"/>
  <c r="D57" i="12"/>
  <c r="E57" i="12"/>
  <c r="F57" i="12"/>
  <c r="G57" i="12"/>
  <c r="H57" i="12"/>
  <c r="I57" i="12"/>
  <c r="J57" i="12"/>
  <c r="K57" i="12"/>
  <c r="B57" i="12"/>
  <c r="C56" i="12"/>
  <c r="D56" i="12"/>
  <c r="E56" i="12"/>
  <c r="F56" i="12"/>
  <c r="G56" i="12"/>
  <c r="H56" i="12"/>
  <c r="I56" i="12"/>
  <c r="J56" i="12"/>
  <c r="K56" i="12"/>
  <c r="B56" i="12"/>
  <c r="C55" i="12"/>
  <c r="D55" i="12"/>
  <c r="E55" i="12"/>
  <c r="F55" i="12"/>
  <c r="G55" i="12"/>
  <c r="H55" i="12"/>
  <c r="I55" i="12"/>
  <c r="J55" i="12"/>
  <c r="K55" i="12"/>
  <c r="B55" i="12"/>
  <c r="H45" i="12"/>
  <c r="I45" i="12"/>
  <c r="I46" i="12" s="1"/>
  <c r="I53" i="12" s="1"/>
  <c r="J45" i="12"/>
  <c r="K45" i="12"/>
  <c r="C45" i="12"/>
  <c r="D45" i="12"/>
  <c r="E45" i="12"/>
  <c r="F45" i="12"/>
  <c r="G45" i="12"/>
  <c r="B45" i="12"/>
  <c r="C53" i="12"/>
  <c r="D53" i="12"/>
  <c r="E53" i="12"/>
  <c r="F53" i="12"/>
  <c r="G53" i="12"/>
  <c r="H53" i="12"/>
  <c r="K53" i="12"/>
  <c r="B53" i="12"/>
  <c r="C50" i="12"/>
  <c r="D50" i="12"/>
  <c r="E50" i="12"/>
  <c r="F50" i="12"/>
  <c r="G50" i="12"/>
  <c r="H50" i="12"/>
  <c r="I50" i="12"/>
  <c r="J50" i="12"/>
  <c r="K50" i="12"/>
  <c r="B50" i="12"/>
  <c r="G49" i="12"/>
  <c r="H49" i="12"/>
  <c r="I49" i="12"/>
  <c r="J49" i="12"/>
  <c r="K49" i="12"/>
  <c r="F49" i="12"/>
  <c r="C49" i="12"/>
  <c r="D49" i="12"/>
  <c r="E49" i="12"/>
  <c r="B49" i="12"/>
  <c r="G48" i="12"/>
  <c r="H48" i="12"/>
  <c r="I48" i="12"/>
  <c r="J48" i="12"/>
  <c r="K48" i="12"/>
  <c r="F48" i="12"/>
  <c r="C48" i="12"/>
  <c r="D48" i="12"/>
  <c r="E48" i="12"/>
  <c r="B48" i="12"/>
  <c r="B46" i="12"/>
  <c r="C44" i="12"/>
  <c r="D44" i="12"/>
  <c r="E44" i="12"/>
  <c r="F44" i="12"/>
  <c r="G44" i="12"/>
  <c r="H44" i="12"/>
  <c r="I44" i="12"/>
  <c r="J44" i="12"/>
  <c r="J46" i="12" s="1"/>
  <c r="J53" i="12" s="1"/>
  <c r="K44" i="12"/>
  <c r="K46" i="12" s="1"/>
  <c r="B44" i="12"/>
  <c r="H52" i="12"/>
  <c r="I52" i="12"/>
  <c r="J52" i="12"/>
  <c r="K52" i="12"/>
  <c r="G52" i="12"/>
  <c r="C46" i="12"/>
  <c r="D46" i="12"/>
  <c r="E46" i="12"/>
  <c r="F46" i="12"/>
  <c r="G46" i="12"/>
  <c r="H46" i="12"/>
  <c r="C52" i="12"/>
  <c r="D52" i="12"/>
  <c r="E52" i="12"/>
  <c r="F52" i="12"/>
  <c r="B52" i="12"/>
  <c r="M42" i="12"/>
  <c r="N42" i="12"/>
  <c r="O42" i="12"/>
  <c r="P42" i="12"/>
  <c r="Q42" i="12" s="1"/>
  <c r="S3" i="24" l="1"/>
  <c r="R130" i="19"/>
  <c r="F145" i="19"/>
  <c r="E145" i="19"/>
  <c r="D145" i="19"/>
  <c r="C145" i="19"/>
  <c r="G145" i="19"/>
  <c r="S156" i="19"/>
  <c r="T29" i="24"/>
  <c r="P38" i="24"/>
  <c r="O165" i="19"/>
  <c r="P36" i="24"/>
  <c r="O163" i="19"/>
  <c r="M27" i="7"/>
  <c r="M160" i="19"/>
  <c r="B11" i="19"/>
  <c r="B21" i="7"/>
  <c r="L11" i="19"/>
  <c r="L21" i="7"/>
  <c r="K11" i="19"/>
  <c r="K21" i="7"/>
  <c r="J11" i="19"/>
  <c r="J21" i="7"/>
  <c r="I11" i="19"/>
  <c r="I21" i="7"/>
  <c r="H11" i="19"/>
  <c r="H21" i="7"/>
  <c r="G11" i="19"/>
  <c r="G21" i="7"/>
  <c r="F11" i="19"/>
  <c r="F21" i="7"/>
  <c r="E11" i="19"/>
  <c r="E21" i="7"/>
  <c r="D11" i="19"/>
  <c r="D21" i="7"/>
  <c r="C11" i="19"/>
  <c r="C21" i="7"/>
  <c r="N25" i="7"/>
  <c r="M26" i="7"/>
  <c r="M10" i="10" s="1"/>
  <c r="I24" i="25"/>
  <c r="N33" i="24"/>
  <c r="N160" i="19" s="1"/>
  <c r="M19" i="19"/>
  <c r="O12" i="25"/>
  <c r="P23" i="19"/>
  <c r="P12" i="25" s="1"/>
  <c r="S14" i="19"/>
  <c r="Q11" i="25"/>
  <c r="M6" i="19"/>
  <c r="M7" i="19"/>
  <c r="M9" i="19"/>
  <c r="M2" i="25"/>
  <c r="N3" i="19" s="1"/>
  <c r="M11" i="19"/>
  <c r="N11" i="19"/>
  <c r="O11" i="19"/>
  <c r="P11" i="19"/>
  <c r="Q11" i="19"/>
  <c r="R11" i="19"/>
  <c r="S11" i="19"/>
  <c r="T11" i="19"/>
  <c r="U11" i="19"/>
  <c r="V11" i="19"/>
  <c r="W11" i="19"/>
  <c r="B28" i="25"/>
  <c r="B26" i="25"/>
  <c r="B21" i="25"/>
  <c r="C28" i="25"/>
  <c r="C26" i="25"/>
  <c r="L28" i="25"/>
  <c r="L23" i="25"/>
  <c r="L26" i="25"/>
  <c r="L21" i="25"/>
  <c r="K28" i="25"/>
  <c r="K23" i="25"/>
  <c r="K26" i="25"/>
  <c r="K21" i="25"/>
  <c r="J28" i="25"/>
  <c r="J23" i="25"/>
  <c r="J26" i="25"/>
  <c r="J21" i="25"/>
  <c r="I28" i="25"/>
  <c r="I23" i="25"/>
  <c r="I26" i="25"/>
  <c r="I21" i="25"/>
  <c r="H28" i="25"/>
  <c r="H23" i="25"/>
  <c r="H26" i="25"/>
  <c r="G28" i="25"/>
  <c r="G26" i="25"/>
  <c r="F28" i="25"/>
  <c r="F26" i="25"/>
  <c r="E28" i="25"/>
  <c r="E26" i="25"/>
  <c r="D28" i="25"/>
  <c r="D26" i="25"/>
  <c r="B23" i="25"/>
  <c r="G23" i="25"/>
  <c r="F23" i="25"/>
  <c r="E23" i="25"/>
  <c r="D23" i="25"/>
  <c r="C23" i="25"/>
  <c r="M27" i="25"/>
  <c r="D24" i="25"/>
  <c r="F24" i="25"/>
  <c r="C24" i="25"/>
  <c r="H24" i="25"/>
  <c r="E24" i="25"/>
  <c r="J24" i="25"/>
  <c r="G24" i="25"/>
  <c r="L18" i="24"/>
  <c r="L145" i="19" s="1"/>
  <c r="K18" i="24"/>
  <c r="E21" i="25"/>
  <c r="C21" i="25"/>
  <c r="D21" i="25"/>
  <c r="I7" i="19"/>
  <c r="G7" i="19"/>
  <c r="F7" i="19"/>
  <c r="K7" i="19"/>
  <c r="J7" i="19"/>
  <c r="H7" i="19"/>
  <c r="E7" i="19"/>
  <c r="D7" i="19"/>
  <c r="B7" i="19"/>
  <c r="C7" i="19"/>
  <c r="L7" i="19"/>
  <c r="L23" i="9"/>
  <c r="L7" i="9"/>
  <c r="C20" i="9"/>
  <c r="D20" i="9" s="1"/>
  <c r="E20" i="9" s="1"/>
  <c r="F20" i="9" s="1"/>
  <c r="G20" i="9" s="1"/>
  <c r="H20" i="9" s="1"/>
  <c r="I20" i="9" s="1"/>
  <c r="J20" i="9" s="1"/>
  <c r="K20" i="9" s="1"/>
  <c r="R42" i="12"/>
  <c r="S42" i="12" s="1"/>
  <c r="T42" i="12" s="1"/>
  <c r="U42" i="12" s="1"/>
  <c r="L8" i="12"/>
  <c r="M9" i="12"/>
  <c r="N9" i="12" s="1"/>
  <c r="C8" i="12"/>
  <c r="D8" i="12"/>
  <c r="E8" i="12"/>
  <c r="F8" i="12"/>
  <c r="G8" i="12"/>
  <c r="H8" i="12"/>
  <c r="I8" i="12"/>
  <c r="J8" i="12"/>
  <c r="K8" i="12"/>
  <c r="B8" i="12"/>
  <c r="M7" i="12"/>
  <c r="N7" i="12" s="1"/>
  <c r="O7" i="12" s="1"/>
  <c r="P7" i="12" s="1"/>
  <c r="Q7" i="12" s="1"/>
  <c r="R7" i="12" s="1"/>
  <c r="S7" i="12" s="1"/>
  <c r="T7" i="12" s="1"/>
  <c r="U7" i="12" s="1"/>
  <c r="K24" i="25" l="1"/>
  <c r="K145" i="19"/>
  <c r="Q36" i="24"/>
  <c r="P163" i="19"/>
  <c r="Q38" i="24"/>
  <c r="P165" i="19"/>
  <c r="U29" i="24"/>
  <c r="T156" i="19"/>
  <c r="T3" i="24"/>
  <c r="S130" i="19"/>
  <c r="T14" i="19"/>
  <c r="M24" i="25"/>
  <c r="M27" i="19"/>
  <c r="M9" i="7"/>
  <c r="O33" i="24"/>
  <c r="O160" i="19" s="1"/>
  <c r="N27" i="7"/>
  <c r="O25" i="7" s="1"/>
  <c r="N26" i="7"/>
  <c r="N10" i="10" s="1"/>
  <c r="N19" i="19"/>
  <c r="P33" i="24"/>
  <c r="P160" i="19" s="1"/>
  <c r="O19" i="19"/>
  <c r="M21" i="25"/>
  <c r="M7" i="24" s="1"/>
  <c r="M134" i="19" s="1"/>
  <c r="Q23" i="19"/>
  <c r="R23" i="19"/>
  <c r="R11" i="25"/>
  <c r="S11" i="25" s="1"/>
  <c r="M23" i="25"/>
  <c r="N23" i="25" s="1"/>
  <c r="M28" i="25"/>
  <c r="N28" i="25" s="1"/>
  <c r="O28" i="25" s="1"/>
  <c r="P28" i="25" s="1"/>
  <c r="Q28" i="25" s="1"/>
  <c r="R28" i="25" s="1"/>
  <c r="S28" i="25" s="1"/>
  <c r="T28" i="25" s="1"/>
  <c r="U28" i="25" s="1"/>
  <c r="V28" i="25" s="1"/>
  <c r="W28" i="25" s="1"/>
  <c r="N6" i="19"/>
  <c r="N7" i="19" s="1"/>
  <c r="N9" i="19"/>
  <c r="N2" i="25"/>
  <c r="O3" i="19" s="1"/>
  <c r="M12" i="19"/>
  <c r="M16" i="19"/>
  <c r="M6" i="24"/>
  <c r="M133" i="19" s="1"/>
  <c r="N27" i="25"/>
  <c r="M13" i="24"/>
  <c r="M140" i="19" s="1"/>
  <c r="M26" i="25"/>
  <c r="M5" i="24" s="1"/>
  <c r="M132" i="19" s="1"/>
  <c r="N24" i="25"/>
  <c r="O24" i="25" s="1"/>
  <c r="P24" i="25" s="1"/>
  <c r="Q24" i="25" s="1"/>
  <c r="R24" i="25" s="1"/>
  <c r="S24" i="25" s="1"/>
  <c r="T24" i="25" s="1"/>
  <c r="U24" i="25" s="1"/>
  <c r="V24" i="25" s="1"/>
  <c r="W24" i="25" s="1"/>
  <c r="L24" i="25"/>
  <c r="L16" i="19"/>
  <c r="L12" i="19"/>
  <c r="C16" i="19"/>
  <c r="C12" i="19"/>
  <c r="B16" i="19"/>
  <c r="B12" i="19"/>
  <c r="D16" i="19"/>
  <c r="D12" i="19"/>
  <c r="E16" i="19"/>
  <c r="E12" i="19"/>
  <c r="H16" i="19"/>
  <c r="H12" i="19"/>
  <c r="J16" i="19"/>
  <c r="J12" i="19"/>
  <c r="K16" i="19"/>
  <c r="K12" i="19"/>
  <c r="F16" i="19"/>
  <c r="F12" i="19"/>
  <c r="G16" i="19"/>
  <c r="G12" i="19"/>
  <c r="I16" i="19"/>
  <c r="I12" i="19"/>
  <c r="L69" i="19"/>
  <c r="L71" i="19" s="1"/>
  <c r="L78" i="19" s="1"/>
  <c r="L80" i="19" s="1"/>
  <c r="C69" i="19"/>
  <c r="B69" i="19"/>
  <c r="D69" i="19"/>
  <c r="E69" i="19"/>
  <c r="H69" i="19"/>
  <c r="J69" i="19"/>
  <c r="K69" i="19"/>
  <c r="F69" i="19"/>
  <c r="G69" i="19"/>
  <c r="I69" i="19"/>
  <c r="C90" i="15"/>
  <c r="U3" i="24" l="1"/>
  <c r="T130" i="19"/>
  <c r="V29" i="24"/>
  <c r="U156" i="19"/>
  <c r="R38" i="24"/>
  <c r="Q165" i="19"/>
  <c r="R36" i="24"/>
  <c r="Q163" i="19"/>
  <c r="I21" i="19"/>
  <c r="I6" i="7"/>
  <c r="I8" i="7" s="1"/>
  <c r="I4" i="10" s="1"/>
  <c r="G21" i="19"/>
  <c r="G6" i="7"/>
  <c r="G8" i="7" s="1"/>
  <c r="G4" i="10" s="1"/>
  <c r="F21" i="19"/>
  <c r="F6" i="7"/>
  <c r="F8" i="7" s="1"/>
  <c r="F4" i="10" s="1"/>
  <c r="K21" i="19"/>
  <c r="K6" i="7"/>
  <c r="K8" i="7" s="1"/>
  <c r="K4" i="10" s="1"/>
  <c r="J21" i="19"/>
  <c r="J6" i="7"/>
  <c r="J8" i="7" s="1"/>
  <c r="J4" i="10" s="1"/>
  <c r="H21" i="19"/>
  <c r="H6" i="7"/>
  <c r="H8" i="7" s="1"/>
  <c r="H4" i="10" s="1"/>
  <c r="E21" i="19"/>
  <c r="E6" i="7"/>
  <c r="E8" i="7" s="1"/>
  <c r="E4" i="10" s="1"/>
  <c r="D21" i="19"/>
  <c r="D6" i="7"/>
  <c r="D8" i="7" s="1"/>
  <c r="D4" i="10" s="1"/>
  <c r="B21" i="19"/>
  <c r="B6" i="7"/>
  <c r="B8" i="7" s="1"/>
  <c r="B4" i="10" s="1"/>
  <c r="C21" i="19"/>
  <c r="C6" i="7"/>
  <c r="C8" i="7" s="1"/>
  <c r="C4" i="10" s="1"/>
  <c r="L21" i="19"/>
  <c r="L6" i="7"/>
  <c r="L8" i="7" s="1"/>
  <c r="L4" i="10" s="1"/>
  <c r="U14" i="19"/>
  <c r="M15" i="7"/>
  <c r="N13" i="7"/>
  <c r="M14" i="7"/>
  <c r="M5" i="10" s="1"/>
  <c r="O27" i="19"/>
  <c r="O7" i="7" s="1"/>
  <c r="O9" i="7"/>
  <c r="P27" i="7"/>
  <c r="Q25" i="7" s="1"/>
  <c r="N27" i="19"/>
  <c r="N7" i="7" s="1"/>
  <c r="N9" i="7"/>
  <c r="O27" i="7"/>
  <c r="P25" i="7" s="1"/>
  <c r="P26" i="7" s="1"/>
  <c r="P10" i="10" s="1"/>
  <c r="O26" i="7"/>
  <c r="O10" i="10" s="1"/>
  <c r="N21" i="25"/>
  <c r="N7" i="24" s="1"/>
  <c r="N134" i="19" s="1"/>
  <c r="Q33" i="24"/>
  <c r="Q160" i="19" s="1"/>
  <c r="P19" i="19"/>
  <c r="M21" i="19"/>
  <c r="R12" i="25"/>
  <c r="Q12" i="25"/>
  <c r="S23" i="19"/>
  <c r="S12" i="25" s="1"/>
  <c r="T11" i="25"/>
  <c r="O6" i="19"/>
  <c r="O7" i="19"/>
  <c r="O9" i="19"/>
  <c r="O2" i="25"/>
  <c r="P3" i="19" s="1"/>
  <c r="N12" i="19"/>
  <c r="N16" i="19"/>
  <c r="I71" i="19"/>
  <c r="I78" i="19" s="1"/>
  <c r="I80" i="19" s="1"/>
  <c r="J17" i="25"/>
  <c r="G71" i="19"/>
  <c r="G78" i="19" s="1"/>
  <c r="G80" i="19" s="1"/>
  <c r="H17" i="25"/>
  <c r="F71" i="19"/>
  <c r="F78" i="19" s="1"/>
  <c r="F80" i="19" s="1"/>
  <c r="G17" i="25"/>
  <c r="K71" i="19"/>
  <c r="K78" i="19" s="1"/>
  <c r="K80" i="19" s="1"/>
  <c r="L17" i="25"/>
  <c r="J71" i="19"/>
  <c r="J78" i="19" s="1"/>
  <c r="J80" i="19" s="1"/>
  <c r="K17" i="25"/>
  <c r="H71" i="19"/>
  <c r="H78" i="19" s="1"/>
  <c r="H80" i="19" s="1"/>
  <c r="I17" i="25"/>
  <c r="E71" i="19"/>
  <c r="E78" i="19" s="1"/>
  <c r="E80" i="19" s="1"/>
  <c r="F17" i="25"/>
  <c r="D71" i="19"/>
  <c r="D78" i="19" s="1"/>
  <c r="D80" i="19" s="1"/>
  <c r="E17" i="25"/>
  <c r="B71" i="19"/>
  <c r="B78" i="19" s="1"/>
  <c r="B80" i="19" s="1"/>
  <c r="C17" i="25"/>
  <c r="C71" i="19"/>
  <c r="C78" i="19" s="1"/>
  <c r="C80" i="19" s="1"/>
  <c r="D17" i="25"/>
  <c r="I8" i="25"/>
  <c r="I14" i="25"/>
  <c r="I29" i="19"/>
  <c r="I15" i="25" s="1"/>
  <c r="I25" i="19"/>
  <c r="I10" i="25"/>
  <c r="G8" i="25"/>
  <c r="G14" i="25"/>
  <c r="G29" i="19"/>
  <c r="G15" i="25" s="1"/>
  <c r="G25" i="19"/>
  <c r="G10" i="25"/>
  <c r="F8" i="25"/>
  <c r="F14" i="25"/>
  <c r="F29" i="19"/>
  <c r="F15" i="25" s="1"/>
  <c r="F25" i="19"/>
  <c r="F10" i="25"/>
  <c r="K8" i="25"/>
  <c r="K14" i="25"/>
  <c r="K29" i="19"/>
  <c r="K15" i="25" s="1"/>
  <c r="K25" i="19"/>
  <c r="K10" i="25"/>
  <c r="J8" i="25"/>
  <c r="J14" i="25"/>
  <c r="J29" i="19"/>
  <c r="J15" i="25" s="1"/>
  <c r="J25" i="19"/>
  <c r="J10" i="25"/>
  <c r="H8" i="25"/>
  <c r="H14" i="25"/>
  <c r="H29" i="19"/>
  <c r="H15" i="25" s="1"/>
  <c r="H25" i="19"/>
  <c r="H10" i="25"/>
  <c r="E8" i="25"/>
  <c r="E14" i="25"/>
  <c r="E29" i="19"/>
  <c r="E15" i="25" s="1"/>
  <c r="E25" i="19"/>
  <c r="E10" i="25"/>
  <c r="D8" i="25"/>
  <c r="D14" i="25"/>
  <c r="D29" i="19"/>
  <c r="D15" i="25" s="1"/>
  <c r="D25" i="19"/>
  <c r="D10" i="25"/>
  <c r="B8" i="25"/>
  <c r="B14" i="25"/>
  <c r="B29" i="19"/>
  <c r="B15" i="25" s="1"/>
  <c r="B25" i="19"/>
  <c r="B10" i="25"/>
  <c r="C8" i="25"/>
  <c r="C14" i="25"/>
  <c r="C29" i="19"/>
  <c r="C15" i="25" s="1"/>
  <c r="C25" i="19"/>
  <c r="C10" i="25"/>
  <c r="L8" i="25"/>
  <c r="L14" i="25"/>
  <c r="L29" i="19"/>
  <c r="L15" i="25" s="1"/>
  <c r="L25" i="19"/>
  <c r="L10" i="25"/>
  <c r="N26" i="25"/>
  <c r="O23" i="25"/>
  <c r="N13" i="24"/>
  <c r="N140" i="19" s="1"/>
  <c r="N6" i="24"/>
  <c r="N133" i="19" s="1"/>
  <c r="O27" i="25"/>
  <c r="C105" i="15"/>
  <c r="C79" i="15"/>
  <c r="K79" i="12"/>
  <c r="J79" i="12"/>
  <c r="I79" i="12"/>
  <c r="H79" i="12"/>
  <c r="G79" i="12"/>
  <c r="F79" i="12"/>
  <c r="E79" i="12"/>
  <c r="D79" i="12"/>
  <c r="C79" i="12"/>
  <c r="B79" i="12"/>
  <c r="K7" i="12"/>
  <c r="J7" i="12"/>
  <c r="I7" i="12"/>
  <c r="H7" i="12"/>
  <c r="G7" i="12"/>
  <c r="F7" i="12"/>
  <c r="E7" i="12"/>
  <c r="D7" i="12"/>
  <c r="C7" i="12"/>
  <c r="B7" i="12"/>
  <c r="S36" i="24" l="1"/>
  <c r="R163" i="19"/>
  <c r="S38" i="24"/>
  <c r="R165" i="19"/>
  <c r="W29" i="24"/>
  <c r="W156" i="19" s="1"/>
  <c r="V156" i="19"/>
  <c r="V3" i="24"/>
  <c r="V130" i="19" s="1"/>
  <c r="U130" i="19"/>
  <c r="V14" i="19"/>
  <c r="W14" i="19" s="1"/>
  <c r="L7" i="10"/>
  <c r="L14" i="10"/>
  <c r="L16" i="10" s="1"/>
  <c r="C7" i="10"/>
  <c r="C14" i="10"/>
  <c r="C16" i="10" s="1"/>
  <c r="B7" i="10"/>
  <c r="B14" i="10"/>
  <c r="B16" i="10" s="1"/>
  <c r="D14" i="10"/>
  <c r="D16" i="10" s="1"/>
  <c r="D7" i="10"/>
  <c r="E14" i="10"/>
  <c r="E16" i="10" s="1"/>
  <c r="E7" i="10"/>
  <c r="H14" i="10"/>
  <c r="H16" i="10" s="1"/>
  <c r="H7" i="10"/>
  <c r="J7" i="10"/>
  <c r="J14" i="10"/>
  <c r="J16" i="10" s="1"/>
  <c r="K7" i="10"/>
  <c r="K14" i="10"/>
  <c r="K16" i="10" s="1"/>
  <c r="F14" i="10"/>
  <c r="F16" i="10" s="1"/>
  <c r="F7" i="10"/>
  <c r="G14" i="10"/>
  <c r="G16" i="10" s="1"/>
  <c r="G7" i="10"/>
  <c r="I14" i="10"/>
  <c r="I16" i="10" s="1"/>
  <c r="I7" i="10"/>
  <c r="N14" i="7"/>
  <c r="N5" i="10" s="1"/>
  <c r="N15" i="7"/>
  <c r="O13" i="7"/>
  <c r="P27" i="19"/>
  <c r="P7" i="7" s="1"/>
  <c r="P9" i="7"/>
  <c r="Q27" i="7"/>
  <c r="R25" i="7" s="1"/>
  <c r="Q26" i="7"/>
  <c r="Q10" i="10" s="1"/>
  <c r="O21" i="25"/>
  <c r="P21" i="25" s="1"/>
  <c r="Q21" i="25" s="1"/>
  <c r="R21" i="25" s="1"/>
  <c r="S21" i="25" s="1"/>
  <c r="T21" i="25" s="1"/>
  <c r="U21" i="25" s="1"/>
  <c r="V21" i="25" s="1"/>
  <c r="W21" i="25" s="1"/>
  <c r="R33" i="24"/>
  <c r="R160" i="19" s="1"/>
  <c r="Q19" i="19"/>
  <c r="N21" i="19"/>
  <c r="T23" i="19"/>
  <c r="M17" i="25"/>
  <c r="N17" i="25"/>
  <c r="U11" i="25"/>
  <c r="P6" i="19"/>
  <c r="P7" i="19" s="1"/>
  <c r="P9" i="19"/>
  <c r="P2" i="25"/>
  <c r="Q3" i="19" s="1"/>
  <c r="O12" i="19"/>
  <c r="O16" i="19"/>
  <c r="O6" i="24"/>
  <c r="O133" i="19" s="1"/>
  <c r="P27" i="25"/>
  <c r="P23" i="25"/>
  <c r="O13" i="24"/>
  <c r="O140" i="19" s="1"/>
  <c r="N5" i="24"/>
  <c r="N132" i="19" s="1"/>
  <c r="O26" i="25"/>
  <c r="M10" i="25"/>
  <c r="O7" i="24"/>
  <c r="O134" i="19" s="1"/>
  <c r="P7" i="24"/>
  <c r="P134" i="19" s="1"/>
  <c r="C99" i="15"/>
  <c r="C102" i="15"/>
  <c r="K4" i="7"/>
  <c r="C4" i="7"/>
  <c r="D4" i="7"/>
  <c r="E4" i="7"/>
  <c r="F4" i="7"/>
  <c r="G4" i="7"/>
  <c r="H4" i="7"/>
  <c r="I4" i="7"/>
  <c r="J4" i="7"/>
  <c r="B4" i="7"/>
  <c r="B3" i="10"/>
  <c r="C3" i="10"/>
  <c r="D3" i="10"/>
  <c r="E3" i="10"/>
  <c r="F3" i="10"/>
  <c r="G3" i="10"/>
  <c r="H3" i="10"/>
  <c r="I3" i="10"/>
  <c r="J3" i="10"/>
  <c r="K3" i="10"/>
  <c r="T38" i="24" l="1"/>
  <c r="S165" i="19"/>
  <c r="T36" i="24"/>
  <c r="S163" i="19"/>
  <c r="O15" i="7"/>
  <c r="P13" i="7"/>
  <c r="P14" i="7" s="1"/>
  <c r="P5" i="10" s="1"/>
  <c r="P15" i="7"/>
  <c r="Q13" i="7"/>
  <c r="O14" i="7"/>
  <c r="O5" i="10" s="1"/>
  <c r="Q27" i="19"/>
  <c r="Q7" i="7" s="1"/>
  <c r="Q9" i="7"/>
  <c r="R27" i="7"/>
  <c r="S25" i="7" s="1"/>
  <c r="R26" i="7"/>
  <c r="R10" i="10" s="1"/>
  <c r="S33" i="24"/>
  <c r="S160" i="19" s="1"/>
  <c r="R19" i="19"/>
  <c r="O21" i="19"/>
  <c r="U23" i="19"/>
  <c r="T12" i="25"/>
  <c r="N10" i="25"/>
  <c r="N22" i="19" s="1"/>
  <c r="N28" i="19" s="1"/>
  <c r="N29" i="19" s="1"/>
  <c r="M22" i="19"/>
  <c r="V11" i="25"/>
  <c r="O17" i="25"/>
  <c r="P17" i="25" s="1"/>
  <c r="Q6" i="19"/>
  <c r="Q7" i="19"/>
  <c r="Q9" i="19"/>
  <c r="Q2" i="25"/>
  <c r="P12" i="19"/>
  <c r="P16" i="19"/>
  <c r="O10" i="25"/>
  <c r="O5" i="24"/>
  <c r="O132" i="19" s="1"/>
  <c r="P26" i="25"/>
  <c r="Q23" i="25"/>
  <c r="P13" i="24"/>
  <c r="P140" i="19" s="1"/>
  <c r="P6" i="24"/>
  <c r="P133" i="19" s="1"/>
  <c r="Q27" i="25"/>
  <c r="Q7" i="24"/>
  <c r="Q134" i="19" s="1"/>
  <c r="U36" i="24" l="1"/>
  <c r="T163" i="19"/>
  <c r="U38" i="24"/>
  <c r="T165" i="19"/>
  <c r="Q14" i="7"/>
  <c r="Q5" i="10" s="1"/>
  <c r="R13" i="7"/>
  <c r="Q15" i="7"/>
  <c r="N8" i="7"/>
  <c r="N4" i="10" s="1"/>
  <c r="N6" i="7"/>
  <c r="R27" i="19"/>
  <c r="R7" i="7" s="1"/>
  <c r="R9" i="7"/>
  <c r="S27" i="7"/>
  <c r="T25" i="7" s="1"/>
  <c r="S26" i="7"/>
  <c r="S10" i="10" s="1"/>
  <c r="T33" i="24"/>
  <c r="T160" i="19" s="1"/>
  <c r="S19" i="19"/>
  <c r="P10" i="25"/>
  <c r="O22" i="19"/>
  <c r="O28" i="19" s="1"/>
  <c r="O29" i="19" s="1"/>
  <c r="M28" i="19"/>
  <c r="M29" i="19" s="1"/>
  <c r="M25" i="19"/>
  <c r="M27" i="24" s="1"/>
  <c r="M154" i="19" s="1"/>
  <c r="P21" i="19"/>
  <c r="N25" i="19"/>
  <c r="N27" i="24" s="1"/>
  <c r="V23" i="19"/>
  <c r="U12" i="25"/>
  <c r="W11" i="25"/>
  <c r="Q17" i="25"/>
  <c r="R2" i="25"/>
  <c r="S2" i="25" s="1"/>
  <c r="T2" i="25" s="1"/>
  <c r="U2" i="25" s="1"/>
  <c r="V2" i="25" s="1"/>
  <c r="R3" i="19"/>
  <c r="Q12" i="19"/>
  <c r="Q16" i="19"/>
  <c r="Q6" i="24"/>
  <c r="Q133" i="19" s="1"/>
  <c r="R27" i="25"/>
  <c r="R23" i="25"/>
  <c r="Q13" i="24"/>
  <c r="Q140" i="19" s="1"/>
  <c r="P5" i="24"/>
  <c r="P132" i="19" s="1"/>
  <c r="Q26" i="25"/>
  <c r="V38" i="24" l="1"/>
  <c r="U165" i="19"/>
  <c r="V36" i="24"/>
  <c r="U163" i="19"/>
  <c r="N28" i="24"/>
  <c r="N155" i="19" s="1"/>
  <c r="N154" i="19"/>
  <c r="N14" i="10"/>
  <c r="O25" i="19"/>
  <c r="O27" i="24" s="1"/>
  <c r="M8" i="7"/>
  <c r="M4" i="10" s="1"/>
  <c r="M6" i="7"/>
  <c r="O8" i="7"/>
  <c r="O4" i="10" s="1"/>
  <c r="O6" i="7"/>
  <c r="S27" i="19"/>
  <c r="S7" i="7" s="1"/>
  <c r="S9" i="7"/>
  <c r="T27" i="7"/>
  <c r="U25" i="7" s="1"/>
  <c r="T26" i="7"/>
  <c r="T10" i="10" s="1"/>
  <c r="M28" i="24"/>
  <c r="U33" i="24"/>
  <c r="U160" i="19" s="1"/>
  <c r="T19" i="19"/>
  <c r="Q21" i="19"/>
  <c r="V12" i="25"/>
  <c r="W23" i="19"/>
  <c r="W12" i="25" s="1"/>
  <c r="Q10" i="25"/>
  <c r="P22" i="19"/>
  <c r="P28" i="19" s="1"/>
  <c r="P29" i="19" s="1"/>
  <c r="R17" i="25"/>
  <c r="S17" i="25" s="1"/>
  <c r="T17" i="25" s="1"/>
  <c r="S3" i="19"/>
  <c r="R6" i="19"/>
  <c r="R7" i="19" s="1"/>
  <c r="R9" i="19"/>
  <c r="Q5" i="24"/>
  <c r="Q132" i="19" s="1"/>
  <c r="R26" i="25"/>
  <c r="S23" i="25"/>
  <c r="R13" i="24"/>
  <c r="R140" i="19" s="1"/>
  <c r="R6" i="24"/>
  <c r="R133" i="19" s="1"/>
  <c r="S27" i="25"/>
  <c r="R7" i="24"/>
  <c r="W36" i="24" l="1"/>
  <c r="W163" i="19" s="1"/>
  <c r="V163" i="19"/>
  <c r="W38" i="24"/>
  <c r="W165" i="19" s="1"/>
  <c r="V165" i="19"/>
  <c r="R14" i="7"/>
  <c r="R5" i="10" s="1"/>
  <c r="R134" i="19"/>
  <c r="M30" i="24"/>
  <c r="M157" i="19" s="1"/>
  <c r="M155" i="19"/>
  <c r="O28" i="24"/>
  <c r="O155" i="19" s="1"/>
  <c r="O154" i="19"/>
  <c r="M14" i="10"/>
  <c r="O14" i="10"/>
  <c r="S13" i="7"/>
  <c r="R15" i="7"/>
  <c r="P8" i="7"/>
  <c r="P4" i="10" s="1"/>
  <c r="P6" i="7"/>
  <c r="T27" i="19"/>
  <c r="T7" i="7" s="1"/>
  <c r="T9" i="7"/>
  <c r="U27" i="7"/>
  <c r="V25" i="7" s="1"/>
  <c r="U26" i="7"/>
  <c r="U10" i="10" s="1"/>
  <c r="M37" i="24"/>
  <c r="N26" i="24"/>
  <c r="V33" i="24"/>
  <c r="V160" i="19" s="1"/>
  <c r="U19" i="19"/>
  <c r="P25" i="19"/>
  <c r="P27" i="24" s="1"/>
  <c r="Q22" i="19"/>
  <c r="Q28" i="19" s="1"/>
  <c r="Q29" i="19" s="1"/>
  <c r="R10" i="25"/>
  <c r="U17" i="25"/>
  <c r="V17" i="25" s="1"/>
  <c r="W17" i="25" s="1"/>
  <c r="R12" i="19"/>
  <c r="R16" i="19"/>
  <c r="T3" i="19"/>
  <c r="S6" i="19"/>
  <c r="S7" i="19" s="1"/>
  <c r="S9" i="19"/>
  <c r="S6" i="24"/>
  <c r="S133" i="19" s="1"/>
  <c r="T27" i="25"/>
  <c r="T23" i="25"/>
  <c r="S13" i="24"/>
  <c r="S140" i="19" s="1"/>
  <c r="R5" i="24"/>
  <c r="R132" i="19" s="1"/>
  <c r="S26" i="25"/>
  <c r="S7" i="24"/>
  <c r="S134" i="19" s="1"/>
  <c r="P28" i="24" l="1"/>
  <c r="P155" i="19" s="1"/>
  <c r="P154" i="19"/>
  <c r="N30" i="24"/>
  <c r="N157" i="19" s="1"/>
  <c r="N153" i="19"/>
  <c r="M39" i="24"/>
  <c r="M166" i="19" s="1"/>
  <c r="M164" i="19"/>
  <c r="S15" i="7"/>
  <c r="T13" i="7"/>
  <c r="P14" i="10"/>
  <c r="S14" i="7"/>
  <c r="S5" i="10" s="1"/>
  <c r="Q25" i="19"/>
  <c r="Q27" i="24" s="1"/>
  <c r="Q8" i="7"/>
  <c r="Q4" i="10" s="1"/>
  <c r="Q6" i="7"/>
  <c r="U27" i="19"/>
  <c r="U7" i="7" s="1"/>
  <c r="U9" i="7"/>
  <c r="V27" i="7"/>
  <c r="W25" i="7" s="1"/>
  <c r="V26" i="7"/>
  <c r="V10" i="10" s="1"/>
  <c r="W33" i="24"/>
  <c r="W160" i="19" s="1"/>
  <c r="V19" i="19"/>
  <c r="O26" i="24"/>
  <c r="N37" i="24"/>
  <c r="R21" i="19"/>
  <c r="S10" i="25"/>
  <c r="T10" i="25" s="1"/>
  <c r="R22" i="19"/>
  <c r="R28" i="19" s="1"/>
  <c r="R29" i="19" s="1"/>
  <c r="S12" i="19"/>
  <c r="S16" i="19"/>
  <c r="U3" i="19"/>
  <c r="T6" i="19"/>
  <c r="T7" i="19" s="1"/>
  <c r="T9" i="19"/>
  <c r="S5" i="24"/>
  <c r="S132" i="19" s="1"/>
  <c r="T26" i="25"/>
  <c r="U23" i="25"/>
  <c r="T13" i="24"/>
  <c r="T140" i="19" s="1"/>
  <c r="T6" i="24"/>
  <c r="T133" i="19" s="1"/>
  <c r="U27" i="25"/>
  <c r="T7" i="24"/>
  <c r="T134" i="19" s="1"/>
  <c r="N39" i="24" l="1"/>
  <c r="N166" i="19" s="1"/>
  <c r="N164" i="19"/>
  <c r="O30" i="24"/>
  <c r="O157" i="19" s="1"/>
  <c r="O153" i="19"/>
  <c r="Q28" i="24"/>
  <c r="Q155" i="19" s="1"/>
  <c r="Q154" i="19"/>
  <c r="T15" i="7"/>
  <c r="U13" i="7"/>
  <c r="T14" i="7"/>
  <c r="T5" i="10" s="1"/>
  <c r="Q14" i="10"/>
  <c r="R8" i="7"/>
  <c r="R4" i="10" s="1"/>
  <c r="R6" i="7"/>
  <c r="V27" i="19"/>
  <c r="V7" i="7" s="1"/>
  <c r="V9" i="7"/>
  <c r="W27" i="7"/>
  <c r="W26" i="7"/>
  <c r="P26" i="24"/>
  <c r="O37" i="24"/>
  <c r="W19" i="19"/>
  <c r="S22" i="19"/>
  <c r="S28" i="19" s="1"/>
  <c r="S29" i="19" s="1"/>
  <c r="U10" i="25"/>
  <c r="R25" i="19"/>
  <c r="R27" i="24" s="1"/>
  <c r="S21" i="19"/>
  <c r="T12" i="19"/>
  <c r="T16" i="19"/>
  <c r="V3" i="19"/>
  <c r="U6" i="19"/>
  <c r="U7" i="19" s="1"/>
  <c r="U9" i="19"/>
  <c r="U6" i="24"/>
  <c r="U133" i="19" s="1"/>
  <c r="V27" i="25"/>
  <c r="V23" i="25"/>
  <c r="U13" i="24"/>
  <c r="U140" i="19" s="1"/>
  <c r="T5" i="24"/>
  <c r="T132" i="19" s="1"/>
  <c r="U26" i="25"/>
  <c r="U7" i="24"/>
  <c r="U134" i="19" s="1"/>
  <c r="R28" i="24" l="1"/>
  <c r="R155" i="19" s="1"/>
  <c r="R154" i="19"/>
  <c r="O39" i="24"/>
  <c r="O166" i="19" s="1"/>
  <c r="O164" i="19"/>
  <c r="P30" i="24"/>
  <c r="P157" i="19" s="1"/>
  <c r="P153" i="19"/>
  <c r="R14" i="10"/>
  <c r="U15" i="7"/>
  <c r="V13" i="7"/>
  <c r="U14" i="7"/>
  <c r="U5" i="10" s="1"/>
  <c r="S8" i="7"/>
  <c r="S4" i="10" s="1"/>
  <c r="S6" i="7"/>
  <c r="W27" i="19"/>
  <c r="W7" i="7" s="1"/>
  <c r="W9" i="7"/>
  <c r="Q26" i="24"/>
  <c r="P37" i="24"/>
  <c r="S25" i="19"/>
  <c r="S27" i="24" s="1"/>
  <c r="V10" i="25"/>
  <c r="W10" i="25"/>
  <c r="T21" i="19"/>
  <c r="T22" i="19"/>
  <c r="T28" i="19" s="1"/>
  <c r="T29" i="19" s="1"/>
  <c r="U12" i="19"/>
  <c r="U16" i="19"/>
  <c r="W3" i="19"/>
  <c r="W7" i="24" s="1"/>
  <c r="V6" i="19"/>
  <c r="V7" i="19" s="1"/>
  <c r="V9" i="19"/>
  <c r="U5" i="24"/>
  <c r="U132" i="19" s="1"/>
  <c r="V26" i="25"/>
  <c r="W23" i="25"/>
  <c r="W13" i="24" s="1"/>
  <c r="W140" i="19" s="1"/>
  <c r="V13" i="24"/>
  <c r="V140" i="19" s="1"/>
  <c r="V6" i="24"/>
  <c r="V133" i="19" s="1"/>
  <c r="W27" i="25"/>
  <c r="W6" i="24" s="1"/>
  <c r="W133" i="19" s="1"/>
  <c r="V7" i="24"/>
  <c r="V134" i="19" s="1"/>
  <c r="W15" i="7" l="1"/>
  <c r="W134" i="19"/>
  <c r="S28" i="24"/>
  <c r="S155" i="19" s="1"/>
  <c r="S154" i="19"/>
  <c r="P39" i="24"/>
  <c r="P166" i="19" s="1"/>
  <c r="P164" i="19"/>
  <c r="Q30" i="24"/>
  <c r="Q157" i="19" s="1"/>
  <c r="Q153" i="19"/>
  <c r="V14" i="7"/>
  <c r="V5" i="10" s="1"/>
  <c r="S14" i="10"/>
  <c r="V15" i="7"/>
  <c r="W13" i="7"/>
  <c r="W14" i="7" s="1"/>
  <c r="T8" i="7"/>
  <c r="T4" i="10" s="1"/>
  <c r="T6" i="7"/>
  <c r="Q37" i="24"/>
  <c r="R26" i="24"/>
  <c r="U21" i="19"/>
  <c r="T25" i="19"/>
  <c r="T27" i="24" s="1"/>
  <c r="U22" i="19"/>
  <c r="U28" i="19" s="1"/>
  <c r="U29" i="19" s="1"/>
  <c r="V12" i="19"/>
  <c r="V16" i="19"/>
  <c r="V22" i="19" s="1"/>
  <c r="V28" i="19" s="1"/>
  <c r="W6" i="19"/>
  <c r="W7" i="19" s="1"/>
  <c r="W9" i="19"/>
  <c r="V5" i="24"/>
  <c r="V132" i="19" s="1"/>
  <c r="W26" i="25"/>
  <c r="W5" i="24" s="1"/>
  <c r="W132" i="19" s="1"/>
  <c r="B29" i="25"/>
  <c r="B11" i="24"/>
  <c r="B31" i="25"/>
  <c r="B14" i="24" l="1"/>
  <c r="B138" i="19"/>
  <c r="T28" i="24"/>
  <c r="T155" i="19" s="1"/>
  <c r="T154" i="19"/>
  <c r="R30" i="24"/>
  <c r="R157" i="19" s="1"/>
  <c r="R153" i="19"/>
  <c r="Q39" i="24"/>
  <c r="Q166" i="19" s="1"/>
  <c r="Q164" i="19"/>
  <c r="T14" i="10"/>
  <c r="U25" i="19"/>
  <c r="U27" i="24" s="1"/>
  <c r="U8" i="7"/>
  <c r="U4" i="10" s="1"/>
  <c r="U6" i="7"/>
  <c r="B22" i="25"/>
  <c r="R37" i="24"/>
  <c r="S26" i="24"/>
  <c r="V29" i="19"/>
  <c r="V21" i="19"/>
  <c r="V25" i="19" s="1"/>
  <c r="V27" i="24" s="1"/>
  <c r="W12" i="19"/>
  <c r="W16" i="19"/>
  <c r="G31" i="25"/>
  <c r="G29" i="25"/>
  <c r="H29" i="25"/>
  <c r="H31" i="25"/>
  <c r="K29" i="25"/>
  <c r="K31" i="25"/>
  <c r="L29" i="25"/>
  <c r="L31" i="25"/>
  <c r="F29" i="25"/>
  <c r="F31" i="25"/>
  <c r="D31" i="25"/>
  <c r="D29" i="25"/>
  <c r="F11" i="24"/>
  <c r="E29" i="25"/>
  <c r="E11" i="24"/>
  <c r="E31" i="25"/>
  <c r="G11" i="24"/>
  <c r="G138" i="19" s="1"/>
  <c r="G14" i="24"/>
  <c r="I29" i="25"/>
  <c r="I31" i="25"/>
  <c r="C29" i="25"/>
  <c r="C11" i="24"/>
  <c r="C31" i="25"/>
  <c r="D11" i="24"/>
  <c r="J29" i="25"/>
  <c r="J31" i="25"/>
  <c r="J11" i="24"/>
  <c r="I11" i="24"/>
  <c r="L11" i="24"/>
  <c r="K11" i="24"/>
  <c r="H11" i="24"/>
  <c r="H22" i="25" l="1"/>
  <c r="H138" i="19"/>
  <c r="K22" i="25"/>
  <c r="K138" i="19"/>
  <c r="L14" i="24"/>
  <c r="L138" i="19"/>
  <c r="M17" i="7"/>
  <c r="I14" i="24"/>
  <c r="I138" i="19"/>
  <c r="J22" i="25"/>
  <c r="J138" i="19"/>
  <c r="D22" i="25"/>
  <c r="D138" i="19"/>
  <c r="C14" i="24"/>
  <c r="C138" i="19"/>
  <c r="G141" i="19"/>
  <c r="G22" i="24"/>
  <c r="G149" i="19" s="1"/>
  <c r="E22" i="25"/>
  <c r="E138" i="19"/>
  <c r="F138" i="19"/>
  <c r="F14" i="24"/>
  <c r="F22" i="25"/>
  <c r="B22" i="24"/>
  <c r="B149" i="19" s="1"/>
  <c r="B141" i="19"/>
  <c r="V28" i="24"/>
  <c r="V155" i="19" s="1"/>
  <c r="V154" i="19"/>
  <c r="S30" i="24"/>
  <c r="S157" i="19" s="1"/>
  <c r="S153" i="19"/>
  <c r="R39" i="24"/>
  <c r="R166" i="19" s="1"/>
  <c r="R164" i="19"/>
  <c r="U28" i="24"/>
  <c r="U155" i="19" s="1"/>
  <c r="U154" i="19"/>
  <c r="U14" i="10"/>
  <c r="V8" i="7"/>
  <c r="V4" i="10" s="1"/>
  <c r="V6" i="7"/>
  <c r="H14" i="24"/>
  <c r="M31" i="25"/>
  <c r="I22" i="25"/>
  <c r="C22" i="25"/>
  <c r="T26" i="24"/>
  <c r="S37" i="24"/>
  <c r="L22" i="25"/>
  <c r="W21" i="19"/>
  <c r="W22" i="19"/>
  <c r="W28" i="19" s="1"/>
  <c r="W29" i="19" s="1"/>
  <c r="M29" i="25"/>
  <c r="M11" i="24" s="1"/>
  <c r="M138" i="19" s="1"/>
  <c r="N31" i="25"/>
  <c r="M15" i="24"/>
  <c r="M142" i="19" s="1"/>
  <c r="M16" i="24"/>
  <c r="M143" i="19" s="1"/>
  <c r="K14" i="24"/>
  <c r="D14" i="24"/>
  <c r="E14" i="24"/>
  <c r="G22" i="25"/>
  <c r="J14" i="24"/>
  <c r="J22" i="24" l="1"/>
  <c r="J149" i="19" s="1"/>
  <c r="J141" i="19"/>
  <c r="E141" i="19"/>
  <c r="E22" i="24"/>
  <c r="E149" i="19" s="1"/>
  <c r="D141" i="19"/>
  <c r="D22" i="24"/>
  <c r="D149" i="19" s="1"/>
  <c r="K22" i="24"/>
  <c r="K149" i="19" s="1"/>
  <c r="K141" i="19"/>
  <c r="H22" i="24"/>
  <c r="H149" i="19" s="1"/>
  <c r="H141" i="19"/>
  <c r="F141" i="19"/>
  <c r="F22" i="24"/>
  <c r="F149" i="19" s="1"/>
  <c r="C141" i="19"/>
  <c r="C22" i="24"/>
  <c r="C149" i="19" s="1"/>
  <c r="I22" i="24"/>
  <c r="I149" i="19" s="1"/>
  <c r="I141" i="19"/>
  <c r="L22" i="24"/>
  <c r="L149" i="19" s="1"/>
  <c r="L141" i="19"/>
  <c r="S39" i="24"/>
  <c r="S166" i="19" s="1"/>
  <c r="S164" i="19"/>
  <c r="T30" i="24"/>
  <c r="T157" i="19" s="1"/>
  <c r="T153" i="19"/>
  <c r="W25" i="19"/>
  <c r="W27" i="24" s="1"/>
  <c r="M22" i="25"/>
  <c r="M9" i="24" s="1"/>
  <c r="N17" i="7"/>
  <c r="M19" i="7"/>
  <c r="V14" i="10"/>
  <c r="N29" i="25"/>
  <c r="N11" i="24" s="1"/>
  <c r="N138" i="19" s="1"/>
  <c r="W8" i="7"/>
  <c r="W6" i="7"/>
  <c r="N16" i="24"/>
  <c r="N143" i="19" s="1"/>
  <c r="U26" i="24"/>
  <c r="T37" i="24"/>
  <c r="P22" i="25"/>
  <c r="P9" i="24" s="1"/>
  <c r="S22" i="25"/>
  <c r="S9" i="24" s="1"/>
  <c r="T22" i="25"/>
  <c r="T9" i="24" s="1"/>
  <c r="O22" i="25"/>
  <c r="O9" i="24" s="1"/>
  <c r="U22" i="25"/>
  <c r="U9" i="24" s="1"/>
  <c r="N22" i="25"/>
  <c r="N9" i="24" s="1"/>
  <c r="Q22" i="25"/>
  <c r="Q9" i="24" s="1"/>
  <c r="W22" i="25"/>
  <c r="W9" i="24" s="1"/>
  <c r="W136" i="19" s="1"/>
  <c r="V22" i="25"/>
  <c r="V9" i="24" s="1"/>
  <c r="R22" i="25"/>
  <c r="R9" i="24" s="1"/>
  <c r="M14" i="24"/>
  <c r="M141" i="19" s="1"/>
  <c r="L30" i="25"/>
  <c r="M30" i="25" s="1"/>
  <c r="N30" i="25" s="1"/>
  <c r="O30" i="25" s="1"/>
  <c r="P30" i="25" s="1"/>
  <c r="Q30" i="25" s="1"/>
  <c r="R30" i="25" s="1"/>
  <c r="S30" i="25" s="1"/>
  <c r="T30" i="25" s="1"/>
  <c r="U30" i="25" s="1"/>
  <c r="V30" i="25" s="1"/>
  <c r="W30" i="25" s="1"/>
  <c r="M10" i="24"/>
  <c r="M137" i="19" s="1"/>
  <c r="O31" i="25"/>
  <c r="N15" i="24"/>
  <c r="N142" i="19" s="1"/>
  <c r="S21" i="7" l="1"/>
  <c r="R136" i="19"/>
  <c r="W21" i="7"/>
  <c r="V136" i="19"/>
  <c r="R21" i="7"/>
  <c r="Q136" i="19"/>
  <c r="O21" i="7"/>
  <c r="N136" i="19"/>
  <c r="V21" i="7"/>
  <c r="U136" i="19"/>
  <c r="P21" i="7"/>
  <c r="O136" i="19"/>
  <c r="U21" i="7"/>
  <c r="T136" i="19"/>
  <c r="T21" i="7"/>
  <c r="S136" i="19"/>
  <c r="Q21" i="7"/>
  <c r="P136" i="19"/>
  <c r="T39" i="24"/>
  <c r="T166" i="19" s="1"/>
  <c r="T164" i="19"/>
  <c r="U30" i="24"/>
  <c r="U157" i="19" s="1"/>
  <c r="U153" i="19"/>
  <c r="N21" i="7"/>
  <c r="M136" i="19"/>
  <c r="W28" i="24"/>
  <c r="W155" i="19" s="1"/>
  <c r="W154" i="19"/>
  <c r="N19" i="7"/>
  <c r="O17" i="7"/>
  <c r="O29" i="25"/>
  <c r="O11" i="24" s="1"/>
  <c r="O138" i="19" s="1"/>
  <c r="M23" i="7"/>
  <c r="M6" i="10" s="1"/>
  <c r="M7" i="10" s="1"/>
  <c r="M18" i="7"/>
  <c r="M15" i="10"/>
  <c r="M16" i="10" s="1"/>
  <c r="O16" i="24"/>
  <c r="O143" i="19" s="1"/>
  <c r="V26" i="24"/>
  <c r="U37" i="24"/>
  <c r="M17" i="24"/>
  <c r="P31" i="25"/>
  <c r="P16" i="24" s="1"/>
  <c r="P143" i="19" s="1"/>
  <c r="O15" i="24"/>
  <c r="O142" i="19" s="1"/>
  <c r="P29" i="25"/>
  <c r="P11" i="24" s="1"/>
  <c r="P138" i="19" s="1"/>
  <c r="N14" i="24"/>
  <c r="N141" i="19" s="1"/>
  <c r="N10" i="24"/>
  <c r="N137" i="19" s="1"/>
  <c r="M18" i="24" l="1"/>
  <c r="M144" i="19"/>
  <c r="U39" i="24"/>
  <c r="U166" i="19" s="1"/>
  <c r="U164" i="19"/>
  <c r="V30" i="24"/>
  <c r="V157" i="19" s="1"/>
  <c r="V153" i="19"/>
  <c r="P19" i="7"/>
  <c r="Q17" i="7"/>
  <c r="O19" i="7"/>
  <c r="P17" i="7"/>
  <c r="N23" i="7"/>
  <c r="N6" i="10" s="1"/>
  <c r="N7" i="10" s="1"/>
  <c r="N18" i="7"/>
  <c r="N15" i="10"/>
  <c r="N16" i="10" s="1"/>
  <c r="V37" i="24"/>
  <c r="W26" i="24"/>
  <c r="N17" i="24"/>
  <c r="Q29" i="25"/>
  <c r="Q11" i="24" s="1"/>
  <c r="Q138" i="19" s="1"/>
  <c r="O14" i="24"/>
  <c r="O141" i="19" s="1"/>
  <c r="O10" i="24"/>
  <c r="O137" i="19" s="1"/>
  <c r="Q31" i="25"/>
  <c r="Q16" i="24" s="1"/>
  <c r="Q143" i="19" s="1"/>
  <c r="P15" i="24"/>
  <c r="P142" i="19" s="1"/>
  <c r="N18" i="24" l="1"/>
  <c r="N144" i="19"/>
  <c r="W30" i="24"/>
  <c r="W153" i="19"/>
  <c r="V39" i="24"/>
  <c r="V166" i="19" s="1"/>
  <c r="V164" i="19"/>
  <c r="M20" i="24"/>
  <c r="M147" i="19" s="1"/>
  <c r="M145" i="19"/>
  <c r="Q19" i="7"/>
  <c r="R17" i="7"/>
  <c r="O23" i="7"/>
  <c r="O6" i="10" s="1"/>
  <c r="O7" i="10" s="1"/>
  <c r="O18" i="7"/>
  <c r="O15" i="10"/>
  <c r="O16" i="10" s="1"/>
  <c r="P23" i="7"/>
  <c r="P6" i="10" s="1"/>
  <c r="P7" i="10" s="1"/>
  <c r="P18" i="7"/>
  <c r="P15" i="10"/>
  <c r="O17" i="24"/>
  <c r="Q15" i="24"/>
  <c r="Q142" i="19" s="1"/>
  <c r="R31" i="25"/>
  <c r="R16" i="24" s="1"/>
  <c r="R143" i="19" s="1"/>
  <c r="P14" i="24"/>
  <c r="P141" i="19" s="1"/>
  <c r="P10" i="24"/>
  <c r="P137" i="19" s="1"/>
  <c r="R29" i="25"/>
  <c r="R11" i="24" s="1"/>
  <c r="R138" i="19" s="1"/>
  <c r="O18" i="24" l="1"/>
  <c r="O144" i="19"/>
  <c r="W37" i="24"/>
  <c r="W157" i="19"/>
  <c r="N20" i="24"/>
  <c r="N145" i="19"/>
  <c r="R19" i="7"/>
  <c r="S17" i="7"/>
  <c r="P16" i="10"/>
  <c r="Q23" i="7"/>
  <c r="Q6" i="10" s="1"/>
  <c r="Q7" i="10" s="1"/>
  <c r="Q18" i="7"/>
  <c r="Q15" i="10"/>
  <c r="Q16" i="10" s="1"/>
  <c r="P17" i="24"/>
  <c r="S29" i="25"/>
  <c r="S11" i="24" s="1"/>
  <c r="S138" i="19" s="1"/>
  <c r="Q10" i="24"/>
  <c r="Q137" i="19" s="1"/>
  <c r="Q14" i="24"/>
  <c r="Q141" i="19" s="1"/>
  <c r="R15" i="24"/>
  <c r="R142" i="19" s="1"/>
  <c r="S31" i="25"/>
  <c r="S16" i="24" s="1"/>
  <c r="S143" i="19" s="1"/>
  <c r="P18" i="24" l="1"/>
  <c r="P144" i="19"/>
  <c r="N22" i="24"/>
  <c r="N149" i="19" s="1"/>
  <c r="N147" i="19"/>
  <c r="W39" i="24"/>
  <c r="W166" i="19" s="1"/>
  <c r="W164" i="19"/>
  <c r="O20" i="24"/>
  <c r="O147" i="19" s="1"/>
  <c r="O145" i="19"/>
  <c r="T17" i="7"/>
  <c r="S19" i="7"/>
  <c r="R23" i="7"/>
  <c r="R6" i="10" s="1"/>
  <c r="R7" i="10" s="1"/>
  <c r="R18" i="7"/>
  <c r="R15" i="10"/>
  <c r="R16" i="10" s="1"/>
  <c r="Q17" i="24"/>
  <c r="S15" i="24"/>
  <c r="S142" i="19" s="1"/>
  <c r="T31" i="25"/>
  <c r="T16" i="24" s="1"/>
  <c r="T143" i="19" s="1"/>
  <c r="R10" i="24"/>
  <c r="R137" i="19" s="1"/>
  <c r="R14" i="24"/>
  <c r="R141" i="19" s="1"/>
  <c r="T29" i="25"/>
  <c r="T11" i="24" s="1"/>
  <c r="T138" i="19" s="1"/>
  <c r="Q18" i="24" l="1"/>
  <c r="Q144" i="19"/>
  <c r="P20" i="24"/>
  <c r="P147" i="19" s="1"/>
  <c r="P145" i="19"/>
  <c r="U17" i="7"/>
  <c r="T19" i="7"/>
  <c r="S23" i="7"/>
  <c r="S6" i="10" s="1"/>
  <c r="S7" i="10" s="1"/>
  <c r="S18" i="7"/>
  <c r="S15" i="10"/>
  <c r="S16" i="10" s="1"/>
  <c r="R17" i="24"/>
  <c r="S10" i="24"/>
  <c r="S137" i="19" s="1"/>
  <c r="S14" i="24"/>
  <c r="S141" i="19" s="1"/>
  <c r="U29" i="25"/>
  <c r="U11" i="24" s="1"/>
  <c r="U138" i="19" s="1"/>
  <c r="T15" i="24"/>
  <c r="T142" i="19" s="1"/>
  <c r="U31" i="25"/>
  <c r="U16" i="24" s="1"/>
  <c r="U143" i="19" s="1"/>
  <c r="R18" i="24" l="1"/>
  <c r="R144" i="19"/>
  <c r="Q20" i="24"/>
  <c r="Q147" i="19" s="1"/>
  <c r="Q145" i="19"/>
  <c r="U19" i="7"/>
  <c r="V17" i="7"/>
  <c r="T23" i="7"/>
  <c r="T6" i="10" s="1"/>
  <c r="T7" i="10" s="1"/>
  <c r="T18" i="7"/>
  <c r="T15" i="10"/>
  <c r="T16" i="10" s="1"/>
  <c r="S17" i="24"/>
  <c r="U15" i="24"/>
  <c r="U142" i="19" s="1"/>
  <c r="V31" i="25"/>
  <c r="V16" i="24" s="1"/>
  <c r="V143" i="19" s="1"/>
  <c r="T14" i="24"/>
  <c r="T141" i="19" s="1"/>
  <c r="T10" i="24"/>
  <c r="T137" i="19" s="1"/>
  <c r="V29" i="25"/>
  <c r="V11" i="24" s="1"/>
  <c r="V138" i="19" s="1"/>
  <c r="S18" i="24" l="1"/>
  <c r="S144" i="19"/>
  <c r="R20" i="24"/>
  <c r="R147" i="19" s="1"/>
  <c r="R145" i="19"/>
  <c r="V19" i="7"/>
  <c r="W17" i="7"/>
  <c r="U23" i="7"/>
  <c r="U6" i="10" s="1"/>
  <c r="U7" i="10" s="1"/>
  <c r="U18" i="7"/>
  <c r="U15" i="10"/>
  <c r="U16" i="10" s="1"/>
  <c r="T17" i="24"/>
  <c r="W29" i="25"/>
  <c r="W11" i="24" s="1"/>
  <c r="W138" i="19" s="1"/>
  <c r="U10" i="24"/>
  <c r="U137" i="19" s="1"/>
  <c r="U14" i="24"/>
  <c r="U141" i="19" s="1"/>
  <c r="W31" i="25"/>
  <c r="W16" i="24" s="1"/>
  <c r="W143" i="19" s="1"/>
  <c r="V15" i="24"/>
  <c r="V142" i="19" s="1"/>
  <c r="T18" i="24" l="1"/>
  <c r="T144" i="19"/>
  <c r="S20" i="24"/>
  <c r="S147" i="19" s="1"/>
  <c r="S145" i="19"/>
  <c r="W19" i="7"/>
  <c r="V23" i="7"/>
  <c r="V6" i="10" s="1"/>
  <c r="V7" i="10" s="1"/>
  <c r="V18" i="7"/>
  <c r="V15" i="10"/>
  <c r="V16" i="10" s="1"/>
  <c r="U17" i="24"/>
  <c r="W14" i="24"/>
  <c r="W141" i="19" s="1"/>
  <c r="W10" i="24"/>
  <c r="W137" i="19" s="1"/>
  <c r="V14" i="24"/>
  <c r="V141" i="19" s="1"/>
  <c r="V10" i="24"/>
  <c r="V137" i="19" s="1"/>
  <c r="U18" i="24" l="1"/>
  <c r="U144" i="19"/>
  <c r="T20" i="24"/>
  <c r="T147" i="19" s="1"/>
  <c r="T145" i="19"/>
  <c r="W7" i="10"/>
  <c r="W23" i="7"/>
  <c r="W18" i="7"/>
  <c r="V17" i="24"/>
  <c r="W17" i="24"/>
  <c r="W18" i="24" l="1"/>
  <c r="W144" i="19"/>
  <c r="V18" i="24"/>
  <c r="V144" i="19"/>
  <c r="U20" i="24"/>
  <c r="U147" i="19" s="1"/>
  <c r="U145" i="19"/>
  <c r="R22" i="24"/>
  <c r="Q22" i="24"/>
  <c r="U22" i="24"/>
  <c r="P22" i="24"/>
  <c r="S22" i="24"/>
  <c r="T22" i="24"/>
  <c r="O22" i="24"/>
  <c r="B20" i="24"/>
  <c r="B147" i="19" s="1"/>
  <c r="B40" i="24"/>
  <c r="B167" i="19" s="1"/>
  <c r="C20" i="24"/>
  <c r="C147" i="19" s="1"/>
  <c r="C40" i="24"/>
  <c r="C167" i="19" s="1"/>
  <c r="D20" i="24"/>
  <c r="D147" i="19" s="1"/>
  <c r="D40" i="24"/>
  <c r="D167" i="19" s="1"/>
  <c r="J20" i="24"/>
  <c r="J147" i="19" s="1"/>
  <c r="J40" i="24"/>
  <c r="J167" i="19" s="1"/>
  <c r="I20" i="24"/>
  <c r="I147" i="19" s="1"/>
  <c r="I40" i="24"/>
  <c r="I167" i="19" s="1"/>
  <c r="K40" i="24"/>
  <c r="K167" i="19" s="1"/>
  <c r="K20" i="24"/>
  <c r="K147" i="19" s="1"/>
  <c r="G20" i="24"/>
  <c r="G147" i="19" s="1"/>
  <c r="G40" i="24"/>
  <c r="G167" i="19" s="1"/>
  <c r="H20" i="24"/>
  <c r="H147" i="19" s="1"/>
  <c r="H40" i="24"/>
  <c r="H167" i="19" s="1"/>
  <c r="F43" i="24"/>
  <c r="F170" i="19" s="1"/>
  <c r="F20" i="24"/>
  <c r="F147" i="19" s="1"/>
  <c r="F40" i="24"/>
  <c r="F167" i="19" s="1"/>
  <c r="E20" i="24"/>
  <c r="E147" i="19" s="1"/>
  <c r="E40" i="24"/>
  <c r="E167" i="19" s="1"/>
  <c r="N40" i="24"/>
  <c r="N167" i="19" s="1"/>
  <c r="L20" i="24"/>
  <c r="L147" i="19" s="1"/>
  <c r="L40" i="24"/>
  <c r="L167" i="19" s="1"/>
  <c r="M22" i="24"/>
  <c r="M40" i="24" l="1"/>
  <c r="M167" i="19" s="1"/>
  <c r="M149" i="19"/>
  <c r="O40" i="24"/>
  <c r="O167" i="19" s="1"/>
  <c r="O149" i="19"/>
  <c r="T40" i="24"/>
  <c r="T167" i="19" s="1"/>
  <c r="T149" i="19"/>
  <c r="S40" i="24"/>
  <c r="S167" i="19" s="1"/>
  <c r="S149" i="19"/>
  <c r="P40" i="24"/>
  <c r="P167" i="19" s="1"/>
  <c r="P149" i="19"/>
  <c r="U40" i="24"/>
  <c r="U167" i="19" s="1"/>
  <c r="U149" i="19"/>
  <c r="Q40" i="24"/>
  <c r="Q167" i="19" s="1"/>
  <c r="Q149" i="19"/>
  <c r="R40" i="24"/>
  <c r="R167" i="19" s="1"/>
  <c r="R149" i="19"/>
  <c r="V20" i="24"/>
  <c r="V145" i="19"/>
  <c r="W20" i="24"/>
  <c r="W145" i="19"/>
  <c r="W147" i="19" l="1"/>
  <c r="W22" i="24"/>
  <c r="V147" i="19"/>
  <c r="V22" i="24"/>
  <c r="V149" i="19" l="1"/>
  <c r="V40" i="24"/>
  <c r="V167" i="19" s="1"/>
  <c r="W149" i="19"/>
  <c r="W40" i="24"/>
  <c r="W167" i="1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Tiffany Thng</author>
  </authors>
  <commentList>
    <comment ref="A8" authorId="0" shapeId="0" xr:uid="{00000000-0006-0000-0400-000001000000}">
      <text>
        <r>
          <rPr>
            <b/>
            <sz val="9"/>
            <color indexed="81"/>
            <rFont val="Tahoma"/>
            <family val="2"/>
          </rPr>
          <t>Tiffany Thng:</t>
        </r>
        <r>
          <rPr>
            <sz val="9"/>
            <color indexed="81"/>
            <rFont val="Tahoma"/>
            <family val="2"/>
          </rPr>
          <t xml:space="preserve">
See Pg. 67 GD Annual Report 2019</t>
        </r>
      </text>
    </comment>
    <comment ref="L9" authorId="0" shapeId="0" xr:uid="{00000000-0006-0000-0400-000002000000}">
      <text>
        <r>
          <rPr>
            <b/>
            <sz val="9"/>
            <color indexed="81"/>
            <rFont val="Tahoma"/>
            <family val="2"/>
          </rPr>
          <t>Tiffany Thng:</t>
        </r>
        <r>
          <rPr>
            <sz val="9"/>
            <color indexed="81"/>
            <rFont val="Tahoma"/>
            <family val="2"/>
          </rPr>
          <t xml:space="preserve">
See Pg. 34 of GD 2021 Annual report:
- segment revenue to increase to ~$8.4 billion in 2022.
- increase by $2 bllion in 2023 and $1.6 billion in 2024.</t>
        </r>
      </text>
    </comment>
    <comment ref="L10" authorId="0" shapeId="0" xr:uid="{00000000-0006-0000-0400-000003000000}">
      <text>
        <r>
          <rPr>
            <b/>
            <sz val="9"/>
            <color indexed="81"/>
            <rFont val="Tahoma"/>
            <family val="2"/>
          </rPr>
          <t>Tiffany Thng:</t>
        </r>
        <r>
          <rPr>
            <sz val="9"/>
            <color indexed="81"/>
            <rFont val="Tahoma"/>
            <family val="2"/>
          </rPr>
          <t xml:space="preserve">
See Pg. 36 of GD Annual report 2021:
- segment revenue estimated to be between $7.15 and $7.25 billion</t>
        </r>
      </text>
    </comment>
    <comment ref="L11" authorId="0" shapeId="0" xr:uid="{00000000-0006-0000-0400-000004000000}">
      <text>
        <r>
          <rPr>
            <b/>
            <sz val="9"/>
            <color indexed="81"/>
            <rFont val="Tahoma"/>
            <family val="2"/>
          </rPr>
          <t>Tiffany Thng:</t>
        </r>
        <r>
          <rPr>
            <sz val="9"/>
            <color indexed="81"/>
            <rFont val="Tahoma"/>
            <family val="2"/>
          </rPr>
          <t xml:space="preserve">
See Pg. 35 of GD Annual Report:
- segment revenue to be between $12.8 and $13 billion.</t>
        </r>
      </text>
    </comment>
    <comment ref="L13" authorId="0" shapeId="0" xr:uid="{00000000-0006-0000-0400-000005000000}">
      <text>
        <r>
          <rPr>
            <b/>
            <sz val="9"/>
            <color indexed="81"/>
            <rFont val="Tahoma"/>
            <family val="2"/>
          </rPr>
          <t>Tiffany Thng:</t>
        </r>
        <r>
          <rPr>
            <sz val="9"/>
            <color indexed="81"/>
            <rFont val="Tahoma"/>
            <family val="2"/>
          </rPr>
          <t xml:space="preserve">
See Pg. 35 of GD Annual Report:
- segment revenue in 2022 expected to be at $10.8 billion</t>
        </r>
      </text>
    </comment>
    <comment ref="A19" authorId="0" shapeId="0" xr:uid="{00000000-0006-0000-0400-000006000000}">
      <text>
        <r>
          <rPr>
            <b/>
            <sz val="9"/>
            <color indexed="81"/>
            <rFont val="Tahoma"/>
            <family val="2"/>
          </rPr>
          <t>Tiffany Thng:</t>
        </r>
        <r>
          <rPr>
            <sz val="9"/>
            <color indexed="81"/>
            <rFont val="Tahoma"/>
            <family val="2"/>
          </rPr>
          <t xml:space="preserve">
Should not include nonoperating items Pg.221-222 Koller</t>
        </r>
      </text>
    </comment>
    <comment ref="A36" authorId="0" shapeId="0" xr:uid="{00000000-0006-0000-0400-000007000000}">
      <text>
        <r>
          <rPr>
            <b/>
            <sz val="9"/>
            <color indexed="81"/>
            <rFont val="Tahoma"/>
            <family val="2"/>
          </rPr>
          <t xml:space="preserve">Tiffany Thng:
</t>
        </r>
        <r>
          <rPr>
            <sz val="9"/>
            <color indexed="81"/>
            <rFont val="Tahoma"/>
            <family val="2"/>
          </rPr>
          <t>Debt Tax Shield: interest savings from taking debt = Net Interest Expense * Reported Tax Rate</t>
        </r>
      </text>
    </comment>
    <comment ref="A52" authorId="0" shapeId="0" xr:uid="{00000000-0006-0000-0400-000008000000}">
      <text>
        <r>
          <rPr>
            <b/>
            <sz val="9"/>
            <color indexed="81"/>
            <rFont val="Tahoma"/>
            <family val="2"/>
          </rPr>
          <t>Tiffany Thng:</t>
        </r>
        <r>
          <rPr>
            <sz val="9"/>
            <color indexed="81"/>
            <rFont val="Tahoma"/>
            <family val="2"/>
          </rPr>
          <t xml:space="preserve">
If excluded = calculate ROIC without goodwill &amp; intangibles</t>
        </r>
      </text>
    </comment>
    <comment ref="A55" authorId="0" shapeId="0" xr:uid="{00000000-0006-0000-0400-000009000000}">
      <text>
        <r>
          <rPr>
            <b/>
            <sz val="9"/>
            <color indexed="81"/>
            <rFont val="Tahoma"/>
            <family val="2"/>
          </rPr>
          <t>Tiffany Thng:</t>
        </r>
        <r>
          <rPr>
            <sz val="9"/>
            <color indexed="81"/>
            <rFont val="Tahoma"/>
            <family val="2"/>
          </rPr>
          <t xml:space="preserve">
GD annual report:  Our investments in other
securities are included in other current and noncurrent assets on the
Consolidated Balance Sheet (see Note E)</t>
        </r>
      </text>
    </comment>
    <comment ref="A59" authorId="0" shapeId="0" xr:uid="{00000000-0006-0000-0400-00000A000000}">
      <text>
        <r>
          <rPr>
            <b/>
            <sz val="9"/>
            <color indexed="81"/>
            <rFont val="Tahoma"/>
            <family val="2"/>
          </rPr>
          <t>Tiffany Thng:</t>
        </r>
        <r>
          <rPr>
            <sz val="9"/>
            <color indexed="81"/>
            <rFont val="Tahoma"/>
            <family val="2"/>
          </rPr>
          <t xml:space="preserve">
See Pg.278-281 Valuation Book</t>
        </r>
      </text>
    </comment>
    <comment ref="B65" authorId="0" shapeId="0" xr:uid="{00000000-0006-0000-0400-00000B000000}">
      <text>
        <r>
          <rPr>
            <b/>
            <sz val="9"/>
            <color indexed="81"/>
            <rFont val="Tahoma"/>
            <family val="2"/>
          </rPr>
          <t>Tiffany Thng:</t>
        </r>
        <r>
          <rPr>
            <sz val="9"/>
            <color indexed="81"/>
            <rFont val="Tahoma"/>
            <family val="2"/>
          </rPr>
          <t xml:space="preserve">
End Retained Earnings for 2011</t>
        </r>
      </text>
    </comment>
    <comment ref="L72" authorId="0" shapeId="0" xr:uid="{00000000-0006-0000-0400-00000C000000}">
      <text>
        <r>
          <rPr>
            <b/>
            <sz val="9"/>
            <color indexed="81"/>
            <rFont val="Tahoma"/>
            <family val="2"/>
          </rPr>
          <t>Tiffany Thng:</t>
        </r>
        <r>
          <rPr>
            <sz val="9"/>
            <color indexed="81"/>
            <rFont val="Tahoma"/>
            <family val="2"/>
          </rPr>
          <t xml:space="preserve">
See Valuation Pg.279 on constant debt level.</t>
        </r>
      </text>
    </comment>
    <comment ref="L74" authorId="0" shapeId="0" xr:uid="{00000000-0006-0000-0400-00000D000000}">
      <text>
        <r>
          <rPr>
            <b/>
            <sz val="9"/>
            <color indexed="81"/>
            <rFont val="Tahoma"/>
            <family val="2"/>
          </rPr>
          <t>Tiffany Thng:</t>
        </r>
        <r>
          <rPr>
            <sz val="9"/>
            <color indexed="81"/>
            <rFont val="Tahoma"/>
            <family val="2"/>
          </rPr>
          <t xml:space="preserve">
See Valuation Pg.279 on constant equity level.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Kevin O'Regan</author>
  </authors>
  <commentList>
    <comment ref="M3" authorId="0" shapeId="0" xr:uid="{295C06C3-01D9-45EE-A099-310F5A6AA220}">
      <text>
        <r>
          <rPr>
            <sz val="11"/>
            <color theme="1"/>
            <rFont val="Calibri"/>
            <family val="2"/>
            <scheme val="minor"/>
          </rPr>
          <t>Kevin O'Regan:
Reuters estimate growth rate between 3.5% and 4.75%.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Tiffany Thng</author>
    <author/>
    <author>Rory O Hanlon</author>
  </authors>
  <commentList>
    <comment ref="A13" authorId="0" shapeId="0" xr:uid="{13627A5A-A866-4AAD-9D41-D0F2F66C3B30}">
      <text>
        <r>
          <rPr>
            <b/>
            <sz val="9"/>
            <color indexed="81"/>
            <rFont val="Tahoma"/>
            <family val="2"/>
          </rPr>
          <t>Tiffany Thng:</t>
        </r>
        <r>
          <rPr>
            <sz val="9"/>
            <color indexed="81"/>
            <rFont val="Tahoma"/>
            <family val="2"/>
          </rPr>
          <t xml:space="preserve">
If excluded = calculate ROIC without goodwill &amp; intangibles</t>
        </r>
      </text>
    </comment>
    <comment ref="A16" authorId="0" shapeId="0" xr:uid="{497443CA-C93E-4F3D-8E13-FEF28F50D867}">
      <text>
        <r>
          <rPr>
            <b/>
            <sz val="9"/>
            <color indexed="81"/>
            <rFont val="Tahoma"/>
            <family val="2"/>
          </rPr>
          <t xml:space="preserve">Rory O Hanlon:
</t>
        </r>
        <r>
          <rPr>
            <sz val="9"/>
            <color indexed="81"/>
            <rFont val="Tahoma"/>
            <family val="2"/>
          </rPr>
          <t>includes cash &amp; equivalents (9135m
Other non-operating assets (misc current assets, deferred tax assets and minor investments</t>
        </r>
      </text>
    </comment>
    <comment ref="A20" authorId="0" shapeId="0" xr:uid="{92C28993-8664-4DB2-9AD4-FDCDDFACCD7D}">
      <text>
        <r>
          <rPr>
            <b/>
            <sz val="9"/>
            <color indexed="81"/>
            <rFont val="Tahoma"/>
            <family val="2"/>
          </rPr>
          <t>Tiffany Thng:</t>
        </r>
        <r>
          <rPr>
            <sz val="9"/>
            <color indexed="81"/>
            <rFont val="Tahoma"/>
            <family val="2"/>
          </rPr>
          <t xml:space="preserve">
See Pg.278-281 Valuation Book</t>
        </r>
      </text>
    </comment>
    <comment ref="B26" authorId="0" shapeId="0" xr:uid="{D4607562-FFB6-4BB6-BEAB-C9B8E2A7A1F0}">
      <text>
        <r>
          <rPr>
            <b/>
            <sz val="9"/>
            <color indexed="81"/>
            <rFont val="Tahoma"/>
            <family val="2"/>
          </rPr>
          <t>Rory O Hanlon:</t>
        </r>
        <r>
          <rPr>
            <sz val="9"/>
            <color indexed="81"/>
            <rFont val="Tahoma"/>
            <family val="2"/>
          </rPr>
          <t xml:space="preserve">
End Retained Earnings for 2014</t>
        </r>
      </text>
    </comment>
    <comment ref="A29" authorId="1" shapeId="0" xr:uid="{3C8B8DA7-BEFF-4847-9C61-E793540A2F42}">
      <text>
        <r>
          <rPr>
            <sz val="11"/>
            <color theme="1"/>
            <rFont val="Calibri"/>
            <family val="2"/>
            <scheme val="minor"/>
          </rPr>
          <t>Rory o Hanlon:
Other transactions:
OCI adjustments / share-based comp</t>
        </r>
      </text>
    </comment>
    <comment ref="M34" authorId="0" shapeId="0" xr:uid="{33D8DF73-41B1-4366-B2F3-B534CFBB9854}">
      <text>
        <r>
          <rPr>
            <b/>
            <sz val="9"/>
            <color indexed="81"/>
            <rFont val="Tahoma"/>
            <family val="2"/>
          </rPr>
          <t>Tiffany Thng:</t>
        </r>
        <r>
          <rPr>
            <sz val="9"/>
            <color indexed="81"/>
            <rFont val="Tahoma"/>
            <family val="2"/>
          </rPr>
          <t xml:space="preserve">
See Valuation Pg.279 on constant debt level.</t>
        </r>
      </text>
    </comment>
    <comment ref="A36" authorId="2" shapeId="0" xr:uid="{0749AE62-B2A8-48FC-80BD-4C0EA0C0BA9D}">
      <text>
        <r>
          <rPr>
            <b/>
            <sz val="9"/>
            <color indexed="81"/>
            <rFont val="Tahoma"/>
            <family val="2"/>
          </rPr>
          <t>Rory O Hanlon:</t>
        </r>
        <r>
          <rPr>
            <sz val="9"/>
            <color indexed="81"/>
            <rFont val="Tahoma"/>
            <family val="2"/>
          </rPr>
          <t xml:space="preserve">
Share capital + APIC + Other Equity</t>
        </r>
      </text>
    </comment>
    <comment ref="M36" authorId="0" shapeId="0" xr:uid="{67D00517-F402-4C52-A3D3-858609EFBA84}">
      <text>
        <r>
          <rPr>
            <b/>
            <sz val="9"/>
            <color indexed="81"/>
            <rFont val="Tahoma"/>
            <family val="2"/>
          </rPr>
          <t>Tiffany Thng:</t>
        </r>
        <r>
          <rPr>
            <sz val="9"/>
            <color indexed="81"/>
            <rFont val="Tahoma"/>
            <family val="2"/>
          </rPr>
          <t xml:space="preserve">
See Valuation Pg.279 on constant equity level.</t>
        </r>
      </text>
    </comment>
    <comment ref="A39" authorId="2" shapeId="0" xr:uid="{301D6FAC-9460-4141-80E5-D869A8B388EF}">
      <text>
        <r>
          <rPr>
            <b/>
            <sz val="9"/>
            <color indexed="81"/>
            <rFont val="Tahoma"/>
            <family val="2"/>
          </rPr>
          <t>Rory O Hanlon:</t>
        </r>
        <r>
          <rPr>
            <sz val="9"/>
            <color indexed="81"/>
            <rFont val="Tahoma"/>
            <family val="2"/>
          </rPr>
          <t xml:space="preserve">
Invested Capital excludes non-operating assets (cash &amp; misc) and financing liabilities (debt), so it differs from GAAP Total Assets.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Kevin O'Regan</author>
    <author>Tiffany Thng</author>
  </authors>
  <commentList>
    <comment ref="M2" authorId="0" shapeId="0" xr:uid="{5F43139B-DF47-4F32-8993-EF27EDF892DA}">
      <text>
        <r>
          <rPr>
            <sz val="11"/>
            <color theme="1"/>
            <rFont val="Calibri"/>
            <family val="2"/>
            <scheme val="minor"/>
          </rPr>
          <t xml:space="preserve">Kevin O'Regan:
Walmart expects annual sales to grow in the range of 3.75% to 4.75%. https://www.reuters.com/business/retail-consumer/walmart-results-show-consumer-resilience-shares-down-after-recent-rally-2025-08-21/#:~:text=SHOPPERS%20ADJUST%20TO%20HIGHER%20PRICES&amp;text=Walmart%20expects%20annual%20sales%20to,range%20of%20%242.50%20to%20%242.60
</t>
        </r>
      </text>
    </comment>
    <comment ref="N2" authorId="0" shapeId="0" xr:uid="{90FE72E8-984C-4CA1-AEF5-224C1B556CAE}">
      <text>
        <r>
          <rPr>
            <sz val="11"/>
            <color theme="1"/>
            <rFont val="Calibri"/>
            <family val="2"/>
            <scheme val="minor"/>
          </rPr>
          <t>Kevin O'Regan:
Revenue growth likely to decrease</t>
        </r>
      </text>
    </comment>
    <comment ref="W2" authorId="0" shapeId="0" xr:uid="{D690149C-5FD5-447C-BDF3-A7C07AA0087A}">
      <text>
        <r>
          <rPr>
            <sz val="11"/>
            <color theme="1"/>
            <rFont val="Calibri"/>
            <family val="2"/>
            <scheme val="minor"/>
          </rPr>
          <t xml:space="preserve">Kevin O'Regan:
OECD Long Term-Growth Rate
</t>
        </r>
      </text>
    </comment>
    <comment ref="M3" authorId="0" shapeId="0" xr:uid="{D35C1264-D70A-4759-AC83-174B92A4AD04}">
      <text>
        <r>
          <rPr>
            <sz val="11"/>
            <color theme="1"/>
            <rFont val="Calibri"/>
            <family val="2"/>
            <scheme val="minor"/>
          </rPr>
          <t>Kevin O'Regan:
Very stable historically</t>
        </r>
      </text>
    </comment>
    <comment ref="M24" authorId="1" shapeId="0" xr:uid="{D8DD2AB1-A8AF-4390-B21D-4D34F78F1742}">
      <text>
        <r>
          <rPr>
            <b/>
            <sz val="9"/>
            <color indexed="81"/>
            <rFont val="Tahoma"/>
            <family val="2"/>
          </rPr>
          <t>Tiffany Thng:</t>
        </r>
        <r>
          <rPr>
            <sz val="9"/>
            <color indexed="81"/>
            <rFont val="Tahoma"/>
            <family val="2"/>
          </rPr>
          <t xml:space="preserve">
Note K in GD 2021 10-K: paid down some debt and may borrow in the short-run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tc={77EF8AB1-0347-47A7-B4F5-0342951F4DFE}</author>
    <author>tc={12ECF9E0-93BF-4A3B-951C-F8AE5B446B9D}</author>
    <author>tc={4CC66CDF-A2D0-4A52-9A66-875E4927186A}</author>
  </authors>
  <commentList>
    <comment ref="L3" authorId="0" shapeId="0" xr:uid="{77EF8AB1-0347-47A7-B4F5-0342951F4DFE}">
      <text>
        <t>[Threaded comment]
Your version of Excel allows you to read this threaded comment; however, any edits to it will get removed if the file is opened in a newer version of Excel. Learn more: https://go.microsoft.com/fwlink/?linkid=870924
Comment:
    new column added. assumption- have to start with FY2015</t>
      </text>
    </comment>
    <comment ref="B4" authorId="1" shapeId="0" xr:uid="{12ECF9E0-93BF-4A3B-951C-F8AE5B446B9D}">
      <text>
        <t xml:space="preserve">[Threaded comment]
Your version of Excel allows you to read this threaded comment; however, any edits to it will get removed if the file is opened in a newer version of Excel. Learn more: https://go.microsoft.com/fwlink/?linkid=870924
Comment:
    TBC </t>
      </text>
    </comment>
    <comment ref="W8" authorId="2" shapeId="0" xr:uid="{4CC66CDF-A2D0-4A52-9A66-875E4927186A}">
      <text>
        <t>[Threaded comment]
Your version of Excel allows you to read this threaded comment; however, any edits to it will get removed if the file is opened in a newer version of Excel. Learn more: https://go.microsoft.com/fwlink/?linkid=870924
Comment:
    TBC</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tc={36285681-4C11-4A67-A223-6FF0717DB0E3}</author>
    <author>tc={00EB28A2-5E33-4936-9FEF-0736B252CDA8}</author>
  </authors>
  <commentList>
    <comment ref="L2" authorId="0" shapeId="0" xr:uid="{36285681-4C11-4A67-A223-6FF0717DB0E3}">
      <text>
        <t>[Threaded comment]
Your version of Excel allows you to read this threaded comment; however, any edits to it will get removed if the file is opened in a newer version of Excel. Learn more: https://go.microsoft.com/fwlink/?linkid=870924
Comment:
    new column added. assumption- have to start with FY2015</t>
      </text>
    </comment>
    <comment ref="B3" authorId="1" shapeId="0" xr:uid="{00EB28A2-5E33-4936-9FEF-0736B252CDA8}">
      <text>
        <t>[Threaded comment]
Your version of Excel allows you to read this threaded comment; however, any edits to it will get removed if the file is opened in a newer version of Excel. Learn more: https://go.microsoft.com/fwlink/?linkid=870924
Comment:
    TBC</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Tiffany Thng</author>
  </authors>
  <commentList>
    <comment ref="L6" authorId="0" shapeId="0" xr:uid="{4C567A67-A51B-475D-8500-269BD28BE5D1}">
      <text>
        <r>
          <rPr>
            <b/>
            <sz val="9"/>
            <color indexed="81"/>
            <rFont val="Tahoma"/>
            <family val="2"/>
          </rPr>
          <t>Tiffany Thng:</t>
        </r>
        <r>
          <rPr>
            <sz val="9"/>
            <color indexed="81"/>
            <rFont val="Tahoma"/>
            <family val="2"/>
          </rPr>
          <t xml:space="preserve">
OECD forecast GDP long-term growth rate (1.3%-1.5%). 
Similar to the treasury rate (1.5%) at the start of the year.
You can use the long-term industry growth rate.
You can also do a sensitivity analysis on varying growth rates.</t>
        </r>
      </text>
    </comment>
    <comment ref="L22" authorId="0" shapeId="0" xr:uid="{CFE0DFCF-7961-44BB-B7B1-DCA9E8FC3146}">
      <text>
        <r>
          <rPr>
            <b/>
            <sz val="9"/>
            <color indexed="81"/>
            <rFont val="Tahoma"/>
            <family val="2"/>
          </rPr>
          <t>Tiffany Thng:</t>
        </r>
        <r>
          <rPr>
            <sz val="9"/>
            <color indexed="81"/>
            <rFont val="Tahoma"/>
            <family val="2"/>
          </rPr>
          <t xml:space="preserve">
OECD forecast GDP long-term growth rate (1.3%-1.5%). 
Similar to the treasury rate (1.5%) at the start of the year.
You can use the long-term industry growth rate.
You can also do a sensitivity analysis on varying growth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Tiffany Thng</author>
  </authors>
  <commentList>
    <comment ref="L6" authorId="0" shapeId="0" xr:uid="{00000000-0006-0000-0900-000001000000}">
      <text>
        <r>
          <rPr>
            <b/>
            <sz val="9"/>
            <color indexed="81"/>
            <rFont val="Tahoma"/>
            <family val="2"/>
          </rPr>
          <t>Tiffany Thng:</t>
        </r>
        <r>
          <rPr>
            <sz val="9"/>
            <color indexed="81"/>
            <rFont val="Tahoma"/>
            <family val="2"/>
          </rPr>
          <t xml:space="preserve">
OECD forecast GDP long-term growth rate (1.3%-1.5%). 
Similar to the treasury rate (1.5%) at the start of the year.
You can use the long-term industry growth rate.
You can also do a sensitivity analysis on varying growth rates.</t>
        </r>
      </text>
    </comment>
    <comment ref="L22" authorId="0" shapeId="0" xr:uid="{00000000-0006-0000-0900-000002000000}">
      <text>
        <r>
          <rPr>
            <b/>
            <sz val="9"/>
            <color indexed="81"/>
            <rFont val="Tahoma"/>
            <family val="2"/>
          </rPr>
          <t>Tiffany Thng:</t>
        </r>
        <r>
          <rPr>
            <sz val="9"/>
            <color indexed="81"/>
            <rFont val="Tahoma"/>
            <family val="2"/>
          </rPr>
          <t xml:space="preserve">
OECD forecast GDP long-term growth rate (1.3%-1.5%). 
Similar to the treasury rate (1.5%) at the start of the year.
You can use the long-term industry growth rate.
You can also do a sensitivity analysis on varying growth rates.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<sst xmlns="http://schemas.openxmlformats.org/spreadsheetml/2006/main" count="4657" uniqueCount="1538">
  <si>
    <t>Steps</t>
  </si>
  <si>
    <t>Comments</t>
  </si>
  <si>
    <t>Prepare and Analyze Historical Financials</t>
  </si>
  <si>
    <t>Lecture: Valuation I</t>
  </si>
  <si>
    <r>
      <t xml:space="preserve">   a. Download relevant financial statements and create </t>
    </r>
    <r>
      <rPr>
        <i/>
        <sz val="11"/>
        <color theme="1"/>
        <rFont val="Calibri"/>
        <family val="2"/>
        <scheme val="minor"/>
      </rPr>
      <t>&lt;</t>
    </r>
    <r>
      <rPr>
        <b/>
        <i/>
        <sz val="11"/>
        <color theme="1"/>
        <rFont val="Calibri"/>
        <family val="2"/>
        <scheme val="minor"/>
      </rPr>
      <t>A.Raw historial data</t>
    </r>
    <r>
      <rPr>
        <i/>
        <sz val="11"/>
        <color theme="1"/>
        <rFont val="Calibri"/>
        <family val="2"/>
        <scheme val="minor"/>
      </rPr>
      <t>&gt;</t>
    </r>
    <r>
      <rPr>
        <sz val="11"/>
        <color theme="1"/>
        <rFont val="Calibri"/>
        <family val="2"/>
        <scheme val="minor"/>
      </rPr>
      <t xml:space="preserve"> tab</t>
    </r>
  </si>
  <si>
    <t>See &lt;Downloading Data&gt; tab</t>
  </si>
  <si>
    <t xml:space="preserve">   b. Collapse to the right level of details </t>
  </si>
  <si>
    <t>Building Revenue Forecast</t>
  </si>
  <si>
    <t>See Chp 11 Valuation Book</t>
  </si>
  <si>
    <r>
      <t xml:space="preserve">   a. Create </t>
    </r>
    <r>
      <rPr>
        <b/>
        <i/>
        <sz val="11"/>
        <color theme="1"/>
        <rFont val="Calibri"/>
        <family val="2"/>
        <scheme val="minor"/>
      </rPr>
      <t>&lt;B.Integrated fin.&gt;</t>
    </r>
    <r>
      <rPr>
        <b/>
        <sz val="11"/>
        <color theme="1"/>
        <rFont val="Calibri"/>
        <family val="2"/>
        <scheme val="minor"/>
      </rPr>
      <t xml:space="preserve"> tab and complete historical data</t>
    </r>
  </si>
  <si>
    <t xml:space="preserve">     ***Categorize items into operating and nonoperating, both current and noncurrent</t>
  </si>
  <si>
    <t>See &lt;Notes&gt; tab</t>
  </si>
  <si>
    <t xml:space="preserve">        Line Items required:</t>
  </si>
  <si>
    <r>
      <rPr>
        <sz val="11"/>
        <color theme="4"/>
        <rFont val="Calibri"/>
        <family val="2"/>
        <scheme val="minor"/>
      </rPr>
      <t xml:space="preserve">        </t>
    </r>
    <r>
      <rPr>
        <u/>
        <sz val="11"/>
        <color theme="4"/>
        <rFont val="Calibri"/>
        <family val="2"/>
        <scheme val="minor"/>
      </rPr>
      <t>Income Statement</t>
    </r>
  </si>
  <si>
    <t xml:space="preserve">          - Revenue, Cost of Goods Sold</t>
  </si>
  <si>
    <t>Done</t>
  </si>
  <si>
    <t xml:space="preserve">          - Calculate Gross Profit</t>
  </si>
  <si>
    <t xml:space="preserve">          - Operating Expenses, Depreciation</t>
  </si>
  <si>
    <t xml:space="preserve">          - NonOperating Income, NonOperating Expense and any Other NonOp Inc(Exp)</t>
  </si>
  <si>
    <t xml:space="preserve">          - Calculate EBITA and EBIT</t>
  </si>
  <si>
    <t xml:space="preserve">          - Find Marginal Tax Rate</t>
  </si>
  <si>
    <t xml:space="preserve">          - Reported Taxes</t>
  </si>
  <si>
    <t xml:space="preserve">          - Interest Income, Interest Expense and Net Interest</t>
  </si>
  <si>
    <t xml:space="preserve">          - Calculate EBT</t>
  </si>
  <si>
    <t xml:space="preserve">          - Calculate Interest Tax Shield = Net Interest * Marginal Tax Rate</t>
  </si>
  <si>
    <t xml:space="preserve">          - Calculate Operating Taxes</t>
  </si>
  <si>
    <r>
      <t xml:space="preserve">          - Calculate </t>
    </r>
    <r>
      <rPr>
        <b/>
        <sz val="11"/>
        <color theme="1"/>
        <rFont val="Calibri"/>
        <family val="2"/>
        <scheme val="minor"/>
      </rPr>
      <t>NOPLAT</t>
    </r>
    <r>
      <rPr>
        <sz val="11"/>
        <color theme="1"/>
        <rFont val="Calibri"/>
        <family val="2"/>
        <scheme val="minor"/>
      </rPr>
      <t xml:space="preserve">, After-tax net interest, </t>
    </r>
    <r>
      <rPr>
        <b/>
        <sz val="11"/>
        <color theme="1"/>
        <rFont val="Calibri"/>
        <family val="2"/>
        <scheme val="minor"/>
      </rPr>
      <t>Net Income</t>
    </r>
  </si>
  <si>
    <r>
      <t xml:space="preserve">       </t>
    </r>
    <r>
      <rPr>
        <u/>
        <sz val="11"/>
        <color rgb="FFC00000"/>
        <rFont val="Calibri"/>
        <family val="2"/>
        <scheme val="minor"/>
      </rPr>
      <t>Balance Sheet</t>
    </r>
  </si>
  <si>
    <t xml:space="preserve">          - Net Operating Working Capital = Operating CA - Operating CL</t>
  </si>
  <si>
    <t xml:space="preserve">          - Net Op Long-term Assets (Fixed Assets + Net Other Long-term Op Assets)</t>
  </si>
  <si>
    <t xml:space="preserve">          - Goodwill &amp; Intangibles</t>
  </si>
  <si>
    <r>
      <t xml:space="preserve">          - Calculate Net Operating Assets [OA] =</t>
    </r>
    <r>
      <rPr>
        <sz val="11"/>
        <rFont val="Calibri"/>
        <family val="2"/>
        <scheme val="minor"/>
      </rPr>
      <t xml:space="preserve"> </t>
    </r>
    <r>
      <rPr>
        <b/>
        <sz val="11"/>
        <rFont val="Calibri"/>
        <family val="2"/>
        <scheme val="minor"/>
      </rPr>
      <t>Invested Capital</t>
    </r>
  </si>
  <si>
    <t xml:space="preserve">          - NonOperating Assets (incl. investments) [NOA]</t>
  </si>
  <si>
    <r>
      <t xml:space="preserve">          - Calculate Total Assets = OA + NOA = </t>
    </r>
    <r>
      <rPr>
        <b/>
        <sz val="11"/>
        <color theme="1"/>
        <rFont val="Calibri"/>
        <family val="2"/>
        <scheme val="minor"/>
      </rPr>
      <t>Total Funds Invested</t>
    </r>
  </si>
  <si>
    <t xml:space="preserve">          - Reconcile Retaining Earnings = Opening RE + Profit - Dividends</t>
  </si>
  <si>
    <t xml:space="preserve">          - Use Closing RE and Calculate Total Equity</t>
  </si>
  <si>
    <t xml:space="preserve">          - Debt, Debt equivalent</t>
  </si>
  <si>
    <t xml:space="preserve">          - Equity, Equity equivalent</t>
  </si>
  <si>
    <r>
      <t xml:space="preserve">          - Calculated </t>
    </r>
    <r>
      <rPr>
        <b/>
        <sz val="11"/>
        <color theme="1"/>
        <rFont val="Calibri"/>
        <family val="2"/>
        <scheme val="minor"/>
      </rPr>
      <t>Total Funds Invested</t>
    </r>
    <r>
      <rPr>
        <sz val="11"/>
        <color theme="1"/>
        <rFont val="Calibri"/>
        <family val="2"/>
        <scheme val="minor"/>
      </rPr>
      <t xml:space="preserve"> = Total Assets = Liabilities + Equity</t>
    </r>
  </si>
  <si>
    <r>
      <t xml:space="preserve">       </t>
    </r>
    <r>
      <rPr>
        <u/>
        <sz val="11"/>
        <color theme="1"/>
        <rFont val="Calibri"/>
        <family val="2"/>
        <scheme val="minor"/>
      </rPr>
      <t>Statement of Accumulated Other Comprehensive Income</t>
    </r>
  </si>
  <si>
    <t xml:space="preserve">          - Other Reserves</t>
  </si>
  <si>
    <r>
      <t xml:space="preserve">    b. Create </t>
    </r>
    <r>
      <rPr>
        <b/>
        <i/>
        <sz val="11"/>
        <color theme="1"/>
        <rFont val="Calibri"/>
        <family val="2"/>
        <scheme val="minor"/>
      </rPr>
      <t xml:space="preserve">&lt;C.Hist. &amp; Forecast Ratio&gt; </t>
    </r>
    <r>
      <rPr>
        <b/>
        <sz val="11"/>
        <color theme="1"/>
        <rFont val="Calibri"/>
        <family val="2"/>
        <scheme val="minor"/>
      </rPr>
      <t>tab and find historical ratios</t>
    </r>
  </si>
  <si>
    <r>
      <rPr>
        <sz val="11"/>
        <color theme="4"/>
        <rFont val="Calibri"/>
        <family val="2"/>
        <scheme val="minor"/>
      </rPr>
      <t xml:space="preserve">       </t>
    </r>
    <r>
      <rPr>
        <u/>
        <sz val="11"/>
        <color theme="4"/>
        <rFont val="Calibri"/>
        <family val="2"/>
        <scheme val="minor"/>
      </rPr>
      <t>Income Statement</t>
    </r>
  </si>
  <si>
    <t xml:space="preserve">          - Calculate the historical year-on-year growth for Revenue</t>
  </si>
  <si>
    <t xml:space="preserve">          - COS, Gross Profit,  Operating Expenses, Depreciation, EBITA as a % of Revenue</t>
  </si>
  <si>
    <t xml:space="preserve">          - Reported Taxes as a % of EBIT</t>
  </si>
  <si>
    <t xml:space="preserve">          - Net Interest as a % of prior year's debt</t>
  </si>
  <si>
    <t xml:space="preserve">          - Operating Taxes as a % of EBITA</t>
  </si>
  <si>
    <t xml:space="preserve">          - NOPLAT as a % of Revenue</t>
  </si>
  <si>
    <t>** you can use marginal tax to find the forecasted values of Reported Taxes, figures shouldn't differ much</t>
  </si>
  <si>
    <t xml:space="preserve">          - Dividend as a % of Net Income</t>
  </si>
  <si>
    <r>
      <t xml:space="preserve">      </t>
    </r>
    <r>
      <rPr>
        <u/>
        <sz val="11"/>
        <color rgb="FFC00000"/>
        <rFont val="Calibri"/>
        <family val="2"/>
        <scheme val="minor"/>
      </rPr>
      <t>Balance Sheet</t>
    </r>
  </si>
  <si>
    <t xml:space="preserve">          - Net Op Working Capital, Net Op Long-term Assets, Goodwill as a % of Revenue</t>
  </si>
  <si>
    <t xml:space="preserve">          - Calculate the historical year-on-year growth for Net NonOp Assets</t>
  </si>
  <si>
    <t xml:space="preserve">          - Calculate the historical year-on-year growth for Debt</t>
  </si>
  <si>
    <t xml:space="preserve">    c. Forecast each line item [detailed]</t>
  </si>
  <si>
    <t>See Chp13 Valuation Book</t>
  </si>
  <si>
    <t xml:space="preserve">    d. Forecast each line item [simplied]</t>
  </si>
  <si>
    <t xml:space="preserve">       For the first 5 years of the forecast, complete a detailed forecast of all line items</t>
  </si>
  <si>
    <r>
      <t xml:space="preserve">          </t>
    </r>
    <r>
      <rPr>
        <u/>
        <sz val="11"/>
        <color theme="9" tint="-0.249977111117893"/>
        <rFont val="Calibri"/>
        <family val="2"/>
        <scheme val="minor"/>
      </rPr>
      <t>Revenue Growth</t>
    </r>
  </si>
  <si>
    <t xml:space="preserve">        - Determine the growth pattern of the firm: stable or multiple stages (two- or three- stage growth)</t>
  </si>
  <si>
    <t xml:space="preserve">        - An important challenge with this project is to estimate growth rates for the entire forecast period. Start by undertaking a forecast of Revenue. </t>
  </si>
  <si>
    <t xml:space="preserve">        - Almost every line item in the model will rely directly or indirectly on revenue. Revenue forecasts will be the most important driver behind the entire valuation model. </t>
  </si>
  <si>
    <t xml:space="preserve">        - It is important that you estimate revenue growth rate(s) carefully. You estimates of the growth rate in revenues will have significant impacts on the final outputs from the model.</t>
  </si>
  <si>
    <t xml:space="preserve">        - It is not sufficient to simple extrapolate the historical growth rate. E.g., you may use segmental information to estimate growth rates for the segments in which the firm operates in.</t>
  </si>
  <si>
    <t xml:space="preserve">        - Be careful with your estimates of revenue growth:</t>
  </si>
  <si>
    <t xml:space="preserve">              * Look at the revenue growth for the industry</t>
  </si>
  <si>
    <t xml:space="preserve">              * Consider company-specific factors from an analysis of the company's strategy</t>
  </si>
  <si>
    <t xml:space="preserve">              * Growth rate for the Steady State should not exceed the overall growth rate of the economy by 1 - 2%. For MNCs, growth rate should not exceed growth rate in the global economy</t>
  </si>
  <si>
    <t xml:space="preserve">        - Use Top-down or Bottom-up approach to estimate future revenues. Forecasts should be consistent with historical economy-wide evidence on growth.</t>
  </si>
  <si>
    <r>
      <t xml:space="preserve">          </t>
    </r>
    <r>
      <rPr>
        <u/>
        <sz val="11"/>
        <rFont val="Calibri"/>
        <family val="2"/>
        <scheme val="minor"/>
      </rPr>
      <t>Others</t>
    </r>
  </si>
  <si>
    <t xml:space="preserve">        - Cost of Sales, Operating Expenses, Depreciation are usually stable</t>
  </si>
  <si>
    <t xml:space="preserve">             *Depreciation: 2 methods (as a percentage of revenue or PP&amp;E (Fixed Assets))</t>
  </si>
  <si>
    <t xml:space="preserve">        - EBITA</t>
  </si>
  <si>
    <t xml:space="preserve">        - Reported Taxes, Net Interest, NOPLAT, Net Income, Dividend Payout</t>
  </si>
  <si>
    <t xml:space="preserve">        - Net Operating Working Capital</t>
  </si>
  <si>
    <t>* only if this is stable: otherwise forecast items that constitute to Operating Working Capital. See Lecture Slide 24</t>
  </si>
  <si>
    <t xml:space="preserve">        - Net Op Long-term Assets</t>
  </si>
  <si>
    <t xml:space="preserve">        - Goodwill &amp; Intangibles</t>
  </si>
  <si>
    <t xml:space="preserve">        - Net NonOp Long-term Assets</t>
  </si>
  <si>
    <t xml:space="preserve">        - Debt (growth)</t>
  </si>
  <si>
    <r>
      <t>e. Return to</t>
    </r>
    <r>
      <rPr>
        <b/>
        <i/>
        <sz val="11"/>
        <color theme="1"/>
        <rFont val="Calibri"/>
        <family val="2"/>
        <scheme val="minor"/>
      </rPr>
      <t xml:space="preserve"> &lt;B.Integrated fin.&gt;</t>
    </r>
    <r>
      <rPr>
        <b/>
        <sz val="11"/>
        <color theme="1"/>
        <rFont val="Calibri"/>
        <family val="2"/>
        <scheme val="minor"/>
      </rPr>
      <t xml:space="preserve"> tab for Step 3</t>
    </r>
  </si>
  <si>
    <t>Forecast the Income Statement</t>
  </si>
  <si>
    <t xml:space="preserve">      - Find the forecasted revenue from 2022 to CV using forecasted growth rates</t>
  </si>
  <si>
    <r>
      <t xml:space="preserve">      - To get the figure for Cost of Goods Sold</t>
    </r>
    <r>
      <rPr>
        <vertAlign val="subscript"/>
        <sz val="11"/>
        <color theme="1"/>
        <rFont val="Calibri"/>
        <family val="2"/>
        <scheme val="minor"/>
      </rPr>
      <t>2022</t>
    </r>
    <r>
      <rPr>
        <sz val="11"/>
        <color theme="1"/>
        <rFont val="Calibri"/>
        <family val="2"/>
        <scheme val="minor"/>
      </rPr>
      <t>:</t>
    </r>
  </si>
  <si>
    <r>
      <t>COGS</t>
    </r>
    <r>
      <rPr>
        <vertAlign val="subscript"/>
        <sz val="11"/>
        <color theme="1"/>
        <rFont val="Calibri"/>
        <family val="2"/>
        <scheme val="minor"/>
      </rPr>
      <t>2022</t>
    </r>
    <r>
      <rPr>
        <sz val="11"/>
        <color theme="1"/>
        <rFont val="Calibri"/>
        <family val="2"/>
        <scheme val="minor"/>
      </rPr>
      <t>/Revenue</t>
    </r>
    <r>
      <rPr>
        <vertAlign val="subscript"/>
        <sz val="11"/>
        <color theme="1"/>
        <rFont val="Calibri"/>
        <family val="2"/>
        <scheme val="minor"/>
      </rPr>
      <t xml:space="preserve">2022 </t>
    </r>
    <r>
      <rPr>
        <sz val="11"/>
        <color theme="1"/>
        <rFont val="Calibri"/>
        <family val="2"/>
        <scheme val="minor"/>
      </rPr>
      <t xml:space="preserve">= </t>
    </r>
  </si>
  <si>
    <r>
      <t>COGS</t>
    </r>
    <r>
      <rPr>
        <vertAlign val="subscript"/>
        <sz val="11"/>
        <color theme="1"/>
        <rFont val="Calibri"/>
        <family val="2"/>
        <scheme val="minor"/>
      </rPr>
      <t>2022</t>
    </r>
    <r>
      <rPr>
        <sz val="11"/>
        <color theme="1"/>
        <rFont val="Calibri"/>
        <family val="2"/>
        <scheme val="minor"/>
      </rPr>
      <t xml:space="preserve"> = </t>
    </r>
  </si>
  <si>
    <r>
      <t>Revenue</t>
    </r>
    <r>
      <rPr>
        <vertAlign val="subscript"/>
        <sz val="11"/>
        <color theme="1"/>
        <rFont val="Calibri"/>
        <family val="2"/>
        <scheme val="minor"/>
      </rPr>
      <t>2022</t>
    </r>
    <r>
      <rPr>
        <sz val="11"/>
        <color theme="1"/>
        <rFont val="Calibri"/>
        <family val="2"/>
        <scheme val="minor"/>
      </rPr>
      <t xml:space="preserve"> * ratio</t>
    </r>
  </si>
  <si>
    <t xml:space="preserve">      - Similar for Operating Expenses and Depreciation</t>
  </si>
  <si>
    <t xml:space="preserve">      - Find EBITA = Gross Profit - Operating Exp - Depreciation</t>
  </si>
  <si>
    <t xml:space="preserve">      - Find EBIT = Gross Profit - Operating Exp</t>
  </si>
  <si>
    <t xml:space="preserve">      - To get Debt (approximately)</t>
  </si>
  <si>
    <t xml:space="preserve">        * Find average growth rate of debt (stable)</t>
  </si>
  <si>
    <t xml:space="preserve">        * Calculate Debt using historical growth rate</t>
  </si>
  <si>
    <r>
      <t xml:space="preserve">      - Find Interest Net using Debt</t>
    </r>
    <r>
      <rPr>
        <vertAlign val="subscript"/>
        <sz val="11"/>
        <color theme="1"/>
        <rFont val="Calibri"/>
        <family val="2"/>
        <scheme val="minor"/>
      </rPr>
      <t>t-1</t>
    </r>
    <r>
      <rPr>
        <sz val="11"/>
        <color theme="1"/>
        <rFont val="Calibri"/>
        <family val="2"/>
        <scheme val="minor"/>
      </rPr>
      <t xml:space="preserve"> * Forecast Interest Ratio</t>
    </r>
  </si>
  <si>
    <t xml:space="preserve">      - Find EBT = EBIT - Net Interest</t>
  </si>
  <si>
    <t xml:space="preserve">      - Find Reported Taxes from 2022 to CV using forecasted ratio</t>
  </si>
  <si>
    <r>
      <t>Reported Taxes</t>
    </r>
    <r>
      <rPr>
        <vertAlign val="subscript"/>
        <sz val="11"/>
        <color theme="1"/>
        <rFont val="Calibri"/>
        <family val="2"/>
        <scheme val="minor"/>
      </rPr>
      <t>2022</t>
    </r>
    <r>
      <rPr>
        <sz val="11"/>
        <color theme="1"/>
        <rFont val="Calibri"/>
        <family val="2"/>
        <scheme val="minor"/>
      </rPr>
      <t>/EBIT</t>
    </r>
    <r>
      <rPr>
        <vertAlign val="subscript"/>
        <sz val="11"/>
        <color theme="1"/>
        <rFont val="Calibri"/>
        <family val="2"/>
        <scheme val="minor"/>
      </rPr>
      <t xml:space="preserve">2022 </t>
    </r>
    <r>
      <rPr>
        <sz val="11"/>
        <color theme="1"/>
        <rFont val="Calibri"/>
        <family val="2"/>
        <scheme val="minor"/>
      </rPr>
      <t xml:space="preserve">= </t>
    </r>
  </si>
  <si>
    <r>
      <t>Reported Taxes</t>
    </r>
    <r>
      <rPr>
        <vertAlign val="subscript"/>
        <sz val="11"/>
        <color theme="1"/>
        <rFont val="Calibri"/>
        <family val="2"/>
        <scheme val="minor"/>
      </rPr>
      <t>2022</t>
    </r>
    <r>
      <rPr>
        <sz val="11"/>
        <color theme="1"/>
        <rFont val="Calibri"/>
        <family val="2"/>
        <scheme val="minor"/>
      </rPr>
      <t xml:space="preserve"> =</t>
    </r>
  </si>
  <si>
    <r>
      <t>EBIT</t>
    </r>
    <r>
      <rPr>
        <vertAlign val="subscript"/>
        <sz val="11"/>
        <color theme="1"/>
        <rFont val="Calibri"/>
        <family val="2"/>
        <scheme val="minor"/>
      </rPr>
      <t>2022</t>
    </r>
    <r>
      <rPr>
        <sz val="11"/>
        <color theme="1"/>
        <rFont val="Calibri"/>
        <family val="2"/>
        <scheme val="minor"/>
      </rPr>
      <t xml:space="preserve"> * ratio</t>
    </r>
  </si>
  <si>
    <t xml:space="preserve">      - To get Net Income = EBT - Reported Taxes</t>
  </si>
  <si>
    <t xml:space="preserve">      - To get Interest Tax Shield = Net Interest * Forecasted Marginal Tax Rate</t>
  </si>
  <si>
    <t xml:space="preserve">      - To get Operating Taxes = Reported Taxes - Interest Tax Shield</t>
  </si>
  <si>
    <t xml:space="preserve">      - Find NOPLAT = EBITA - Operating Taxes</t>
  </si>
  <si>
    <t>Forecast the Balance Sheet</t>
  </si>
  <si>
    <t xml:space="preserve">    - To get Net Operating Working Capital</t>
  </si>
  <si>
    <r>
      <t>Net Op Working Capital</t>
    </r>
    <r>
      <rPr>
        <vertAlign val="subscript"/>
        <sz val="11"/>
        <color theme="1"/>
        <rFont val="Calibri"/>
        <family val="2"/>
        <scheme val="minor"/>
      </rPr>
      <t>2022</t>
    </r>
    <r>
      <rPr>
        <sz val="11"/>
        <color theme="1"/>
        <rFont val="Calibri"/>
        <family val="2"/>
        <scheme val="minor"/>
      </rPr>
      <t>/Revenue</t>
    </r>
    <r>
      <rPr>
        <vertAlign val="subscript"/>
        <sz val="11"/>
        <color theme="1"/>
        <rFont val="Calibri"/>
        <family val="2"/>
        <scheme val="minor"/>
      </rPr>
      <t xml:space="preserve">2022 </t>
    </r>
    <r>
      <rPr>
        <sz val="11"/>
        <color theme="1"/>
        <rFont val="Calibri"/>
        <family val="2"/>
        <scheme val="minor"/>
      </rPr>
      <t xml:space="preserve">= </t>
    </r>
  </si>
  <si>
    <r>
      <t>Net Working Capital</t>
    </r>
    <r>
      <rPr>
        <vertAlign val="subscript"/>
        <sz val="11"/>
        <color theme="1"/>
        <rFont val="Calibri"/>
        <family val="2"/>
        <scheme val="minor"/>
      </rPr>
      <t xml:space="preserve">2022 </t>
    </r>
    <r>
      <rPr>
        <sz val="11"/>
        <color theme="1"/>
        <rFont val="Calibri"/>
        <family val="2"/>
        <scheme val="minor"/>
      </rPr>
      <t xml:space="preserve">= </t>
    </r>
  </si>
  <si>
    <t xml:space="preserve">    - To get Net Op Long-term Assets</t>
  </si>
  <si>
    <r>
      <t>Net Op Long-term Assets</t>
    </r>
    <r>
      <rPr>
        <vertAlign val="subscript"/>
        <sz val="11"/>
        <color theme="1"/>
        <rFont val="Calibri"/>
        <family val="2"/>
        <scheme val="minor"/>
      </rPr>
      <t>2022</t>
    </r>
    <r>
      <rPr>
        <sz val="11"/>
        <color theme="1"/>
        <rFont val="Calibri"/>
        <family val="2"/>
        <scheme val="minor"/>
      </rPr>
      <t>/Revenue</t>
    </r>
    <r>
      <rPr>
        <vertAlign val="subscript"/>
        <sz val="11"/>
        <color theme="1"/>
        <rFont val="Calibri"/>
        <family val="2"/>
        <scheme val="minor"/>
      </rPr>
      <t xml:space="preserve">2022 </t>
    </r>
    <r>
      <rPr>
        <sz val="11"/>
        <color theme="1"/>
        <rFont val="Calibri"/>
        <family val="2"/>
        <scheme val="minor"/>
      </rPr>
      <t xml:space="preserve">= </t>
    </r>
  </si>
  <si>
    <r>
      <t>Net Long-term Assets</t>
    </r>
    <r>
      <rPr>
        <vertAlign val="subscript"/>
        <sz val="11"/>
        <color theme="1"/>
        <rFont val="Calibri"/>
        <family val="2"/>
        <scheme val="minor"/>
      </rPr>
      <t xml:space="preserve">2022 </t>
    </r>
    <r>
      <rPr>
        <sz val="11"/>
        <color theme="1"/>
        <rFont val="Calibri"/>
        <family val="2"/>
        <scheme val="minor"/>
      </rPr>
      <t xml:space="preserve">= </t>
    </r>
  </si>
  <si>
    <t xml:space="preserve">    - To get Goodwill</t>
  </si>
  <si>
    <r>
      <t>Goodwill</t>
    </r>
    <r>
      <rPr>
        <vertAlign val="subscript"/>
        <sz val="11"/>
        <color theme="1"/>
        <rFont val="Calibri"/>
        <family val="2"/>
        <scheme val="minor"/>
      </rPr>
      <t>2022</t>
    </r>
    <r>
      <rPr>
        <sz val="11"/>
        <color theme="1"/>
        <rFont val="Calibri"/>
        <family val="2"/>
        <scheme val="minor"/>
      </rPr>
      <t>/Revenue</t>
    </r>
    <r>
      <rPr>
        <vertAlign val="subscript"/>
        <sz val="11"/>
        <color theme="1"/>
        <rFont val="Calibri"/>
        <family val="2"/>
        <scheme val="minor"/>
      </rPr>
      <t xml:space="preserve">2022 </t>
    </r>
    <r>
      <rPr>
        <sz val="11"/>
        <color theme="1"/>
        <rFont val="Calibri"/>
        <family val="2"/>
        <scheme val="minor"/>
      </rPr>
      <t xml:space="preserve">= </t>
    </r>
  </si>
  <si>
    <r>
      <t>Goodwill</t>
    </r>
    <r>
      <rPr>
        <vertAlign val="subscript"/>
        <sz val="11"/>
        <color theme="1"/>
        <rFont val="Calibri"/>
        <family val="2"/>
        <scheme val="minor"/>
      </rPr>
      <t xml:space="preserve">2022 </t>
    </r>
    <r>
      <rPr>
        <sz val="11"/>
        <color theme="1"/>
        <rFont val="Calibri"/>
        <family val="2"/>
        <scheme val="minor"/>
      </rPr>
      <t xml:space="preserve">= </t>
    </r>
  </si>
  <si>
    <t xml:space="preserve">    - Find Net Operating Asset = Net Op Working Capital + Net Op Long-term Assets + Goodwill</t>
  </si>
  <si>
    <t xml:space="preserve">    - Find Net NonOperating Asset (growth)</t>
  </si>
  <si>
    <r>
      <t xml:space="preserve">    - Equity, Debt Equivalent: assume to be constant for simple models </t>
    </r>
    <r>
      <rPr>
        <i/>
        <sz val="11"/>
        <color theme="1"/>
        <rFont val="Calibri"/>
        <family val="2"/>
        <scheme val="minor"/>
      </rPr>
      <t>(unless, i.e., firm explicitly mention a change in reducing pension liabilities)</t>
    </r>
  </si>
  <si>
    <t xml:space="preserve">    - Find Future Dividends = Profit * Forecasted Dividend Payout Ratio</t>
  </si>
  <si>
    <t>Reconcile Retained Earnings</t>
  </si>
  <si>
    <t>See Valuation Book Pg.278-281 &amp; lecture slides 25-27</t>
  </si>
  <si>
    <r>
      <t xml:space="preserve">   - Find RE</t>
    </r>
    <r>
      <rPr>
        <vertAlign val="subscript"/>
        <sz val="11"/>
        <color theme="1"/>
        <rFont val="Calibri"/>
        <family val="2"/>
        <scheme val="minor"/>
      </rPr>
      <t>t</t>
    </r>
    <r>
      <rPr>
        <sz val="11"/>
        <color theme="1"/>
        <rFont val="Calibri"/>
        <family val="2"/>
        <scheme val="minor"/>
      </rPr>
      <t xml:space="preserve"> = RE</t>
    </r>
    <r>
      <rPr>
        <vertAlign val="subscript"/>
        <sz val="11"/>
        <color theme="1"/>
        <rFont val="Calibri"/>
        <family val="2"/>
        <scheme val="minor"/>
      </rPr>
      <t>t-1</t>
    </r>
    <r>
      <rPr>
        <sz val="11"/>
        <color theme="1"/>
        <rFont val="Calibri"/>
        <family val="2"/>
        <scheme val="minor"/>
      </rPr>
      <t xml:space="preserve"> + Net Income</t>
    </r>
    <r>
      <rPr>
        <vertAlign val="subscript"/>
        <sz val="11"/>
        <color theme="1"/>
        <rFont val="Calibri"/>
        <family val="2"/>
        <scheme val="minor"/>
      </rPr>
      <t>t</t>
    </r>
    <r>
      <rPr>
        <sz val="11"/>
        <color theme="1"/>
        <rFont val="Calibri"/>
        <family val="2"/>
        <scheme val="minor"/>
      </rPr>
      <t xml:space="preserve"> - Dividends</t>
    </r>
    <r>
      <rPr>
        <vertAlign val="subscript"/>
        <sz val="11"/>
        <color theme="1"/>
        <rFont val="Calibri"/>
        <family val="2"/>
        <scheme val="minor"/>
      </rPr>
      <t>t</t>
    </r>
    <r>
      <rPr>
        <sz val="11"/>
        <color theme="1"/>
        <rFont val="Calibri"/>
        <family val="2"/>
        <scheme val="minor"/>
      </rPr>
      <t xml:space="preserve">  </t>
    </r>
  </si>
  <si>
    <t xml:space="preserve">   - Find Total Funds Invested </t>
  </si>
  <si>
    <r>
      <t xml:space="preserve">   - Create </t>
    </r>
    <r>
      <rPr>
        <i/>
        <sz val="11"/>
        <color theme="1"/>
        <rFont val="Calibri"/>
        <family val="2"/>
        <scheme val="minor"/>
      </rPr>
      <t>Excess cash</t>
    </r>
    <r>
      <rPr>
        <sz val="11"/>
        <color theme="1"/>
        <rFont val="Calibri"/>
        <family val="2"/>
        <scheme val="minor"/>
      </rPr>
      <t>: serves as the plug to balance the Balance Sheet</t>
    </r>
  </si>
  <si>
    <t>*** depending on the situation, you might have to use Newly Issued Debt as a plug, lecture slide 27</t>
  </si>
  <si>
    <r>
      <t xml:space="preserve">         Invested Capital + Net NonOp Asset + </t>
    </r>
    <r>
      <rPr>
        <b/>
        <i/>
        <sz val="11"/>
        <color theme="1"/>
        <rFont val="Calibri"/>
        <family val="2"/>
        <scheme val="minor"/>
      </rPr>
      <t>Excess Cash</t>
    </r>
    <r>
      <rPr>
        <sz val="11"/>
        <color theme="1"/>
        <rFont val="Calibri"/>
        <family val="2"/>
        <scheme val="minor"/>
      </rPr>
      <t xml:space="preserve"> = Debt &amp; its equivalent + Equity + Retained Earnings</t>
    </r>
  </si>
  <si>
    <r>
      <t xml:space="preserve">         Invested Cap + Net NonOp Asset = </t>
    </r>
    <r>
      <rPr>
        <b/>
        <i/>
        <sz val="11"/>
        <color theme="1"/>
        <rFont val="Calibri"/>
        <family val="2"/>
        <scheme val="minor"/>
      </rPr>
      <t>Newly Issued Debt</t>
    </r>
    <r>
      <rPr>
        <sz val="11"/>
        <color theme="1"/>
        <rFont val="Calibri"/>
        <family val="2"/>
        <scheme val="minor"/>
      </rPr>
      <t xml:space="preserve"> + Debt &amp; its equivalent + Equity + Retained Earnings </t>
    </r>
  </si>
  <si>
    <t>Calculate ROIC and FCF</t>
  </si>
  <si>
    <t>Lecture: Valuation II</t>
  </si>
  <si>
    <r>
      <t xml:space="preserve">a. Create </t>
    </r>
    <r>
      <rPr>
        <b/>
        <i/>
        <sz val="11"/>
        <color theme="1"/>
        <rFont val="Calibri"/>
        <family val="2"/>
        <scheme val="minor"/>
      </rPr>
      <t>&lt;D.Market data &amp; WACC&gt;</t>
    </r>
    <r>
      <rPr>
        <sz val="11"/>
        <color theme="1"/>
        <rFont val="Calibri"/>
        <family val="2"/>
        <scheme val="minor"/>
      </rPr>
      <t xml:space="preserve"> worksheet and input WACC, Cost of Equity and ROIC</t>
    </r>
  </si>
  <si>
    <r>
      <t xml:space="preserve">b. Create </t>
    </r>
    <r>
      <rPr>
        <i/>
        <sz val="11"/>
        <color theme="1"/>
        <rFont val="Calibri"/>
        <family val="2"/>
        <scheme val="minor"/>
      </rPr>
      <t>&lt;</t>
    </r>
    <r>
      <rPr>
        <b/>
        <i/>
        <sz val="11"/>
        <color theme="1"/>
        <rFont val="Calibri"/>
        <family val="2"/>
        <scheme val="minor"/>
      </rPr>
      <t>E.Reorg. fin. stmt</t>
    </r>
    <r>
      <rPr>
        <i/>
        <sz val="11"/>
        <color theme="1"/>
        <rFont val="Calibri"/>
        <family val="2"/>
        <scheme val="minor"/>
      </rPr>
      <t>&gt;</t>
    </r>
    <r>
      <rPr>
        <sz val="11"/>
        <color theme="1"/>
        <rFont val="Calibri"/>
        <family val="2"/>
        <scheme val="minor"/>
      </rPr>
      <t xml:space="preserve"> worksheet</t>
    </r>
  </si>
  <si>
    <t xml:space="preserve">       - Calculate NOPLAT</t>
  </si>
  <si>
    <r>
      <t xml:space="preserve">       - Find the </t>
    </r>
    <r>
      <rPr>
        <b/>
        <i/>
        <u/>
        <sz val="11"/>
        <color theme="1"/>
        <rFont val="Calibri"/>
        <family val="2"/>
        <scheme val="minor"/>
      </rPr>
      <t>Change</t>
    </r>
    <r>
      <rPr>
        <sz val="11"/>
        <color theme="1"/>
        <rFont val="Calibri"/>
        <family val="2"/>
        <scheme val="minor"/>
      </rPr>
      <t xml:space="preserve"> in</t>
    </r>
  </si>
  <si>
    <t xml:space="preserve">            * Net Operating Working Capital</t>
  </si>
  <si>
    <r>
      <t xml:space="preserve">            * Net Capex = Net PP&amp;E</t>
    </r>
    <r>
      <rPr>
        <vertAlign val="subscript"/>
        <sz val="11"/>
        <color theme="1"/>
        <rFont val="Calibri"/>
        <family val="2"/>
        <scheme val="minor"/>
      </rPr>
      <t>t</t>
    </r>
    <r>
      <rPr>
        <sz val="11"/>
        <color theme="1"/>
        <rFont val="Calibri"/>
        <family val="2"/>
        <scheme val="minor"/>
      </rPr>
      <t xml:space="preserve"> - Net PP&amp;E</t>
    </r>
    <r>
      <rPr>
        <vertAlign val="subscript"/>
        <sz val="11"/>
        <color theme="1"/>
        <rFont val="Calibri"/>
        <family val="2"/>
        <scheme val="minor"/>
      </rPr>
      <t>t-1</t>
    </r>
    <r>
      <rPr>
        <sz val="11"/>
        <color theme="1"/>
        <rFont val="Calibri"/>
        <family val="2"/>
        <scheme val="minor"/>
      </rPr>
      <t xml:space="preserve"> + Depreciation</t>
    </r>
    <r>
      <rPr>
        <vertAlign val="subscript"/>
        <sz val="11"/>
        <color theme="1"/>
        <rFont val="Calibri"/>
        <family val="2"/>
        <scheme val="minor"/>
      </rPr>
      <t>t</t>
    </r>
  </si>
  <si>
    <t>PP&amp;E are long-term assets</t>
  </si>
  <si>
    <t xml:space="preserve">            * Net Debt = Debt - Excess Cash - Interest Expense after Tax</t>
  </si>
  <si>
    <t>See Valuation Book Pg.329 or take Change in Debt</t>
  </si>
  <si>
    <r>
      <t xml:space="preserve">c. Create </t>
    </r>
    <r>
      <rPr>
        <i/>
        <sz val="11"/>
        <color theme="1"/>
        <rFont val="Calibri"/>
        <family val="2"/>
        <scheme val="minor"/>
      </rPr>
      <t>&lt;</t>
    </r>
    <r>
      <rPr>
        <b/>
        <i/>
        <sz val="11"/>
        <color theme="1"/>
        <rFont val="Calibri"/>
        <family val="2"/>
        <scheme val="minor"/>
      </rPr>
      <t>F.ROIC &amp; FCF</t>
    </r>
    <r>
      <rPr>
        <i/>
        <sz val="11"/>
        <color theme="1"/>
        <rFont val="Calibri"/>
        <family val="2"/>
        <scheme val="minor"/>
      </rPr>
      <t>&gt;</t>
    </r>
    <r>
      <rPr>
        <sz val="11"/>
        <color theme="1"/>
        <rFont val="Calibri"/>
        <family val="2"/>
        <scheme val="minor"/>
      </rPr>
      <t xml:space="preserve"> worksheet</t>
    </r>
  </si>
  <si>
    <t xml:space="preserve">       * Find FCFF and FCFE</t>
  </si>
  <si>
    <r>
      <t xml:space="preserve">If </t>
    </r>
    <r>
      <rPr>
        <sz val="11"/>
        <color theme="1"/>
        <rFont val="Calibri"/>
        <family val="2"/>
      </rPr>
      <t>∆ Working Capital and Net Capex are positive, deduct/minus cash (due to increase in asset)</t>
    </r>
  </si>
  <si>
    <r>
      <t xml:space="preserve">       * Find </t>
    </r>
    <r>
      <rPr>
        <b/>
        <sz val="11"/>
        <color theme="1"/>
        <rFont val="Calibri"/>
        <family val="2"/>
        <scheme val="minor"/>
      </rPr>
      <t>ROIC</t>
    </r>
    <r>
      <rPr>
        <sz val="11"/>
        <color theme="1"/>
        <rFont val="Calibri"/>
        <family val="2"/>
        <scheme val="minor"/>
      </rPr>
      <t xml:space="preserve"> using NOPLAT and Invested Capital</t>
    </r>
  </si>
  <si>
    <t>Value FCFF and FCFE</t>
  </si>
  <si>
    <r>
      <t xml:space="preserve">a. Create </t>
    </r>
    <r>
      <rPr>
        <i/>
        <sz val="11"/>
        <color theme="1"/>
        <rFont val="Calibri"/>
        <family val="2"/>
        <scheme val="minor"/>
      </rPr>
      <t>&lt;</t>
    </r>
    <r>
      <rPr>
        <b/>
        <i/>
        <sz val="11"/>
        <color theme="1"/>
        <rFont val="Calibri"/>
        <family val="2"/>
        <scheme val="minor"/>
      </rPr>
      <t>G.Valuation</t>
    </r>
    <r>
      <rPr>
        <i/>
        <sz val="11"/>
        <color theme="1"/>
        <rFont val="Calibri"/>
        <family val="2"/>
        <scheme val="minor"/>
      </rPr>
      <t>&gt;</t>
    </r>
    <r>
      <rPr>
        <sz val="11"/>
        <color theme="1"/>
        <rFont val="Calibri"/>
        <family val="2"/>
        <scheme val="minor"/>
      </rPr>
      <t xml:space="preserve"> tab</t>
    </r>
  </si>
  <si>
    <t>b. Proceed with FCFF Valuation</t>
  </si>
  <si>
    <r>
      <rPr>
        <sz val="11"/>
        <color theme="1"/>
        <rFont val="Calibri"/>
        <family val="2"/>
        <scheme val="minor"/>
      </rPr>
      <t xml:space="preserve">        </t>
    </r>
    <r>
      <rPr>
        <u/>
        <sz val="11"/>
        <color theme="1"/>
        <rFont val="Calibri"/>
        <family val="2"/>
        <scheme val="minor"/>
      </rPr>
      <t>FCFF Valuation</t>
    </r>
  </si>
  <si>
    <t xml:space="preserve"> </t>
  </si>
  <si>
    <r>
      <t xml:space="preserve">           - Input FCFF from </t>
    </r>
    <r>
      <rPr>
        <i/>
        <sz val="11"/>
        <color theme="1"/>
        <rFont val="Calibri"/>
        <family val="2"/>
        <scheme val="minor"/>
      </rPr>
      <t>&lt;</t>
    </r>
    <r>
      <rPr>
        <b/>
        <i/>
        <sz val="11"/>
        <color theme="1"/>
        <rFont val="Calibri"/>
        <family val="2"/>
        <scheme val="minor"/>
      </rPr>
      <t>E.Reorg. fin. stmts</t>
    </r>
    <r>
      <rPr>
        <i/>
        <sz val="11"/>
        <color theme="1"/>
        <rFont val="Calibri"/>
        <family val="2"/>
        <scheme val="minor"/>
      </rPr>
      <t>&gt;</t>
    </r>
    <r>
      <rPr>
        <sz val="11"/>
        <color theme="1"/>
        <rFont val="Calibri"/>
        <family val="2"/>
        <scheme val="minor"/>
      </rPr>
      <t xml:space="preserve"> worksheet </t>
    </r>
  </si>
  <si>
    <r>
      <t xml:space="preserve">           - Input WACC from </t>
    </r>
    <r>
      <rPr>
        <i/>
        <sz val="11"/>
        <color theme="1"/>
        <rFont val="Calibri"/>
        <family val="2"/>
        <scheme val="minor"/>
      </rPr>
      <t>&lt;</t>
    </r>
    <r>
      <rPr>
        <b/>
        <i/>
        <sz val="11"/>
        <color theme="1"/>
        <rFont val="Calibri"/>
        <family val="2"/>
        <scheme val="minor"/>
      </rPr>
      <t>D.Market data &amp; WACC</t>
    </r>
    <r>
      <rPr>
        <i/>
        <sz val="11"/>
        <color theme="1"/>
        <rFont val="Calibri"/>
        <family val="2"/>
        <scheme val="minor"/>
      </rPr>
      <t>&gt;</t>
    </r>
    <r>
      <rPr>
        <sz val="11"/>
        <color theme="1"/>
        <rFont val="Calibri"/>
        <family val="2"/>
        <scheme val="minor"/>
      </rPr>
      <t xml:space="preserve"> worksheet</t>
    </r>
  </si>
  <si>
    <t xml:space="preserve">           - Input g from your assumption: perpetuity growth rate</t>
  </si>
  <si>
    <r>
      <t xml:space="preserve">           - Calculate Present Value of FCFF</t>
    </r>
    <r>
      <rPr>
        <vertAlign val="subscript"/>
        <sz val="11"/>
        <color theme="1"/>
        <rFont val="Calibri"/>
        <family val="2"/>
        <scheme val="minor"/>
      </rPr>
      <t>2022-2031</t>
    </r>
    <r>
      <rPr>
        <sz val="11"/>
        <color theme="1"/>
        <rFont val="Calibri"/>
        <family val="2"/>
        <scheme val="minor"/>
      </rPr>
      <t xml:space="preserve"> =</t>
    </r>
  </si>
  <si>
    <t xml:space="preserve">           - Calculate Continuing Value [Terminal Value] using perpetuity formula</t>
  </si>
  <si>
    <r>
      <rPr>
        <sz val="11"/>
        <color theme="1"/>
        <rFont val="Calibri"/>
        <family val="2"/>
        <scheme val="minor"/>
      </rPr>
      <t xml:space="preserve">                </t>
    </r>
    <r>
      <rPr>
        <u/>
        <sz val="11"/>
        <color theme="1"/>
        <rFont val="Calibri"/>
        <family val="2"/>
        <scheme val="minor"/>
      </rPr>
      <t>No Growth model/Perpetuity:</t>
    </r>
  </si>
  <si>
    <r>
      <t xml:space="preserve">                </t>
    </r>
    <r>
      <rPr>
        <u/>
        <sz val="11"/>
        <color theme="1"/>
        <rFont val="Calibri"/>
        <family val="2"/>
        <scheme val="minor"/>
      </rPr>
      <t>Growing Perpetuity:</t>
    </r>
  </si>
  <si>
    <t xml:space="preserve">           - Discount Continuing Value to find its Present Value</t>
  </si>
  <si>
    <r>
      <t xml:space="preserve">           - Find Enterprise Value = PV of FCFF</t>
    </r>
    <r>
      <rPr>
        <vertAlign val="subscript"/>
        <sz val="11"/>
        <color theme="1"/>
        <rFont val="Calibri"/>
        <family val="2"/>
        <scheme val="minor"/>
      </rPr>
      <t>2022-2031</t>
    </r>
    <r>
      <rPr>
        <sz val="11"/>
        <color theme="1"/>
        <rFont val="Calibri"/>
        <family val="2"/>
        <scheme val="minor"/>
      </rPr>
      <t xml:space="preserve"> + PV of CV</t>
    </r>
  </si>
  <si>
    <t xml:space="preserve">           - Find Total Debt by adding up all interest-bearing debt</t>
  </si>
  <si>
    <t xml:space="preserve">           - Calculate Total Equity = Enterprise Value - Total Debt</t>
  </si>
  <si>
    <t xml:space="preserve">           - Input Number of Outstanding Shares [NOSH]</t>
  </si>
  <si>
    <t xml:space="preserve">           - Calculate Price per share = Enterprise Value/NOSH</t>
  </si>
  <si>
    <t>c. Proceed with FCFE Valuation</t>
  </si>
  <si>
    <r>
      <rPr>
        <sz val="11"/>
        <color theme="1"/>
        <rFont val="Calibri"/>
        <family val="2"/>
        <scheme val="minor"/>
      </rPr>
      <t xml:space="preserve">        </t>
    </r>
    <r>
      <rPr>
        <u/>
        <sz val="11"/>
        <color theme="1"/>
        <rFont val="Calibri"/>
        <family val="2"/>
        <scheme val="minor"/>
      </rPr>
      <t>FCFE Valuation</t>
    </r>
  </si>
  <si>
    <r>
      <t xml:space="preserve">           - Input FCFE from </t>
    </r>
    <r>
      <rPr>
        <i/>
        <sz val="11"/>
        <color theme="1"/>
        <rFont val="Calibri"/>
        <family val="2"/>
        <scheme val="minor"/>
      </rPr>
      <t>&lt;</t>
    </r>
    <r>
      <rPr>
        <b/>
        <i/>
        <sz val="11"/>
        <color theme="1"/>
        <rFont val="Calibri"/>
        <family val="2"/>
        <scheme val="minor"/>
      </rPr>
      <t>E.Reorg. fin. stmts</t>
    </r>
    <r>
      <rPr>
        <i/>
        <sz val="11"/>
        <color theme="1"/>
        <rFont val="Calibri"/>
        <family val="2"/>
        <scheme val="minor"/>
      </rPr>
      <t>&gt;</t>
    </r>
    <r>
      <rPr>
        <sz val="11"/>
        <color theme="1"/>
        <rFont val="Calibri"/>
        <family val="2"/>
        <scheme val="minor"/>
      </rPr>
      <t xml:space="preserve"> worksheet </t>
    </r>
  </si>
  <si>
    <r>
      <t xml:space="preserve">           - Input Cost of Equity from </t>
    </r>
    <r>
      <rPr>
        <i/>
        <sz val="11"/>
        <color theme="1"/>
        <rFont val="Calibri"/>
        <family val="2"/>
        <scheme val="minor"/>
      </rPr>
      <t>&lt;</t>
    </r>
    <r>
      <rPr>
        <b/>
        <i/>
        <sz val="11"/>
        <color theme="1"/>
        <rFont val="Calibri"/>
        <family val="2"/>
        <scheme val="minor"/>
      </rPr>
      <t>D.Market data &amp; WACC</t>
    </r>
    <r>
      <rPr>
        <i/>
        <sz val="11"/>
        <color theme="1"/>
        <rFont val="Calibri"/>
        <family val="2"/>
        <scheme val="minor"/>
      </rPr>
      <t>&gt;</t>
    </r>
    <r>
      <rPr>
        <sz val="11"/>
        <color theme="1"/>
        <rFont val="Calibri"/>
        <family val="2"/>
        <scheme val="minor"/>
      </rPr>
      <t xml:space="preserve"> worksheet</t>
    </r>
  </si>
  <si>
    <t xml:space="preserve">           - Input g from your assumption - perpetuity growth rate</t>
  </si>
  <si>
    <r>
      <t xml:space="preserve">           - Calculate Present Value of FCFE</t>
    </r>
    <r>
      <rPr>
        <vertAlign val="subscript"/>
        <sz val="11"/>
        <color theme="1"/>
        <rFont val="Calibri"/>
        <family val="2"/>
        <scheme val="minor"/>
      </rPr>
      <t>2022-2031</t>
    </r>
    <r>
      <rPr>
        <sz val="11"/>
        <color theme="1"/>
        <rFont val="Calibri"/>
        <family val="2"/>
        <scheme val="minor"/>
      </rPr>
      <t xml:space="preserve"> =</t>
    </r>
  </si>
  <si>
    <t xml:space="preserve">           - Calculate Continuing Value (Terminal Value) using perpetuity formula</t>
  </si>
  <si>
    <r>
      <t xml:space="preserve">           - Find Equity Value = PV of FCFE</t>
    </r>
    <r>
      <rPr>
        <vertAlign val="subscript"/>
        <sz val="11"/>
        <color theme="1"/>
        <rFont val="Calibri"/>
        <family val="2"/>
        <scheme val="minor"/>
      </rPr>
      <t>2022-2031</t>
    </r>
    <r>
      <rPr>
        <sz val="11"/>
        <color theme="1"/>
        <rFont val="Calibri"/>
        <family val="2"/>
        <scheme val="minor"/>
      </rPr>
      <t xml:space="preserve"> + PV of CV</t>
    </r>
  </si>
  <si>
    <t xml:space="preserve">           - Input Number of outstanding shares [NOSH]</t>
  </si>
  <si>
    <t xml:space="preserve">           - Calculate Price per share = Equity Value/NOSH</t>
  </si>
  <si>
    <t>Find NOPLAT using Income Statement: &lt;Steps&gt; 2a</t>
  </si>
  <si>
    <t>Revenue</t>
  </si>
  <si>
    <t xml:space="preserve">  - Cost of Goods Sold</t>
  </si>
  <si>
    <t>Ensure that there are only operating expenses. Remove any nonoperating expenses - related to pensions, embedded interest expenses from operating leases, restructuring charges hidden in the cost of goods sold, gains/losses from asset sales, amortization of acquired intangibles, litigation expenses, goodwill impairments, interest income (expenses), income from noncontrolling interests.</t>
  </si>
  <si>
    <t>Gross Profit</t>
  </si>
  <si>
    <t xml:space="preserve">  - Op Expenses (eg. SG&amp;A)</t>
  </si>
  <si>
    <t xml:space="preserve">  - Depreciation</t>
  </si>
  <si>
    <t>Net Operating Profit [EBITA]</t>
  </si>
  <si>
    <t xml:space="preserve">  - Operating Taxes</t>
  </si>
  <si>
    <t>Reported Taxes - Nonoperating Taxes = Operating Taxes
Nonoperating Taxes is the interest tax shield from debt, taxes paid on nonoperating income</t>
  </si>
  <si>
    <t>NOPLAT</t>
  </si>
  <si>
    <t xml:space="preserve">  - After-tax net interest</t>
  </si>
  <si>
    <t>Net Income</t>
  </si>
  <si>
    <t>Find Invested Capital using Balance Sheet: : &lt;Steps&gt; 2a</t>
  </si>
  <si>
    <t>Operating Perspective</t>
  </si>
  <si>
    <t>Operating Current Assets</t>
  </si>
  <si>
    <r>
      <t xml:space="preserve">All </t>
    </r>
    <r>
      <rPr>
        <b/>
        <sz val="11"/>
        <color theme="1"/>
        <rFont val="Calibri"/>
        <family val="2"/>
        <scheme val="minor"/>
      </rPr>
      <t>current</t>
    </r>
    <r>
      <rPr>
        <sz val="11"/>
        <color theme="1"/>
        <rFont val="Calibri"/>
        <family val="2"/>
        <scheme val="minor"/>
      </rPr>
      <t xml:space="preserve"> assets necessary for the operation of the business
 - working cash balance, accounts receivables, inventory and prepaid expenses
 - excl. excess cash and marketable securities</t>
    </r>
  </si>
  <si>
    <t xml:space="preserve">  - Operating Current Liabilities</t>
  </si>
  <si>
    <r>
      <rPr>
        <b/>
        <sz val="11"/>
        <color theme="1"/>
        <rFont val="Calibri"/>
        <family val="2"/>
        <scheme val="minor"/>
      </rPr>
      <t>Current</t>
    </r>
    <r>
      <rPr>
        <sz val="11"/>
        <color theme="1"/>
        <rFont val="Calibri"/>
        <family val="2"/>
        <scheme val="minor"/>
      </rPr>
      <t xml:space="preserve"> liabilities that are related to the ongoing operations of the firm
 - accounts payable, accrued salaries, prepayments or deferred revenue, income taxes payable
** if a liab is op rather than financial, should be netted from operating assets to determine invested capital and then incorporated into free cash flow
** int-bearing liabs are nonoperating and should not be netted from operating assets, but rather valued separately</t>
    </r>
  </si>
  <si>
    <t>Operating Working Capital</t>
  </si>
  <si>
    <t xml:space="preserve">  + Fixed Assets</t>
  </si>
  <si>
    <t xml:space="preserve">PPE always included in operating assets
</t>
  </si>
  <si>
    <t xml:space="preserve">  + Net Other Long-Term Op Assets</t>
  </si>
  <si>
    <t>Other Op LT Assets - Other Op LT Liabs = Net Other LT Op Assets
If other lt liabs and other lt assets are small and not detailed, assume they are operating
If large, then need to split into op and nonop 
Most LT liabs are not operating liabs but debt and equity equivalent
NONOP items should not be included in Invested Capital</t>
  </si>
  <si>
    <t xml:space="preserve">  + Intangible Assets</t>
  </si>
  <si>
    <t>Only internally generated intangible assets are treated like long-term op assets, NOT acquired intangibles (i.e investment in software - capitalized software)</t>
  </si>
  <si>
    <t>Invested Capital</t>
  </si>
  <si>
    <t>See Pg. 176 Koller</t>
  </si>
  <si>
    <t xml:space="preserve">  + NonOperating Assets</t>
  </si>
  <si>
    <t>Both current and noncurrent. Marketable securities, Excess Cash, Receivables from Financial Subsidiaries, Prepaid pension assets, Overfunded pension assets, Nonconsolidated subsidiaries, Other long-term/equity investment, Deferred Tax Assets, Tax loss carryforwards, Derivatives, excess real estate, discontinued operations.</t>
  </si>
  <si>
    <t>Total Funds Invested</t>
  </si>
  <si>
    <t>Financing Perspective</t>
  </si>
  <si>
    <t>Debt</t>
  </si>
  <si>
    <t>Short-term int-bearing liab: commercial paper, notes payable, current portion of LT debt
Long-term: fixed debt, floating debt, convertible debt with mat of more than a year</t>
  </si>
  <si>
    <t>Debt Equivalent</t>
  </si>
  <si>
    <t>Unfunded retirement/pension liabilities, unfunded postretirement medical liabs, restructuring reserves (more in Chapter 19), expected environmental remediation following a plant closure
Hybrid securities: convertible debt, preferred stock, employee options</t>
  </si>
  <si>
    <t>Equity</t>
  </si>
  <si>
    <r>
      <t xml:space="preserve">Common stock, paid in capital, retained earnings, 
Accumulated other comprehensive income (currency adjustments, aggregate unrealized gains and losses from liquid assets who value has changed but that have not yet been sold, pension plan flctuation within a certain band)
Stock repurchase and held in treasury </t>
    </r>
    <r>
      <rPr>
        <b/>
        <sz val="11"/>
        <color theme="1"/>
        <rFont val="Calibri"/>
        <family val="2"/>
        <scheme val="minor"/>
      </rPr>
      <t>excluded</t>
    </r>
    <r>
      <rPr>
        <sz val="11"/>
        <color theme="1"/>
        <rFont val="Calibri"/>
        <family val="2"/>
        <scheme val="minor"/>
      </rPr>
      <t xml:space="preserve"> in Total Equity</t>
    </r>
  </si>
  <si>
    <t>Equity Equivalent</t>
  </si>
  <si>
    <t>NonControlling int (treat the bal sht amount as EE, earnings as a financing cf similar to dividends)
Deferred taxes - diff in how biz and govt account for taxes</t>
  </si>
  <si>
    <r>
      <t xml:space="preserve">Difference in </t>
    </r>
    <r>
      <rPr>
        <b/>
        <sz val="11"/>
        <color theme="1"/>
        <rFont val="Calibri"/>
        <family val="2"/>
        <scheme val="minor"/>
      </rPr>
      <t>Total Funds Invested</t>
    </r>
    <r>
      <rPr>
        <sz val="11"/>
        <color theme="1"/>
        <rFont val="Calibri"/>
        <family val="2"/>
        <scheme val="minor"/>
      </rPr>
      <t xml:space="preserve"> is due to the segregation of Other Current Assets/Liabs, Other Assets/Liabs</t>
    </r>
  </si>
  <si>
    <t>Step 1a: Prepare and Analyze Historical Financials</t>
  </si>
  <si>
    <t>The layout of the FMC Data Room:</t>
  </si>
  <si>
    <t xml:space="preserve">   - You need to download or compile a number of years of historical income statement and balance sheet information for your company – preferably 10 years of historical data. </t>
  </si>
  <si>
    <t xml:space="preserve">   - This data will provide important inputs for your forecast.</t>
  </si>
  <si>
    <t xml:space="preserve">   - You can get income statement and balance sheet information manually from the financial statements of the company; they will be available on the company’s website or on SEC Edgar. </t>
  </si>
  <si>
    <t xml:space="preserve">   - Manual collection is time consuming. It is recommended you select one of the commonly used financial databases in the FMC Data Room. The recommended options are:</t>
  </si>
  <si>
    <t xml:space="preserve"> (1) Bloomberg</t>
  </si>
  <si>
    <t xml:space="preserve">        - Create an account. Learn the terminal functions. You can find significant support material online. </t>
  </si>
  <si>
    <t xml:space="preserve">        - Alternatively, the online Bloomberg Market Concepts (BMC) course is a useful way to learn the commonly used terminal functions. Link below:</t>
  </si>
  <si>
    <r>
      <rPr>
        <sz val="11"/>
        <color theme="10"/>
        <rFont val="Calibri"/>
        <family val="2"/>
        <scheme val="minor"/>
      </rPr>
      <t xml:space="preserve">                   </t>
    </r>
    <r>
      <rPr>
        <u/>
        <sz val="11"/>
        <color theme="10"/>
        <rFont val="Calibri"/>
        <family val="2"/>
        <scheme val="minor"/>
      </rPr>
      <t xml:space="preserve">Bloomberg Market Concepts (BMC) </t>
    </r>
  </si>
  <si>
    <t xml:space="preserve"> (2) Thomson Reuters Eikon</t>
  </si>
  <si>
    <r>
      <t xml:space="preserve">        - You can access Thomas Eikon through on or off-campus. Please</t>
    </r>
    <r>
      <rPr>
        <sz val="11"/>
        <color rgb="FFC00000"/>
        <rFont val="Calibri"/>
        <family val="2"/>
        <scheme val="minor"/>
      </rPr>
      <t xml:space="preserve"> log out once you have downloaded the necessary information</t>
    </r>
    <r>
      <rPr>
        <sz val="11"/>
        <color theme="1"/>
        <rFont val="Calibri"/>
        <family val="2"/>
        <scheme val="minor"/>
      </rPr>
      <t xml:space="preserve"> as a new user can kick out an existing user.</t>
    </r>
  </si>
  <si>
    <t xml:space="preserve">                Username: student.eikon1@ucdconnect.ie</t>
  </si>
  <si>
    <t xml:space="preserve">                Password: ucdEikon1</t>
  </si>
  <si>
    <t>See more information at: https://intranet.ucd.ie/onlinelib/special_logins/index.html</t>
  </si>
  <si>
    <t xml:space="preserve">        - Under the landing page, go to the Search box and enter the name of the selected company.</t>
  </si>
  <si>
    <r>
      <t xml:space="preserve">        - Under the </t>
    </r>
    <r>
      <rPr>
        <i/>
        <sz val="11"/>
        <color theme="1"/>
        <rFont val="Calibri"/>
        <family val="2"/>
        <scheme val="minor"/>
      </rPr>
      <t>Financials &gt; Reuters Fundamentals</t>
    </r>
    <r>
      <rPr>
        <sz val="11"/>
        <color theme="1"/>
        <rFont val="Calibri"/>
        <family val="2"/>
        <scheme val="minor"/>
      </rPr>
      <t xml:space="preserve"> tab, you should be able to download the necessary financial statements using an excel icon at the top right-hand corner of the page. </t>
    </r>
  </si>
  <si>
    <t xml:space="preserve"> (3) FAME</t>
  </si>
  <si>
    <t xml:space="preserve">        For future project assignments which require you to work with UK or Irish firms, the FAME database may be useful. FAME can be accessed through the UCD Library website. Follow these instructions:</t>
  </si>
  <si>
    <r>
      <t>·</t>
    </r>
    <r>
      <rPr>
        <sz val="7"/>
        <color theme="1"/>
        <rFont val="Times New Roman"/>
        <family val="1"/>
      </rPr>
      <t xml:space="preserve">        </t>
    </r>
    <r>
      <rPr>
        <sz val="11"/>
        <color theme="1"/>
        <rFont val="Times New Roman"/>
        <family val="1"/>
      </rPr>
      <t>Visit UCD Library website.</t>
    </r>
  </si>
  <si>
    <r>
      <t>·</t>
    </r>
    <r>
      <rPr>
        <sz val="7"/>
        <color theme="1"/>
        <rFont val="Times New Roman"/>
        <family val="1"/>
      </rPr>
      <t xml:space="preserve">        </t>
    </r>
    <r>
      <rPr>
        <sz val="11"/>
        <color theme="1"/>
        <rFont val="Times New Roman"/>
        <family val="1"/>
      </rPr>
      <t>Underneath the search bar, click the ‘Databases’ link.</t>
    </r>
  </si>
  <si>
    <r>
      <t>·</t>
    </r>
    <r>
      <rPr>
        <sz val="7"/>
        <color theme="1"/>
        <rFont val="Times New Roman"/>
        <family val="1"/>
      </rPr>
      <t xml:space="preserve">        </t>
    </r>
    <r>
      <rPr>
        <sz val="11"/>
        <color theme="1"/>
        <rFont val="Times New Roman"/>
        <family val="1"/>
      </rPr>
      <t>Search for FAME.</t>
    </r>
  </si>
  <si>
    <r>
      <t>·</t>
    </r>
    <r>
      <rPr>
        <sz val="7"/>
        <color theme="1"/>
        <rFont val="Times New Roman"/>
        <family val="1"/>
      </rPr>
      <t xml:space="preserve">        </t>
    </r>
    <r>
      <rPr>
        <sz val="11"/>
        <color theme="1"/>
        <rFont val="Times New Roman"/>
        <family val="1"/>
      </rPr>
      <t>Select the “FAME: UK and Irish financial company information and business intelligence (Bureau van Dijk)” database.</t>
    </r>
  </si>
  <si>
    <r>
      <t>·</t>
    </r>
    <r>
      <rPr>
        <sz val="7"/>
        <color theme="1"/>
        <rFont val="Times New Roman"/>
        <family val="1"/>
      </rPr>
      <t xml:space="preserve">        </t>
    </r>
    <r>
      <rPr>
        <sz val="11"/>
        <color theme="1"/>
        <rFont val="Times New Roman"/>
        <family val="1"/>
      </rPr>
      <t>Enter your student login details to access the database.</t>
    </r>
  </si>
  <si>
    <t xml:space="preserve">        FAME can be accessed remotely from your home. There is no need to be on campus to access this database. Access the historical financial data for your company through FAME:</t>
  </si>
  <si>
    <r>
      <t>·</t>
    </r>
    <r>
      <rPr>
        <sz val="7"/>
        <color theme="1"/>
        <rFont val="Times New Roman"/>
        <family val="1"/>
      </rPr>
      <t xml:space="preserve">        </t>
    </r>
    <r>
      <rPr>
        <sz val="11"/>
        <color theme="1"/>
        <rFont val="Times New Roman"/>
        <family val="1"/>
      </rPr>
      <t>Click on the &gt; Search &gt; Company tab. Search for your company name.</t>
    </r>
  </si>
  <si>
    <r>
      <t>·</t>
    </r>
    <r>
      <rPr>
        <sz val="7"/>
        <color theme="1"/>
        <rFont val="Times New Roman"/>
        <family val="1"/>
      </rPr>
      <t xml:space="preserve">        </t>
    </r>
    <r>
      <rPr>
        <sz val="11"/>
        <color theme="1"/>
        <rFont val="Times New Roman"/>
        <family val="1"/>
      </rPr>
      <t>There may be several companies with the same name. Make sure you select the correct company. The company should have the ‘PLC’ abbreviation at the end of the company name.</t>
    </r>
  </si>
  <si>
    <r>
      <t>·</t>
    </r>
    <r>
      <rPr>
        <sz val="7"/>
        <color theme="1"/>
        <rFont val="Times New Roman"/>
        <family val="1"/>
      </rPr>
      <t xml:space="preserve">        </t>
    </r>
    <r>
      <rPr>
        <sz val="11"/>
        <color theme="1"/>
        <rFont val="Times New Roman"/>
        <family val="1"/>
      </rPr>
      <t>Click on the correct company in the search results.</t>
    </r>
  </si>
  <si>
    <r>
      <t>·</t>
    </r>
    <r>
      <rPr>
        <sz val="7"/>
        <color theme="1"/>
        <rFont val="Times New Roman"/>
        <family val="1"/>
      </rPr>
      <t xml:space="preserve">        </t>
    </r>
    <r>
      <rPr>
        <sz val="11"/>
        <color theme="1"/>
        <rFont val="Times New Roman"/>
        <family val="1"/>
      </rPr>
      <t>A menu appears on the right-hand side of the screen. Click the ‘Financials’ tab. Click on the sub-tab you wish to access: balance sheets, income statements or cash flow statements.</t>
    </r>
  </si>
  <si>
    <r>
      <t>·</t>
    </r>
    <r>
      <rPr>
        <sz val="7"/>
        <color theme="1"/>
        <rFont val="Times New Roman"/>
        <family val="1"/>
      </rPr>
      <t xml:space="preserve">        </t>
    </r>
    <r>
      <rPr>
        <sz val="11"/>
        <color theme="1"/>
        <rFont val="Times New Roman"/>
        <family val="1"/>
      </rPr>
      <t>Click on the Excel icon to export the data into an Excel spreadsheet:</t>
    </r>
  </si>
  <si>
    <r>
      <t>·</t>
    </r>
    <r>
      <rPr>
        <sz val="7"/>
        <color theme="1"/>
        <rFont val="Times New Roman"/>
        <family val="1"/>
      </rPr>
      <t xml:space="preserve">        </t>
    </r>
    <r>
      <rPr>
        <sz val="11"/>
        <color theme="1"/>
        <rFont val="Times New Roman"/>
        <family val="1"/>
      </rPr>
      <t>You can now manipulate and format the data in Excel before copying it into the Valuation Model template.</t>
    </r>
  </si>
  <si>
    <t>Walmart Inc (WMT US) - As Reported</t>
  </si>
  <si>
    <t>In Millions of USD except Per Share</t>
  </si>
  <si>
    <t>FY 2011</t>
  </si>
  <si>
    <t>FY 2012</t>
  </si>
  <si>
    <t>FY 2013</t>
  </si>
  <si>
    <t>FY 2014</t>
  </si>
  <si>
    <t>FY 2015</t>
  </si>
  <si>
    <t>FY 2016</t>
  </si>
  <si>
    <t>FY 2017</t>
  </si>
  <si>
    <t>FY 2018</t>
  </si>
  <si>
    <t>FY 2019</t>
  </si>
  <si>
    <t>FY 2020</t>
  </si>
  <si>
    <t>FY 2021</t>
  </si>
  <si>
    <t>FY 2022</t>
  </si>
  <si>
    <t>FY 2023</t>
  </si>
  <si>
    <t>FY 2024</t>
  </si>
  <si>
    <t>FY 2025</t>
  </si>
  <si>
    <t>12 Months Ending</t>
  </si>
  <si>
    <t>01/31/2011</t>
  </si>
  <si>
    <t>01/31/2012</t>
  </si>
  <si>
    <t>01/31/2013</t>
  </si>
  <si>
    <t>01/31/2014</t>
  </si>
  <si>
    <t>01/31/2015</t>
  </si>
  <si>
    <t>01/31/2016</t>
  </si>
  <si>
    <t>01/31/2017</t>
  </si>
  <si>
    <t>01/31/2018</t>
  </si>
  <si>
    <t>01/31/2019</t>
  </si>
  <si>
    <t>01/31/2020</t>
  </si>
  <si>
    <t>01/31/2021</t>
  </si>
  <si>
    <t>01/31/2022</t>
  </si>
  <si>
    <t>01/31/2023</t>
  </si>
  <si>
    <t>01/31/2024</t>
  </si>
  <si>
    <t>01/31/2025</t>
  </si>
  <si>
    <t>Income Statement</t>
  </si>
  <si>
    <t xml:space="preserve">  Revenues</t>
  </si>
  <si>
    <t>Revenues</t>
  </si>
  <si>
    <t>ARD_REVENUES</t>
  </si>
  <si>
    <t>License/Contract/Fee Revenue</t>
  </si>
  <si>
    <t>ARD_LICENSE_CONTRACT_FEE_REV</t>
  </si>
  <si>
    <t>Total Revenue</t>
  </si>
  <si>
    <t>ARD_TOTAL_REVENUES</t>
  </si>
  <si>
    <t xml:space="preserve">  Operating Expenses</t>
  </si>
  <si>
    <t>Cost of Goods Sold</t>
  </si>
  <si>
    <t>ARD_COST_OF_GOODS_SOLD</t>
  </si>
  <si>
    <t>Selling General and Administrative Expenses</t>
  </si>
  <si>
    <t>ARD_SELLING_GENERAL_ADMIN_EXP</t>
  </si>
  <si>
    <t>Operating Income</t>
  </si>
  <si>
    <t>ARD_OPERATING_INCOME</t>
  </si>
  <si>
    <t xml:space="preserve">  Non-Operating Expenses</t>
  </si>
  <si>
    <t>Interest Expense</t>
  </si>
  <si>
    <t>ARD_INT_EXP</t>
  </si>
  <si>
    <t>Interest Income</t>
  </si>
  <si>
    <t>ARD_INT_INCOME</t>
  </si>
  <si>
    <t>Interest Expense - Net</t>
  </si>
  <si>
    <t>ARD_INT_EXP_NET</t>
  </si>
  <si>
    <t>—</t>
  </si>
  <si>
    <t>Income Tax Expense (Benefit)</t>
  </si>
  <si>
    <t>ARD_INCOME_TAX_EXP_BENEFIT</t>
  </si>
  <si>
    <t>Income Before Income Taxes</t>
  </si>
  <si>
    <t>ARD_INCOME_BEFORE_INCOME_TAXES</t>
  </si>
  <si>
    <t>Income Before XO Items</t>
  </si>
  <si>
    <t>ARD_INCOME_BEFORE_XO_ITEMS</t>
  </si>
  <si>
    <t>GL On Early Ext of Debt -Non-Op</t>
  </si>
  <si>
    <t>ARD_GL_ON_EARLY_EXT_DEBT_NON_OP</t>
  </si>
  <si>
    <t>Current Income Tax Expense (Benefit)</t>
  </si>
  <si>
    <t>ARD_CUR_INCOME_TAX_EXP_BENEFIT</t>
  </si>
  <si>
    <t>Deferred Income Tax Expense (Benefit)</t>
  </si>
  <si>
    <t>ARD_DEFERRED_INC_TAX_EXP_BEN</t>
  </si>
  <si>
    <t>Other Non-Operating (Income)/Expense - Net</t>
  </si>
  <si>
    <t>ARD_OTH_NON_OPER_INC_EXP_NET</t>
  </si>
  <si>
    <t>Total Financial Costs</t>
  </si>
  <si>
    <t>ARD_TOTAL_FINANCIAL_LOSSES</t>
  </si>
  <si>
    <t xml:space="preserve">  Extraordinary Items</t>
  </si>
  <si>
    <t>Discontinued Operations Loss/(Benefit) - Net</t>
  </si>
  <si>
    <t>ARD_DISC_OPS_LOSS_BEN_NET</t>
  </si>
  <si>
    <t xml:space="preserve">  Earnings</t>
  </si>
  <si>
    <t>Minority/Non Controlling Interest</t>
  </si>
  <si>
    <t>ARD_MINORITY_NONCONTROL_INTEREST</t>
  </si>
  <si>
    <t>Dividends Per Share</t>
  </si>
  <si>
    <t>ARD_DVD_PER_SH</t>
  </si>
  <si>
    <t>Basic EPS Before XO Items</t>
  </si>
  <si>
    <t>ARD_BASIC_EPS_BEF_XO_ITEMS</t>
  </si>
  <si>
    <t>Basic EPS</t>
  </si>
  <si>
    <t>ARD_BASIC_EPS</t>
  </si>
  <si>
    <t>Weighted Avg. Shares - Basic</t>
  </si>
  <si>
    <t>ARD_WEIGHTED_AVG_SHARES_BASIC</t>
  </si>
  <si>
    <t>Diluted EPS Before XO Items</t>
  </si>
  <si>
    <t>ARD_DILUTED_EPS_BEF_XO_ITEMS</t>
  </si>
  <si>
    <t>Diluted EPS</t>
  </si>
  <si>
    <t>ARD_DILUTED_EPS</t>
  </si>
  <si>
    <t>Weighted Avg. Shares - Diluted</t>
  </si>
  <si>
    <t>ARD_WEIGHTED_AVG_SHARE_DILUTED</t>
  </si>
  <si>
    <t>Net Income Available For Common Shareholders</t>
  </si>
  <si>
    <t>ARD_NET_INC_AVAIL_COM_SHRHLDR</t>
  </si>
  <si>
    <t>Discontinued Operations Per Share - Basic</t>
  </si>
  <si>
    <t>ARD_DISCONTINUE_OPS_PER_SH_BASIC</t>
  </si>
  <si>
    <t>Discontinued Operations Per Share - Diluted</t>
  </si>
  <si>
    <t>ARD_DISCONTINUE_OPS_PER_SH_DIL</t>
  </si>
  <si>
    <t>Profit After Taxation Before Minority</t>
  </si>
  <si>
    <t>ARD_PROF_AFTER_TAX_BEF_MINORITY</t>
  </si>
  <si>
    <t>Cumulative Net Income</t>
  </si>
  <si>
    <t>ARD_CUMULATIVE_NET_INCOME</t>
  </si>
  <si>
    <t>ARD_NET_INC</t>
  </si>
  <si>
    <t xml:space="preserve">  Comprehensive Income</t>
  </si>
  <si>
    <t>Net Income - Comprehensive Income</t>
  </si>
  <si>
    <t>ARDR_COMPR_INCOME_NET_INC</t>
  </si>
  <si>
    <t xml:space="preserve">  Others</t>
  </si>
  <si>
    <t xml:space="preserve">  Reference Items</t>
  </si>
  <si>
    <t>ARDR COVID-19 Related Charges - Operating</t>
  </si>
  <si>
    <t>ARDR_COVID_19_RELTD_CHARGS_OPER</t>
  </si>
  <si>
    <t>Depreciation Expense</t>
  </si>
  <si>
    <t>ARDR_DEPRECIATION_EXP</t>
  </si>
  <si>
    <t>Depreciation and Amortization</t>
  </si>
  <si>
    <t>ARDR_DEPRECIATION_AMORTIZATION</t>
  </si>
  <si>
    <t>Restructuring Charges</t>
  </si>
  <si>
    <t>ARDR_RESTRUCTURING_CHARGES</t>
  </si>
  <si>
    <t>Other One-Time Charges</t>
  </si>
  <si>
    <t>ARDR_OTHER_ONE_TIME_CHARGES</t>
  </si>
  <si>
    <t>ARDR_INT_INCOME</t>
  </si>
  <si>
    <t>ARDR_INT_EXP_NET</t>
  </si>
  <si>
    <t>ARDR_INCOME_TAX_EXP_BENEFIT</t>
  </si>
  <si>
    <t>Foreign Currency Translation Adjustments</t>
  </si>
  <si>
    <t>ARDR_FOR_CRNCY_TRANSLATION_ADJ</t>
  </si>
  <si>
    <t>Unrealized Gain (Loss) On Securities</t>
  </si>
  <si>
    <t>ARDR_UNREALIZED_GL_ON_SECS</t>
  </si>
  <si>
    <t>Change In Fair Value of Derivatives</t>
  </si>
  <si>
    <t>ARDR_CHG_FAIR_VAL_OF_DERIVATIVES</t>
  </si>
  <si>
    <t>ARDR Pension Related Adjustments</t>
  </si>
  <si>
    <t>ARDR_PENSION_RELATED_ADJUSTMENTS</t>
  </si>
  <si>
    <t>Capitalized Interest</t>
  </si>
  <si>
    <t>ARDR_CAPITALIZED_INTEREST</t>
  </si>
  <si>
    <t>Total Cash Common Dividends</t>
  </si>
  <si>
    <t>ARDR_TOTAL_CASH_COMMON_DVD</t>
  </si>
  <si>
    <t>ARDR_DVD_PER_SH</t>
  </si>
  <si>
    <t>ARDR_BASIC_EPS_BEF_XO_ITEMS</t>
  </si>
  <si>
    <t>ARDR_BASIC_EPS</t>
  </si>
  <si>
    <t>ARDR_WEIGHTED_AVG_SHARES_BASIC</t>
  </si>
  <si>
    <t>ARDR_DILUTED_EPS_BEF_XO_ITEMS</t>
  </si>
  <si>
    <t>ARDR_DILUTED_EPS</t>
  </si>
  <si>
    <t>ARDR_WEIGHTED_AVG_SHARE_DILUTED</t>
  </si>
  <si>
    <t>Current Rental Expense</t>
  </si>
  <si>
    <t>ARDR_CURRENT_RENTAL_EXP</t>
  </si>
  <si>
    <t>Stock Based Compensation Expense</t>
  </si>
  <si>
    <t>ARDR_STK_BASED_COMPENSATION_EXP</t>
  </si>
  <si>
    <t>Total Comprehensive Income</t>
  </si>
  <si>
    <t>ARDR_TOTAL_COMPREHENSIVE_INCOME</t>
  </si>
  <si>
    <t>Litigation Expense</t>
  </si>
  <si>
    <t>ARDR_LITIGATION_EXP</t>
  </si>
  <si>
    <t>Merger/Acquisition Expense</t>
  </si>
  <si>
    <t>ARDR_MERGER_ACQUISITION_EXPENSE</t>
  </si>
  <si>
    <t>ARDR_TOTAL_REVENUES</t>
  </si>
  <si>
    <t>ARDR_GL_ON_EARLY_EXT_DEBT_NON_OP</t>
  </si>
  <si>
    <t>(Gain)/Loss On Sale of Investments</t>
  </si>
  <si>
    <t>ARDR_GL_ON_SALE_OF_INVESTMENTS</t>
  </si>
  <si>
    <t>(Gain)/Loss On Sale of Business</t>
  </si>
  <si>
    <t>ARDR_GL_ON_SALE_OF_BUSINESS</t>
  </si>
  <si>
    <t>ARDR_CUR_INCOME_TAX_EXP_BENEFIT</t>
  </si>
  <si>
    <t>ARDR_DEFERRED_INC_TAX_EXP_BEN</t>
  </si>
  <si>
    <t>Net Inc Available For Common Shareholders</t>
  </si>
  <si>
    <t>ARDR_NET_INC_AVAIL_COM_SHRHLDR</t>
  </si>
  <si>
    <t>REF Split/Dividend Adjustment Factor</t>
  </si>
  <si>
    <t>ARDR_SPLIT_DVD_ADJUSTMENT_FACTOR</t>
  </si>
  <si>
    <t>Adjusted Net Income-As Reported</t>
  </si>
  <si>
    <t>ARD_ADJ_NET_INCOME_AS_REPORTED</t>
  </si>
  <si>
    <t>Effective Tax Rate - %</t>
  </si>
  <si>
    <t>ARDR_EFFECTIVE_TAX_RATE_PCT</t>
  </si>
  <si>
    <t>Adjusted EPS</t>
  </si>
  <si>
    <t>ARDR_ADJUSTED_EPS</t>
  </si>
  <si>
    <t>Amortization Of Leased Assets</t>
  </si>
  <si>
    <t>ARDR_AMORT_LEASED_ASSETS</t>
  </si>
  <si>
    <t>Total Fees Paid To Audit Firms</t>
  </si>
  <si>
    <t>ARDR_TOT_FEES_PAID_AUDIT_FIRMS</t>
  </si>
  <si>
    <t>Unrealized (Gain)/Loss From Secs Non-Op</t>
  </si>
  <si>
    <t>ARDR_UNREAL_GL_FROM_SECS_NON_OP</t>
  </si>
  <si>
    <t>Minority Interests-Discontinued Operations</t>
  </si>
  <si>
    <t>ARDR_MINORITY_INTEREST_DISC_OPS</t>
  </si>
  <si>
    <t>Interest Element Of Finance Lease Payments</t>
  </si>
  <si>
    <t>ARDR_INT_ELEMENT_FIN_LEASE_PYMTS</t>
  </si>
  <si>
    <t>Auditor Expense - Audit</t>
  </si>
  <si>
    <t>ARDR_AUDITOR_EXP_AUDIT</t>
  </si>
  <si>
    <t>Auditor Expense - Non Audit</t>
  </si>
  <si>
    <t>ARDR_AUDITOR_EXP_NON_AUDIT</t>
  </si>
  <si>
    <t>(Gain)/Loss Derivative/Hedging Activities</t>
  </si>
  <si>
    <t>ARDR_GL_DERIV_HEDGING_ACTIVITIES</t>
  </si>
  <si>
    <t>Return on Assets %</t>
  </si>
  <si>
    <t>ARDR_RETURN_ON_ASSETS_PCT</t>
  </si>
  <si>
    <t>Statutory Tax Rate - %</t>
  </si>
  <si>
    <t>ARDR_STATUTORY_TAX_RATE_PCT</t>
  </si>
  <si>
    <t>Tax Provision/Benefit - Non-Recurring</t>
  </si>
  <si>
    <t>ARDR_TAX_PROV_BENEFIT_NONREC</t>
  </si>
  <si>
    <t>ARDR Restructuring After Tax</t>
  </si>
  <si>
    <t>ARDR_RESTRUCTURING_AFTER_TAX</t>
  </si>
  <si>
    <t>Advertising Expenses</t>
  </si>
  <si>
    <t>ARDR_ADVERTISING_EXPENSES</t>
  </si>
  <si>
    <t>Comprehensive Inc Attrib to Minority Int</t>
  </si>
  <si>
    <t>ARDR_COMPREHENSIVE_INC_ATTRIB_MI</t>
  </si>
  <si>
    <t>Stock Option Expense (Before Tax)</t>
  </si>
  <si>
    <t>ARDR_STOCK_OPT_EXPENSE_BEF_TAX</t>
  </si>
  <si>
    <t>Adjusted EBIT/Non-GAAP Operating Income</t>
  </si>
  <si>
    <t>ARDR_ADJ_EBIT_NON_GAAP_OP_INC</t>
  </si>
  <si>
    <t>Stock-Based Compensation Attrib to SG&amp;A</t>
  </si>
  <si>
    <t>ARDR_STOCK_BASED_CMPNSTN_IN_SG&amp;A</t>
  </si>
  <si>
    <t>Income Tax Exp - Current Taxes (Intl)</t>
  </si>
  <si>
    <t>ARDR_ITE_CURRENT_TAX_INTL</t>
  </si>
  <si>
    <t>Income Tax Exp - Current Taxes (National)</t>
  </si>
  <si>
    <t>ARDR_ITE_CURRENT_TAX_NATL</t>
  </si>
  <si>
    <t>Income Tax Exp - Current Taxes (Local)</t>
  </si>
  <si>
    <t>ARDR_ITE_CURRENT_TAX_LCL</t>
  </si>
  <si>
    <t>Income Tax Exp - Deferred Taxes (Intl)</t>
  </si>
  <si>
    <t>ARDR_INC_DEFERRED_TAX_INTL</t>
  </si>
  <si>
    <t>Income Tax Exp - Deferred Taxes (National)</t>
  </si>
  <si>
    <t>ARDR_ITE_DEFERRED_TAX_NATL</t>
  </si>
  <si>
    <t>Income Tax Exp - Deferred Taxes (Local)</t>
  </si>
  <si>
    <t>ARDR_ITE_DEFERRED_TAX_LCL</t>
  </si>
  <si>
    <t>Non-GAAP Operating Expenses</t>
  </si>
  <si>
    <t>ARDR_NON_GAAP_OPERATING_EXPENSES</t>
  </si>
  <si>
    <t>Return on Investment</t>
  </si>
  <si>
    <t>ARDR_RETURN_ON_INVESTMENT</t>
  </si>
  <si>
    <t>ARDR Restructuring Workflow Balance Non-GAAP EPS</t>
  </si>
  <si>
    <t>ARDR_REST_WF_BAL_NON-GAAP_EPS</t>
  </si>
  <si>
    <t>ARDR Other Adjustments Non-GAAP EPS</t>
  </si>
  <si>
    <t>ARDR_OTHER_ADJ_NON-GAAP_EPS</t>
  </si>
  <si>
    <t>ARDR Legal Litigation Settlement Non-GAAP EPS</t>
  </si>
  <si>
    <t>ARDR_LGL_LIT_SETTLE_NON-GAAP_EPS</t>
  </si>
  <si>
    <t>ARDR G/L on Sale Business Non-GAAP EPS</t>
  </si>
  <si>
    <t>ARDR_G/L_ON_SLE_BUS_NON-GAAP_EPS</t>
  </si>
  <si>
    <t>ARDR Impairments Write Down Non-GAAP EPS</t>
  </si>
  <si>
    <t>ARDR_IMP_WRI_DWN_NON-GAAP_EPS</t>
  </si>
  <si>
    <t>ARDR Tax Provision Benefit Non-GAAP EPS</t>
  </si>
  <si>
    <t>ARDR_TAX_PROV_BFIT_NON-GAAP_EPS</t>
  </si>
  <si>
    <t>Internet Sales Growth</t>
  </si>
  <si>
    <t>ARDR_INTERNET_SALES_GROWTH</t>
  </si>
  <si>
    <t>Earnings Before Interest and Taxes</t>
  </si>
  <si>
    <t>ARDR_EBIT</t>
  </si>
  <si>
    <t>ARDR EBIT Margin</t>
  </si>
  <si>
    <t>ARDR_EBIT_MARGIN</t>
  </si>
  <si>
    <t>ARDR Gross Margin</t>
  </si>
  <si>
    <t>ARDR_GROSS_MARGIN</t>
  </si>
  <si>
    <t>ARDR Revenue Growth</t>
  </si>
  <si>
    <t>ARDR_REVENUE_GROWTH</t>
  </si>
  <si>
    <t>Capital Expenditures As Reported</t>
  </si>
  <si>
    <t>ARDR_CAPEX_AS_REPORTED</t>
  </si>
  <si>
    <t>ARDR Stock Based Compensation Tax Benefit</t>
  </si>
  <si>
    <t>ARDR_STK_BASED_COMP_TAX_BFIT</t>
  </si>
  <si>
    <t>EBITDA Adjusted (One Time Items)</t>
  </si>
  <si>
    <t>ARDR_ADJUSTED_EBITDA</t>
  </si>
  <si>
    <t>ARDR Adjusted Sales Growth Percent Change in CC</t>
  </si>
  <si>
    <t>ARDR_ADJ_SALES_GRWTH_%_CHG_IN_CC</t>
  </si>
  <si>
    <t>ARDR Adjusted Operating Income Growth % Chg in CC</t>
  </si>
  <si>
    <t>ARDR_ADJ_OP_INC_GWTH_%_CHG_IN_CC</t>
  </si>
  <si>
    <t>Source: Bloomberg</t>
  </si>
  <si>
    <t>Right click to show data transparency (not supported for all values)</t>
  </si>
  <si>
    <t>Cash Flow</t>
  </si>
  <si>
    <t xml:space="preserve">  Cash From Operating Activities</t>
  </si>
  <si>
    <t>Net Income - CF</t>
  </si>
  <si>
    <t>ARD_NET_INCOME_CF</t>
  </si>
  <si>
    <t>Depreciation And Amortization - CF</t>
  </si>
  <si>
    <t>ARD_DEPRECIATION_AND_AMORT_CF</t>
  </si>
  <si>
    <t>Deferred Income Taxes - CF</t>
  </si>
  <si>
    <t>ARD_DEFERRED_INCOME_TAXES_CF</t>
  </si>
  <si>
    <t>Disposal/Sale of Assets</t>
  </si>
  <si>
    <t>ARD_DISPOSAL_SALE_OF_ASSETS</t>
  </si>
  <si>
    <t>Discontinued Operations (Operating)</t>
  </si>
  <si>
    <t>ARD_DISCONTINUED_OPS_OPERATING</t>
  </si>
  <si>
    <t>Other Non-Cash Items</t>
  </si>
  <si>
    <t>ARD_OTHER_NON_CASH_ITEMS</t>
  </si>
  <si>
    <t>Change in Inventories</t>
  </si>
  <si>
    <t>ARD_CHANGE_IN_INVENTORIES</t>
  </si>
  <si>
    <t>Change in Accounts Payable</t>
  </si>
  <si>
    <t>ARD_CHANGE_IN_ACCOUNTS_PAYABLE</t>
  </si>
  <si>
    <t>Change in Accounts Receivable</t>
  </si>
  <si>
    <t>ARD_CHG_IN_ACCOUNTS_RECEIVABLE</t>
  </si>
  <si>
    <t>Change in Accrued Expenses</t>
  </si>
  <si>
    <t>ARD_CHANGE_IN_ACCRUED_EXP</t>
  </si>
  <si>
    <t>Change in Income Taxes Payable (Receivable)</t>
  </si>
  <si>
    <t>ARD_CHG_IN_INC_TAX_PAYABLE_REC</t>
  </si>
  <si>
    <t>Pension/Postretirement Benefits</t>
  </si>
  <si>
    <t>ARD_PENSION_POSTRETIREMENT_BEN</t>
  </si>
  <si>
    <t>Total Cash Flows From Operations</t>
  </si>
  <si>
    <t>ARD_TOT_CASH_FLOWS_FROM_OPS</t>
  </si>
  <si>
    <t>Net Income From Continuing Operations</t>
  </si>
  <si>
    <t>ARD_NET_INC_FROM_CONTINUING_OP</t>
  </si>
  <si>
    <t>Gain/(Loss) On Early Extinguishment of Debt</t>
  </si>
  <si>
    <t>ARD_GL_ON_EARLY_EXT_OF_DEBT</t>
  </si>
  <si>
    <t>Foreign Exchange Gains/Losses</t>
  </si>
  <si>
    <t>ARD_FOREIGN_EXCHANGE_GAIN_LOSS</t>
  </si>
  <si>
    <t>Gain/Loss On Disposal Of Subsidiaries</t>
  </si>
  <si>
    <t>ARD_GAIN_LOSS_DISPOSAL_SUBSIDS</t>
  </si>
  <si>
    <t>Revaluation/Impairment Of Investments</t>
  </si>
  <si>
    <t>ARD_REVAL_IMPAIR_OF_INVESTMENTS</t>
  </si>
  <si>
    <t xml:space="preserve">  Cash From Investing Activities</t>
  </si>
  <si>
    <t>Disposal of Fixed Assets</t>
  </si>
  <si>
    <t>ARD_DISPOSAL_OF_FIXED_ASSETS</t>
  </si>
  <si>
    <t>Capital Expenditures</t>
  </si>
  <si>
    <t>ARD_CAPITAL_EXPENDITURES</t>
  </si>
  <si>
    <t>Proceeds From Investments</t>
  </si>
  <si>
    <t>ARD_PROCEEDS_FROM_INVESTMENTS</t>
  </si>
  <si>
    <t>Purchases of Investments</t>
  </si>
  <si>
    <t>ARD_PURCHASES_OF_INVESTMENTS</t>
  </si>
  <si>
    <t>Acquisition of Business</t>
  </si>
  <si>
    <t>ARD_ACQUISITION_OF_BUSINESS</t>
  </si>
  <si>
    <t>Other Investing Activities</t>
  </si>
  <si>
    <t>ARD_OTHER_INVESTING_ACTIVITIES</t>
  </si>
  <si>
    <t>Divestiture of Business</t>
  </si>
  <si>
    <t>ARD_DIVESTITURE_OF_BUSINESS</t>
  </si>
  <si>
    <t>Total Cash Flows From Investing</t>
  </si>
  <si>
    <t>ARD_TOT_CASHFLOWS_FROM_INVESTING</t>
  </si>
  <si>
    <t xml:space="preserve">  Cash from Financing Activities</t>
  </si>
  <si>
    <t>Dividends Paid</t>
  </si>
  <si>
    <t>ARD_DIVIDEND_PD</t>
  </si>
  <si>
    <t>Increase (Decrease) Short-Term Borrowings -Net</t>
  </si>
  <si>
    <t>ARD_INCR_DECR_ST_BORROW_NET</t>
  </si>
  <si>
    <t>Increase In Long-Term Borrowings</t>
  </si>
  <si>
    <t>ARD_INCR_IN_LT_BORROW</t>
  </si>
  <si>
    <t>Decrease In Long-Term Borrowings</t>
  </si>
  <si>
    <t>ARD_DECR_IN_LT_BORROW</t>
  </si>
  <si>
    <t>Repurchase of Common Stock</t>
  </si>
  <si>
    <t>ARD_REPURCHASE_OF_COMMON_STOCK</t>
  </si>
  <si>
    <t>Effect of Exchange Rates On Cash</t>
  </si>
  <si>
    <t>ARD_EFF_OF_EXCH_RATES_ON_CASH</t>
  </si>
  <si>
    <t>Other Financing Activities</t>
  </si>
  <si>
    <t>ARD_OTHER_FINANCING_ACTIVITIES</t>
  </si>
  <si>
    <t>Cash Paid For Taxes</t>
  </si>
  <si>
    <t>ARD_CASH_PAID_FOR_TAXES</t>
  </si>
  <si>
    <t>Cash Paid For Interest</t>
  </si>
  <si>
    <t>ARD_CASH_PAID_FOR_INTEREST</t>
  </si>
  <si>
    <t>Net Change In Cash</t>
  </si>
  <si>
    <t>ARD_NET_CHANGE_IN_CASH</t>
  </si>
  <si>
    <t>Purchase of Treasury Stock</t>
  </si>
  <si>
    <t>ARD_PURCHASE_OF_TREASURY_STOCK</t>
  </si>
  <si>
    <t>Cash and Cash Equivalents (End of Period)</t>
  </si>
  <si>
    <t>ARD_CASH_CASH_EQUIV_END_OF_PER</t>
  </si>
  <si>
    <t>Cash and Cash Equivalents (Beg of Period)</t>
  </si>
  <si>
    <t>ARD_CASH_CASH_EQUIV_BEG_OF_PER</t>
  </si>
  <si>
    <t>Minority Interest Distributions</t>
  </si>
  <si>
    <t>ARD_MINORITY_INT_DISTRIBUTIONS</t>
  </si>
  <si>
    <t>Contributions From Minority Interest</t>
  </si>
  <si>
    <t>ARD_CONTRIBUTIONS_FROM_MIN_INT</t>
  </si>
  <si>
    <t>Minority Interest - CF (Financing)</t>
  </si>
  <si>
    <t>ARD_MINORITY_INTEREST_CF_FIN</t>
  </si>
  <si>
    <t>Total Cash Flows From Financing</t>
  </si>
  <si>
    <t>ARD_TOT_CASHFLOWS_FROM_FINANCING</t>
  </si>
  <si>
    <t>ARDR Free Cash Flow</t>
  </si>
  <si>
    <t>ARDR_FCF</t>
  </si>
  <si>
    <t>Balance Sheet</t>
  </si>
  <si>
    <t xml:space="preserve">  Current Assets</t>
  </si>
  <si>
    <t>Cash and Equivalents</t>
  </si>
  <si>
    <t>ARD_CASH_AND_EQUIVALENTS</t>
  </si>
  <si>
    <t>Accounts Receivable - Trade</t>
  </si>
  <si>
    <t>ARD_ACCTS_RECEIVABLE_TRADE</t>
  </si>
  <si>
    <t>Inventories</t>
  </si>
  <si>
    <t>ARD_INVENTORY</t>
  </si>
  <si>
    <t>Prepaid Expenses and Other</t>
  </si>
  <si>
    <t>ARD_PREPAID_EXP_AND_OTHER</t>
  </si>
  <si>
    <t>Assets From Discontinued Operations Short-Term</t>
  </si>
  <si>
    <t>ARD_ASSETS_FROM_DISC_OPS_ST</t>
  </si>
  <si>
    <t>Total Current Assets</t>
  </si>
  <si>
    <t>ARD_TOTAL_CUR_ASSETS</t>
  </si>
  <si>
    <t xml:space="preserve">  Noncurrent Assets</t>
  </si>
  <si>
    <t>Land</t>
  </si>
  <si>
    <t>ARD_LAND_BS</t>
  </si>
  <si>
    <t>Buildings</t>
  </si>
  <si>
    <t>ARD_BUILDING</t>
  </si>
  <si>
    <t>Construction In Progress</t>
  </si>
  <si>
    <t>ARD_CONSTRUCTION_IN_PROGRESS</t>
  </si>
  <si>
    <t>Furniture/Machinery/Equipment</t>
  </si>
  <si>
    <t>ARD_FURNITURE_MACHINERY_EQUIP</t>
  </si>
  <si>
    <t>Property Plant &amp; Equipment - Gross</t>
  </si>
  <si>
    <t>ARD_PROPERTY_PLANT_EQUIP_GROSS</t>
  </si>
  <si>
    <t>Accumulated Depreciation</t>
  </si>
  <si>
    <t>ARD_ACCUMULATED_DEPREC</t>
  </si>
  <si>
    <t>Property Plant &amp; Equipment - Net</t>
  </si>
  <si>
    <t>ARD_PROPERTY_PLANT_EQUIP_NET</t>
  </si>
  <si>
    <t>Goodwill</t>
  </si>
  <si>
    <t>ARD_GOODWLL</t>
  </si>
  <si>
    <t>Other Noncurrent Assets</t>
  </si>
  <si>
    <t>ARD_OTHER_NONCURRENT_ASSET</t>
  </si>
  <si>
    <t>Other Gross Fixed Assets</t>
  </si>
  <si>
    <t>ARD_OTHER_GROSS_FIXED_ASSETS</t>
  </si>
  <si>
    <t>Lease Assets- Net</t>
  </si>
  <si>
    <t>ARD_LEASE_ASSETS_NET</t>
  </si>
  <si>
    <t>Total Assets</t>
  </si>
  <si>
    <t>ARD_TOT_ASSETS</t>
  </si>
  <si>
    <t xml:space="preserve">  Current Liabilities</t>
  </si>
  <si>
    <t>Accounts Payable - Trade</t>
  </si>
  <si>
    <t>ARD_ACCOUNTS_PAYABLE_TRADE</t>
  </si>
  <si>
    <t>Current Portion of Long-Term Debt</t>
  </si>
  <si>
    <t>ARD_CURRENT_PORTION_OF_LT_DEBT</t>
  </si>
  <si>
    <t>Short-Term Capital Lease Obligations</t>
  </si>
  <si>
    <t>ARD_ST_CAP_LEASE_OBLIGATIONS</t>
  </si>
  <si>
    <t>Short-Term Borrowings</t>
  </si>
  <si>
    <t>ARD_ST_BORROW</t>
  </si>
  <si>
    <t>Accrued Expenses</t>
  </si>
  <si>
    <t>ARD_ACCRUED_EXPENSES</t>
  </si>
  <si>
    <t>Income Taxes Accrued/Payable</t>
  </si>
  <si>
    <t>ARD_INCOME_TAX_ACCRUED_PAYABLE</t>
  </si>
  <si>
    <t>Short Term Operating Lease Liabilities</t>
  </si>
  <si>
    <t>ARD_ST_OPERATING_LEASE_LIABS</t>
  </si>
  <si>
    <t>Liabilities From Discontinued Ops (Short-Term)</t>
  </si>
  <si>
    <t>ARD_LIAB_FROM_DISC_OPS_ST</t>
  </si>
  <si>
    <t>Deferred Expenses (Short-Term)</t>
  </si>
  <si>
    <t>ARD_DEFERRED_EXPENSES_ST</t>
  </si>
  <si>
    <t>Derivative Liabilities (Short-Term)</t>
  </si>
  <si>
    <t>ARD_DERIVATIVE_LIABILITIES_ST</t>
  </si>
  <si>
    <t>Total Current Liabilities</t>
  </si>
  <si>
    <t>ARD_TOTAL_CURRENT_LIABILITIES</t>
  </si>
  <si>
    <t xml:space="preserve">  Non Current Liabilities</t>
  </si>
  <si>
    <t>Long Term Capital Lease Obligations</t>
  </si>
  <si>
    <t>ARD_LT_CAP_LEASE_OBLIGATIONS</t>
  </si>
  <si>
    <t>Long Term Debt</t>
  </si>
  <si>
    <t>ARD_LT_DEBT</t>
  </si>
  <si>
    <t>Deferred Income Taxes (Liabilities)</t>
  </si>
  <si>
    <t>ARD_DEFERRED_INCOME_TAXES_LIAB</t>
  </si>
  <si>
    <t>Other Noncurrent Liabilities</t>
  </si>
  <si>
    <t>ARD_OTH_NONCURRENT_LIABILITIES</t>
  </si>
  <si>
    <t>Long Term Operating Lease Liabilities</t>
  </si>
  <si>
    <t>ARD_LT_OPERATING_LEASE_LIABS</t>
  </si>
  <si>
    <t xml:space="preserve">  Stockholder Equity</t>
  </si>
  <si>
    <t>Minority/Non Controlling Int (Stckhldrs Eqty)</t>
  </si>
  <si>
    <t>ARD_MIN_NONCONTROL_INT_SE</t>
  </si>
  <si>
    <t>Common Stock</t>
  </si>
  <si>
    <t>ARD_COMMON_STOCK</t>
  </si>
  <si>
    <t>Additional Paid In Capital</t>
  </si>
  <si>
    <t>ARD_ADDITIONAL_PAID_IN_CAPITAL</t>
  </si>
  <si>
    <t>Accumulated Other Comprehensive Income</t>
  </si>
  <si>
    <t>ARD_ACC_OTH_COMPREHENSIVE_INC</t>
  </si>
  <si>
    <t>Retained Earnings (Accumulated Deficit)</t>
  </si>
  <si>
    <t>ARD_RETAINED_EARN_ACC_DEFICIT</t>
  </si>
  <si>
    <t>Shares Outstanding</t>
  </si>
  <si>
    <t>ARD_SHARES_OUTSTANDING</t>
  </si>
  <si>
    <t>Par Value</t>
  </si>
  <si>
    <t>ARD_PAR_VALUE</t>
  </si>
  <si>
    <t>Total Shareholders Equity</t>
  </si>
  <si>
    <t>ARD_TOTAL_SHAREHOLDERS_EQUITY</t>
  </si>
  <si>
    <t>Shares Authorized</t>
  </si>
  <si>
    <t>ARD_SHARES_AUTHORIZED</t>
  </si>
  <si>
    <t>Total Shareholders Equity Excluding Minority</t>
  </si>
  <si>
    <t>ARD_TOT_SHARE_EQY_EXCL_MINORITY</t>
  </si>
  <si>
    <t>Total Liabilities and Shareholders Equity</t>
  </si>
  <si>
    <t>ARD_TOT_LIAB_AND_SHAREHOLDER_EQY</t>
  </si>
  <si>
    <t>ARDR Number of RSU Beginning of the Period</t>
  </si>
  <si>
    <t>ARDR_NUM_OF_RSU_BEGIN_OF_PER</t>
  </si>
  <si>
    <t>ARDR Number of Restricted Stock Units Granted</t>
  </si>
  <si>
    <t>ARDR_NUMBER_OF_RSU_GRANTED</t>
  </si>
  <si>
    <t>ARDR Number of Restricted Stock Units Vested</t>
  </si>
  <si>
    <t>ARDR_NUMBER_OF_RSU_VESTED</t>
  </si>
  <si>
    <t>ARDR Number of RSU Forfeited Canceled</t>
  </si>
  <si>
    <t>ARDR_NUMBER_OF_RSU_FORFTD_CANCLD</t>
  </si>
  <si>
    <t>Deferred Income Tax Asset (ST)</t>
  </si>
  <si>
    <t>ARDR_DEFERRED_INC_TAX_ASSET_ST</t>
  </si>
  <si>
    <t>ARDR_LAND</t>
  </si>
  <si>
    <t>ARDR_BUILDING</t>
  </si>
  <si>
    <t>ARDR_CONSTRUCTION_IN_PROGRESS</t>
  </si>
  <si>
    <t>ARDR_FURNITURE_MACHINERY_EQUIP</t>
  </si>
  <si>
    <t>ARDR_PROPERTY_PLANT_EQUIP_GROSS</t>
  </si>
  <si>
    <t>ARDR_ACCUMULATED_DEPREC</t>
  </si>
  <si>
    <t>ARDR_PROPERTY_PLANT_EQUIP_NET</t>
  </si>
  <si>
    <t>Deferred Income Tax Asset (LT)</t>
  </si>
  <si>
    <t>ARDR_DEFERRED_INC_TAX_ASSET_LT</t>
  </si>
  <si>
    <t>Other Intangible Assets</t>
  </si>
  <si>
    <t>ARDR_OTHER_INTANGIBLE_ASSET</t>
  </si>
  <si>
    <t>ARDR_GOODWLL</t>
  </si>
  <si>
    <t>ARDR_CURRENT_PORTION_OF_LT_DEBT</t>
  </si>
  <si>
    <t>ARDR_ST_CAP_LEASE_OBLIGATIONS</t>
  </si>
  <si>
    <t>ARDR_LT_CAP_LEASE_OBLIGATIONS</t>
  </si>
  <si>
    <t>ARDR_DEFERRED_INCOME_TAXES_LIAB</t>
  </si>
  <si>
    <t>Min/Non Cntrlling Int(Stckhldrs Eqty)</t>
  </si>
  <si>
    <t>ARDR_MIN_NONCONTROL_INT_SE</t>
  </si>
  <si>
    <t>ARDR_COMMON_STOCK</t>
  </si>
  <si>
    <t>ARDR_ADDITIONAL_PAID_IN_CAPITAL</t>
  </si>
  <si>
    <t>ARDR_ACC_OTH_COMPREHENSIVE_INC</t>
  </si>
  <si>
    <t>ARDR_RETAINED_EARN_ACC_DEFICIT</t>
  </si>
  <si>
    <t>ARDR_SHARES_OUTSTANDING</t>
  </si>
  <si>
    <t>ARDR_PAR_VALUE</t>
  </si>
  <si>
    <t>Deferred Income Tax Liability (ST)</t>
  </si>
  <si>
    <t>ARDR_DEF_INCOME_TAX_LIAB_ST</t>
  </si>
  <si>
    <t>ARDR_OTHER_GROSS_FIXED_ASSETS</t>
  </si>
  <si>
    <t>Variable Rate Debt</t>
  </si>
  <si>
    <t>ARDR_VARIABLE_RATE_DEBT</t>
  </si>
  <si>
    <t>Fixed Rate Debt</t>
  </si>
  <si>
    <t>ARDR_FIXED_RATE_DEBT</t>
  </si>
  <si>
    <t>Total Line of Credit</t>
  </si>
  <si>
    <t>ARDR_TOTAL_LINE_OF_CREDIT</t>
  </si>
  <si>
    <t>Total Available Line of Credit</t>
  </si>
  <si>
    <t>ARDR_TOTAL_AVAIL_LINE_OF_CREDIT</t>
  </si>
  <si>
    <t>Future Minimum Operating Lease Obligations</t>
  </si>
  <si>
    <t>ARDR_FUT_MIN_OPER_LEASE_OBLIG</t>
  </si>
  <si>
    <t>Rental Expense - Year 1</t>
  </si>
  <si>
    <t>ARDR_RENTAL_EXP_YR1</t>
  </si>
  <si>
    <t>Rental Expense - Year 2</t>
  </si>
  <si>
    <t>ARDR_RENTAL_EXP_YR2</t>
  </si>
  <si>
    <t>Rental Expense - Year 3</t>
  </si>
  <si>
    <t>ARDR_RENTAL_EXP_YR3</t>
  </si>
  <si>
    <t>Rental Expense - Year 4</t>
  </si>
  <si>
    <t>ARDR_RENTAL_EXP_YR4</t>
  </si>
  <si>
    <t>Rental Expense - Year 5</t>
  </si>
  <si>
    <t>ARDR_RENTAL_EXP_YR5</t>
  </si>
  <si>
    <t>Rental Expense - Beyond Year 5</t>
  </si>
  <si>
    <t>ARDR_RENTAL_EXP_BEYOND_YR5</t>
  </si>
  <si>
    <t>Deferred Tax Liabilities (LT)</t>
  </si>
  <si>
    <t>ARDR_DEFERRED_TAX_LIAB_LT</t>
  </si>
  <si>
    <t>Deferred Tax Assets (LT)</t>
  </si>
  <si>
    <t>ARDR_DEFERRED_TAX_ASSETS_LT</t>
  </si>
  <si>
    <t>Allowance For Doubtful Accounts</t>
  </si>
  <si>
    <t>ARDR_ALLOW_FOR_DOUBTFUL_ACCTS</t>
  </si>
  <si>
    <t>ARDR_TOTAL_SHAREHOLDERS_EQUITY</t>
  </si>
  <si>
    <t>Total Capital Leases</t>
  </si>
  <si>
    <t>ARDR_TOTAL_CAPITAL_LEASES</t>
  </si>
  <si>
    <t>Derivative Assets Short-Term</t>
  </si>
  <si>
    <t>ARDR_DERIVATIVE_ASSET_ST</t>
  </si>
  <si>
    <t>Commercial Paper Outstanding</t>
  </si>
  <si>
    <t>ARDR_COMMERCIAL_PAPER</t>
  </si>
  <si>
    <t>Mark to Market ST Derivative Liabilities</t>
  </si>
  <si>
    <t>ARDR_MTM_ST_DERIVATIVE_LIABS</t>
  </si>
  <si>
    <t>Mark to Market LT Derivative Liabilities</t>
  </si>
  <si>
    <t>ARDR_MTM_LT_DERIVATIVE_LIABS</t>
  </si>
  <si>
    <t>Derivative Assets (Long-Term)</t>
  </si>
  <si>
    <t>ARDR_DERIVATIVE_ASSET_LT</t>
  </si>
  <si>
    <t>Derivative Liabilities (Long-Term)</t>
  </si>
  <si>
    <t>ARDR_DERIVATIVE_LIABILITIES_LT</t>
  </si>
  <si>
    <t>Shares Outstanding From The Front Cover</t>
  </si>
  <si>
    <t>ARDR_SHARE_OUT_FROM_FRONT_COVER</t>
  </si>
  <si>
    <t>Number of Employees at Period End Date</t>
  </si>
  <si>
    <t>ARDR_NUM_OF_EMPLOYEES_PERIOD_END</t>
  </si>
  <si>
    <t>Total Contingent Payable</t>
  </si>
  <si>
    <t>ARDR_TOTAL_CONTIGENT_PAYABLE</t>
  </si>
  <si>
    <t>Litigation Liabilities</t>
  </si>
  <si>
    <t>ARDR_LITIGATION_LIABILITIES</t>
  </si>
  <si>
    <t>Options Granted During Period</t>
  </si>
  <si>
    <t>ARDR_OPTIONS_GRANTED_DURING_PER</t>
  </si>
  <si>
    <t>Options Outstanding End Period</t>
  </si>
  <si>
    <t>ARDR_OPTIONS_OUTSTANDING_END_PER</t>
  </si>
  <si>
    <t>Total Shareholder Equity Excludes Minority</t>
  </si>
  <si>
    <t>ARDR_TOT_SHARE_EQY_EXCL_MINORITY</t>
  </si>
  <si>
    <t>Options Exercised During the Period</t>
  </si>
  <si>
    <t>ARDR_OPTIONS_EXERCISED_DUR_PER</t>
  </si>
  <si>
    <t>Deferred Income Tax Liability Long -Term</t>
  </si>
  <si>
    <t>ARDR_DEFERRED_INC_TAB_LIAB_LT</t>
  </si>
  <si>
    <t>Total Credit Utilized</t>
  </si>
  <si>
    <t>ARDR_TOTAL_CREDIT_UTILIZED</t>
  </si>
  <si>
    <t>Purchase Obligations</t>
  </si>
  <si>
    <t>ARDR_PURCHASE_OBLIGATIONS</t>
  </si>
  <si>
    <t>Cash Equivalents</t>
  </si>
  <si>
    <t>ARDR_CASH_EQUIVS</t>
  </si>
  <si>
    <t>Accrued Environmental Costs - Total</t>
  </si>
  <si>
    <t>ARDR_ACCRD_ENVIRON_COSTS_TOTAL</t>
  </si>
  <si>
    <t>Debt Schedule In Yr 1</t>
  </si>
  <si>
    <t>ARDR_DEBT_SCHEDULE_IN_YR1</t>
  </si>
  <si>
    <t>Debt Schedule In Yr 2</t>
  </si>
  <si>
    <t>ARDR_DEBT_SCHEDULE_IN_YR2</t>
  </si>
  <si>
    <t>Debt Schedule In Yr 3</t>
  </si>
  <si>
    <t>ARDR_DEBT_SCHEDULE_IN_YR3</t>
  </si>
  <si>
    <t>Debt Schedule In Yr 4</t>
  </si>
  <si>
    <t>ARDR_DEBT_SCHEDULE_IN_YR4</t>
  </si>
  <si>
    <t>Debt Schedule In Yr 5</t>
  </si>
  <si>
    <t>ARDR_DEBT_SCHEDULE_IN_YR5</t>
  </si>
  <si>
    <t>Debt Schedule Thereafter</t>
  </si>
  <si>
    <t>ARDR_DEBT_SCHEDULE_THEREAFTER</t>
  </si>
  <si>
    <t>Debt Schedule - Total Debt</t>
  </si>
  <si>
    <t>ARDR_DEBT_SCHEDULE_TOTAL_DEBT</t>
  </si>
  <si>
    <t>Debt Schedule - Total Long Term Debt</t>
  </si>
  <si>
    <t>ARDR_DEBT_SCHEDULE_TOTAL_LT_DEBT</t>
  </si>
  <si>
    <t>Number of Common Shares Repurchased</t>
  </si>
  <si>
    <t>ARDR_COMMON_SHARES_REPURCHASED</t>
  </si>
  <si>
    <t>Value of Common Shares Repurchased</t>
  </si>
  <si>
    <t>ARDR_VAL_COMMON_SHRS_REPURCHASED</t>
  </si>
  <si>
    <t>ARDR Total Operating Liabilities</t>
  </si>
  <si>
    <t>ARDR_TOTAL_OPERATING_LIABILITIES</t>
  </si>
  <si>
    <t>Weighted Average Interest Rate of ST Debt</t>
  </si>
  <si>
    <t>ARDR_WTD_AVG_INT_RATE_ST_DEBT</t>
  </si>
  <si>
    <t>Fair Value Assets Recur - Level 1</t>
  </si>
  <si>
    <t>ARDR_FV_ASSETS_REC_LEVEL_1</t>
  </si>
  <si>
    <t>Fair Value Assets Recur - Level 2</t>
  </si>
  <si>
    <t>ARDR_FV_ASSETS_REC_LEVEL_2</t>
  </si>
  <si>
    <t>Fair Value Assets Recur - Total</t>
  </si>
  <si>
    <t>ARDR_FV_ASSETS_REC_TOTAL</t>
  </si>
  <si>
    <t>Fair Value Liab Recur - Level 2</t>
  </si>
  <si>
    <t>ARDR_FV_LIAB_REC_LEVEL_2</t>
  </si>
  <si>
    <t>Fair Value Liab Recur - Total</t>
  </si>
  <si>
    <t>ARDR_FV_LIAB_REC_TOTAL</t>
  </si>
  <si>
    <t>ARDR Options Cancelled or Forfeited</t>
  </si>
  <si>
    <t>ARDR_OPTIONS_CANCELLED_FORFEITED</t>
  </si>
  <si>
    <t>Contractual Obligations - Year 1</t>
  </si>
  <si>
    <t>ARDR_CONTRACTUAL_OBLIG_YEAR_1</t>
  </si>
  <si>
    <t>Contractual Obligations Years - 2 &amp; 3</t>
  </si>
  <si>
    <t>ARDR_CONTRACTUAL_OBLIG_YEAR_2_3</t>
  </si>
  <si>
    <t>Contractual Obligations Years - 4 &amp; 5</t>
  </si>
  <si>
    <t>ARDR_CONTRACTUAL_OBLIG_YEAR_4_5</t>
  </si>
  <si>
    <t>Contractual Obligations - Beyond Year 5</t>
  </si>
  <si>
    <t>ARDR_CONT_OBLIG_BEYOND_YEAR_5</t>
  </si>
  <si>
    <t>Total Contractual Obligations</t>
  </si>
  <si>
    <t>ARDR_CONTRACTUAL_OBLIG_TOTAL</t>
  </si>
  <si>
    <t>Capital Lease Year 1</t>
  </si>
  <si>
    <t>ARDR_CAPITAL_LEASE_YEAR_1</t>
  </si>
  <si>
    <t>Capital Lease Year 2</t>
  </si>
  <si>
    <t>ARDR_CAPITAL_LEASE_YEAR_2</t>
  </si>
  <si>
    <t>Capital Lease Year 3</t>
  </si>
  <si>
    <t>ARDR_CAPITAL_LEASE_YEAR_3</t>
  </si>
  <si>
    <t>Capital Lease Year 4</t>
  </si>
  <si>
    <t>ARDR_CAPITAL_LEASE_YEAR_4</t>
  </si>
  <si>
    <t>Capital Lease Year 5</t>
  </si>
  <si>
    <t>ARDR_CAPITAL_LEASE_YEAR_5</t>
  </si>
  <si>
    <t>Capital Lease Beyond Year 5</t>
  </si>
  <si>
    <t>ARDR_CAPITAL_LEASE_BEYOND_YEAR_5</t>
  </si>
  <si>
    <t>Total Capital Lease</t>
  </si>
  <si>
    <t>ARDR_TOTAL_CAPITAL_LEASE</t>
  </si>
  <si>
    <t>Fixed Charge Coverage Ratio</t>
  </si>
  <si>
    <t>ARDR_FIXED_CHARGE_COVERAGE_RATIO</t>
  </si>
  <si>
    <t>PV of Future Min Op Lease Obligations</t>
  </si>
  <si>
    <t>ARDR_PV_FUTURE_MIN_OP_LEASE_OBL</t>
  </si>
  <si>
    <t>Weighted Average Cost of Options Granted</t>
  </si>
  <si>
    <t>ARDR_WEI_AVG_COST_OPTIONS_GRANT</t>
  </si>
  <si>
    <t>Stock Opt Valuation - Risk Free Rate (%)</t>
  </si>
  <si>
    <t>ARDR_STOCK_OPTION_VAL_RFR</t>
  </si>
  <si>
    <t>Stock Opt Valuation - Expected Life (Yrs)</t>
  </si>
  <si>
    <t>ARDR_STOCK_OPTION_VAL_EXP_LIFE</t>
  </si>
  <si>
    <t>Stock Opt Valuation - Expected Volatil (%)</t>
  </si>
  <si>
    <t>ARDR_STOCK_OPTION_VAL_EXP_VOL</t>
  </si>
  <si>
    <t>Stock Opt Valuation - Dividend Yield (%)</t>
  </si>
  <si>
    <t>ARDR_STOCK_OPTION_VAL_DVD_YLD</t>
  </si>
  <si>
    <t>Avg Exercise Price (Options Exercisable)</t>
  </si>
  <si>
    <t>ARDR_AVG_EXER_PX_OPT_EXERCISABLE</t>
  </si>
  <si>
    <t>Avg Exercise Price (Options Outstanding)</t>
  </si>
  <si>
    <t>ARDR_AVG_EXER_PX_OPT_OUTSTANDING</t>
  </si>
  <si>
    <t>Options Exercisable End of Period</t>
  </si>
  <si>
    <t>ARDR_OPTIONS_EXERCISABLE</t>
  </si>
  <si>
    <t>Net Operating Loss Carryforwards (Local)</t>
  </si>
  <si>
    <t>ARDR_NET_OPER_LOSS_CARRYFWD_LOC</t>
  </si>
  <si>
    <t>Capital Lease Interest</t>
  </si>
  <si>
    <t>ARD_CAPITAL_LEASE_INTEREST</t>
  </si>
  <si>
    <t>Deferred Tax Asset - Valuation Allowance</t>
  </si>
  <si>
    <t>ARDR_DEFERRED_TAX_ALLOWANCE</t>
  </si>
  <si>
    <t>Shares Authorized for Repurchase Amount</t>
  </si>
  <si>
    <t>ARDR_SHARES_AUTH_REPURCH_AMOUNT</t>
  </si>
  <si>
    <t>Remaining Shares Auth for Repurchase Amt</t>
  </si>
  <si>
    <t>ARDR_REMAINING_SH_AUTH_REP_AMT</t>
  </si>
  <si>
    <t>FV Assets Rec L1: Other</t>
  </si>
  <si>
    <t>ARDR_FV_ASSETS_REC_L1_OTHER</t>
  </si>
  <si>
    <t>FV Assets Rec L2: Derivatives</t>
  </si>
  <si>
    <t>ARDR_FV_ASTS_REC_L2_DERIVATIVES</t>
  </si>
  <si>
    <t>FV Assets Rec L2: Other</t>
  </si>
  <si>
    <t>ARDR_FV_ASSETS_REC_L2_OTH</t>
  </si>
  <si>
    <t>FV Assets Rec Total: Derivatives</t>
  </si>
  <si>
    <t>ARDR_FV_ASTS_REC_TOT_DERIVATIVES</t>
  </si>
  <si>
    <t>FV Assets Rec Total: Other</t>
  </si>
  <si>
    <t>ARDR_FV_ASSETS_REC_TOT_OTHER</t>
  </si>
  <si>
    <t>FV Liabs Rec L2: Derivatives</t>
  </si>
  <si>
    <t>ARDR_FV_LIABS_REC_L2_DERIVATIVES</t>
  </si>
  <si>
    <t>FV Liabs Rec Total: Derivatives</t>
  </si>
  <si>
    <t>ARDR_FV_LIABS_REC_TOT_DERV</t>
  </si>
  <si>
    <t>DTA - Net Operating Loss Carryforward</t>
  </si>
  <si>
    <t>ARDR_DTA_NOL_CARRYFORWARD</t>
  </si>
  <si>
    <t>Deferred Tax Assets - Tax Credits</t>
  </si>
  <si>
    <t>ARDR_DTA_TAX_CREDITS</t>
  </si>
  <si>
    <t>Options at Beginning of Period</t>
  </si>
  <si>
    <t>ARDR_OPTIONS_BEGINNING_OF_PERIOD</t>
  </si>
  <si>
    <t>Options Cancelled Forfeited or Expired</t>
  </si>
  <si>
    <t>ARDR_OPTIONS_CANCEL_FORFEIT_EXP</t>
  </si>
  <si>
    <t>Average Price per Share Repurchased</t>
  </si>
  <si>
    <t>ARDR_AVG_PRICE_PER_SHARE_REPURCH</t>
  </si>
  <si>
    <t>UTB Balance at Beginning Period</t>
  </si>
  <si>
    <t>ARDR_UTB_BALANCE_BEGIN_PERIOD</t>
  </si>
  <si>
    <t>UTB Balance at Period End</t>
  </si>
  <si>
    <t>ARDR_UTB_BALANCE_END_PERIOD</t>
  </si>
  <si>
    <t>Additions for Tax Positions of the Crnt Yr</t>
  </si>
  <si>
    <t>ARDR_ADDITIONS_TAX_POS_CUR_YR</t>
  </si>
  <si>
    <t>Additions for Tax Positions of Prior Years</t>
  </si>
  <si>
    <t>ARDR_ADDITIONS_TAX_POS_PR_YR</t>
  </si>
  <si>
    <t>Reductions for Tax Positions for Prior Yrs</t>
  </si>
  <si>
    <t>ARDR_REDUCTIONS_TAX_POS_PR_YR</t>
  </si>
  <si>
    <t>Settlements</t>
  </si>
  <si>
    <t>ARDR_SETTLEMENTS</t>
  </si>
  <si>
    <t>Statutes of Limitations under UTB</t>
  </si>
  <si>
    <t>ARDR_STATUTES_LIMITATIONS_UTB</t>
  </si>
  <si>
    <t>Unremitted Earnings</t>
  </si>
  <si>
    <t>ARDR_UNREMITTED_EARNINGS</t>
  </si>
  <si>
    <t>ARDR Split/Dividend Adjustment Factor BS</t>
  </si>
  <si>
    <t>ARDR_SPLIT/DIVIDEND_ADJ_FACTR_BS</t>
  </si>
  <si>
    <t>Total Derivative Assets</t>
  </si>
  <si>
    <t>ARDR_TOTAL_DERIVATIVE_ASSETS</t>
  </si>
  <si>
    <t>As Reported Data Reference Restricted Stock Units</t>
  </si>
  <si>
    <t>ARDR_RESTRICTED_STOCK_UNITS</t>
  </si>
  <si>
    <t>ARDR Restricted Stock Unit WAvg FV PS</t>
  </si>
  <si>
    <t>ARDR_RSTR_STK_UNIT_WAVG_FV_PS</t>
  </si>
  <si>
    <t>As Reported Data Reference Cash Held Overseas</t>
  </si>
  <si>
    <t>ARDR_CASH_HELD_OVERSEAS</t>
  </si>
  <si>
    <t>ARDR Value Shares Repurchased Repurchase Program</t>
  </si>
  <si>
    <t>ARDR_VAL_SHS_REPURCH_FR_REP_PROG</t>
  </si>
  <si>
    <t>ARDR Number Shares Repurchased Repurchase Program</t>
  </si>
  <si>
    <t>ARDR_#_SHS_REPURCH_FR_REP_PROG</t>
  </si>
  <si>
    <t>Cashflow</t>
  </si>
  <si>
    <t>Walmart Inc (WMT US) - Standardized</t>
  </si>
  <si>
    <t>FY 2007</t>
  </si>
  <si>
    <t>FY 2008</t>
  </si>
  <si>
    <t>FY 2009</t>
  </si>
  <si>
    <t>FY 2010</t>
  </si>
  <si>
    <t>Last 12M</t>
  </si>
  <si>
    <t>Cash from Operating Activities</t>
  </si>
  <si>
    <t>+ Net Income</t>
  </si>
  <si>
    <t>CF_NET_INC</t>
  </si>
  <si>
    <t>+ Depreciation &amp; Amortization</t>
  </si>
  <si>
    <t>CF_DEPR_AMORT</t>
  </si>
  <si>
    <t>+ Non-Cash Items</t>
  </si>
  <si>
    <t>NON_CASH_ITEMS_DETAILED</t>
  </si>
  <si>
    <t>+ Deferred Income Taxes</t>
  </si>
  <si>
    <t>CF_DEF_INC_TAX</t>
  </si>
  <si>
    <t>+ Other Non-Cash Adj</t>
  </si>
  <si>
    <t>=</t>
  </si>
  <si>
    <t>+ Chg in Non-Cash Work Cap</t>
  </si>
  <si>
    <t>CF_CHNG_NON_CASH_WORK_CAP</t>
  </si>
  <si>
    <t>+ (Inc) Dec in Accts Receiv</t>
  </si>
  <si>
    <t>CF_ACCT_RCV_UNBILLED_REV</t>
  </si>
  <si>
    <t>+ (Inc) Dec in Inventories</t>
  </si>
  <si>
    <t>CF_CHANGE_IN_INVENTORIES</t>
  </si>
  <si>
    <t>+ Inc (Dec) in Accts Payable</t>
  </si>
  <si>
    <t>CF_CHANGE_IN_ACCOUNTS_PAYABLE</t>
  </si>
  <si>
    <t>+ Inc (Dec) in Other</t>
  </si>
  <si>
    <t>INC_DEC_IN_OT_OP_AST_LIAB_DETAIL</t>
  </si>
  <si>
    <t>+ Net Cash From Disc Ops</t>
  </si>
  <si>
    <t>CF_NET_CASH_DISCONT_OPS_OPER</t>
  </si>
  <si>
    <t>-</t>
  </si>
  <si>
    <t>CF_CASH_FROM_OPER</t>
  </si>
  <si>
    <t>Cash from Investing Activities</t>
  </si>
  <si>
    <t>+ Change in Fixed &amp; Intang</t>
  </si>
  <si>
    <t>FIXED_INTANG_ASST_CHANGE</t>
  </si>
  <si>
    <t>+ Disp in Fixed &amp; Intang</t>
  </si>
  <si>
    <t>DISPOSAL_OF_FIXED_INTANG</t>
  </si>
  <si>
    <t>+ Disp of Fixed Prod Assets</t>
  </si>
  <si>
    <t>CF_DISPOSAL_OF_FIXED_PROD_ASSETS</t>
  </si>
  <si>
    <t>+ Disp of Intangible Assets</t>
  </si>
  <si>
    <t>CF_DISPOSAL_OF_INTANGIBLE_ASSETS</t>
  </si>
  <si>
    <t>+ Acq of Fixed &amp; Intang</t>
  </si>
  <si>
    <t>ACQUIS_OF_FIXED_INTANG</t>
  </si>
  <si>
    <t>+ Acq of Fixed Prod Assets</t>
  </si>
  <si>
    <t>CF_PURCHASE_OF_FIXED_PROD_ASSETS</t>
  </si>
  <si>
    <t>+ Acq of Intangible Assets</t>
  </si>
  <si>
    <t>CF_ACQUISITION_OF_INTANG_ASSETS</t>
  </si>
  <si>
    <t>+ Net Change in LT Investment</t>
  </si>
  <si>
    <t>NET_CHG_IN_LT_INVEST_DETAILED</t>
  </si>
  <si>
    <t>+ Dec in LT Investment</t>
  </si>
  <si>
    <t>CF_DECR_INVEST</t>
  </si>
  <si>
    <t>+ Inc in LT Investment</t>
  </si>
  <si>
    <t>CF_INCR_INVEST</t>
  </si>
  <si>
    <t>+ Net Cash From Acq &amp; Div</t>
  </si>
  <si>
    <t>CF_NT_CSH_RCVD_PD_FOR_ACQUIS_DIV</t>
  </si>
  <si>
    <t>+ Cash from Divestitures</t>
  </si>
  <si>
    <t>CF_CASH_FOR_DIVESTITURES</t>
  </si>
  <si>
    <t>+ Cash for Acq of Subs</t>
  </si>
  <si>
    <t>CF_CASH_FOR_ACQUIS_SUBSIDIARIES</t>
  </si>
  <si>
    <t>+ Cash for JVs</t>
  </si>
  <si>
    <t>CF_CASH_FOR_JOINT_VENTURES_ASSOC</t>
  </si>
  <si>
    <t>+ Other Investing Activities</t>
  </si>
  <si>
    <t>OTHER_INVESTING_ACT_DETAILED</t>
  </si>
  <si>
    <t>CF_NET_CASH_DISCONTINUED_OPS_INV</t>
  </si>
  <si>
    <t>CF_CASH_FROM_INV_ACT</t>
  </si>
  <si>
    <t>Cash from Financing Activities</t>
  </si>
  <si>
    <t>+ Dividends Paid</t>
  </si>
  <si>
    <t>CF_DVD_PAID</t>
  </si>
  <si>
    <t>+ Cash From (Repayment) Debt</t>
  </si>
  <si>
    <t>PROC_FR_REPAYMNTS_BOR_DETAILED</t>
  </si>
  <si>
    <t>+ Cash From (Repay) ST Debt</t>
  </si>
  <si>
    <t>CF_NET_CHG_ST_DEBT_CPTL_LEAS</t>
  </si>
  <si>
    <t>+ Cash From LT Debt</t>
  </si>
  <si>
    <t>CF_LT_DEBT_CAP_LEAS_PROCEEDS</t>
  </si>
  <si>
    <t>+ Repayments of LT Debt</t>
  </si>
  <si>
    <t>CF_LT_DEBT_CAP_LEAS_PAYMENT</t>
  </si>
  <si>
    <t>+ Cash (Repurchase) of Equity</t>
  </si>
  <si>
    <t>PROC_FR_REPURCH_EQTY_DETAILED</t>
  </si>
  <si>
    <t>+ Increase in Capital Stock</t>
  </si>
  <si>
    <t>CF_INCR_CAP_STOCK</t>
  </si>
  <si>
    <t>+ Decrease in Capital Stock</t>
  </si>
  <si>
    <t>CF_DECR_CAP_STOCK</t>
  </si>
  <si>
    <t>+ Other Financing Activities</t>
  </si>
  <si>
    <t>OTHER_FIN_AND_DEC_CAP</t>
  </si>
  <si>
    <t>CF_NET_CASH_DISCONTINUED_OPS_FIN</t>
  </si>
  <si>
    <t>CFF_ACTIVITIES_DETAILED</t>
  </si>
  <si>
    <t>Effect of Foreign Exchange Rates</t>
  </si>
  <si>
    <t>CF_EFFECT_FOREIGN_EXCHANGES</t>
  </si>
  <si>
    <t>Net Changes in Cash</t>
  </si>
  <si>
    <t>CF_NET_CHNG_CASH</t>
  </si>
  <si>
    <t>Cash Paid for Taxes</t>
  </si>
  <si>
    <t>CF_CASH_PAID_FOR_TAX</t>
  </si>
  <si>
    <t>Cash Paid for Interest</t>
  </si>
  <si>
    <t>CF_ACT_CASH_PAID_FOR_INT_DEBT</t>
  </si>
  <si>
    <t>Reference Items</t>
  </si>
  <si>
    <t>EBITDA</t>
  </si>
  <si>
    <t>Trailing 12M EBITDA Margin</t>
  </si>
  <si>
    <t>EBITDA_MARGIN</t>
  </si>
  <si>
    <t>Net Cash Paid for Acquisitions</t>
  </si>
  <si>
    <t>CF_NET_CASH_PAID_FOR_AQUIS</t>
  </si>
  <si>
    <t>Tax Benefit from Stock Options</t>
  </si>
  <si>
    <t>CF_TAX_BENEFIT_FRM_STOCK_OPTIONS</t>
  </si>
  <si>
    <t>Free Cash Flow</t>
  </si>
  <si>
    <t>CF_FREE_CASH_FLOW</t>
  </si>
  <si>
    <t>Free Cash Flow to Firm</t>
  </si>
  <si>
    <t>CF_FREE_CASH_FLOW_FIRM</t>
  </si>
  <si>
    <t>Free Cash Flow to Equity</t>
  </si>
  <si>
    <t>FREE_CASH_FLOW_EQUITY</t>
  </si>
  <si>
    <t>Free Cash Flow per Basic Share</t>
  </si>
  <si>
    <t>FREE_CASH_FLOW_PER_SH</t>
  </si>
  <si>
    <t>Price to Free Cash Flow</t>
  </si>
  <si>
    <t>PX_TO_FREE_CASH_FLOW</t>
  </si>
  <si>
    <t>Cash Flow to Net Income</t>
  </si>
  <si>
    <t>CASH_FLOW_TO_NET_INC</t>
  </si>
  <si>
    <t>Walmart Inc (WMT US) - BBG Adjusted</t>
  </si>
  <si>
    <t>SALES_REV_TURN</t>
  </si>
  <si>
    <t>+ Sales &amp; Services Revenue</t>
  </si>
  <si>
    <t>IS_SALES_AND_SERVICES_REVENUES</t>
  </si>
  <si>
    <t>+ Other Revenue</t>
  </si>
  <si>
    <t>IS_OTHER_REVENUE</t>
  </si>
  <si>
    <t>- Cost of Revenue</t>
  </si>
  <si>
    <t>IS_COGS_TO_FE_AND_PP_AND_G</t>
  </si>
  <si>
    <t>+ Cost of Goods &amp; Services</t>
  </si>
  <si>
    <t>IS_COG_AND_SERVICES_SOLD</t>
  </si>
  <si>
    <t>GROSS_PROFIT</t>
  </si>
  <si>
    <t>+ Other Operating Income</t>
  </si>
  <si>
    <t>IS_OTHER_OPER_INC</t>
  </si>
  <si>
    <t>- Operating Expenses</t>
  </si>
  <si>
    <t>IS_OPERATING_EXPN</t>
  </si>
  <si>
    <t>+ Selling, General &amp; Admin</t>
  </si>
  <si>
    <t>IS_SGA_EXPENSE</t>
  </si>
  <si>
    <t>+ Research &amp; Development</t>
  </si>
  <si>
    <t>IS_OPERATING_EXPENSES_RD</t>
  </si>
  <si>
    <t>+ Other Operating Expense</t>
  </si>
  <si>
    <t>IS_OTHER_OPERATING_EXPENSES</t>
  </si>
  <si>
    <t>Operating Income (Loss)</t>
  </si>
  <si>
    <t>IS_OPER_INC</t>
  </si>
  <si>
    <t>- Non-Operating (Income) Loss</t>
  </si>
  <si>
    <t>IS_NONOP_INCOME_LOSS</t>
  </si>
  <si>
    <t>+ Interest Expense, Net</t>
  </si>
  <si>
    <t>IS_NET_INTEREST_EXPENSE</t>
  </si>
  <si>
    <t>+ Interest Expense</t>
  </si>
  <si>
    <t>IS_INT_EXPENSE</t>
  </si>
  <si>
    <t>- Interest Income</t>
  </si>
  <si>
    <t>IS_INT_INC</t>
  </si>
  <si>
    <t>+ Foreign Exch (Gain) Loss</t>
  </si>
  <si>
    <t>IS_FOREIGN_EXCH_LOSS</t>
  </si>
  <si>
    <t>+ Other Non-Op (Income) Loss</t>
  </si>
  <si>
    <t>IS_OTHER_NON_OPERATING_INC_LOSS</t>
  </si>
  <si>
    <t>Pretax Income (Loss), Adjusted</t>
  </si>
  <si>
    <t>- Abnormal Losses (Gains)</t>
  </si>
  <si>
    <t>IS_ABNORMAL_ITEM</t>
  </si>
  <si>
    <t>+ Merger/Acquisition Expense</t>
  </si>
  <si>
    <t>IS_MERGER_ACQUISITION_EXPENSE</t>
  </si>
  <si>
    <t>+ Abnormal Derivatives</t>
  </si>
  <si>
    <t>IS_DERIVATIVES_HEDGING</t>
  </si>
  <si>
    <t>+ Early Extinguishment of Debt</t>
  </si>
  <si>
    <t>IS_G_L_ON_EXT_DBT_OR_SETTLE_DBT</t>
  </si>
  <si>
    <t>+ Asset Write-Down</t>
  </si>
  <si>
    <t>IS_IMPAIRMENT_ASSETS</t>
  </si>
  <si>
    <t>+ Impairment of Goodwill</t>
  </si>
  <si>
    <t>IS_IMPAIRMENT_GOODWILL_INTANGIBL</t>
  </si>
  <si>
    <t>+ Gain/Loss on Sale/Acquisition of Business</t>
  </si>
  <si>
    <t>IS_SALE_OF_BUSINESS</t>
  </si>
  <si>
    <t>+ Legal Settlement</t>
  </si>
  <si>
    <t>IS_LEGAL_LITIGATION_SETTLEMENT</t>
  </si>
  <si>
    <t>+ Restructuring</t>
  </si>
  <si>
    <t>IS_RESTRUCTURING_EXPENSES</t>
  </si>
  <si>
    <t>+ Sale of Investments</t>
  </si>
  <si>
    <t>IS_GAIN_LOSS_ON_INVESTMENTS</t>
  </si>
  <si>
    <t>+ Unrealized Investments</t>
  </si>
  <si>
    <t>IS_UNREALIZED_INVESTMENTS</t>
  </si>
  <si>
    <t>+ Other Abnormal Items</t>
  </si>
  <si>
    <t>IS_OTHER_ONE_TIME_ITEMS</t>
  </si>
  <si>
    <t>Pretax Income (Loss), GAAP</t>
  </si>
  <si>
    <t>PRETAX_INC</t>
  </si>
  <si>
    <t>- Income Tax Expense (Benefit)</t>
  </si>
  <si>
    <t>IS_INC_TAX_EXP</t>
  </si>
  <si>
    <t>+ Current Income Tax</t>
  </si>
  <si>
    <t>IS_CURRENT_INCOME_TAX_BENEFIT</t>
  </si>
  <si>
    <t>+ Deferred Income Tax</t>
  </si>
  <si>
    <t>IS_DEFERRED_INCOME_TAX_BENEFIT</t>
  </si>
  <si>
    <t>Income (Loss) from Cont Ops</t>
  </si>
  <si>
    <t>IS_INC_BEF_XO_ITEM</t>
  </si>
  <si>
    <t>- Net Extraordinary Losses (Gains)</t>
  </si>
  <si>
    <t>XO_GL_NET_OF_TAX</t>
  </si>
  <si>
    <t>+ Discontinued Operations</t>
  </si>
  <si>
    <t>IS_DISCONTINUED_OPERATIONS</t>
  </si>
  <si>
    <t>+ XO &amp; Accounting Changes</t>
  </si>
  <si>
    <t>EXTRAORD_ITEMS_ACCOUNTING_CHANGS</t>
  </si>
  <si>
    <t>Income (Loss) Incl. MI</t>
  </si>
  <si>
    <t>NI_INCLUDING_MINORITY_INT_RATIO</t>
  </si>
  <si>
    <t>- Minority Interest</t>
  </si>
  <si>
    <t>MIN_NONCONTROL_INTEREST_CREDITS</t>
  </si>
  <si>
    <t>Net Income, GAAP</t>
  </si>
  <si>
    <t>NET_INCOME</t>
  </si>
  <si>
    <t>- Preferred Dividends</t>
  </si>
  <si>
    <t>IS_TOT_CASH_PFD_DVD</t>
  </si>
  <si>
    <t>- Other Adjustments</t>
  </si>
  <si>
    <t>OTHER_ADJUSTMENTS</t>
  </si>
  <si>
    <t>Net Income Avail to Common, GAAP</t>
  </si>
  <si>
    <t>EARN_FOR_COMMON</t>
  </si>
  <si>
    <t>Net Income Avail to Common, Adj</t>
  </si>
  <si>
    <t>Net Abnormal Losses (Gains)</t>
  </si>
  <si>
    <t>Net Extraordinary Losses (Gains)</t>
  </si>
  <si>
    <t> </t>
  </si>
  <si>
    <t>Basic Weighted Avg Shares</t>
  </si>
  <si>
    <t>Basic EPS, GAAP</t>
  </si>
  <si>
    <t>Basic EPS from Cont Ops, GAAP</t>
  </si>
  <si>
    <t>Basic EPS from Cont Ops, Adjusted</t>
  </si>
  <si>
    <t>Diluted Weighted Avg Shares</t>
  </si>
  <si>
    <t>Diluted EPS, GAAP</t>
  </si>
  <si>
    <t>Diluted EPS from Cont Ops, GAAP</t>
  </si>
  <si>
    <t>Diluted EPS from Cont Ops, Adjusted</t>
  </si>
  <si>
    <t>Accounting Standard</t>
  </si>
  <si>
    <t>US GAAP</t>
  </si>
  <si>
    <t>EBITDA Margin (T12M)</t>
  </si>
  <si>
    <t>EBITA</t>
  </si>
  <si>
    <t>EBIT</t>
  </si>
  <si>
    <t>Gross Margin</t>
  </si>
  <si>
    <t>Operating Margin</t>
  </si>
  <si>
    <t>Profit Margin</t>
  </si>
  <si>
    <t>Sales per Employee</t>
  </si>
  <si>
    <t>Dividends per Share</t>
  </si>
  <si>
    <t>Capitalized Interest Expense</t>
  </si>
  <si>
    <t>Personnel Expenses</t>
  </si>
  <si>
    <t>Rental Expense</t>
  </si>
  <si>
    <t>FY 2006</t>
  </si>
  <si>
    <t>+ Cash, Cash Equivalents &amp; STI</t>
  </si>
  <si>
    <t>CASH_CASH_EQTY_STI_DETAILED</t>
  </si>
  <si>
    <t>+ Cash &amp; Cash Equivalents</t>
  </si>
  <si>
    <t>BS_CASH_NEAR_CASH_ITEM</t>
  </si>
  <si>
    <t>+ ST Investments</t>
  </si>
  <si>
    <t>BS_MKT_SEC_OTHER_ST_INVEST</t>
  </si>
  <si>
    <t>+ Accounts &amp; Notes Receiv</t>
  </si>
  <si>
    <t>BS_ACCT_NOTE_RCV</t>
  </si>
  <si>
    <t>+ Accounts Receivable, Net</t>
  </si>
  <si>
    <t>BS_ACCTS_REC_EXCL_NOTES_REC</t>
  </si>
  <si>
    <t>+ Notes Receivable, Net</t>
  </si>
  <si>
    <t>NOTES_RECEIVABLE</t>
  </si>
  <si>
    <t>+ Inventories</t>
  </si>
  <si>
    <t>BS_INVENTORIES</t>
  </si>
  <si>
    <t>+ Raw Materials</t>
  </si>
  <si>
    <t>INVTRY_RAW_MATERIALS</t>
  </si>
  <si>
    <t>+ Work In Process</t>
  </si>
  <si>
    <t>INVTRY_IN_PROGRESS</t>
  </si>
  <si>
    <t>+ Finished Goods</t>
  </si>
  <si>
    <t>INVTRY_FINISHED_GOODS</t>
  </si>
  <si>
    <t>+ Other Inventory</t>
  </si>
  <si>
    <t>BS_OTHER_INV</t>
  </si>
  <si>
    <t>+ Other ST Assets</t>
  </si>
  <si>
    <t>OTHER_CURRENT_ASSETS_DETAILED</t>
  </si>
  <si>
    <t>+ Derivative &amp; Hedging Assets</t>
  </si>
  <si>
    <t>BS_DERIV_HEDGING_ASST_ST</t>
  </si>
  <si>
    <t>+ Deferred Tax Assets</t>
  </si>
  <si>
    <t>BS_DEFERRED_TAX_ASSETS_ST</t>
  </si>
  <si>
    <t>BS_ASSETS_OF_DISCONTINUED_OPS_ST</t>
  </si>
  <si>
    <t>+ Misc ST Assets</t>
  </si>
  <si>
    <t>BS_OTHER_CUR_ASSET_LESS_PREPAY</t>
  </si>
  <si>
    <t>BS_CUR_ASSET_REPORT</t>
  </si>
  <si>
    <t>+ Property, Plant &amp; Equip, Net</t>
  </si>
  <si>
    <t>BS_NET_FIX_ASSET</t>
  </si>
  <si>
    <t>+ Property, Plant &amp; Equip</t>
  </si>
  <si>
    <t>BS_GROSS_FIX_ASSET</t>
  </si>
  <si>
    <t>- Accumulated Depreciation</t>
  </si>
  <si>
    <t>BS_ACCUM_DEPR</t>
  </si>
  <si>
    <t>+ LT Investments &amp; Receivables</t>
  </si>
  <si>
    <t>BS_LT_INVEST</t>
  </si>
  <si>
    <t>+ Other LT Assets</t>
  </si>
  <si>
    <t>BS_OTHER_ASSETS_DEF_CHRG_OTHER</t>
  </si>
  <si>
    <t>+ Total Intangible Assets</t>
  </si>
  <si>
    <t>BS_DISCLOSED_INTANGIBLES</t>
  </si>
  <si>
    <t>+ Goodwill</t>
  </si>
  <si>
    <t>BS_GOODWILL</t>
  </si>
  <si>
    <t>+ Other Intangible Assets</t>
  </si>
  <si>
    <t>OTHER_INTANGIBLE_ASSETS_DETAILED</t>
  </si>
  <si>
    <t>BS_DEFERRED_TAX_ASSETS_LT</t>
  </si>
  <si>
    <t>BS_DERIV_HEDGING_ASST_LT</t>
  </si>
  <si>
    <t>+ Misc LT Assets</t>
  </si>
  <si>
    <t>OTHER_NONCURRENT_ASSETS_DETAILED</t>
  </si>
  <si>
    <t>Total Noncurrent Assets</t>
  </si>
  <si>
    <t>BS_TOT_NON_CUR_ASSET</t>
  </si>
  <si>
    <t>BS_TOT_ASSET</t>
  </si>
  <si>
    <t>Liabilities &amp; Shareholders' Equity</t>
  </si>
  <si>
    <t>+ Payables &amp; Accruals</t>
  </si>
  <si>
    <t>ACCT_PAYABLE_ACCRUALS_DETAILED</t>
  </si>
  <si>
    <t>+ Accounts Payable</t>
  </si>
  <si>
    <t>BS_ACCT_PAYABLE</t>
  </si>
  <si>
    <t>+ Accrued Taxes</t>
  </si>
  <si>
    <t>BS_TAXES_PAYABLE</t>
  </si>
  <si>
    <t>+ Other Payables &amp; Accruals</t>
  </si>
  <si>
    <t>BS_ACCRUAL</t>
  </si>
  <si>
    <t>+ ST Debt</t>
  </si>
  <si>
    <t>BS_ST_BORROW</t>
  </si>
  <si>
    <t>+ ST Borrowings</t>
  </si>
  <si>
    <t>SHORT_TERM_DEBT_DETAILED</t>
  </si>
  <si>
    <t>+ ST Lease Liabilities</t>
  </si>
  <si>
    <t>ST_CAPITALIZED_LEASE_LIABILITIES</t>
  </si>
  <si>
    <t>+ ST Finance Leases</t>
  </si>
  <si>
    <t>ST_CAPITAL_LEASE_OBLIGATIONS</t>
  </si>
  <si>
    <t>+ ST Operating Leases</t>
  </si>
  <si>
    <t>BS_ST_OPERATING_LEASE_LIABS</t>
  </si>
  <si>
    <t>+ Current Portion of LT Debt</t>
  </si>
  <si>
    <t>+ Other ST Liabilities</t>
  </si>
  <si>
    <t>OTHER_CURRENT_LIABS_SUB_DETAILED</t>
  </si>
  <si>
    <t>+ Deferred Revenue</t>
  </si>
  <si>
    <t>ST_DEFERRED_REVENUE</t>
  </si>
  <si>
    <t>+ Derivatives &amp; Hedging</t>
  </si>
  <si>
    <t>BS_DERIV_HEDGING_LIAB_ST</t>
  </si>
  <si>
    <t>+ Deferred Tax Liabilities</t>
  </si>
  <si>
    <t>BS_DEFERRED_TAX_LIABS_ST</t>
  </si>
  <si>
    <t>BS_LIABS_OF_DISCONTINUED_OPS_ST</t>
  </si>
  <si>
    <t>+ Misc ST Liabilities</t>
  </si>
  <si>
    <t>OTHER_CURRENT_LIABS_DETAILED</t>
  </si>
  <si>
    <t>BS_CUR_LIAB</t>
  </si>
  <si>
    <t>+ LT Debt</t>
  </si>
  <si>
    <t>BS_LT_BORROW</t>
  </si>
  <si>
    <t>+ LT Borrowings</t>
  </si>
  <si>
    <t>LONG_TERM_BORROWINGS_DETAILED</t>
  </si>
  <si>
    <t>+ LT Lease Liabilities</t>
  </si>
  <si>
    <t>LT_CAPITALIZED_LEASE_LIABILITIES</t>
  </si>
  <si>
    <t>+ LT Finance Leases</t>
  </si>
  <si>
    <t>LT_CAPITAL_LEASE_OBLIGATIONS</t>
  </si>
  <si>
    <t>+ LT Operating Leases</t>
  </si>
  <si>
    <t>BS_LT_OPERATING_LEASE_LIABS</t>
  </si>
  <si>
    <t>+ Other LT Liabilities</t>
  </si>
  <si>
    <t>OTHER_NONCUR_LIABS_SUB_DETAILED</t>
  </si>
  <si>
    <t>+ Accrued Liabilities</t>
  </si>
  <si>
    <t>BS_ACCRUED_LIABILITIES</t>
  </si>
  <si>
    <t>+ Pension Liabilities</t>
  </si>
  <si>
    <t>PENSION_LIABILITIES</t>
  </si>
  <si>
    <t>+ Pensions</t>
  </si>
  <si>
    <t>BS_PENSIONS_LT_LIABS</t>
  </si>
  <si>
    <t>+ Other Post-Ret Benefits</t>
  </si>
  <si>
    <t>BS_OPRB_LT_LIABS</t>
  </si>
  <si>
    <t>LT_DEFERRED_REVENUE</t>
  </si>
  <si>
    <t>BS_DEFERRED_TAX_LIABILITIES_LT</t>
  </si>
  <si>
    <t>BS_DERIV_HEDGING_LIAB_LT</t>
  </si>
  <si>
    <t>+ Misc LT Liabilities</t>
  </si>
  <si>
    <t>OTHER_NONCURRENT_LIABS_DETAILED</t>
  </si>
  <si>
    <t>Total Noncurrent Liabilities</t>
  </si>
  <si>
    <t>NON_CUR_LIAB</t>
  </si>
  <si>
    <t>Total Liabilities</t>
  </si>
  <si>
    <t>BS_TOT_LIAB2</t>
  </si>
  <si>
    <t>+ Preferred Equity and Hybrid Capital</t>
  </si>
  <si>
    <t>PFD_EQTY_HYBRID_CAPITAL</t>
  </si>
  <si>
    <t>+ Share Capital &amp; APIC</t>
  </si>
  <si>
    <t>BS_SH_CAP_AND_APIC</t>
  </si>
  <si>
    <t>+ Common Stock</t>
  </si>
  <si>
    <t>BS_COMMON_STOCK</t>
  </si>
  <si>
    <t>+ Additional Paid in Capital</t>
  </si>
  <si>
    <t>BS_ADD_PAID_IN_CAP</t>
  </si>
  <si>
    <t>- Treasury Stock</t>
  </si>
  <si>
    <t>BS_AMT_OF_TSY_STOCK</t>
  </si>
  <si>
    <t>+ Retained Earnings</t>
  </si>
  <si>
    <t>BS_PURE_RETAINED_EARNINGS</t>
  </si>
  <si>
    <t>+ Other Equity</t>
  </si>
  <si>
    <t>OTHER_EQUITY_RATIO</t>
  </si>
  <si>
    <t>Equity Before Minority Interest</t>
  </si>
  <si>
    <t>EQTY_BEF_MINORITY_INT_DETAILED</t>
  </si>
  <si>
    <t>+ Minority/Non Controlling Interest</t>
  </si>
  <si>
    <t>MINORITY_NONCONTROLLING_INTEREST</t>
  </si>
  <si>
    <t>Total Equity</t>
  </si>
  <si>
    <t>TOTAL_EQUITY</t>
  </si>
  <si>
    <t>Total Liabilities &amp; Equity</t>
  </si>
  <si>
    <t>TOT_LIAB_AND_EQY</t>
  </si>
  <si>
    <t>ACCOUNTING_STANDARD</t>
  </si>
  <si>
    <t>BS_SH_OUT</t>
  </si>
  <si>
    <t>Number of Treasury Shares</t>
  </si>
  <si>
    <t>BS_NUM_OF_TSY_SH</t>
  </si>
  <si>
    <t>Pension Obligations</t>
  </si>
  <si>
    <t>BS_PENSION_RSRV</t>
  </si>
  <si>
    <t>BS_FUTURE_MIN_OPER_LEASE_OBLIG</t>
  </si>
  <si>
    <t>Capital Leases - Total</t>
  </si>
  <si>
    <t>BS_TOTAL_CAPITAL_LEASES</t>
  </si>
  <si>
    <t>BS_OPTIONS_GRANTED</t>
  </si>
  <si>
    <t>Options Outstanding at Period End</t>
  </si>
  <si>
    <t>BS_OPTIONS_OUTSTANDING</t>
  </si>
  <si>
    <t>Net Debt</t>
  </si>
  <si>
    <t>NET_DEBT</t>
  </si>
  <si>
    <t>Net Debt to Equity</t>
  </si>
  <si>
    <t>NET_DEBT_TO_SHRHLDR_EQTY</t>
  </si>
  <si>
    <t>Tangible Common Equity Ratio</t>
  </si>
  <si>
    <t>TCE_RATIO</t>
  </si>
  <si>
    <t>Current Ratio</t>
  </si>
  <si>
    <t>CUR_RATIO</t>
  </si>
  <si>
    <t>Cash Conversion Cycle</t>
  </si>
  <si>
    <t>CASH_CONVERSION_CYCLE</t>
  </si>
  <si>
    <t>Cash Held Overseas</t>
  </si>
  <si>
    <t>BS_CASH_HELD_OVERSEAS</t>
  </si>
  <si>
    <t>Number of Employees</t>
  </si>
  <si>
    <t>NUM_OF_EMPLOYEES</t>
  </si>
  <si>
    <t>Step 2: Build the Revenue Forecast</t>
  </si>
  <si>
    <t>Step 3:  Forecast the Income Statement</t>
  </si>
  <si>
    <t>in grey = need to calculate</t>
  </si>
  <si>
    <t xml:space="preserve">   Condense raw data into necessary level of detail. Operating and Nonoperating items are not combined</t>
  </si>
  <si>
    <t xml:space="preserve">   Income Statement should be linked with the Balance Sheet through Retained Earnings</t>
  </si>
  <si>
    <t xml:space="preserve">   This worksheet contains historical and forecast financial statemnts in the condensed form</t>
  </si>
  <si>
    <t>Income Statement for Year Ending:</t>
  </si>
  <si>
    <t>CV</t>
  </si>
  <si>
    <t xml:space="preserve">     Aerospace</t>
  </si>
  <si>
    <t xml:space="preserve">     Combat Systems</t>
  </si>
  <si>
    <r>
      <t xml:space="preserve">     Technologies (</t>
    </r>
    <r>
      <rPr>
        <sz val="7"/>
        <color theme="1"/>
        <rFont val="Calibri"/>
        <family val="2"/>
        <scheme val="minor"/>
      </rPr>
      <t>previously IT &amp; Mission systems</t>
    </r>
    <r>
      <rPr>
        <sz val="11"/>
        <color theme="1"/>
        <rFont val="Calibri"/>
        <family val="2"/>
        <scheme val="minor"/>
      </rPr>
      <t>)</t>
    </r>
  </si>
  <si>
    <t xml:space="preserve">     Mission Systems</t>
  </si>
  <si>
    <t xml:space="preserve">     Marine Systems</t>
  </si>
  <si>
    <t xml:space="preserve"> Cost of Sales</t>
  </si>
  <si>
    <t>Operating Expenses</t>
  </si>
  <si>
    <t>Depreciation</t>
  </si>
  <si>
    <t>NonOperating Income</t>
  </si>
  <si>
    <t>NonOperating Expenses</t>
  </si>
  <si>
    <t>Other Nonoperating Income (Expenses)</t>
  </si>
  <si>
    <t>Interest, Net</t>
  </si>
  <si>
    <t>EBT</t>
  </si>
  <si>
    <t>Reported Taxes</t>
  </si>
  <si>
    <t>Marginal Tax Rate</t>
  </si>
  <si>
    <t>Interest Tax Shield</t>
  </si>
  <si>
    <t>Operating Taxes</t>
  </si>
  <si>
    <t>Step 4: Forecast the Balance Sheet: Invested Capital and Nonoperating Asset</t>
  </si>
  <si>
    <t>Assets</t>
  </si>
  <si>
    <t>Operating Current Asset</t>
  </si>
  <si>
    <t>Operating Current Liabilities</t>
  </si>
  <si>
    <t>Net Operating Working Capital</t>
  </si>
  <si>
    <t>Operating Long-Term Assets</t>
  </si>
  <si>
    <t>Operating Long-Term Liabilities</t>
  </si>
  <si>
    <t>Net Op Long-Term Assets</t>
  </si>
  <si>
    <t>Goodwill &amp; Intangibles</t>
  </si>
  <si>
    <t>Net Operating Assets [Invested Capital]</t>
  </si>
  <si>
    <r>
      <t xml:space="preserve">NonOperating Assets </t>
    </r>
    <r>
      <rPr>
        <i/>
        <sz val="9"/>
        <color theme="1"/>
        <rFont val="Calibri"/>
        <family val="2"/>
        <scheme val="minor"/>
      </rPr>
      <t>(incl. investments)</t>
    </r>
  </si>
  <si>
    <t>NonOperating Liabs</t>
  </si>
  <si>
    <t>Net NonOperating Assets</t>
  </si>
  <si>
    <t>Excess cash (plug)</t>
  </si>
  <si>
    <t>Total Assets [Total Funds Invested]</t>
  </si>
  <si>
    <t>Beg. Retained Earnings</t>
  </si>
  <si>
    <t>Profit</t>
  </si>
  <si>
    <t xml:space="preserve">   Less: Dividends</t>
  </si>
  <si>
    <t>End Retained Earnings</t>
  </si>
  <si>
    <t>Liabilities &amp; Equity</t>
  </si>
  <si>
    <t>Retained Earnings</t>
  </si>
  <si>
    <t>Stat of Accum Other Comprehensive Income for Y/E:</t>
  </si>
  <si>
    <t>Accum Other Comprehensive Loss</t>
  </si>
  <si>
    <t>Foreign Currency Translation Adj</t>
  </si>
  <si>
    <t xml:space="preserve">      Sales &amp; Services Revenue</t>
  </si>
  <si>
    <t xml:space="preserve">      Other Revenue</t>
  </si>
  <si>
    <t xml:space="preserve">       Depreciation</t>
  </si>
  <si>
    <t>Amortization</t>
  </si>
  <si>
    <t>Non-Operating Income (Expense)</t>
  </si>
  <si>
    <t>EBIT (Operating Income)</t>
  </si>
  <si>
    <t>Interest Expense, Net</t>
  </si>
  <si>
    <t xml:space="preserve">Tax Rate </t>
  </si>
  <si>
    <t>Need to explain why effective tax rate used instead of marginal tax rate</t>
  </si>
  <si>
    <t>Don’t use below data, see other sheet</t>
  </si>
  <si>
    <t>Balance Sheet as at</t>
  </si>
  <si>
    <t>Category</t>
  </si>
  <si>
    <r>
      <t xml:space="preserve">NonOperating Assets </t>
    </r>
    <r>
      <rPr>
        <i/>
        <sz val="9"/>
        <color rgb="FF000000"/>
        <rFont val="Calibri"/>
        <family val="2"/>
      </rPr>
      <t>(incl. investments)</t>
    </r>
  </si>
  <si>
    <t>B. Integrated Fin</t>
  </si>
  <si>
    <t>Gross profit</t>
  </si>
  <si>
    <t>NonOperating Expense</t>
  </si>
  <si>
    <t>Interest Income, Interest Expense and Net Interest</t>
  </si>
  <si>
    <t>Calculate EBT</t>
  </si>
  <si>
    <t>Calculate Interest Tax Shield = Net Interest * Marginal Tax Rate</t>
  </si>
  <si>
    <t>Calculate Operating Taxes</t>
  </si>
  <si>
    <r>
      <rPr>
        <sz val="11"/>
        <color rgb="FF000000"/>
        <rFont val="Calibri"/>
        <family val="2"/>
        <scheme val="minor"/>
      </rPr>
      <t xml:space="preserve">Calculate </t>
    </r>
    <r>
      <rPr>
        <b/>
        <sz val="11"/>
        <color rgb="FF000000"/>
        <rFont val="Calibri"/>
        <family val="2"/>
        <scheme val="minor"/>
      </rPr>
      <t>NOPLAT</t>
    </r>
    <r>
      <rPr>
        <sz val="11"/>
        <color rgb="FF000000"/>
        <rFont val="Calibri"/>
        <family val="2"/>
        <scheme val="minor"/>
      </rPr>
      <t xml:space="preserve">, After-tax net interest, </t>
    </r>
    <r>
      <rPr>
        <b/>
        <sz val="11"/>
        <color rgb="FF000000"/>
        <rFont val="Calibri"/>
        <family val="2"/>
        <scheme val="minor"/>
      </rPr>
      <t>Net Income</t>
    </r>
  </si>
  <si>
    <t xml:space="preserve">   Less: Other transactions</t>
  </si>
  <si>
    <t>Other Equity</t>
  </si>
  <si>
    <t>minority interest</t>
  </si>
  <si>
    <t>Revenue % YoY</t>
  </si>
  <si>
    <t>https://nrf.com/media-center/press-releases/nrf-forecasts-2025-retail-sales-to-hit-5-42-trillion-despite-economic-uncertainty?utm_source=chatgpt.com</t>
  </si>
  <si>
    <t>Cost of Goods Sold % Rev</t>
  </si>
  <si>
    <t>https://www.nasdaq.com/articles/will-walmart-stock-continue-ring-investor-returns</t>
  </si>
  <si>
    <t>Gross Profit Margin</t>
  </si>
  <si>
    <t>Average Growth Rate of Last 5 years</t>
  </si>
  <si>
    <t>Operating Expenses % Rev</t>
  </si>
  <si>
    <t>Depreciation % Rev</t>
  </si>
  <si>
    <t>https://www.reuters.com/business/retail-consumer/walmart-results-show-consumer-resilience-shares-down-after-recent-rally-2025-08-21/#:~:text=SHOPPERS%20ADJUST%20TO%20HIGHER%20PRICES&amp;text=Walmart%20expects%20annual%20sales%20to,range%20of%20%242.50%20to%20%242.60.</t>
  </si>
  <si>
    <t>EBITA Margin</t>
  </si>
  <si>
    <t>https://www.nasdaq.com/articles/where-will-walmart-stock-be-3-years-0</t>
  </si>
  <si>
    <t>https://corporate.walmart.com/news/2025/08/21/walmart-releases-q2-fy26-earnings</t>
  </si>
  <si>
    <t>Reported Taxes % EBIT</t>
  </si>
  <si>
    <t>https://stock.walmart.com/_assets/_ce43125c287746b5bb9dd177aebe127f/walmart/db/938/9959/earnings_release/Earnings+Release+%28FY26+Q2%29.pdf</t>
  </si>
  <si>
    <r>
      <rPr>
        <sz val="11"/>
        <color rgb="FF000000"/>
        <rFont val="Calibri"/>
        <family val="2"/>
        <scheme val="minor"/>
      </rPr>
      <t xml:space="preserve">Interest, Net </t>
    </r>
    <r>
      <rPr>
        <i/>
        <sz val="11"/>
        <color rgb="FF000000"/>
        <rFont val="Calibri"/>
        <family val="2"/>
        <scheme val="minor"/>
      </rPr>
      <t>% Debt</t>
    </r>
    <r>
      <rPr>
        <vertAlign val="subscript"/>
        <sz val="11"/>
        <color rgb="FF000000"/>
        <rFont val="Calibri"/>
        <family val="2"/>
        <scheme val="minor"/>
      </rPr>
      <t>t-1</t>
    </r>
  </si>
  <si>
    <t>Tax Rate</t>
  </si>
  <si>
    <t>Operating Taxes % EBITA</t>
  </si>
  <si>
    <t>Not necessary</t>
  </si>
  <si>
    <t>NOPLAT Margin</t>
  </si>
  <si>
    <t>Dividend Payout Ratio</t>
  </si>
  <si>
    <r>
      <t xml:space="preserve">      </t>
    </r>
    <r>
      <rPr>
        <u/>
        <sz val="11"/>
        <color rgb="FFC00000"/>
        <rFont val="Calibri"/>
        <family val="2"/>
      </rPr>
      <t>Balance Sheet</t>
    </r>
  </si>
  <si>
    <t>Net Operating Working Capital % Rev</t>
  </si>
  <si>
    <t>Net Op Long-Term Assets % Rev</t>
  </si>
  <si>
    <t>Goodwill &amp; Intangibles % Rev</t>
  </si>
  <si>
    <t>Net Non-Op Assets (growth)</t>
  </si>
  <si>
    <t>Debt (growth)</t>
  </si>
  <si>
    <t>Operating CA % of revenue</t>
  </si>
  <si>
    <t>Operating Cl % of revenue</t>
  </si>
  <si>
    <t>Net PPE % Rev.</t>
  </si>
  <si>
    <t>Net Operating Long term assets</t>
  </si>
  <si>
    <t>Non operating liabilties</t>
  </si>
  <si>
    <t>Non operating assets</t>
  </si>
  <si>
    <t>Dividend payout ratio</t>
  </si>
  <si>
    <t>Current ratio</t>
  </si>
  <si>
    <t>Collect all financial market data on one worksheet. This worksheet will contain estimates of beta, the cost of equity, the cost of debt, and the WACC.  It will also contain historical market values and trading multiples for the company.</t>
  </si>
  <si>
    <t>***Source: Bloomberg</t>
  </si>
  <si>
    <t>WACC</t>
  </si>
  <si>
    <t>Cost of Equity</t>
  </si>
  <si>
    <t>ROIC: 2021</t>
  </si>
  <si>
    <t>Row wise information</t>
  </si>
  <si>
    <t>Additional comment</t>
  </si>
  <si>
    <t>(for year 2015-2025)</t>
  </si>
  <si>
    <r>
      <rPr>
        <sz val="11"/>
        <color rgb="FF000000"/>
        <rFont val="Calibri"/>
      </rPr>
      <t xml:space="preserve">Row 6: Operating profit after tax= </t>
    </r>
    <r>
      <rPr>
        <b/>
        <sz val="11"/>
        <color rgb="FF000000"/>
        <rFont val="Calibri"/>
      </rPr>
      <t>EBIT×(1−Tax rate)</t>
    </r>
    <r>
      <rPr>
        <sz val="11"/>
        <color rgb="FF000000"/>
        <rFont val="Calibri"/>
      </rPr>
      <t xml:space="preserve">     </t>
    </r>
  </si>
  <si>
    <t xml:space="preserve">(EBIT and Tax rate coming from 'B. Integrated Fin') </t>
  </si>
  <si>
    <r>
      <rPr>
        <sz val="11"/>
        <color rgb="FF000000"/>
        <rFont val="Calibri"/>
        <family val="2"/>
      </rPr>
      <t>Row 7: Interest Tax Shield=</t>
    </r>
    <r>
      <rPr>
        <b/>
        <sz val="11"/>
        <color rgb="FF000000"/>
        <rFont val="Calibri"/>
        <family val="2"/>
      </rPr>
      <t xml:space="preserve"> Interest Expense × Tax Rate </t>
    </r>
  </si>
  <si>
    <t xml:space="preserve"> (Interest Expense and Tax Rate coming from 'B. Integrated Fin')</t>
  </si>
  <si>
    <r>
      <rPr>
        <sz val="11"/>
        <color rgb="FF000000"/>
        <rFont val="Calibri"/>
        <family val="2"/>
      </rPr>
      <t xml:space="preserve">Row 8: NOPLAT = </t>
    </r>
    <r>
      <rPr>
        <b/>
        <sz val="11"/>
        <color rgb="FF000000"/>
        <rFont val="Calibri"/>
        <family val="2"/>
      </rPr>
      <t xml:space="preserve">Row 6 + Row 7 </t>
    </r>
  </si>
  <si>
    <r>
      <rPr>
        <sz val="11"/>
        <color rgb="FF000000"/>
        <rFont val="Calibri"/>
        <family val="2"/>
      </rPr>
      <t>Row 9: After-tax interest=</t>
    </r>
    <r>
      <rPr>
        <b/>
        <sz val="11"/>
        <color rgb="FF000000"/>
        <rFont val="Calibri"/>
        <family val="2"/>
      </rPr>
      <t xml:space="preserve"> Interest expense × (1−Tax rate)</t>
    </r>
    <r>
      <rPr>
        <sz val="11"/>
        <color rgb="FF000000"/>
        <rFont val="Calibri"/>
        <family val="2"/>
      </rPr>
      <t xml:space="preserve">  </t>
    </r>
  </si>
  <si>
    <t>(Interest Expense and Tax Rate coming from 'B. Integrated Fin')</t>
  </si>
  <si>
    <t>Row 12: confirm why 0 and if ok (pre-populated)</t>
  </si>
  <si>
    <r>
      <rPr>
        <sz val="11"/>
        <color rgb="FF000000"/>
        <rFont val="Calibri"/>
        <family val="2"/>
      </rPr>
      <t xml:space="preserve">Row 13: Working Capital= </t>
    </r>
    <r>
      <rPr>
        <b/>
        <sz val="11"/>
        <color rgb="FF000000"/>
        <rFont val="Calibri"/>
        <family val="2"/>
      </rPr>
      <t>(Accounts Receivable + Inventory)− (Accounts Payable + Other Op. Current Liabilities)</t>
    </r>
    <r>
      <rPr>
        <sz val="11"/>
        <color rgb="FF000000"/>
        <rFont val="Calibri"/>
        <family val="2"/>
      </rPr>
      <t xml:space="preserve">  </t>
    </r>
  </si>
  <si>
    <t>(data coming from 'A. Raw Historical Data - BS')
 // formula used:  (A. Raw Historical Data - BS tab--  column 11 + column 13 -  column 40 - column 41 - column 42 ) confirm if any other assets/ liabilities to be included</t>
  </si>
  <si>
    <r>
      <rPr>
        <sz val="11"/>
        <color rgb="FF000000"/>
        <rFont val="Calibri"/>
        <family val="2"/>
      </rPr>
      <t xml:space="preserve">Row 14:   Change in Working Capital = </t>
    </r>
    <r>
      <rPr>
        <b/>
        <sz val="11"/>
        <color rgb="FF000000"/>
        <rFont val="Calibri"/>
        <family val="2"/>
      </rPr>
      <t>Opening WC of next year− Opening WC of current year</t>
    </r>
    <r>
      <rPr>
        <sz val="11"/>
        <color rgb="FF000000"/>
        <rFont val="Calibri"/>
        <family val="2"/>
      </rPr>
      <t xml:space="preserve">  </t>
    </r>
  </si>
  <si>
    <t>(column B left blank as there is no previous year)
//formula used: &lt;Row13 for this year&gt; - &lt;Row13 for previous year&gt;</t>
  </si>
  <si>
    <r>
      <rPr>
        <sz val="11"/>
        <color rgb="FF000000"/>
        <rFont val="Calibri"/>
        <family val="2"/>
      </rPr>
      <t xml:space="preserve">Row 15: Closing  Working Capital = </t>
    </r>
    <r>
      <rPr>
        <b/>
        <sz val="11"/>
        <color rgb="FF000000"/>
        <rFont val="Calibri"/>
        <family val="2"/>
      </rPr>
      <t>Row13_sameYear + Row14_sameYear</t>
    </r>
  </si>
  <si>
    <t> Row 17: Opening Net Long-term Assets (lets say Opening for FY2015 = closing FY2014 operating LT assets)</t>
  </si>
  <si>
    <t xml:space="preserve"> i.e., take data of previous year
//formula used = ='A. Raw Historical Data - BS' column K24 + K28 + K29+ K32+ K34)  for previous year</t>
  </si>
  <si>
    <t>//before row 18, calculate 19</t>
  </si>
  <si>
    <t>Row 19 : Closing Net Long-term Assets (lets say closing for FY2015 = It’s basically the year-end balance of all operating long-term assets, summed up.</t>
  </si>
  <si>
    <t>//formula used = ='A. Raw Historical Data - BS' column K24 + K28 + K29+ K32+ K34) for same year</t>
  </si>
  <si>
    <t> Row 18:   Change in Net Long-term Assets= row 19- row 17</t>
  </si>
  <si>
    <t>Row 21: Depreciation= Directly coming from 'B. Integrated Fin', row 10</t>
  </si>
  <si>
    <t> Row 23: Net Capex = 'A. Raw Historical - CF' tab Row 21 + 22</t>
  </si>
  <si>
    <t xml:space="preserve">Row 25:Opening Debt: Opening Debt2015​= 2014 (ST Debt)+(ST Borrowings)+(Curr Port LT Debt)+(LT Debt)+(LT Borrowings) </t>
  </si>
  <si>
    <t xml:space="preserve"> (data coming from 'A. Raw Historical Data - BS')
//='A. Raw Historical Data - BS' 43 + K44 + K48 + K56 + K57 for previous year</t>
  </si>
  <si>
    <t>Row 26:  Increase (Decrease) in Debt: Row 41 + Row 42 from the A.CF tab.</t>
  </si>
  <si>
    <t>Row 27:  Closing Debt: = Row 25 + Row 26</t>
  </si>
  <si>
    <t>(for year 2026 onwards)</t>
  </si>
  <si>
    <r>
      <rPr>
        <sz val="11"/>
        <color rgb="FF000000"/>
        <rFont val="Calibri"/>
        <family val="2"/>
      </rPr>
      <t xml:space="preserve">Row 6: Operating profit after tax= </t>
    </r>
    <r>
      <rPr>
        <b/>
        <sz val="11"/>
        <color rgb="FF000000"/>
        <rFont val="Calibri"/>
        <family val="2"/>
      </rPr>
      <t xml:space="preserve">NOPLAT  from 'B. Integrated Fin'  </t>
    </r>
  </si>
  <si>
    <t xml:space="preserve">row 29 of  'B. Integrated Fin' </t>
  </si>
  <si>
    <r>
      <rPr>
        <sz val="11"/>
        <color rgb="FF000000"/>
        <rFont val="Calibri"/>
        <family val="2"/>
      </rPr>
      <t>Row 7: Interest Tax Shield=</t>
    </r>
    <r>
      <rPr>
        <b/>
        <sz val="11"/>
        <color rgb="FF000000"/>
        <rFont val="Calibri"/>
        <family val="2"/>
      </rPr>
      <t xml:space="preserve"> Interest Tax Shield from 'B. Integrated Fin'  </t>
    </r>
  </si>
  <si>
    <t xml:space="preserve">row 27 of 'B. Integrated Fin'  </t>
  </si>
  <si>
    <t>Row 8: NOPLAT = NOPLAT</t>
  </si>
  <si>
    <r>
      <rPr>
        <sz val="11"/>
        <color rgb="FF000000"/>
        <rFont val="Calibri"/>
        <family val="2"/>
      </rPr>
      <t>Row 9: After-tax interest=</t>
    </r>
    <r>
      <rPr>
        <b/>
        <sz val="11"/>
        <color rgb="FF000000"/>
        <rFont val="Calibri"/>
        <family val="2"/>
      </rPr>
      <t xml:space="preserve"> - (Interest expense, net) × (1−Tax rate)</t>
    </r>
    <r>
      <rPr>
        <sz val="11"/>
        <color rgb="FF000000"/>
        <rFont val="Calibri"/>
        <family val="2"/>
      </rPr>
      <t xml:space="preserve">  </t>
    </r>
  </si>
  <si>
    <t>for Historical years: used the reported gross Interest Expense.
Forecast years: used Interest Expense, Net because the model combines expense and income in one line for future years.</t>
  </si>
  <si>
    <t>Row 13: Working Capital= “Net Operating Working Capital” from B1 Integrated Fin (for previous year)</t>
  </si>
  <si>
    <r>
      <rPr>
        <sz val="11"/>
        <color rgb="FF000000"/>
        <rFont val="Calibri"/>
        <family val="2"/>
      </rPr>
      <t xml:space="preserve">Row 14:   Change in Working Capital = </t>
    </r>
    <r>
      <rPr>
        <b/>
        <sz val="11"/>
        <color rgb="FF000000"/>
        <rFont val="Calibri"/>
        <family val="2"/>
      </rPr>
      <t>Opening WC − Closing WC of same year</t>
    </r>
    <r>
      <rPr>
        <sz val="11"/>
        <color rgb="FF000000"/>
        <rFont val="Calibri"/>
        <family val="2"/>
      </rPr>
      <t xml:space="preserve">  </t>
    </r>
  </si>
  <si>
    <t>Opening WC – Closing WC (i.e., the same-year balance from B1 Integrated Fin)
Formula- Row 13 of E.Reorg. tab - Row 46 of B1 Integrated Fin</t>
  </si>
  <si>
    <r>
      <rPr>
        <sz val="11"/>
        <color rgb="FF000000"/>
        <rFont val="Calibri"/>
        <family val="2"/>
      </rPr>
      <t xml:space="preserve">Row 15: Closing  Working Capital = </t>
    </r>
    <r>
      <rPr>
        <b/>
        <sz val="11"/>
        <color rgb="FF000000"/>
        <rFont val="Calibri"/>
        <family val="2"/>
      </rPr>
      <t>Closing working capital</t>
    </r>
  </si>
  <si>
    <t>Closing Working Capital = pull directly from B1 Integrated Fin for the same year</t>
  </si>
  <si>
    <t> Row 17: Opening Net Long-term Assets (lets say Opening for FY2015 = Net Operating Long-term Assets from the previous year</t>
  </si>
  <si>
    <t>pull directly from B1 Integrated Fin for the previous year</t>
  </si>
  <si>
    <t>Row 19 : Net Op Long-Term Assets of same year</t>
  </si>
  <si>
    <t>pull directly from B1 Integrated Fin for the same year</t>
  </si>
  <si>
    <t xml:space="preserve">Row 21: Depreciation= </t>
  </si>
  <si>
    <t xml:space="preserve">TBC
Dep= % of Operating Long-Term Assets.
Using the historical average Depreciation / Operating Long-Term Assets : the last 5 years’ average is ≈ 3.92%.
Formula: : = Previous year row 48 from B1 Integrated Fin * 3.9166%
</t>
  </si>
  <si>
    <t>Calculation of last 5 years’ average is ≈ 3.92%
1. Pull historical data (2015-2025)
From B. Integrated Fin we took for each historical year:
Depreciation expense (row 10)
Operating Long-Term Assets (row 52)
Example (rounded values for illustration):
Year	Depreciation (USD m)	Operating LT Assets (USD m)	Depreciation ÷ O-LTA
2021	10 987	267 661	4.1 %
2022	11 152	274 478	4.1 %
2023	10 658	283 483	3.8 %
2024	10 945	295 879	3.7 %
2025	10 678 (approx)	279 162 (approx)	3.9 %
2. Compute the ratio each year
For each year:
\text{Depreciation %} = \frac{\text{Depreciation expense for the year}} {\text{Operating Long-Term Assets at start of year}}
3. Average the last 5 years
Average the ratios from the most recent five historical years (2021-2025):
\text{Average Depreciation %} = \frac{\sum_{t=2021}^{2025} \text{Depreciation %}_t}{5} \approx 3.92\%
This gives a representative depreciation-to-asset ratio to project future depreciation when no explicit forecast is provided.</t>
  </si>
  <si>
    <t> Row 23: Net Capex = (Closing Net Long-term Assets - Opening Net Long-term Assets) + Depreciation</t>
  </si>
  <si>
    <t>Formula = (Row 19- Row 17) +Row 21
multiplied by -1 to have same sign convention as for historical values</t>
  </si>
  <si>
    <r>
      <rPr>
        <sz val="11"/>
        <color rgb="FF000000"/>
        <rFont val="Calibri"/>
        <family val="2"/>
      </rPr>
      <t xml:space="preserve">Row 25:Opening Debt (for first historical year) : Opening Debt2026​= </t>
    </r>
    <r>
      <rPr>
        <strike/>
        <sz val="11"/>
        <color rgb="FF000000"/>
        <rFont val="Calibri"/>
        <family val="2"/>
      </rPr>
      <t>2025 (ST Debt)</t>
    </r>
    <r>
      <rPr>
        <sz val="11"/>
        <color rgb="FF000000"/>
        <rFont val="Calibri"/>
        <family val="2"/>
      </rPr>
      <t>+(ST Borrowings)+(Curr Port LT Debt)+</t>
    </r>
    <r>
      <rPr>
        <strike/>
        <sz val="11"/>
        <color rgb="FF000000"/>
        <rFont val="Calibri"/>
        <family val="2"/>
      </rPr>
      <t>(LT Debt)</t>
    </r>
    <r>
      <rPr>
        <sz val="11"/>
        <color rgb="FF000000"/>
        <rFont val="Calibri"/>
        <family val="2"/>
      </rPr>
      <t>+(LT Borrowings) 
For rest years : we first calculate row 27 i.e., closing debt. then we calculate row 26 i.e., change in debt.
Then we carry forward opening debt for all years i.e., Opening Debt (t+1) = Closing Debt (t)</t>
    </r>
  </si>
  <si>
    <t>For the very first forecast year, use same formula as done for historical years 
For next year onwards, need to calculate separately (The historical sheet won’t have projected debt balances, so those cells will be blank)</t>
  </si>
  <si>
    <t xml:space="preserve">For very first forecast year, I used formula for Opening debt: ='A. Raw Historical Data - BS'!V43 +'A. Raw Historical Data - BS'!V44 +'A. Raw Historical Data - BS'!V48 + 'A. Raw Historical Data - BS'!V56 + 'A. Raw Historical Data - BS'!V57 
But in sheet B1, Debt uses formula: =SUM('A. Raw Historical Data - BS'!V44,'A. Raw Historical Data - BS'!V48,'A. Raw Historical Data - BS'!V57)
so to align, removed V43 and V56 from formula </t>
  </si>
  <si>
    <t xml:space="preserve">Row 26:  Increase (Decrease) in Debt: Row 27 - row 25 of same sheet </t>
  </si>
  <si>
    <t>Row 27:  Closing Debt: =  Row 72 from B1 Integrated Fin</t>
  </si>
  <si>
    <t>Once you have build a complete set of financial statements (both historical and forecast), reorganize the financial statements to calculate NOPLAT, its reconciliation to net income, invested capital, and its reconciliation to total funds invested.</t>
  </si>
  <si>
    <t>These are important inputs into the FCF calculation.</t>
  </si>
  <si>
    <t>Operating profit after tax</t>
  </si>
  <si>
    <t>Plus: interest tax shield</t>
  </si>
  <si>
    <t>Less: After-tax Interest Expense</t>
  </si>
  <si>
    <t>Opening Working Capital</t>
  </si>
  <si>
    <t xml:space="preserve">  Change in Working Capital</t>
  </si>
  <si>
    <t>Closing Working Capital</t>
  </si>
  <si>
    <t>Opening Net Long-term Assets</t>
  </si>
  <si>
    <t xml:space="preserve">  Change in Net Long-term Assets</t>
  </si>
  <si>
    <t>Closing Net Long-term Assets</t>
  </si>
  <si>
    <t>Net Capex</t>
  </si>
  <si>
    <t>Opening Debt</t>
  </si>
  <si>
    <t xml:space="preserve">  Increase (Decrease) in Debt</t>
  </si>
  <si>
    <t>Closing Debt</t>
  </si>
  <si>
    <t>Use the 'Reorganized Financial Statements' to build ROIC and FCF.  Future free cash flow will be the basis of this Valuation model</t>
  </si>
  <si>
    <t>Change in Working Capital</t>
  </si>
  <si>
    <t>FCFF</t>
  </si>
  <si>
    <t>Less: Interest Expense Aft Tax</t>
  </si>
  <si>
    <t>Add: Increase in Debt</t>
  </si>
  <si>
    <t>FCFE</t>
  </si>
  <si>
    <t>ROIC</t>
  </si>
  <si>
    <t>This worksheet presents discounted cash flows, discounted economic profits and the final results.</t>
  </si>
  <si>
    <t>FCFF Valuation Model</t>
  </si>
  <si>
    <t>t</t>
  </si>
  <si>
    <t>g</t>
  </si>
  <si>
    <r>
      <rPr>
        <b/>
        <sz val="11"/>
        <color rgb="FF000000"/>
        <rFont val="Calibri"/>
      </rPr>
      <t>PV of FCFF</t>
    </r>
    <r>
      <rPr>
        <b/>
        <vertAlign val="subscript"/>
        <sz val="11"/>
        <color rgb="FF000000"/>
        <rFont val="Calibri"/>
      </rPr>
      <t>2026-2035</t>
    </r>
  </si>
  <si>
    <t>Continuing Value</t>
  </si>
  <si>
    <t>PV of CV</t>
  </si>
  <si>
    <t>Enterprise (Firm) Value</t>
  </si>
  <si>
    <t>Total Debt (Book Value of Debt)</t>
  </si>
  <si>
    <t>Number of outstanding shares</t>
  </si>
  <si>
    <t>Price per share</t>
  </si>
  <si>
    <t>Current price per share (Oct 10, 2025)</t>
  </si>
  <si>
    <t>FCFE Valuation Model</t>
  </si>
  <si>
    <r>
      <rPr>
        <b/>
        <sz val="11"/>
        <color rgb="FF000000"/>
        <rFont val="Calibri"/>
      </rPr>
      <t>PV of FCFE</t>
    </r>
    <r>
      <rPr>
        <b/>
        <vertAlign val="subscript"/>
        <sz val="11"/>
        <color rgb="FF000000"/>
        <rFont val="Calibri"/>
      </rPr>
      <t>2026-2035</t>
    </r>
  </si>
  <si>
    <t>Equity Value</t>
  </si>
  <si>
    <r>
      <t>PV of FCFF</t>
    </r>
    <r>
      <rPr>
        <b/>
        <vertAlign val="subscript"/>
        <sz val="11"/>
        <color theme="1"/>
        <rFont val="Calibri"/>
        <family val="2"/>
        <scheme val="minor"/>
      </rPr>
      <t>2022-2031</t>
    </r>
  </si>
  <si>
    <t>Current price per share (Sep 9, 2022)</t>
  </si>
  <si>
    <r>
      <t>PV of FCFE</t>
    </r>
    <r>
      <rPr>
        <b/>
        <vertAlign val="subscript"/>
        <sz val="11"/>
        <color theme="1"/>
        <rFont val="Calibri"/>
        <family val="2"/>
        <scheme val="minor"/>
      </rPr>
      <t>2022-2031</t>
    </r>
  </si>
  <si>
    <t>Assumptions</t>
  </si>
  <si>
    <t>WACC (Discount Rate)</t>
  </si>
  <si>
    <t xml:space="preserve">Share Price </t>
  </si>
  <si>
    <t>USD 101.96</t>
  </si>
  <si>
    <t>Projected Data</t>
  </si>
  <si>
    <t>Year Count</t>
  </si>
  <si>
    <t>Less: Tax on EBIT</t>
  </si>
  <si>
    <t>Add: Depreciation and amoritization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</si>
</sst>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 #,##0.00_-;\-* #,##0.00_-;_-* &quot;-&quot;??_-;_-@_-"/>
    <numFmt numFmtId="165" formatCode="[$-409]d/mmm/yy;@"/>
    <numFmt numFmtId="166" formatCode="0.0%"/>
    <numFmt numFmtId="167" formatCode="_(* #,##0_);_(* \(#,##0\);_(* &quot;-&quot;??_);_(@_)"/>
    <numFmt numFmtId="168" formatCode="#,##0.0%"/>
    <numFmt numFmtId="169" formatCode="#,##0.0"/>
    <numFmt numFmtId="170" formatCode="0.000"/>
  </numFmts>
  <fonts count="9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4"/>
      <color rgb="FFC00000"/>
      <name val="Calibri"/>
      <family val="2"/>
      <scheme val="minor"/>
    </font>
    <font>
      <sz val="9"/>
      <color indexed="81"/>
      <name val="Tahoma"/>
      <family val="2"/>
    </font>
    <font>
      <b/>
      <sz val="9"/>
      <color indexed="81"/>
      <name val="Tahoma"/>
      <family val="2"/>
    </font>
    <font>
      <u/>
      <sz val="11"/>
      <color theme="1"/>
      <name val="Calibri"/>
      <family val="2"/>
      <scheme val="minor"/>
    </font>
    <font>
      <i/>
      <sz val="9"/>
      <color theme="1"/>
      <name val="Calibri"/>
      <family val="2"/>
      <scheme val="minor"/>
    </font>
    <font>
      <i/>
      <sz val="11"/>
      <color theme="1"/>
      <name val="Calibri"/>
      <family val="2"/>
      <scheme val="minor"/>
    </font>
    <font>
      <b/>
      <sz val="20"/>
      <color theme="1"/>
      <name val="Calibri"/>
      <family val="2"/>
      <scheme val="minor"/>
    </font>
    <font>
      <sz val="18"/>
      <color theme="1"/>
      <name val="Calibri"/>
      <family val="2"/>
      <scheme val="minor"/>
    </font>
    <font>
      <b/>
      <sz val="20"/>
      <color rgb="FFC00000"/>
      <name val="Calibri"/>
      <family val="2"/>
      <scheme val="minor"/>
    </font>
    <font>
      <b/>
      <sz val="18"/>
      <color theme="1"/>
      <name val="Calibri"/>
      <family val="2"/>
      <scheme val="minor"/>
    </font>
    <font>
      <sz val="16"/>
      <color theme="1"/>
      <name val="Calibri"/>
      <family val="2"/>
      <scheme val="minor"/>
    </font>
    <font>
      <b/>
      <i/>
      <sz val="11"/>
      <color theme="1"/>
      <name val="Calibri"/>
      <family val="2"/>
      <scheme val="minor"/>
    </font>
    <font>
      <vertAlign val="subscript"/>
      <sz val="11"/>
      <color theme="1"/>
      <name val="Calibri"/>
      <family val="2"/>
      <scheme val="minor"/>
    </font>
    <font>
      <b/>
      <u/>
      <sz val="11"/>
      <color theme="1"/>
      <name val="Calibri"/>
      <family val="2"/>
      <scheme val="minor"/>
    </font>
    <font>
      <b/>
      <vertAlign val="subscript"/>
      <sz val="11"/>
      <color theme="1"/>
      <name val="Calibri"/>
      <family val="2"/>
      <scheme val="minor"/>
    </font>
    <font>
      <sz val="11"/>
      <color rgb="FFC00000"/>
      <name val="Calibri"/>
      <family val="2"/>
      <scheme val="minor"/>
    </font>
    <font>
      <b/>
      <sz val="12"/>
      <color theme="1"/>
      <name val="Calibri"/>
      <family val="2"/>
      <scheme val="minor"/>
    </font>
    <font>
      <u/>
      <sz val="11"/>
      <color theme="4"/>
      <name val="Calibri"/>
      <family val="2"/>
      <scheme val="minor"/>
    </font>
    <font>
      <sz val="11"/>
      <color theme="4"/>
      <name val="Calibri"/>
      <family val="2"/>
      <scheme val="minor"/>
    </font>
    <font>
      <b/>
      <sz val="14"/>
      <name val="Calibri"/>
      <family val="2"/>
      <scheme val="minor"/>
    </font>
    <font>
      <u/>
      <sz val="11"/>
      <color rgb="FFC00000"/>
      <name val="Calibri"/>
      <family val="2"/>
      <scheme val="minor"/>
    </font>
    <font>
      <sz val="11"/>
      <name val="Calibri"/>
      <family val="2"/>
      <scheme val="minor"/>
    </font>
    <font>
      <b/>
      <sz val="11"/>
      <name val="Calibri"/>
      <family val="2"/>
      <scheme val="minor"/>
    </font>
    <font>
      <sz val="11"/>
      <color theme="9" tint="-0.249977111117893"/>
      <name val="Calibri"/>
      <family val="2"/>
      <scheme val="minor"/>
    </font>
    <font>
      <u/>
      <sz val="11"/>
      <color theme="9" tint="-0.249977111117893"/>
      <name val="Calibri"/>
      <family val="2"/>
      <scheme val="minor"/>
    </font>
    <font>
      <u/>
      <sz val="11"/>
      <name val="Calibri"/>
      <family val="2"/>
      <scheme val="minor"/>
    </font>
    <font>
      <u/>
      <sz val="11"/>
      <color theme="10"/>
      <name val="Calibri"/>
      <family val="2"/>
      <scheme val="minor"/>
    </font>
    <font>
      <b/>
      <sz val="20"/>
      <color theme="4" tint="-0.249977111117893"/>
      <name val="Calibri"/>
      <family val="2"/>
      <scheme val="minor"/>
    </font>
    <font>
      <sz val="11"/>
      <color theme="1"/>
      <name val="Times New Roman"/>
      <family val="1"/>
    </font>
    <font>
      <sz val="11"/>
      <color theme="10"/>
      <name val="Calibri"/>
      <family val="2"/>
      <scheme val="minor"/>
    </font>
    <font>
      <sz val="11"/>
      <color theme="1"/>
      <name val="Symbol"/>
      <family val="1"/>
      <charset val="2"/>
    </font>
    <font>
      <sz val="7"/>
      <color theme="1"/>
      <name val="Times New Roman"/>
      <family val="1"/>
    </font>
    <font>
      <sz val="4.5"/>
      <color theme="1"/>
      <name val="Times New Roman"/>
      <family val="1"/>
    </font>
    <font>
      <sz val="11"/>
      <color theme="1"/>
      <name val="Calibri"/>
      <family val="2"/>
    </font>
    <font>
      <b/>
      <i/>
      <u/>
      <sz val="11"/>
      <color theme="1"/>
      <name val="Calibri"/>
      <family val="2"/>
      <scheme val="minor"/>
    </font>
    <font>
      <b/>
      <sz val="11"/>
      <color theme="1"/>
      <name val="Calibri"/>
      <family val="2"/>
      <charset val="204"/>
      <scheme val="minor"/>
    </font>
    <font>
      <sz val="11"/>
      <color theme="1"/>
      <name val="Calibri"/>
      <family val="2"/>
      <charset val="204"/>
      <scheme val="minor"/>
    </font>
    <font>
      <i/>
      <sz val="10"/>
      <color rgb="FFFF0000"/>
      <name val="Calibri"/>
      <family val="2"/>
      <scheme val="minor"/>
    </font>
    <font>
      <sz val="11"/>
      <color theme="0"/>
      <name val="Calibri"/>
      <family val="2"/>
      <scheme val="minor"/>
    </font>
    <font>
      <i/>
      <sz val="1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7"/>
      <color theme="1"/>
      <name val="Calibri"/>
      <family val="2"/>
      <scheme val="minor"/>
    </font>
    <font>
      <b/>
      <sz val="11"/>
      <color indexed="9"/>
      <name val="Calibri"/>
      <family val="2"/>
    </font>
    <font>
      <b/>
      <sz val="16"/>
      <color indexed="9"/>
      <name val="Arial"/>
      <family val="2"/>
    </font>
    <font>
      <sz val="10"/>
      <name val="Calibri"/>
      <family val="2"/>
    </font>
    <font>
      <b/>
      <sz val="10"/>
      <color indexed="9"/>
      <name val="Arial"/>
      <family val="2"/>
    </font>
    <font>
      <b/>
      <sz val="10"/>
      <color indexed="8"/>
      <name val="Arial"/>
      <family val="2"/>
    </font>
    <font>
      <sz val="10"/>
      <color indexed="63"/>
      <name val="Arial"/>
      <family val="2"/>
    </font>
    <font>
      <sz val="10"/>
      <color indexed="8"/>
      <name val="Arial"/>
      <family val="2"/>
    </font>
    <font>
      <i/>
      <sz val="10"/>
      <color indexed="8"/>
      <name val="Arial"/>
      <family val="2"/>
    </font>
    <font>
      <b/>
      <sz val="11"/>
      <color rgb="FFFFFFFF"/>
      <name val="Calibri"/>
      <family val="2"/>
    </font>
    <font>
      <b/>
      <sz val="16"/>
      <color rgb="FFFFFFFF"/>
      <name val="Arial"/>
      <family val="2"/>
    </font>
    <font>
      <b/>
      <sz val="10"/>
      <color rgb="FFFFFFFF"/>
      <name val="Arial"/>
      <family val="2"/>
    </font>
    <font>
      <b/>
      <sz val="10"/>
      <color rgb="FF000000"/>
      <name val="Arial"/>
      <family val="2"/>
    </font>
    <font>
      <sz val="10"/>
      <color rgb="FF333333"/>
      <name val="Arial"/>
      <family val="2"/>
    </font>
    <font>
      <sz val="10"/>
      <color rgb="FF000000"/>
      <name val="Arial"/>
      <family val="2"/>
    </font>
    <font>
      <i/>
      <sz val="10"/>
      <color rgb="FF000000"/>
      <name val="Arial"/>
      <family val="2"/>
    </font>
    <font>
      <sz val="11"/>
      <color rgb="FF000000"/>
      <name val="Calibri"/>
      <family val="2"/>
      <scheme val="minor"/>
    </font>
    <font>
      <b/>
      <sz val="11"/>
      <color rgb="FF000000"/>
      <name val="Calibri"/>
      <family val="2"/>
      <scheme val="minor"/>
    </font>
    <font>
      <b/>
      <sz val="11"/>
      <color theme="1"/>
      <name val="Calibri"/>
      <family val="2"/>
    </font>
    <font>
      <i/>
      <sz val="10"/>
      <color theme="1"/>
      <name val="Arial"/>
      <family val="2"/>
    </font>
    <font>
      <b/>
      <sz val="10"/>
      <color theme="1"/>
      <name val="Arial"/>
      <family val="2"/>
    </font>
    <font>
      <sz val="11"/>
      <color rgb="FF242424"/>
      <name val="Aptos Narrow"/>
    </font>
    <font>
      <b/>
      <sz val="11"/>
      <color rgb="FF000000"/>
      <name val="Calibri"/>
      <family val="2"/>
    </font>
    <font>
      <i/>
      <sz val="9"/>
      <color rgb="FF000000"/>
      <name val="Calibri"/>
      <family val="2"/>
    </font>
    <font>
      <u/>
      <sz val="11"/>
      <color rgb="FF000000"/>
      <name val="Calibri"/>
      <family val="2"/>
    </font>
    <font>
      <sz val="11"/>
      <color rgb="FF000000"/>
      <name val="Calibri"/>
      <family val="2"/>
    </font>
    <font>
      <i/>
      <sz val="11"/>
      <color rgb="FF000000"/>
      <name val="Calibri"/>
      <family val="2"/>
    </font>
    <font>
      <sz val="11"/>
      <color theme="1"/>
      <name val="PMingLiU"/>
      <family val="1"/>
      <charset val="136"/>
    </font>
    <font>
      <u/>
      <sz val="11"/>
      <color rgb="FFC00000"/>
      <name val="Calibri"/>
      <family val="2"/>
    </font>
    <font>
      <sz val="11"/>
      <color rgb="FFC00000"/>
      <name val="Calibri"/>
      <family val="2"/>
    </font>
    <font>
      <i/>
      <sz val="11"/>
      <color rgb="FF000000"/>
      <name val="Calibri"/>
      <family val="2"/>
      <scheme val="minor"/>
    </font>
    <font>
      <vertAlign val="subscript"/>
      <sz val="11"/>
      <color rgb="FF000000"/>
      <name val="Calibri"/>
      <family val="2"/>
      <scheme val="minor"/>
    </font>
    <font>
      <sz val="11"/>
      <color theme="1"/>
      <name val="Calibri"/>
      <family val="2"/>
      <scheme val="minor"/>
    </font>
    <font>
      <sz val="11"/>
      <name val="Calibri"/>
      <family val="2"/>
    </font>
    <font>
      <sz val="11"/>
      <color rgb="FFFFFFFF"/>
      <name val="Calibri"/>
      <family val="2"/>
    </font>
    <font>
      <sz val="11"/>
      <color rgb="FFFF0000"/>
      <name val="Aptos Narrow"/>
    </font>
    <font>
      <strike/>
      <sz val="11"/>
      <color rgb="FF000000"/>
      <name val="Calibri"/>
      <family val="2"/>
    </font>
    <font>
      <sz val="14"/>
      <color rgb="FFC00000"/>
      <name val="Calibri (Body)"/>
    </font>
    <font>
      <sz val="11"/>
      <color rgb="FF000000"/>
      <name val="Calibri"/>
    </font>
    <font>
      <b/>
      <sz val="11"/>
      <color rgb="FF000000"/>
      <name val="Calibri"/>
    </font>
    <font>
      <b/>
      <vertAlign val="subscript"/>
      <sz val="11"/>
      <color rgb="FF000000"/>
      <name val="Calibri"/>
    </font>
  </fonts>
  <fills count="60">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
      <patternFill patternType="solid">
        <fgColor rgb="FFFFFFFF"/>
        <bgColor indexed="64"/>
      </patternFill>
    </fill>
    <fill>
      <patternFill patternType="solid">
        <fgColor rgb="FFF2F2F2"/>
        <bgColor indexed="64"/>
      </patternFill>
    </fill>
    <fill>
      <patternFill patternType="solid">
        <fgColor rgb="FF4F81BD"/>
        <bgColor rgb="FF4F81BD"/>
      </patternFill>
    </fill>
    <fill>
      <patternFill patternType="solid">
        <fgColor rgb="FFFFFFFF"/>
        <bgColor rgb="FFFFFFFF"/>
      </patternFill>
    </fill>
    <fill>
      <patternFill patternType="solid">
        <fgColor rgb="FFF2F2F2"/>
        <bgColor rgb="FFF2F2F2"/>
      </patternFill>
    </fill>
    <fill>
      <patternFill patternType="solid">
        <fgColor rgb="FFFFFF00"/>
        <bgColor indexed="64"/>
      </patternFill>
    </fill>
    <fill>
      <patternFill patternType="solid">
        <fgColor rgb="FFFFFF00"/>
        <bgColor rgb="FFFFFFFF"/>
      </patternFill>
    </fill>
    <fill>
      <patternFill patternType="solid">
        <fgColor rgb="FFFFFFFF"/>
        <bgColor rgb="FF000000"/>
      </patternFill>
    </fill>
    <fill>
      <patternFill patternType="solid">
        <fgColor rgb="FFFCE4D6"/>
        <bgColor rgb="FF000000"/>
      </patternFill>
    </fill>
    <fill>
      <patternFill patternType="solid">
        <fgColor rgb="FFDEEAF6"/>
        <bgColor rgb="FFDEEAF6"/>
      </patternFill>
    </fill>
    <fill>
      <patternFill patternType="solid">
        <fgColor rgb="FFDDEBF7"/>
        <bgColor rgb="FF000000"/>
      </patternFill>
    </fill>
    <fill>
      <patternFill patternType="solid">
        <fgColor rgb="FFFF0000"/>
        <bgColor indexed="64"/>
      </patternFill>
    </fill>
    <fill>
      <patternFill patternType="solid">
        <fgColor rgb="FF92D050"/>
        <bgColor indexed="64"/>
      </patternFill>
    </fill>
    <fill>
      <patternFill patternType="solid">
        <fgColor rgb="FFC6E0B4"/>
        <bgColor rgb="FF000000"/>
      </patternFill>
    </fill>
    <fill>
      <patternFill patternType="solid">
        <fgColor rgb="FFB4C6E7"/>
        <bgColor rgb="FF000000"/>
      </patternFill>
    </fill>
    <fill>
      <patternFill patternType="solid">
        <fgColor rgb="FF000000"/>
        <bgColor rgb="FF000000"/>
      </patternFill>
    </fill>
    <fill>
      <patternFill patternType="solid">
        <fgColor theme="0" tint="-0.249977111117893"/>
        <bgColor indexed="64"/>
      </patternFill>
    </fill>
    <fill>
      <patternFill patternType="solid">
        <fgColor theme="7"/>
        <bgColor indexed="64"/>
      </patternFill>
    </fill>
    <fill>
      <patternFill patternType="solid">
        <fgColor theme="0"/>
        <bgColor indexed="64"/>
      </patternFill>
    </fill>
  </fills>
  <borders count="64">
    <border>
      <left/>
      <right/>
      <top/>
      <bottom/>
      <diagonal/>
    </border>
    <border>
      <left/>
      <right/>
      <top/>
      <bottom style="thin">
        <color indexed="64"/>
      </bottom>
      <diagonal/>
    </border>
    <border>
      <left style="thin">
        <color indexed="64"/>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right style="medium">
        <color indexed="64"/>
      </right>
      <top/>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style="thin">
        <color indexed="64"/>
      </top>
      <bottom/>
      <diagonal/>
    </border>
    <border>
      <left style="thick">
        <color auto="1"/>
      </left>
      <right/>
      <top/>
      <bottom/>
      <diagonal/>
    </border>
    <border>
      <left style="thick">
        <color auto="1"/>
      </left>
      <right/>
      <top style="thin">
        <color indexed="64"/>
      </top>
      <bottom style="thin">
        <color indexed="64"/>
      </bottom>
      <diagonal/>
    </border>
    <border>
      <left style="thick">
        <color auto="1"/>
      </left>
      <right/>
      <top/>
      <bottom style="thin">
        <color indexed="64"/>
      </bottom>
      <diagonal/>
    </border>
    <border>
      <left style="thick">
        <color auto="1"/>
      </left>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auto="1"/>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top style="thin">
        <color rgb="FFCCCCCC"/>
      </top>
      <bottom style="thin">
        <color rgb="FFCCCCCC"/>
      </bottom>
      <diagonal/>
    </border>
    <border>
      <left/>
      <right/>
      <top/>
      <bottom style="thin">
        <color rgb="FF000000"/>
      </bottom>
      <diagonal/>
    </border>
    <border>
      <left style="thick">
        <color rgb="FF000000"/>
      </left>
      <right/>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63">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30" fillId="0" borderId="0" applyNumberFormat="0" applyFill="0" applyBorder="0" applyAlignment="0" applyProtection="0"/>
    <xf numFmtId="0" fontId="44" fillId="0" borderId="0" applyNumberFormat="0" applyFill="0" applyBorder="0" applyAlignment="0" applyProtection="0"/>
    <xf numFmtId="0" fontId="45" fillId="0" borderId="26" applyNumberFormat="0" applyFill="0" applyAlignment="0" applyProtection="0"/>
    <xf numFmtId="0" fontId="46" fillId="0" borderId="27" applyNumberFormat="0" applyFill="0" applyAlignment="0" applyProtection="0"/>
    <xf numFmtId="0" fontId="47" fillId="0" borderId="28" applyNumberFormat="0" applyFill="0" applyAlignment="0" applyProtection="0"/>
    <xf numFmtId="0" fontId="47" fillId="0" borderId="0" applyNumberFormat="0" applyFill="0" applyBorder="0" applyAlignment="0" applyProtection="0"/>
    <xf numFmtId="0" fontId="48" fillId="9" borderId="0" applyNumberFormat="0" applyBorder="0" applyAlignment="0" applyProtection="0"/>
    <xf numFmtId="0" fontId="49" fillId="10" borderId="0" applyNumberFormat="0" applyBorder="0" applyAlignment="0" applyProtection="0"/>
    <xf numFmtId="0" fontId="50" fillId="11" borderId="0" applyNumberFormat="0" applyBorder="0" applyAlignment="0" applyProtection="0"/>
    <xf numFmtId="0" fontId="51" fillId="12" borderId="29" applyNumberFormat="0" applyAlignment="0" applyProtection="0"/>
    <xf numFmtId="0" fontId="52" fillId="13" borderId="30" applyNumberFormat="0" applyAlignment="0" applyProtection="0"/>
    <xf numFmtId="0" fontId="53" fillId="13" borderId="29" applyNumberFormat="0" applyAlignment="0" applyProtection="0"/>
    <xf numFmtId="0" fontId="54" fillId="0" borderId="31" applyNumberFormat="0" applyFill="0" applyAlignment="0" applyProtection="0"/>
    <xf numFmtId="0" fontId="2" fillId="14" borderId="32" applyNumberFormat="0" applyAlignment="0" applyProtection="0"/>
    <xf numFmtId="0" fontId="55" fillId="0" borderId="0" applyNumberFormat="0" applyFill="0" applyBorder="0" applyAlignment="0" applyProtection="0"/>
    <xf numFmtId="0" fontId="1" fillId="15" borderId="33" applyNumberFormat="0" applyFont="0" applyAlignment="0" applyProtection="0"/>
    <xf numFmtId="0" fontId="56" fillId="0" borderId="0" applyNumberFormat="0" applyFill="0" applyBorder="0" applyAlignment="0" applyProtection="0"/>
    <xf numFmtId="0" fontId="3" fillId="0" borderId="34" applyNumberFormat="0" applyFill="0" applyAlignment="0" applyProtection="0"/>
    <xf numFmtId="0" fontId="4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4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58" fillId="40" borderId="0"/>
    <xf numFmtId="0" fontId="59" fillId="40" borderId="18" applyNumberFormat="0" applyProtection="0">
      <alignment horizontal="left" vertical="center" readingOrder="1"/>
    </xf>
    <xf numFmtId="0" fontId="60" fillId="41" borderId="0" applyNumberFormat="0" applyBorder="0" applyProtection="0">
      <alignment horizontal="center"/>
    </xf>
    <xf numFmtId="0" fontId="61" fillId="40" borderId="37">
      <alignment horizontal="left"/>
    </xf>
    <xf numFmtId="0" fontId="61" fillId="40" borderId="37">
      <alignment horizontal="right"/>
    </xf>
    <xf numFmtId="0" fontId="61" fillId="40" borderId="38">
      <alignment horizontal="left"/>
    </xf>
    <xf numFmtId="0" fontId="61" fillId="40" borderId="38">
      <alignment horizontal="right"/>
    </xf>
    <xf numFmtId="0" fontId="62" fillId="41" borderId="2"/>
    <xf numFmtId="3" fontId="62" fillId="41" borderId="39">
      <alignment horizontal="right"/>
    </xf>
    <xf numFmtId="0" fontId="63" fillId="41" borderId="2"/>
    <xf numFmtId="3" fontId="64" fillId="41" borderId="39">
      <alignment horizontal="right"/>
    </xf>
    <xf numFmtId="169" fontId="64" fillId="41" borderId="39">
      <alignment horizontal="right"/>
    </xf>
    <xf numFmtId="169" fontId="62" fillId="41" borderId="39">
      <alignment horizontal="right"/>
    </xf>
    <xf numFmtId="4" fontId="64" fillId="41" borderId="39">
      <alignment horizontal="right"/>
    </xf>
    <xf numFmtId="0" fontId="65" fillId="42" borderId="19" applyNumberFormat="0" applyAlignment="0" applyProtection="0"/>
    <xf numFmtId="164" fontId="1" fillId="0" borderId="0" applyFont="0" applyFill="0" applyBorder="0" applyAlignment="0" applyProtection="0"/>
    <xf numFmtId="0" fontId="89" fillId="0" borderId="0"/>
  </cellStyleXfs>
  <cellXfs count="363">
    <xf numFmtId="0" fontId="0" fillId="0" borderId="0" xfId="0"/>
    <xf numFmtId="0" fontId="4" fillId="0" borderId="0" xfId="0" applyFont="1"/>
    <xf numFmtId="38" fontId="0" fillId="0" borderId="0" xfId="0" applyNumberFormat="1"/>
    <xf numFmtId="38" fontId="0" fillId="0" borderId="1" xfId="0" applyNumberFormat="1" applyBorder="1"/>
    <xf numFmtId="37" fontId="0" fillId="0" borderId="1" xfId="0" applyNumberFormat="1" applyBorder="1"/>
    <xf numFmtId="37" fontId="0" fillId="0" borderId="0" xfId="0" applyNumberFormat="1"/>
    <xf numFmtId="38" fontId="3" fillId="0" borderId="0" xfId="0" applyNumberFormat="1" applyFont="1"/>
    <xf numFmtId="166" fontId="0" fillId="0" borderId="0" xfId="2" applyNumberFormat="1" applyFont="1"/>
    <xf numFmtId="0" fontId="7" fillId="0" borderId="0" xfId="0" applyFont="1"/>
    <xf numFmtId="0" fontId="7" fillId="3" borderId="0" xfId="0" applyFont="1" applyFill="1"/>
    <xf numFmtId="0" fontId="0" fillId="3" borderId="0" xfId="0" applyFill="1"/>
    <xf numFmtId="38" fontId="0" fillId="3" borderId="0" xfId="0" applyNumberFormat="1" applyFill="1"/>
    <xf numFmtId="38" fontId="0" fillId="3" borderId="1" xfId="0" applyNumberFormat="1" applyFill="1" applyBorder="1"/>
    <xf numFmtId="38" fontId="3" fillId="3" borderId="0" xfId="0" applyNumberFormat="1" applyFont="1" applyFill="1"/>
    <xf numFmtId="0" fontId="0" fillId="0" borderId="2" xfId="0" applyBorder="1"/>
    <xf numFmtId="1" fontId="2" fillId="6" borderId="0" xfId="1" applyNumberFormat="1" applyFont="1" applyFill="1" applyBorder="1" applyAlignment="1">
      <alignment horizontal="center"/>
    </xf>
    <xf numFmtId="0" fontId="0" fillId="0" borderId="0" xfId="0" applyAlignment="1">
      <alignment horizontal="center"/>
    </xf>
    <xf numFmtId="0" fontId="3" fillId="0" borderId="0" xfId="0" applyFont="1"/>
    <xf numFmtId="0" fontId="0" fillId="0" borderId="0" xfId="0" applyAlignment="1">
      <alignment vertical="center"/>
    </xf>
    <xf numFmtId="0" fontId="11" fillId="0" borderId="5" xfId="0" applyFont="1" applyBorder="1" applyAlignment="1">
      <alignment vertical="center"/>
    </xf>
    <xf numFmtId="0" fontId="0" fillId="0" borderId="6" xfId="0" applyBorder="1" applyAlignment="1">
      <alignment wrapText="1"/>
    </xf>
    <xf numFmtId="0" fontId="0" fillId="0" borderId="7" xfId="0" applyBorder="1" applyAlignment="1">
      <alignment wrapText="1"/>
    </xf>
    <xf numFmtId="0" fontId="0" fillId="0" borderId="7" xfId="0" applyBorder="1"/>
    <xf numFmtId="0" fontId="0" fillId="0" borderId="7" xfId="0" applyBorder="1" applyAlignment="1">
      <alignment horizontal="left" vertical="center"/>
    </xf>
    <xf numFmtId="0" fontId="0" fillId="0" borderId="10" xfId="0" applyBorder="1"/>
    <xf numFmtId="0" fontId="0" fillId="0" borderId="7" xfId="0" applyBorder="1" applyAlignment="1">
      <alignment horizontal="left" wrapText="1"/>
    </xf>
    <xf numFmtId="0" fontId="11" fillId="0" borderId="11" xfId="0" applyFont="1" applyBorder="1" applyAlignment="1">
      <alignment vertical="center"/>
    </xf>
    <xf numFmtId="166" fontId="3" fillId="0" borderId="0" xfId="2" applyNumberFormat="1" applyFont="1"/>
    <xf numFmtId="0" fontId="14" fillId="0" borderId="5" xfId="0" applyFont="1" applyBorder="1" applyAlignment="1">
      <alignment vertical="center"/>
    </xf>
    <xf numFmtId="0" fontId="14" fillId="0" borderId="12" xfId="0" applyFont="1" applyBorder="1" applyAlignment="1">
      <alignment vertical="center"/>
    </xf>
    <xf numFmtId="0" fontId="0" fillId="0" borderId="6" xfId="0" applyBorder="1"/>
    <xf numFmtId="10" fontId="0" fillId="0" borderId="0" xfId="2" applyNumberFormat="1" applyFont="1"/>
    <xf numFmtId="10" fontId="0" fillId="0" borderId="0" xfId="0" applyNumberFormat="1"/>
    <xf numFmtId="10" fontId="0" fillId="0" borderId="0" xfId="2" applyNumberFormat="1" applyFont="1" applyBorder="1"/>
    <xf numFmtId="37" fontId="0" fillId="0" borderId="2" xfId="0" applyNumberFormat="1" applyBorder="1"/>
    <xf numFmtId="0" fontId="17" fillId="0" borderId="0" xfId="0" applyFont="1"/>
    <xf numFmtId="44" fontId="0" fillId="0" borderId="0" xfId="3" applyFont="1"/>
    <xf numFmtId="37" fontId="0" fillId="2" borderId="0" xfId="0" applyNumberFormat="1" applyFill="1"/>
    <xf numFmtId="0" fontId="3" fillId="0" borderId="4" xfId="0" applyFont="1" applyBorder="1"/>
    <xf numFmtId="0" fontId="20" fillId="0" borderId="5" xfId="0" applyFont="1" applyBorder="1" applyAlignment="1">
      <alignment horizontal="center"/>
    </xf>
    <xf numFmtId="0" fontId="9" fillId="0" borderId="13" xfId="0" applyFont="1" applyBorder="1"/>
    <xf numFmtId="0" fontId="0" fillId="0" borderId="5" xfId="0" applyBorder="1" applyAlignment="1">
      <alignment horizontal="center"/>
    </xf>
    <xf numFmtId="0" fontId="0" fillId="0" borderId="13" xfId="0" applyBorder="1"/>
    <xf numFmtId="0" fontId="25" fillId="0" borderId="0" xfId="0" applyFont="1"/>
    <xf numFmtId="166" fontId="0" fillId="0" borderId="13" xfId="2" applyNumberFormat="1" applyFont="1" applyBorder="1" applyAlignment="1">
      <alignment horizontal="left"/>
    </xf>
    <xf numFmtId="0" fontId="0" fillId="0" borderId="15" xfId="0" applyBorder="1" applyAlignment="1">
      <alignment horizontal="center"/>
    </xf>
    <xf numFmtId="0" fontId="0" fillId="0" borderId="17" xfId="0" applyBorder="1"/>
    <xf numFmtId="0" fontId="32" fillId="0" borderId="0" xfId="0" applyFont="1" applyAlignment="1">
      <alignment vertical="center"/>
    </xf>
    <xf numFmtId="0" fontId="30" fillId="0" borderId="0" xfId="4" applyAlignment="1">
      <alignment vertical="center"/>
    </xf>
    <xf numFmtId="0" fontId="34" fillId="0" borderId="0" xfId="0" applyFont="1" applyAlignment="1">
      <alignment horizontal="left" vertical="center" indent="5"/>
    </xf>
    <xf numFmtId="0" fontId="36" fillId="0" borderId="0" xfId="0" applyFont="1" applyAlignment="1">
      <alignment vertical="center"/>
    </xf>
    <xf numFmtId="9" fontId="0" fillId="0" borderId="2" xfId="2" applyFont="1" applyBorder="1"/>
    <xf numFmtId="37" fontId="3" fillId="2" borderId="18" xfId="0" applyNumberFormat="1" applyFont="1" applyFill="1" applyBorder="1"/>
    <xf numFmtId="0" fontId="0" fillId="2" borderId="0" xfId="0" applyFill="1"/>
    <xf numFmtId="0" fontId="3" fillId="8" borderId="18" xfId="0" applyFont="1" applyFill="1" applyBorder="1" applyAlignment="1">
      <alignment vertical="center"/>
    </xf>
    <xf numFmtId="165" fontId="0" fillId="8" borderId="18" xfId="0" applyNumberFormat="1" applyFill="1" applyBorder="1" applyAlignment="1">
      <alignment vertical="center"/>
    </xf>
    <xf numFmtId="1" fontId="0" fillId="4" borderId="18" xfId="1" applyNumberFormat="1" applyFont="1" applyFill="1" applyBorder="1" applyAlignment="1">
      <alignment horizontal="center"/>
    </xf>
    <xf numFmtId="1" fontId="0" fillId="5" borderId="18" xfId="1" applyNumberFormat="1" applyFont="1" applyFill="1" applyBorder="1" applyAlignment="1">
      <alignment horizontal="center"/>
    </xf>
    <xf numFmtId="1" fontId="2" fillId="6" borderId="18" xfId="1" applyNumberFormat="1" applyFont="1" applyFill="1" applyBorder="1" applyAlignment="1">
      <alignment horizontal="center"/>
    </xf>
    <xf numFmtId="1" fontId="0" fillId="4" borderId="19" xfId="1" applyNumberFormat="1" applyFont="1" applyFill="1" applyBorder="1" applyAlignment="1">
      <alignment horizontal="center"/>
    </xf>
    <xf numFmtId="38" fontId="0" fillId="8" borderId="18" xfId="0" applyNumberFormat="1" applyFill="1" applyBorder="1"/>
    <xf numFmtId="37" fontId="0" fillId="3" borderId="0" xfId="0" applyNumberFormat="1" applyFill="1"/>
    <xf numFmtId="38" fontId="0" fillId="2" borderId="18" xfId="0" applyNumberFormat="1" applyFill="1" applyBorder="1"/>
    <xf numFmtId="37" fontId="0" fillId="2" borderId="18" xfId="0" applyNumberFormat="1" applyFill="1" applyBorder="1"/>
    <xf numFmtId="0" fontId="0" fillId="0" borderId="1" xfId="0" applyBorder="1"/>
    <xf numFmtId="37" fontId="3" fillId="0" borderId="0" xfId="0" applyNumberFormat="1" applyFont="1"/>
    <xf numFmtId="0" fontId="9" fillId="0" borderId="0" xfId="0" applyFont="1"/>
    <xf numFmtId="0" fontId="0" fillId="0" borderId="20" xfId="0" applyBorder="1"/>
    <xf numFmtId="167" fontId="0" fillId="0" borderId="20" xfId="1" applyNumberFormat="1" applyFont="1" applyBorder="1"/>
    <xf numFmtId="37" fontId="3" fillId="0" borderId="23" xfId="0" applyNumberFormat="1" applyFont="1" applyBorder="1"/>
    <xf numFmtId="0" fontId="4" fillId="0" borderId="20" xfId="0" applyFont="1" applyBorder="1"/>
    <xf numFmtId="0" fontId="0" fillId="3" borderId="20" xfId="0" applyFill="1" applyBorder="1"/>
    <xf numFmtId="0" fontId="39" fillId="0" borderId="0" xfId="0" applyFont="1" applyAlignment="1">
      <alignment wrapText="1"/>
    </xf>
    <xf numFmtId="168" fontId="40" fillId="0" borderId="0" xfId="0" applyNumberFormat="1" applyFont="1"/>
    <xf numFmtId="0" fontId="0" fillId="4" borderId="21" xfId="1" applyNumberFormat="1" applyFont="1" applyFill="1" applyBorder="1" applyAlignment="1">
      <alignment horizontal="center"/>
    </xf>
    <xf numFmtId="0" fontId="0" fillId="0" borderId="7" xfId="0" applyBorder="1" applyAlignment="1">
      <alignment horizontal="left" vertical="center" wrapText="1"/>
    </xf>
    <xf numFmtId="38" fontId="25" fillId="0" borderId="0" xfId="0" applyNumberFormat="1" applyFont="1"/>
    <xf numFmtId="166" fontId="25" fillId="0" borderId="20" xfId="0" applyNumberFormat="1" applyFont="1" applyBorder="1"/>
    <xf numFmtId="0" fontId="0" fillId="0" borderId="24" xfId="0" applyBorder="1"/>
    <xf numFmtId="37" fontId="0" fillId="0" borderId="24" xfId="0" applyNumberFormat="1" applyBorder="1"/>
    <xf numFmtId="10" fontId="25" fillId="0" borderId="0" xfId="0" applyNumberFormat="1" applyFont="1"/>
    <xf numFmtId="10" fontId="25" fillId="0" borderId="0" xfId="2" applyNumberFormat="1" applyFont="1" applyBorder="1"/>
    <xf numFmtId="37" fontId="25" fillId="0" borderId="0" xfId="0" applyNumberFormat="1" applyFont="1"/>
    <xf numFmtId="0" fontId="25" fillId="0" borderId="0" xfId="0" applyFont="1" applyAlignment="1">
      <alignment horizontal="center"/>
    </xf>
    <xf numFmtId="0" fontId="0" fillId="0" borderId="24" xfId="0" applyBorder="1" applyAlignment="1">
      <alignment horizontal="center"/>
    </xf>
    <xf numFmtId="10" fontId="0" fillId="0" borderId="24" xfId="2" applyNumberFormat="1" applyFont="1" applyBorder="1"/>
    <xf numFmtId="37" fontId="0" fillId="2" borderId="24" xfId="0" applyNumberFormat="1" applyFill="1" applyBorder="1"/>
    <xf numFmtId="38" fontId="0" fillId="0" borderId="24" xfId="0" applyNumberFormat="1" applyBorder="1"/>
    <xf numFmtId="0" fontId="20" fillId="0" borderId="0" xfId="0" applyFont="1"/>
    <xf numFmtId="0" fontId="21" fillId="0" borderId="0" xfId="0" applyFont="1"/>
    <xf numFmtId="0" fontId="19" fillId="0" borderId="0" xfId="0" applyFont="1"/>
    <xf numFmtId="0" fontId="0" fillId="0" borderId="0" xfId="0" applyAlignment="1">
      <alignment horizontal="left"/>
    </xf>
    <xf numFmtId="0" fontId="27" fillId="0" borderId="0" xfId="0" applyFont="1"/>
    <xf numFmtId="0" fontId="0" fillId="0" borderId="0" xfId="0" applyAlignment="1">
      <alignment horizontal="left" wrapText="1"/>
    </xf>
    <xf numFmtId="0" fontId="41" fillId="0" borderId="13" xfId="0" applyFont="1" applyBorder="1"/>
    <xf numFmtId="0" fontId="0" fillId="0" borderId="0" xfId="0" applyAlignment="1">
      <alignment horizontal="right" wrapText="1"/>
    </xf>
    <xf numFmtId="0" fontId="0" fillId="0" borderId="0" xfId="0" applyAlignment="1">
      <alignment horizontal="right"/>
    </xf>
    <xf numFmtId="0" fontId="0" fillId="0" borderId="16" xfId="0" applyBorder="1"/>
    <xf numFmtId="0" fontId="12" fillId="0" borderId="5" xfId="0" applyFont="1" applyBorder="1" applyAlignment="1">
      <alignment vertical="center"/>
    </xf>
    <xf numFmtId="0" fontId="13" fillId="0" borderId="9" xfId="0" applyFont="1" applyBorder="1" applyAlignment="1">
      <alignment vertical="center"/>
    </xf>
    <xf numFmtId="0" fontId="13" fillId="0" borderId="5" xfId="0" applyFont="1" applyBorder="1" applyAlignment="1">
      <alignment vertical="center"/>
    </xf>
    <xf numFmtId="0" fontId="0" fillId="0" borderId="0" xfId="0" applyAlignment="1">
      <alignment horizontal="center" wrapText="1"/>
    </xf>
    <xf numFmtId="0" fontId="12" fillId="0" borderId="8" xfId="0" applyFont="1" applyBorder="1" applyAlignment="1">
      <alignment vertical="center"/>
    </xf>
    <xf numFmtId="167" fontId="0" fillId="0" borderId="0" xfId="1" applyNumberFormat="1" applyFont="1" applyFill="1" applyBorder="1"/>
    <xf numFmtId="38" fontId="42" fillId="0" borderId="20" xfId="0" applyNumberFormat="1" applyFont="1" applyBorder="1"/>
    <xf numFmtId="167" fontId="42" fillId="0" borderId="20" xfId="1" applyNumberFormat="1" applyFont="1" applyBorder="1"/>
    <xf numFmtId="167" fontId="42" fillId="0" borderId="0" xfId="1" applyNumberFormat="1" applyFont="1" applyBorder="1"/>
    <xf numFmtId="0" fontId="42" fillId="0" borderId="0" xfId="0" applyFont="1"/>
    <xf numFmtId="38" fontId="42" fillId="0" borderId="0" xfId="0" applyNumberFormat="1" applyFont="1"/>
    <xf numFmtId="0" fontId="42" fillId="0" borderId="20" xfId="0" applyFont="1" applyBorder="1"/>
    <xf numFmtId="0" fontId="42" fillId="0" borderId="22" xfId="0" applyFont="1" applyBorder="1"/>
    <xf numFmtId="37" fontId="42" fillId="0" borderId="20" xfId="0" applyNumberFormat="1" applyFont="1" applyBorder="1"/>
    <xf numFmtId="37" fontId="42" fillId="0" borderId="0" xfId="0" applyNumberFormat="1" applyFont="1"/>
    <xf numFmtId="167" fontId="42" fillId="0" borderId="0" xfId="0" applyNumberFormat="1" applyFont="1"/>
    <xf numFmtId="166" fontId="25" fillId="0" borderId="0" xfId="2" applyNumberFormat="1" applyFont="1" applyFill="1" applyBorder="1"/>
    <xf numFmtId="0" fontId="25" fillId="0" borderId="20" xfId="0" applyFont="1" applyBorder="1"/>
    <xf numFmtId="167" fontId="25" fillId="0" borderId="20" xfId="1" applyNumberFormat="1" applyFont="1" applyBorder="1"/>
    <xf numFmtId="38" fontId="25" fillId="0" borderId="20" xfId="0" applyNumberFormat="1" applyFont="1" applyBorder="1"/>
    <xf numFmtId="167" fontId="25" fillId="0" borderId="0" xfId="1" applyNumberFormat="1" applyFont="1" applyBorder="1"/>
    <xf numFmtId="38" fontId="25" fillId="0" borderId="19" xfId="0" applyNumberFormat="1" applyFont="1" applyBorder="1"/>
    <xf numFmtId="38" fontId="25" fillId="0" borderId="22" xfId="0" applyNumberFormat="1" applyFont="1" applyBorder="1"/>
    <xf numFmtId="38" fontId="26" fillId="0" borderId="20" xfId="0" applyNumberFormat="1" applyFont="1" applyBorder="1"/>
    <xf numFmtId="38" fontId="26" fillId="0" borderId="19" xfId="0" applyNumberFormat="1" applyFont="1" applyBorder="1"/>
    <xf numFmtId="37" fontId="26" fillId="2" borderId="21" xfId="0" applyNumberFormat="1" applyFont="1" applyFill="1" applyBorder="1"/>
    <xf numFmtId="38" fontId="26" fillId="2" borderId="18" xfId="0" applyNumberFormat="1" applyFont="1" applyFill="1" applyBorder="1"/>
    <xf numFmtId="37" fontId="26" fillId="0" borderId="20" xfId="0" applyNumberFormat="1" applyFont="1" applyBorder="1"/>
    <xf numFmtId="38" fontId="26" fillId="0" borderId="0" xfId="0" applyNumberFormat="1" applyFont="1"/>
    <xf numFmtId="37" fontId="25" fillId="0" borderId="20" xfId="0" applyNumberFormat="1" applyFont="1" applyBorder="1"/>
    <xf numFmtId="0" fontId="25" fillId="0" borderId="1" xfId="0" applyFont="1" applyBorder="1"/>
    <xf numFmtId="37" fontId="25" fillId="0" borderId="22" xfId="0" applyNumberFormat="1" applyFont="1" applyBorder="1"/>
    <xf numFmtId="37" fontId="26" fillId="2" borderId="18" xfId="0" applyNumberFormat="1" applyFont="1" applyFill="1" applyBorder="1"/>
    <xf numFmtId="167" fontId="25" fillId="2" borderId="21" xfId="1" applyNumberFormat="1" applyFont="1" applyFill="1" applyBorder="1"/>
    <xf numFmtId="38" fontId="25" fillId="2" borderId="21" xfId="0" applyNumberFormat="1" applyFont="1" applyFill="1" applyBorder="1"/>
    <xf numFmtId="167" fontId="25" fillId="2" borderId="1" xfId="1" applyNumberFormat="1" applyFont="1" applyFill="1" applyBorder="1"/>
    <xf numFmtId="38" fontId="25" fillId="0" borderId="1" xfId="0" applyNumberFormat="1" applyFont="1" applyBorder="1"/>
    <xf numFmtId="38" fontId="25" fillId="2" borderId="1" xfId="0" applyNumberFormat="1" applyFont="1" applyFill="1" applyBorder="1"/>
    <xf numFmtId="167" fontId="25" fillId="2" borderId="18" xfId="1" applyNumberFormat="1" applyFont="1" applyFill="1" applyBorder="1"/>
    <xf numFmtId="38" fontId="25" fillId="3" borderId="20" xfId="0" applyNumberFormat="1" applyFont="1" applyFill="1" applyBorder="1"/>
    <xf numFmtId="38" fontId="25" fillId="3" borderId="22" xfId="0" applyNumberFormat="1" applyFont="1" applyFill="1" applyBorder="1"/>
    <xf numFmtId="38" fontId="25" fillId="3" borderId="0" xfId="0" applyNumberFormat="1" applyFont="1" applyFill="1"/>
    <xf numFmtId="38" fontId="25" fillId="3" borderId="1" xfId="0" applyNumberFormat="1" applyFont="1" applyFill="1" applyBorder="1"/>
    <xf numFmtId="38" fontId="26" fillId="3" borderId="20" xfId="0" applyNumberFormat="1" applyFont="1" applyFill="1" applyBorder="1"/>
    <xf numFmtId="38" fontId="26" fillId="3" borderId="0" xfId="0" applyNumberFormat="1" applyFont="1" applyFill="1"/>
    <xf numFmtId="37" fontId="42" fillId="0" borderId="2" xfId="0" applyNumberFormat="1" applyFont="1" applyBorder="1"/>
    <xf numFmtId="0" fontId="25" fillId="0" borderId="24" xfId="0" applyFont="1" applyBorder="1"/>
    <xf numFmtId="167" fontId="26" fillId="0" borderId="20" xfId="1" applyNumberFormat="1" applyFont="1" applyBorder="1"/>
    <xf numFmtId="0" fontId="43" fillId="0" borderId="13" xfId="0" applyFont="1" applyBorder="1"/>
    <xf numFmtId="0" fontId="2" fillId="6" borderId="13" xfId="0" applyFont="1" applyFill="1" applyBorder="1"/>
    <xf numFmtId="0" fontId="30" fillId="0" borderId="0" xfId="4"/>
    <xf numFmtId="0" fontId="0" fillId="0" borderId="7" xfId="0" applyBorder="1" applyAlignment="1">
      <alignment vertical="center"/>
    </xf>
    <xf numFmtId="38" fontId="0" fillId="8" borderId="35" xfId="0" applyNumberFormat="1" applyFill="1" applyBorder="1"/>
    <xf numFmtId="0" fontId="0" fillId="0" borderId="36" xfId="0" applyBorder="1"/>
    <xf numFmtId="0" fontId="66" fillId="43" borderId="36" xfId="0" applyFont="1" applyFill="1" applyBorder="1"/>
    <xf numFmtId="0" fontId="67" fillId="43" borderId="36" xfId="0" applyFont="1" applyFill="1" applyBorder="1" applyAlignment="1">
      <alignment horizontal="left" vertical="center" readingOrder="1"/>
    </xf>
    <xf numFmtId="0" fontId="68" fillId="43" borderId="36" xfId="0" applyFont="1" applyFill="1" applyBorder="1" applyAlignment="1">
      <alignment horizontal="left"/>
    </xf>
    <xf numFmtId="0" fontId="68" fillId="43" borderId="36" xfId="0" applyFont="1" applyFill="1" applyBorder="1" applyAlignment="1">
      <alignment horizontal="right"/>
    </xf>
    <xf numFmtId="0" fontId="69" fillId="44" borderId="36" xfId="0" applyFont="1" applyFill="1" applyBorder="1"/>
    <xf numFmtId="3" fontId="69" fillId="44" borderId="36" xfId="0" applyNumberFormat="1" applyFont="1" applyFill="1" applyBorder="1" applyAlignment="1">
      <alignment horizontal="right"/>
    </xf>
    <xf numFmtId="0" fontId="70" fillId="44" borderId="36" xfId="0" applyFont="1" applyFill="1" applyBorder="1"/>
    <xf numFmtId="3" fontId="71" fillId="44" borderId="36" xfId="0" applyNumberFormat="1" applyFont="1" applyFill="1" applyBorder="1" applyAlignment="1">
      <alignment horizontal="right"/>
    </xf>
    <xf numFmtId="169" fontId="71" fillId="44" borderId="36" xfId="0" applyNumberFormat="1" applyFont="1" applyFill="1" applyBorder="1" applyAlignment="1">
      <alignment horizontal="right"/>
    </xf>
    <xf numFmtId="169" fontId="69" fillId="44" borderId="36" xfId="0" applyNumberFormat="1" applyFont="1" applyFill="1" applyBorder="1" applyAlignment="1">
      <alignment horizontal="right"/>
    </xf>
    <xf numFmtId="4" fontId="71" fillId="44" borderId="36" xfId="0" applyNumberFormat="1" applyFont="1" applyFill="1" applyBorder="1" applyAlignment="1">
      <alignment horizontal="right"/>
    </xf>
    <xf numFmtId="0" fontId="72" fillId="45" borderId="36" xfId="0" applyFont="1" applyFill="1" applyBorder="1"/>
    <xf numFmtId="0" fontId="58" fillId="40" borderId="36" xfId="46" applyBorder="1"/>
    <xf numFmtId="0" fontId="59" fillId="40" borderId="36" xfId="47" applyBorder="1">
      <alignment horizontal="left" vertical="center" readingOrder="1"/>
    </xf>
    <xf numFmtId="0" fontId="60" fillId="41" borderId="36" xfId="48" applyBorder="1">
      <alignment horizontal="center"/>
    </xf>
    <xf numFmtId="0" fontId="61" fillId="40" borderId="36" xfId="49" applyBorder="1">
      <alignment horizontal="left"/>
    </xf>
    <xf numFmtId="0" fontId="61" fillId="40" borderId="36" xfId="50" applyBorder="1">
      <alignment horizontal="right"/>
    </xf>
    <xf numFmtId="0" fontId="61" fillId="40" borderId="36" xfId="51" applyBorder="1">
      <alignment horizontal="left"/>
    </xf>
    <xf numFmtId="0" fontId="61" fillId="40" borderId="36" xfId="52" applyBorder="1">
      <alignment horizontal="right"/>
    </xf>
    <xf numFmtId="0" fontId="62" fillId="41" borderId="36" xfId="53" applyBorder="1"/>
    <xf numFmtId="3" fontId="62" fillId="41" borderId="36" xfId="54" applyBorder="1">
      <alignment horizontal="right"/>
    </xf>
    <xf numFmtId="0" fontId="63" fillId="41" borderId="36" xfId="55" applyBorder="1"/>
    <xf numFmtId="3" fontId="64" fillId="41" borderId="36" xfId="56" applyBorder="1">
      <alignment horizontal="right"/>
    </xf>
    <xf numFmtId="169" fontId="64" fillId="41" borderId="36" xfId="57" applyBorder="1">
      <alignment horizontal="right"/>
    </xf>
    <xf numFmtId="169" fontId="62" fillId="41" borderId="36" xfId="58" applyBorder="1">
      <alignment horizontal="right"/>
    </xf>
    <xf numFmtId="4" fontId="64" fillId="41" borderId="36" xfId="59" applyBorder="1">
      <alignment horizontal="right"/>
    </xf>
    <xf numFmtId="0" fontId="65" fillId="42" borderId="36" xfId="60" applyBorder="1"/>
    <xf numFmtId="0" fontId="63" fillId="46" borderId="36" xfId="55" applyFill="1" applyBorder="1"/>
    <xf numFmtId="0" fontId="70" fillId="47" borderId="36" xfId="0" applyFont="1" applyFill="1" applyBorder="1"/>
    <xf numFmtId="0" fontId="0" fillId="0" borderId="0" xfId="0" applyAlignment="1">
      <alignment wrapText="1"/>
    </xf>
    <xf numFmtId="169" fontId="0" fillId="0" borderId="0" xfId="0" applyNumberFormat="1"/>
    <xf numFmtId="0" fontId="73" fillId="0" borderId="0" xfId="0" applyFont="1" applyAlignment="1">
      <alignment wrapText="1"/>
    </xf>
    <xf numFmtId="0" fontId="75" fillId="0" borderId="49" xfId="0" applyFont="1" applyBorder="1" applyAlignment="1">
      <alignment readingOrder="1"/>
    </xf>
    <xf numFmtId="0" fontId="75" fillId="0" borderId="52" xfId="0" applyFont="1" applyBorder="1" applyAlignment="1">
      <alignment readingOrder="1"/>
    </xf>
    <xf numFmtId="0" fontId="75" fillId="0" borderId="49" xfId="0" applyFont="1" applyBorder="1" applyAlignment="1">
      <alignment wrapText="1" readingOrder="1"/>
    </xf>
    <xf numFmtId="0" fontId="75" fillId="0" borderId="52" xfId="0" applyFont="1" applyBorder="1" applyAlignment="1">
      <alignment wrapText="1" readingOrder="1"/>
    </xf>
    <xf numFmtId="167" fontId="0" fillId="0" borderId="0" xfId="1" applyNumberFormat="1" applyFont="1"/>
    <xf numFmtId="38" fontId="0" fillId="8" borderId="0" xfId="0" applyNumberFormat="1" applyFill="1"/>
    <xf numFmtId="0" fontId="76" fillId="0" borderId="0" xfId="0" applyFont="1"/>
    <xf numFmtId="0" fontId="77" fillId="41" borderId="54" xfId="0" applyFont="1" applyFill="1" applyBorder="1" applyAlignment="1">
      <alignment readingOrder="1"/>
    </xf>
    <xf numFmtId="0" fontId="77" fillId="41" borderId="46" xfId="0" applyFont="1" applyFill="1" applyBorder="1" applyAlignment="1">
      <alignment readingOrder="1"/>
    </xf>
    <xf numFmtId="0" fontId="76" fillId="42" borderId="48" xfId="0" applyFont="1" applyFill="1" applyBorder="1" applyAlignment="1">
      <alignment readingOrder="1"/>
    </xf>
    <xf numFmtId="0" fontId="69" fillId="48" borderId="39" xfId="0" applyFont="1" applyFill="1" applyBorder="1"/>
    <xf numFmtId="4" fontId="69" fillId="48" borderId="39" xfId="0" applyNumberFormat="1" applyFont="1" applyFill="1" applyBorder="1"/>
    <xf numFmtId="0" fontId="69" fillId="48" borderId="24" xfId="0" applyFont="1" applyFill="1" applyBorder="1"/>
    <xf numFmtId="4" fontId="69" fillId="48" borderId="24" xfId="0" applyNumberFormat="1" applyFont="1" applyFill="1" applyBorder="1"/>
    <xf numFmtId="0" fontId="71" fillId="48" borderId="39" xfId="0" applyFont="1" applyFill="1" applyBorder="1"/>
    <xf numFmtId="0" fontId="71" fillId="48" borderId="24" xfId="0" applyFont="1" applyFill="1" applyBorder="1"/>
    <xf numFmtId="4" fontId="71" fillId="48" borderId="24" xfId="0" applyNumberFormat="1" applyFont="1" applyFill="1" applyBorder="1"/>
    <xf numFmtId="4" fontId="71" fillId="48" borderId="39" xfId="0" applyNumberFormat="1" applyFont="1" applyFill="1" applyBorder="1"/>
    <xf numFmtId="4" fontId="71" fillId="48" borderId="38" xfId="0" applyNumberFormat="1" applyFont="1" applyFill="1" applyBorder="1"/>
    <xf numFmtId="4" fontId="71" fillId="48" borderId="25" xfId="0" applyNumberFormat="1" applyFont="1" applyFill="1" applyBorder="1"/>
    <xf numFmtId="0" fontId="75" fillId="40" borderId="40" xfId="0" applyFont="1" applyFill="1" applyBorder="1" applyAlignment="1">
      <alignment wrapText="1" readingOrder="1"/>
    </xf>
    <xf numFmtId="3" fontId="0" fillId="0" borderId="0" xfId="0" applyNumberFormat="1"/>
    <xf numFmtId="3" fontId="0" fillId="0" borderId="56" xfId="0" applyNumberFormat="1" applyBorder="1"/>
    <xf numFmtId="3" fontId="3" fillId="0" borderId="0" xfId="0" applyNumberFormat="1" applyFont="1"/>
    <xf numFmtId="4" fontId="0" fillId="0" borderId="0" xfId="0" applyNumberFormat="1"/>
    <xf numFmtId="0" fontId="78" fillId="0" borderId="0" xfId="0" quotePrefix="1" applyFont="1" applyAlignment="1">
      <alignment wrapText="1"/>
    </xf>
    <xf numFmtId="3" fontId="0" fillId="0" borderId="0" xfId="0" applyNumberFormat="1" applyAlignment="1">
      <alignment horizontal="right"/>
    </xf>
    <xf numFmtId="0" fontId="79" fillId="49" borderId="18" xfId="0" applyFont="1" applyFill="1" applyBorder="1"/>
    <xf numFmtId="0" fontId="81" fillId="0" borderId="0" xfId="0" applyFont="1"/>
    <xf numFmtId="0" fontId="82" fillId="0" borderId="0" xfId="0" applyFont="1"/>
    <xf numFmtId="0" fontId="79" fillId="0" borderId="0" xfId="0" applyFont="1"/>
    <xf numFmtId="0" fontId="83" fillId="0" borderId="0" xfId="0" applyFont="1"/>
    <xf numFmtId="4" fontId="0" fillId="0" borderId="0" xfId="0" applyNumberFormat="1" applyAlignment="1">
      <alignment wrapText="1"/>
    </xf>
    <xf numFmtId="0" fontId="84" fillId="50" borderId="0" xfId="0" applyFont="1" applyFill="1"/>
    <xf numFmtId="0" fontId="81" fillId="51" borderId="0" xfId="0" applyFont="1" applyFill="1"/>
    <xf numFmtId="0" fontId="82" fillId="51" borderId="0" xfId="0" applyFont="1" applyFill="1"/>
    <xf numFmtId="4" fontId="37" fillId="0" borderId="53" xfId="0" applyNumberFormat="1" applyFont="1" applyBorder="1" applyAlignment="1">
      <alignment readingOrder="1"/>
    </xf>
    <xf numFmtId="0" fontId="0" fillId="52" borderId="0" xfId="0" applyFill="1"/>
    <xf numFmtId="0" fontId="86" fillId="0" borderId="0" xfId="0" applyFont="1"/>
    <xf numFmtId="0" fontId="37" fillId="46" borderId="52" xfId="0" quotePrefix="1" applyFont="1" applyFill="1" applyBorder="1" applyAlignment="1">
      <alignment wrapText="1" readingOrder="1"/>
    </xf>
    <xf numFmtId="4" fontId="37" fillId="46" borderId="53" xfId="0" applyNumberFormat="1" applyFont="1" applyFill="1" applyBorder="1" applyAlignment="1">
      <alignment readingOrder="1"/>
    </xf>
    <xf numFmtId="0" fontId="75" fillId="46" borderId="52" xfId="0" applyFont="1" applyFill="1" applyBorder="1" applyAlignment="1">
      <alignment wrapText="1" readingOrder="1"/>
    </xf>
    <xf numFmtId="0" fontId="0" fillId="53" borderId="0" xfId="0" applyFill="1"/>
    <xf numFmtId="0" fontId="74" fillId="0" borderId="0" xfId="0" applyFont="1"/>
    <xf numFmtId="1" fontId="0" fillId="0" borderId="0" xfId="0" applyNumberFormat="1"/>
    <xf numFmtId="1" fontId="0" fillId="0" borderId="56" xfId="0" applyNumberFormat="1" applyBorder="1"/>
    <xf numFmtId="0" fontId="3" fillId="0" borderId="0" xfId="0" applyFont="1" applyAlignment="1">
      <alignment wrapText="1"/>
    </xf>
    <xf numFmtId="10" fontId="0" fillId="0" borderId="0" xfId="0" applyNumberFormat="1" applyAlignment="1">
      <alignment wrapText="1"/>
    </xf>
    <xf numFmtId="10" fontId="0" fillId="0" borderId="56" xfId="0" applyNumberFormat="1" applyBorder="1"/>
    <xf numFmtId="0" fontId="73" fillId="0" borderId="0" xfId="0" applyFont="1"/>
    <xf numFmtId="1" fontId="0" fillId="0" borderId="0" xfId="0" applyNumberFormat="1" applyAlignment="1">
      <alignment wrapText="1"/>
    </xf>
    <xf numFmtId="1" fontId="3" fillId="0" borderId="0" xfId="0" applyNumberFormat="1" applyFont="1"/>
    <xf numFmtId="166" fontId="1" fillId="0" borderId="0" xfId="62" applyNumberFormat="1" applyFont="1"/>
    <xf numFmtId="166" fontId="0" fillId="0" borderId="0" xfId="0" applyNumberFormat="1"/>
    <xf numFmtId="0" fontId="1" fillId="0" borderId="0" xfId="0" applyFont="1"/>
    <xf numFmtId="9" fontId="0" fillId="0" borderId="0" xfId="2" applyFont="1"/>
    <xf numFmtId="166" fontId="0" fillId="0" borderId="57" xfId="0" applyNumberFormat="1" applyBorder="1"/>
    <xf numFmtId="43" fontId="25" fillId="0" borderId="20" xfId="1" applyFont="1" applyBorder="1"/>
    <xf numFmtId="164" fontId="0" fillId="0" borderId="20" xfId="0" applyNumberFormat="1" applyBorder="1"/>
    <xf numFmtId="43" fontId="0" fillId="0" borderId="1" xfId="1" applyFont="1" applyBorder="1"/>
    <xf numFmtId="43" fontId="0" fillId="2" borderId="18" xfId="1" applyFont="1" applyFill="1" applyBorder="1"/>
    <xf numFmtId="43" fontId="0" fillId="3" borderId="1" xfId="1" applyFont="1" applyFill="1" applyBorder="1"/>
    <xf numFmtId="43" fontId="0" fillId="0" borderId="0" xfId="1" applyFont="1"/>
    <xf numFmtId="43" fontId="3" fillId="0" borderId="0" xfId="1" applyFont="1"/>
    <xf numFmtId="10" fontId="0" fillId="0" borderId="58" xfId="0" applyNumberFormat="1" applyBorder="1"/>
    <xf numFmtId="1" fontId="0" fillId="0" borderId="59" xfId="0" applyNumberFormat="1" applyBorder="1"/>
    <xf numFmtId="9" fontId="0" fillId="0" borderId="0" xfId="0" applyNumberFormat="1"/>
    <xf numFmtId="164" fontId="0" fillId="0" borderId="0" xfId="0" applyNumberFormat="1"/>
    <xf numFmtId="43" fontId="25" fillId="3" borderId="22" xfId="1" applyFont="1" applyFill="1" applyBorder="1"/>
    <xf numFmtId="0" fontId="91" fillId="0" borderId="0" xfId="0" applyFont="1"/>
    <xf numFmtId="0" fontId="3" fillId="57" borderId="60" xfId="0" applyFont="1" applyFill="1" applyBorder="1"/>
    <xf numFmtId="0" fontId="82" fillId="0" borderId="60" xfId="0" applyFont="1" applyBorder="1" applyAlignment="1">
      <alignment wrapText="1"/>
    </xf>
    <xf numFmtId="0" fontId="0" fillId="0" borderId="60" xfId="0" applyBorder="1"/>
    <xf numFmtId="0" fontId="0" fillId="0" borderId="60" xfId="0" applyBorder="1" applyAlignment="1">
      <alignment wrapText="1"/>
    </xf>
    <xf numFmtId="0" fontId="3" fillId="58" borderId="60" xfId="0" applyFont="1" applyFill="1" applyBorder="1"/>
    <xf numFmtId="38" fontId="0" fillId="8" borderId="19" xfId="0" applyNumberFormat="1" applyFill="1" applyBorder="1"/>
    <xf numFmtId="0" fontId="55" fillId="0" borderId="0" xfId="0" applyFont="1"/>
    <xf numFmtId="0" fontId="92" fillId="0" borderId="0" xfId="0" applyFont="1"/>
    <xf numFmtId="0" fontId="0" fillId="0" borderId="61" xfId="0" applyBorder="1" applyAlignment="1">
      <alignment wrapText="1"/>
    </xf>
    <xf numFmtId="0" fontId="82" fillId="0" borderId="62" xfId="0" applyFont="1" applyBorder="1" applyAlignment="1">
      <alignment wrapText="1"/>
    </xf>
    <xf numFmtId="0" fontId="82" fillId="0" borderId="63" xfId="0" applyFont="1" applyBorder="1" applyAlignment="1">
      <alignment wrapText="1"/>
    </xf>
    <xf numFmtId="0" fontId="0" fillId="58" borderId="60" xfId="0" applyFill="1" applyBorder="1" applyAlignment="1">
      <alignment horizontal="left" vertical="top" wrapText="1"/>
    </xf>
    <xf numFmtId="0" fontId="0" fillId="0" borderId="0" xfId="0" applyAlignment="1">
      <alignment horizontal="left" vertical="top" wrapText="1"/>
    </xf>
    <xf numFmtId="3" fontId="25" fillId="0" borderId="0" xfId="0" applyNumberFormat="1" applyFont="1"/>
    <xf numFmtId="38" fontId="25" fillId="46" borderId="0" xfId="0" applyNumberFormat="1" applyFont="1" applyFill="1"/>
    <xf numFmtId="3" fontId="0" fillId="0" borderId="1" xfId="0" applyNumberFormat="1" applyBorder="1"/>
    <xf numFmtId="0" fontId="37" fillId="40" borderId="41" xfId="0" applyFont="1" applyFill="1" applyBorder="1" applyAlignment="1">
      <alignment readingOrder="1"/>
    </xf>
    <xf numFmtId="0" fontId="37" fillId="40" borderId="42" xfId="0" applyFont="1" applyFill="1" applyBorder="1" applyAlignment="1">
      <alignment readingOrder="1"/>
    </xf>
    <xf numFmtId="0" fontId="67" fillId="40" borderId="43" xfId="0" applyFont="1" applyFill="1" applyBorder="1" applyAlignment="1">
      <alignment wrapText="1" readingOrder="1"/>
    </xf>
    <xf numFmtId="0" fontId="37" fillId="40" borderId="44" xfId="0" applyFont="1" applyFill="1" applyBorder="1" applyAlignment="1">
      <alignment readingOrder="1"/>
    </xf>
    <xf numFmtId="0" fontId="37" fillId="40" borderId="45" xfId="0" applyFont="1" applyFill="1" applyBorder="1" applyAlignment="1">
      <alignment readingOrder="1"/>
    </xf>
    <xf numFmtId="0" fontId="37" fillId="41" borderId="43" xfId="0" applyFont="1" applyFill="1" applyBorder="1" applyAlignment="1">
      <alignment wrapText="1" readingOrder="1"/>
    </xf>
    <xf numFmtId="0" fontId="37" fillId="41" borderId="44" xfId="0" applyFont="1" applyFill="1" applyBorder="1" applyAlignment="1">
      <alignment readingOrder="1"/>
    </xf>
    <xf numFmtId="0" fontId="37" fillId="41" borderId="45" xfId="0" applyFont="1" applyFill="1" applyBorder="1" applyAlignment="1">
      <alignment readingOrder="1"/>
    </xf>
    <xf numFmtId="0" fontId="68" fillId="40" borderId="46" xfId="0" applyFont="1" applyFill="1" applyBorder="1" applyAlignment="1">
      <alignment wrapText="1" readingOrder="1"/>
    </xf>
    <xf numFmtId="0" fontId="37" fillId="40" borderId="47" xfId="0" applyFont="1" applyFill="1" applyBorder="1" applyAlignment="1">
      <alignment readingOrder="1"/>
    </xf>
    <xf numFmtId="0" fontId="68" fillId="40" borderId="47" xfId="0" applyFont="1" applyFill="1" applyBorder="1" applyAlignment="1">
      <alignment readingOrder="1"/>
    </xf>
    <xf numFmtId="0" fontId="68" fillId="40" borderId="48" xfId="0" applyFont="1" applyFill="1" applyBorder="1" applyAlignment="1">
      <alignment wrapText="1" readingOrder="1"/>
    </xf>
    <xf numFmtId="14" fontId="68" fillId="40" borderId="45" xfId="0" applyNumberFormat="1" applyFont="1" applyFill="1" applyBorder="1" applyAlignment="1">
      <alignment readingOrder="1"/>
    </xf>
    <xf numFmtId="0" fontId="37" fillId="0" borderId="50" xfId="0" applyFont="1" applyBorder="1" applyAlignment="1">
      <alignment wrapText="1" readingOrder="1"/>
    </xf>
    <xf numFmtId="0" fontId="37" fillId="0" borderId="50" xfId="0" applyFont="1" applyBorder="1" applyAlignment="1">
      <alignment readingOrder="1"/>
    </xf>
    <xf numFmtId="0" fontId="37" fillId="0" borderId="51" xfId="0" applyFont="1" applyBorder="1" applyAlignment="1">
      <alignment readingOrder="1"/>
    </xf>
    <xf numFmtId="0" fontId="37" fillId="0" borderId="52" xfId="0" quotePrefix="1" applyFont="1" applyBorder="1" applyAlignment="1">
      <alignment readingOrder="1"/>
    </xf>
    <xf numFmtId="0" fontId="37" fillId="0" borderId="53" xfId="0" applyFont="1" applyBorder="1" applyAlignment="1">
      <alignment wrapText="1" readingOrder="1"/>
    </xf>
    <xf numFmtId="4" fontId="37" fillId="0" borderId="53" xfId="0" applyNumberFormat="1" applyFont="1" applyBorder="1" applyAlignment="1">
      <alignment wrapText="1" readingOrder="1"/>
    </xf>
    <xf numFmtId="4" fontId="37" fillId="0" borderId="47" xfId="0" applyNumberFormat="1" applyFont="1" applyBorder="1" applyAlignment="1">
      <alignment readingOrder="1"/>
    </xf>
    <xf numFmtId="0" fontId="37" fillId="0" borderId="53" xfId="0" applyFont="1" applyBorder="1" applyAlignment="1">
      <alignment readingOrder="1"/>
    </xf>
    <xf numFmtId="0" fontId="37" fillId="0" borderId="47" xfId="0" applyFont="1" applyBorder="1" applyAlignment="1">
      <alignment readingOrder="1"/>
    </xf>
    <xf numFmtId="0" fontId="37" fillId="0" borderId="53" xfId="0" quotePrefix="1" applyFont="1" applyBorder="1" applyAlignment="1">
      <alignment readingOrder="1"/>
    </xf>
    <xf numFmtId="0" fontId="37" fillId="0" borderId="47" xfId="0" quotePrefix="1" applyFont="1" applyBorder="1" applyAlignment="1">
      <alignment readingOrder="1"/>
    </xf>
    <xf numFmtId="0" fontId="37" fillId="0" borderId="52" xfId="0" applyFont="1" applyBorder="1" applyAlignment="1">
      <alignment readingOrder="1"/>
    </xf>
    <xf numFmtId="0" fontId="37" fillId="0" borderId="53" xfId="0" quotePrefix="1" applyFont="1" applyBorder="1" applyAlignment="1">
      <alignment wrapText="1" readingOrder="1"/>
    </xf>
    <xf numFmtId="0" fontId="37" fillId="0" borderId="43" xfId="0" applyFont="1" applyBorder="1" applyAlignment="1">
      <alignment readingOrder="1"/>
    </xf>
    <xf numFmtId="0" fontId="37" fillId="0" borderId="44" xfId="0" applyFont="1" applyBorder="1" applyAlignment="1">
      <alignment wrapText="1" readingOrder="1"/>
    </xf>
    <xf numFmtId="0" fontId="37" fillId="0" borderId="44" xfId="0" applyFont="1" applyBorder="1" applyAlignment="1">
      <alignment readingOrder="1"/>
    </xf>
    <xf numFmtId="0" fontId="37" fillId="0" borderId="45" xfId="0" applyFont="1" applyBorder="1" applyAlignment="1">
      <alignment readingOrder="1"/>
    </xf>
    <xf numFmtId="0" fontId="67" fillId="40" borderId="40" xfId="0" applyFont="1" applyFill="1" applyBorder="1" applyAlignment="1">
      <alignment wrapText="1" readingOrder="1"/>
    </xf>
    <xf numFmtId="4" fontId="37" fillId="0" borderId="50" xfId="0" applyNumberFormat="1" applyFont="1" applyBorder="1" applyAlignment="1">
      <alignment readingOrder="1"/>
    </xf>
    <xf numFmtId="4" fontId="37" fillId="0" borderId="51" xfId="0" applyNumberFormat="1" applyFont="1" applyBorder="1" applyAlignment="1">
      <alignment readingOrder="1"/>
    </xf>
    <xf numFmtId="4" fontId="37" fillId="0" borderId="54" xfId="0" applyNumberFormat="1" applyFont="1" applyBorder="1" applyAlignment="1">
      <alignment readingOrder="1"/>
    </xf>
    <xf numFmtId="0" fontId="37" fillId="0" borderId="52" xfId="0" quotePrefix="1" applyFont="1" applyBorder="1" applyAlignment="1">
      <alignment wrapText="1" readingOrder="1"/>
    </xf>
    <xf numFmtId="4" fontId="37" fillId="0" borderId="46" xfId="0" applyNumberFormat="1" applyFont="1" applyBorder="1" applyAlignment="1">
      <alignment readingOrder="1"/>
    </xf>
    <xf numFmtId="0" fontId="37" fillId="0" borderId="46" xfId="0" quotePrefix="1" applyFont="1" applyBorder="1" applyAlignment="1">
      <alignment readingOrder="1"/>
    </xf>
    <xf numFmtId="0" fontId="37" fillId="0" borderId="46" xfId="0" applyFont="1" applyBorder="1" applyAlignment="1">
      <alignment readingOrder="1"/>
    </xf>
    <xf numFmtId="0" fontId="37" fillId="0" borderId="43" xfId="0" applyFont="1" applyBorder="1" applyAlignment="1">
      <alignment wrapText="1" readingOrder="1"/>
    </xf>
    <xf numFmtId="4" fontId="37" fillId="0" borderId="44" xfId="0" applyNumberFormat="1" applyFont="1" applyBorder="1" applyAlignment="1">
      <alignment readingOrder="1"/>
    </xf>
    <xf numFmtId="4" fontId="37" fillId="0" borderId="45" xfId="0" applyNumberFormat="1" applyFont="1" applyBorder="1" applyAlignment="1">
      <alignment readingOrder="1"/>
    </xf>
    <xf numFmtId="4" fontId="37" fillId="0" borderId="48" xfId="0" applyNumberFormat="1" applyFont="1" applyBorder="1" applyAlignment="1">
      <alignment readingOrder="1"/>
    </xf>
    <xf numFmtId="0" fontId="70" fillId="41" borderId="46" xfId="0" applyFont="1" applyFill="1" applyBorder="1" applyAlignment="1">
      <alignment readingOrder="1"/>
    </xf>
    <xf numFmtId="0" fontId="37" fillId="41" borderId="46" xfId="0" applyFont="1" applyFill="1" applyBorder="1" applyAlignment="1">
      <alignment readingOrder="1"/>
    </xf>
    <xf numFmtId="0" fontId="70" fillId="41" borderId="48" xfId="0" applyFont="1" applyFill="1" applyBorder="1" applyAlignment="1">
      <alignment readingOrder="1"/>
    </xf>
    <xf numFmtId="0" fontId="66" fillId="40" borderId="40" xfId="0" applyFont="1" applyFill="1" applyBorder="1" applyAlignment="1">
      <alignment wrapText="1" readingOrder="1"/>
    </xf>
    <xf numFmtId="4" fontId="37" fillId="53" borderId="53" xfId="0" applyNumberFormat="1" applyFont="1" applyFill="1" applyBorder="1" applyAlignment="1">
      <alignment readingOrder="1"/>
    </xf>
    <xf numFmtId="4" fontId="37" fillId="46" borderId="47" xfId="0" applyNumberFormat="1" applyFont="1" applyFill="1" applyBorder="1" applyAlignment="1">
      <alignment readingOrder="1"/>
    </xf>
    <xf numFmtId="0" fontId="37" fillId="53" borderId="53" xfId="0" applyFont="1" applyFill="1" applyBorder="1" applyAlignment="1">
      <alignment readingOrder="1"/>
    </xf>
    <xf numFmtId="0" fontId="37" fillId="46" borderId="53" xfId="0" quotePrefix="1" applyFont="1" applyFill="1" applyBorder="1" applyAlignment="1">
      <alignment readingOrder="1"/>
    </xf>
    <xf numFmtId="0" fontId="37" fillId="46" borderId="53" xfId="0" applyFont="1" applyFill="1" applyBorder="1" applyAlignment="1">
      <alignment readingOrder="1"/>
    </xf>
    <xf numFmtId="0" fontId="37" fillId="46" borderId="47" xfId="0" applyFont="1" applyFill="1" applyBorder="1" applyAlignment="1">
      <alignment readingOrder="1"/>
    </xf>
    <xf numFmtId="0" fontId="37" fillId="0" borderId="52" xfId="0" applyFont="1" applyBorder="1" applyAlignment="1">
      <alignment wrapText="1" readingOrder="1"/>
    </xf>
    <xf numFmtId="4" fontId="37" fillId="52" borderId="53" xfId="0" applyNumberFormat="1" applyFont="1" applyFill="1" applyBorder="1" applyAlignment="1">
      <alignment readingOrder="1"/>
    </xf>
    <xf numFmtId="0" fontId="37" fillId="0" borderId="55" xfId="0" quotePrefix="1" applyFont="1" applyBorder="1" applyAlignment="1">
      <alignment wrapText="1" readingOrder="1"/>
    </xf>
    <xf numFmtId="3" fontId="73" fillId="0" borderId="0" xfId="0" applyNumberFormat="1" applyFont="1"/>
    <xf numFmtId="0" fontId="37" fillId="0" borderId="60" xfId="0" applyFont="1" applyBorder="1" applyAlignment="1">
      <alignment wrapText="1"/>
    </xf>
    <xf numFmtId="0" fontId="37" fillId="0" borderId="60" xfId="0" applyFont="1" applyBorder="1" applyAlignment="1">
      <alignment horizontal="left" vertical="top" wrapText="1"/>
    </xf>
    <xf numFmtId="0" fontId="82" fillId="54" borderId="19" xfId="0" applyFont="1" applyFill="1" applyBorder="1"/>
    <xf numFmtId="0" fontId="82" fillId="55" borderId="18" xfId="0" applyFont="1" applyFill="1" applyBorder="1"/>
    <xf numFmtId="0" fontId="66" fillId="56" borderId="0" xfId="0" applyFont="1" applyFill="1"/>
    <xf numFmtId="3" fontId="90" fillId="0" borderId="0" xfId="0" applyNumberFormat="1" applyFont="1"/>
    <xf numFmtId="0" fontId="82" fillId="0" borderId="1" xfId="0" applyFont="1" applyBorder="1"/>
    <xf numFmtId="3" fontId="82" fillId="0" borderId="0" xfId="0" applyNumberFormat="1" applyFont="1"/>
    <xf numFmtId="0" fontId="82" fillId="49" borderId="18" xfId="0" applyFont="1" applyFill="1" applyBorder="1"/>
    <xf numFmtId="0" fontId="82" fillId="49" borderId="35" xfId="0" applyFont="1" applyFill="1" applyBorder="1"/>
    <xf numFmtId="0" fontId="82" fillId="49" borderId="19" xfId="0" applyFont="1" applyFill="1" applyBorder="1"/>
    <xf numFmtId="0" fontId="90" fillId="0" borderId="0" xfId="0" applyFont="1"/>
    <xf numFmtId="37" fontId="73" fillId="0" borderId="0" xfId="0" applyNumberFormat="1" applyFont="1"/>
    <xf numFmtId="0" fontId="94" fillId="0" borderId="0" xfId="0" applyFont="1"/>
    <xf numFmtId="0" fontId="95" fillId="0" borderId="60" xfId="0" applyFont="1" applyBorder="1" applyAlignment="1">
      <alignment wrapText="1"/>
    </xf>
    <xf numFmtId="1" fontId="0" fillId="0" borderId="0" xfId="0" applyNumberFormat="1" applyAlignment="1">
      <alignment horizontal="center"/>
    </xf>
    <xf numFmtId="1" fontId="0" fillId="0" borderId="24" xfId="0" applyNumberFormat="1" applyBorder="1" applyAlignment="1">
      <alignment horizontal="center"/>
    </xf>
    <xf numFmtId="2" fontId="0" fillId="0" borderId="0" xfId="0" applyNumberFormat="1"/>
    <xf numFmtId="37" fontId="0" fillId="0" borderId="0" xfId="0" applyNumberFormat="1" applyAlignment="1">
      <alignment horizontal="center"/>
    </xf>
    <xf numFmtId="170" fontId="0" fillId="0" borderId="0" xfId="0" applyNumberFormat="1"/>
    <xf numFmtId="0" fontId="96" fillId="0" borderId="0" xfId="0" applyFont="1"/>
    <xf numFmtId="44" fontId="0" fillId="59" borderId="0" xfId="3" applyFont="1" applyFill="1"/>
    <xf numFmtId="0" fontId="23" fillId="0" borderId="3" xfId="0" applyFont="1" applyBorder="1" applyAlignment="1">
      <alignment horizontal="center" wrapText="1"/>
    </xf>
    <xf numFmtId="0" fontId="23" fillId="0" borderId="14" xfId="0" applyFont="1" applyBorder="1" applyAlignment="1">
      <alignment horizontal="center" wrapText="1"/>
    </xf>
    <xf numFmtId="0" fontId="9" fillId="0" borderId="13" xfId="0" applyFont="1" applyBorder="1" applyAlignment="1">
      <alignment horizontal="left" vertical="center" wrapText="1"/>
    </xf>
    <xf numFmtId="0" fontId="31" fillId="0" borderId="3" xfId="0" applyFont="1" applyBorder="1" applyAlignment="1">
      <alignment horizontal="center" vertical="center" wrapText="1"/>
    </xf>
    <xf numFmtId="0" fontId="31" fillId="0" borderId="4" xfId="0" applyFont="1" applyBorder="1" applyAlignment="1">
      <alignment horizontal="center" vertical="center" wrapText="1"/>
    </xf>
    <xf numFmtId="0" fontId="10" fillId="7" borderId="3"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0" fillId="0" borderId="7" xfId="0" applyBorder="1" applyAlignment="1">
      <alignment horizontal="left" vertical="center" wrapText="1"/>
    </xf>
    <xf numFmtId="0" fontId="0" fillId="0" borderId="7" xfId="0" applyBorder="1" applyAlignment="1">
      <alignment horizontal="center" wrapText="1"/>
    </xf>
    <xf numFmtId="0" fontId="0" fillId="0" borderId="10" xfId="0" applyBorder="1" applyAlignment="1">
      <alignment horizontal="center" wrapText="1"/>
    </xf>
    <xf numFmtId="0" fontId="4" fillId="0" borderId="0" xfId="0" applyFont="1" applyAlignment="1">
      <alignment horizontal="left"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90" fillId="0" borderId="20" xfId="0" applyFont="1" applyBorder="1" applyAlignment="1">
      <alignment horizontal="center" wrapText="1"/>
    </xf>
    <xf numFmtId="0" fontId="90" fillId="0" borderId="0" xfId="0" applyFont="1" applyAlignment="1">
      <alignment horizontal="center" wrapText="1"/>
    </xf>
  </cellXfs>
  <cellStyles count="63">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blp_column_header" xfId="46" xr:uid="{21C90BF2-4720-4CFD-B8D6-8C9784D7686A}"/>
    <cellStyle name="blp_title_header_row_left" xfId="47" xr:uid="{AC216AE5-230C-468C-9224-D1DDCB20C869}"/>
    <cellStyle name="Calculation" xfId="15" builtinId="22" customBuiltin="1"/>
    <cellStyle name="Check Cell" xfId="17" builtinId="23" customBuiltin="1"/>
    <cellStyle name="Comma" xfId="1" builtinId="3"/>
    <cellStyle name="Comma 2" xfId="61" xr:uid="{4D70754C-C882-4481-99CD-8EF5E8DA5881}"/>
    <cellStyle name="Currency" xfId="3" builtinId="4"/>
    <cellStyle name="Explanatory Text" xfId="20" builtinId="53" customBuiltin="1"/>
    <cellStyle name="fa_column_header_bottom" xfId="52" xr:uid="{3419D8B3-066E-401A-BD54-D3B420CF9410}"/>
    <cellStyle name="fa_column_header_bottom_left" xfId="51" xr:uid="{B3094E20-7A0B-4120-A8FA-B84C9DE5D2E9}"/>
    <cellStyle name="fa_column_header_empty" xfId="48" xr:uid="{6113008E-1F49-4F12-BADB-C10B9D4A4848}"/>
    <cellStyle name="fa_column_header_top" xfId="50" xr:uid="{703F0837-694B-4894-AE89-9515B7AC7A9D}"/>
    <cellStyle name="fa_column_header_top_left" xfId="49" xr:uid="{CE570DEF-2CAD-45E2-9E8F-3B6A75607416}"/>
    <cellStyle name="fa_data_bold_0_grouped" xfId="54" xr:uid="{07FBE50A-5DFD-4B9D-BB9E-71CD6A5B1570}"/>
    <cellStyle name="fa_data_bold_1_grouped" xfId="58" xr:uid="{8707210A-D9E5-43D1-B943-3CA69431B733}"/>
    <cellStyle name="fa_data_standard_0_grouped" xfId="56" xr:uid="{16E9B8E8-562C-496D-9589-D5EFD4351AB6}"/>
    <cellStyle name="fa_data_standard_1_grouped" xfId="57" xr:uid="{816061D4-DAC9-4518-ADC1-62E3C23AB3AB}"/>
    <cellStyle name="fa_data_standard_2_grouped" xfId="59" xr:uid="{0C7F7CA2-56CF-44CB-AE0B-563D25C41BD3}"/>
    <cellStyle name="fa_footer_italic" xfId="60" xr:uid="{DD554E4C-2862-42D9-BB5E-7F16E1AFF2F3}"/>
    <cellStyle name="fa_row_header_bold" xfId="53" xr:uid="{D36AA644-D3BC-40EF-A853-9341DD2C9EC3}"/>
    <cellStyle name="fa_row_header_standard" xfId="55" xr:uid="{4FC9E2AC-B457-4FAC-B879-BF7F6BF31585}"/>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 builtinId="8"/>
    <cellStyle name="Input" xfId="13" builtinId="20" customBuiltin="1"/>
    <cellStyle name="Linked Cell" xfId="16" builtinId="24" customBuiltin="1"/>
    <cellStyle name="Neutral" xfId="12" builtinId="28" customBuiltin="1"/>
    <cellStyle name="Normal" xfId="0" builtinId="0"/>
    <cellStyle name="Normal 2" xfId="62" xr:uid="{64146DA3-E31C-4D29-829A-BE7DB077D92C}"/>
    <cellStyle name="Note" xfId="19" builtinId="10" customBuiltin="1"/>
    <cellStyle name="Output" xfId="14" builtinId="21" customBuiltin="1"/>
    <cellStyle name="Percent" xfId="2" builtinId="5"/>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 Id="rId30" Type="http://schemas.openxmlformats.org/officeDocument/2006/relationships/calcChain" Target="calcChain.xml"/><Relationship Id="rId8" Type="http://schemas.openxmlformats.org/officeDocument/2006/relationships/worksheet" Target="worksheets/sheet8.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41910</xdr:colOff>
      <xdr:row>22</xdr:row>
      <xdr:rowOff>41910</xdr:rowOff>
    </xdr:from>
    <xdr:to>
      <xdr:col>2</xdr:col>
      <xdr:colOff>247650</xdr:colOff>
      <xdr:row>32</xdr:row>
      <xdr:rowOff>156210</xdr:rowOff>
    </xdr:to>
    <xdr:sp macro="" textlink="">
      <xdr:nvSpPr>
        <xdr:cNvPr id="2" name="Right Brace 1">
          <a:extLst>
            <a:ext uri="{FF2B5EF4-FFF2-40B4-BE49-F238E27FC236}">
              <a16:creationId xmlns:a16="http://schemas.microsoft.com/office/drawing/2014/main" id="{60AD54BB-33C2-4A7A-8C4F-F6F69E52836A}"/>
            </a:ext>
          </a:extLst>
        </xdr:cNvPr>
        <xdr:cNvSpPr/>
      </xdr:nvSpPr>
      <xdr:spPr>
        <a:xfrm>
          <a:off x="5558790" y="4141470"/>
          <a:ext cx="205740" cy="1943100"/>
        </a:xfrm>
        <a:prstGeom prst="rightBrace">
          <a:avLst/>
        </a:prstGeom>
        <a:ln>
          <a:solidFill>
            <a:srgbClr val="C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327660</xdr:colOff>
      <xdr:row>26</xdr:row>
      <xdr:rowOff>87630</xdr:rowOff>
    </xdr:from>
    <xdr:to>
      <xdr:col>2</xdr:col>
      <xdr:colOff>3215640</xdr:colOff>
      <xdr:row>29</xdr:row>
      <xdr:rowOff>144780</xdr:rowOff>
    </xdr:to>
    <xdr:sp macro="" textlink="">
      <xdr:nvSpPr>
        <xdr:cNvPr id="3" name="TextBox 2">
          <a:extLst>
            <a:ext uri="{FF2B5EF4-FFF2-40B4-BE49-F238E27FC236}">
              <a16:creationId xmlns:a16="http://schemas.microsoft.com/office/drawing/2014/main" id="{06D96360-95F1-4455-9230-0AEF4B831FA2}"/>
            </a:ext>
          </a:extLst>
        </xdr:cNvPr>
        <xdr:cNvSpPr txBox="1"/>
      </xdr:nvSpPr>
      <xdr:spPr>
        <a:xfrm>
          <a:off x="5844540" y="4918710"/>
          <a:ext cx="2887980" cy="605790"/>
        </a:xfrm>
        <a:prstGeom prst="rect">
          <a:avLst/>
        </a:prstGeom>
        <a:solidFill>
          <a:schemeClr val="lt1"/>
        </a:solidFill>
        <a:ln w="9525" cmpd="sng">
          <a:solidFill>
            <a:srgbClr val="C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C00000"/>
              </a:solidFill>
            </a:rPr>
            <a:t>Balance</a:t>
          </a:r>
          <a:r>
            <a:rPr lang="en-US" sz="1100" baseline="0">
              <a:solidFill>
                <a:srgbClr val="C00000"/>
              </a:solidFill>
            </a:rPr>
            <a:t> Sheet: </a:t>
          </a:r>
        </a:p>
        <a:p>
          <a:r>
            <a:rPr lang="en-US" sz="1100" baseline="0">
              <a:solidFill>
                <a:srgbClr val="C00000"/>
              </a:solidFill>
            </a:rPr>
            <a:t>Find </a:t>
          </a:r>
          <a:r>
            <a:rPr lang="en-US" sz="1100" b="1" baseline="0">
              <a:solidFill>
                <a:srgbClr val="C00000"/>
              </a:solidFill>
            </a:rPr>
            <a:t>Invested Capital</a:t>
          </a:r>
          <a:r>
            <a:rPr lang="en-US" sz="1100" baseline="0">
              <a:solidFill>
                <a:srgbClr val="C00000"/>
              </a:solidFill>
            </a:rPr>
            <a:t> and </a:t>
          </a:r>
          <a:r>
            <a:rPr lang="en-US" sz="1100" b="1" baseline="0">
              <a:solidFill>
                <a:srgbClr val="C00000"/>
              </a:solidFill>
            </a:rPr>
            <a:t>Total Funds Invested</a:t>
          </a:r>
          <a:br>
            <a:rPr lang="en-US" sz="1100" b="1" baseline="0">
              <a:solidFill>
                <a:srgbClr val="C00000"/>
              </a:solidFill>
            </a:rPr>
          </a:br>
          <a:r>
            <a:rPr lang="en-US" sz="1100" b="0" baseline="0">
              <a:solidFill>
                <a:srgbClr val="C00000"/>
              </a:solidFill>
            </a:rPr>
            <a:t>See &lt;</a:t>
          </a:r>
          <a:r>
            <a:rPr lang="en-US" sz="1100" b="1" i="1" baseline="0">
              <a:solidFill>
                <a:srgbClr val="C00000"/>
              </a:solidFill>
            </a:rPr>
            <a:t>Notes</a:t>
          </a:r>
          <a:r>
            <a:rPr lang="en-US" sz="1100" b="0" baseline="0">
              <a:solidFill>
                <a:srgbClr val="C00000"/>
              </a:solidFill>
            </a:rPr>
            <a:t>&gt; tab</a:t>
          </a:r>
        </a:p>
      </xdr:txBody>
    </xdr:sp>
    <xdr:clientData/>
  </xdr:twoCellAnchor>
  <xdr:twoCellAnchor>
    <xdr:from>
      <xdr:col>2</xdr:col>
      <xdr:colOff>76200</xdr:colOff>
      <xdr:row>9</xdr:row>
      <xdr:rowOff>26670</xdr:rowOff>
    </xdr:from>
    <xdr:to>
      <xdr:col>2</xdr:col>
      <xdr:colOff>281940</xdr:colOff>
      <xdr:row>20</xdr:row>
      <xdr:rowOff>144780</xdr:rowOff>
    </xdr:to>
    <xdr:sp macro="" textlink="">
      <xdr:nvSpPr>
        <xdr:cNvPr id="4" name="Right Brace 3">
          <a:extLst>
            <a:ext uri="{FF2B5EF4-FFF2-40B4-BE49-F238E27FC236}">
              <a16:creationId xmlns:a16="http://schemas.microsoft.com/office/drawing/2014/main" id="{12E2A61B-FA3E-4421-96B8-3890E87A6B21}"/>
            </a:ext>
          </a:extLst>
        </xdr:cNvPr>
        <xdr:cNvSpPr/>
      </xdr:nvSpPr>
      <xdr:spPr>
        <a:xfrm>
          <a:off x="5593080" y="1752600"/>
          <a:ext cx="205740" cy="212598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514643</xdr:colOff>
      <xdr:row>35</xdr:row>
      <xdr:rowOff>6155</xdr:rowOff>
    </xdr:from>
    <xdr:to>
      <xdr:col>2</xdr:col>
      <xdr:colOff>3143543</xdr:colOff>
      <xdr:row>38</xdr:row>
      <xdr:rowOff>130713</xdr:rowOff>
    </xdr:to>
    <xdr:sp macro="" textlink="">
      <xdr:nvSpPr>
        <xdr:cNvPr id="6" name="TextBox 5">
          <a:extLst>
            <a:ext uri="{FF2B5EF4-FFF2-40B4-BE49-F238E27FC236}">
              <a16:creationId xmlns:a16="http://schemas.microsoft.com/office/drawing/2014/main" id="{57CF3423-A615-4F7F-ADE8-ED295670DD98}"/>
            </a:ext>
          </a:extLst>
        </xdr:cNvPr>
        <xdr:cNvSpPr txBox="1"/>
      </xdr:nvSpPr>
      <xdr:spPr>
        <a:xfrm>
          <a:off x="5411958" y="6447986"/>
          <a:ext cx="2628900" cy="669681"/>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Use either</a:t>
          </a:r>
          <a:r>
            <a:rPr lang="en-US" sz="1100" baseline="0">
              <a:solidFill>
                <a:schemeClr val="accent1"/>
              </a:solidFill>
            </a:rPr>
            <a:t> </a:t>
          </a:r>
        </a:p>
        <a:p>
          <a:r>
            <a:rPr lang="en-US" sz="1100" baseline="0">
              <a:solidFill>
                <a:schemeClr val="accent1"/>
              </a:solidFill>
            </a:rPr>
            <a:t>1. (Revenue</a:t>
          </a:r>
          <a:r>
            <a:rPr lang="en-US" sz="1100" baseline="-25000">
              <a:solidFill>
                <a:schemeClr val="accent1"/>
              </a:solidFill>
            </a:rPr>
            <a:t>t</a:t>
          </a:r>
          <a:r>
            <a:rPr lang="en-US" sz="1100" baseline="0">
              <a:solidFill>
                <a:schemeClr val="accent1"/>
              </a:solidFill>
            </a:rPr>
            <a:t> - Revenue</a:t>
          </a:r>
          <a:r>
            <a:rPr lang="en-US" sz="1100" baseline="-25000">
              <a:solidFill>
                <a:schemeClr val="accent1"/>
              </a:solidFill>
            </a:rPr>
            <a:t>t-1</a:t>
          </a:r>
          <a:r>
            <a:rPr lang="en-US" sz="1100" baseline="0">
              <a:solidFill>
                <a:schemeClr val="accent1"/>
              </a:solidFill>
            </a:rPr>
            <a:t>) / Revenue</a:t>
          </a:r>
          <a:r>
            <a:rPr lang="en-US" sz="1100" baseline="-25000">
              <a:solidFill>
                <a:schemeClr val="accent1"/>
              </a:solidFill>
            </a:rPr>
            <a:t>t-1</a:t>
          </a:r>
          <a:r>
            <a:rPr lang="en-US" sz="1100" baseline="0">
              <a:solidFill>
                <a:schemeClr val="accent1"/>
              </a:solidFill>
            </a:rPr>
            <a:t> </a:t>
          </a:r>
          <a:r>
            <a:rPr lang="en-US" sz="1100" i="1" baseline="0">
              <a:solidFill>
                <a:schemeClr val="accent1"/>
              </a:solidFill>
            </a:rPr>
            <a:t>or</a:t>
          </a:r>
          <a:r>
            <a:rPr lang="en-US" sz="1100" baseline="0">
              <a:solidFill>
                <a:schemeClr val="accent1"/>
              </a:solidFill>
            </a:rPr>
            <a:t> </a:t>
          </a:r>
        </a:p>
        <a:p>
          <a:r>
            <a:rPr lang="en-US" sz="1100" baseline="0">
              <a:solidFill>
                <a:schemeClr val="accent1"/>
              </a:solidFill>
            </a:rPr>
            <a:t>2. (Revenue</a:t>
          </a:r>
          <a:r>
            <a:rPr lang="en-US" sz="1100" baseline="-25000">
              <a:solidFill>
                <a:schemeClr val="accent1"/>
              </a:solidFill>
            </a:rPr>
            <a:t>t</a:t>
          </a:r>
          <a:r>
            <a:rPr lang="en-US" sz="1100" baseline="0">
              <a:solidFill>
                <a:schemeClr val="accent1"/>
              </a:solidFill>
            </a:rPr>
            <a:t>/Revenue</a:t>
          </a:r>
          <a:r>
            <a:rPr lang="en-US" sz="1100" baseline="-25000">
              <a:solidFill>
                <a:schemeClr val="accent1"/>
              </a:solidFill>
            </a:rPr>
            <a:t>t-1</a:t>
          </a:r>
          <a:r>
            <a:rPr lang="en-US" sz="1100" baseline="0">
              <a:solidFill>
                <a:schemeClr val="accent1"/>
              </a:solidFill>
            </a:rPr>
            <a:t>) - 1</a:t>
          </a:r>
        </a:p>
        <a:p>
          <a:endParaRPr lang="en-US" sz="1100"/>
        </a:p>
      </xdr:txBody>
    </xdr:sp>
    <xdr:clientData/>
  </xdr:twoCellAnchor>
  <xdr:twoCellAnchor>
    <xdr:from>
      <xdr:col>1</xdr:col>
      <xdr:colOff>11430</xdr:colOff>
      <xdr:row>144</xdr:row>
      <xdr:rowOff>3810</xdr:rowOff>
    </xdr:from>
    <xdr:to>
      <xdr:col>1</xdr:col>
      <xdr:colOff>4312920</xdr:colOff>
      <xdr:row>147</xdr:row>
      <xdr:rowOff>60977</xdr:rowOff>
    </xdr:to>
    <mc:AlternateContent xmlns:mc="http://schemas.openxmlformats.org/markup-compatibility/2006" xmlns:a14="http://schemas.microsoft.com/office/drawing/2010/main">
      <mc:Choice Requires="a14">
        <xdr:sp macro="" textlink="">
          <xdr:nvSpPr>
            <xdr:cNvPr id="7" name="TextBox 1">
              <a:extLst>
                <a:ext uri="{FF2B5EF4-FFF2-40B4-BE49-F238E27FC236}">
                  <a16:creationId xmlns:a16="http://schemas.microsoft.com/office/drawing/2014/main" id="{547184D9-A2F0-463C-9AB7-FEF7031EC86C}"/>
                </a:ext>
              </a:extLst>
            </xdr:cNvPr>
            <xdr:cNvSpPr txBox="1"/>
          </xdr:nvSpPr>
          <xdr:spPr>
            <a:xfrm>
              <a:off x="365760" y="26612850"/>
              <a:ext cx="4301490" cy="605807"/>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𝑃𝑉</m:t>
                    </m:r>
                    <m:r>
                      <a:rPr lang="en-US" sz="1400" i="1">
                        <a:latin typeface="Cambria Math" panose="02040503050406030204" pitchFamily="18" charset="0"/>
                      </a:rPr>
                      <m:t>=</m:t>
                    </m:r>
                    <m:nary>
                      <m:naryPr>
                        <m:chr m:val="∑"/>
                        <m:ctrlPr>
                          <a:rPr lang="en-US" sz="1400" i="1">
                            <a:latin typeface="Cambria Math" panose="02040503050406030204" pitchFamily="18" charset="0"/>
                          </a:rPr>
                        </m:ctrlPr>
                      </m:naryPr>
                      <m:sub>
                        <m:r>
                          <m:rPr>
                            <m:brk m:alnAt="23"/>
                          </m:rPr>
                          <a:rPr lang="en-US" sz="1400" b="0" i="1">
                            <a:latin typeface="Cambria Math" panose="02040503050406030204" pitchFamily="18" charset="0"/>
                          </a:rPr>
                          <m:t>𝑡</m:t>
                        </m:r>
                        <m:r>
                          <a:rPr lang="en-US" sz="1400" b="0" i="1">
                            <a:latin typeface="Cambria Math" panose="02040503050406030204" pitchFamily="18" charset="0"/>
                          </a:rPr>
                          <m:t>=1</m:t>
                        </m:r>
                      </m:sub>
                      <m:sup>
                        <m:r>
                          <a:rPr lang="en-US" sz="1400" b="0" i="1">
                            <a:latin typeface="Cambria Math" panose="02040503050406030204" pitchFamily="18" charset="0"/>
                          </a:rPr>
                          <m:t>𝑇</m:t>
                        </m:r>
                      </m:sup>
                      <m:e>
                        <m:f>
                          <m:fPr>
                            <m:ctrlPr>
                              <a:rPr lang="en-US" sz="1400" i="1">
                                <a:latin typeface="Cambria Math" panose="02040503050406030204" pitchFamily="18" charset="0"/>
                              </a:rPr>
                            </m:ctrlPr>
                          </m:fPr>
                          <m:num>
                            <m:sSub>
                              <m:sSubPr>
                                <m:ctrlPr>
                                  <a:rPr lang="en-US" sz="1400" i="1">
                                    <a:latin typeface="Cambria Math" panose="02040503050406030204" pitchFamily="18" charset="0"/>
                                  </a:rPr>
                                </m:ctrlPr>
                              </m:sSubPr>
                              <m:e>
                                <m:r>
                                  <a:rPr lang="en-US" sz="1400" b="0" i="1">
                                    <a:latin typeface="Cambria Math" panose="02040503050406030204" pitchFamily="18" charset="0"/>
                                  </a:rPr>
                                  <m:t>𝐶𝐹</m:t>
                                </m:r>
                              </m:e>
                              <m:sub>
                                <m:r>
                                  <a:rPr lang="en-US" sz="1400" b="0" i="1">
                                    <a:latin typeface="Cambria Math" panose="02040503050406030204" pitchFamily="18" charset="0"/>
                                  </a:rPr>
                                  <m:t>𝑡</m:t>
                                </m:r>
                              </m:sub>
                            </m:sSub>
                          </m:num>
                          <m:den>
                            <m:sSup>
                              <m:sSupPr>
                                <m:ctrlPr>
                                  <a:rPr lang="en-US" sz="1400" i="1">
                                    <a:latin typeface="Cambria Math" panose="02040503050406030204" pitchFamily="18" charset="0"/>
                                  </a:rPr>
                                </m:ctrlPr>
                              </m:sSupPr>
                              <m:e>
                                <m:r>
                                  <a:rPr lang="en-US" sz="1400" b="0" i="1">
                                    <a:latin typeface="Cambria Math" panose="02040503050406030204" pitchFamily="18" charset="0"/>
                                  </a:rPr>
                                  <m:t>(1+</m:t>
                                </m:r>
                                <m:r>
                                  <a:rPr lang="en-US" sz="1400" b="0" i="1">
                                    <a:latin typeface="Cambria Math" panose="02040503050406030204" pitchFamily="18" charset="0"/>
                                  </a:rPr>
                                  <m:t>𝑊𝐴𝐶𝐶</m:t>
                                </m:r>
                                <m:r>
                                  <a:rPr lang="en-US" sz="1400" b="0" i="1">
                                    <a:latin typeface="Cambria Math" panose="02040503050406030204" pitchFamily="18" charset="0"/>
                                  </a:rPr>
                                  <m:t>)</m:t>
                                </m:r>
                              </m:e>
                              <m:sup>
                                <m:r>
                                  <a:rPr lang="en-US" sz="1400" b="0" i="1">
                                    <a:latin typeface="Cambria Math" panose="02040503050406030204" pitchFamily="18" charset="0"/>
                                  </a:rPr>
                                  <m:t>𝑡</m:t>
                                </m:r>
                              </m:sup>
                            </m:sSup>
                          </m:den>
                        </m:f>
                      </m:e>
                    </m:nary>
                  </m:oMath>
                </m:oMathPara>
              </a14:m>
              <a:endParaRPr lang="en-US" sz="1400"/>
            </a:p>
          </xdr:txBody>
        </xdr:sp>
      </mc:Choice>
      <mc:Fallback xmlns="">
        <xdr:sp macro="" textlink="">
          <xdr:nvSpPr>
            <xdr:cNvPr id="7" name="TextBox 1">
              <a:extLst>
                <a:ext uri="{FF2B5EF4-FFF2-40B4-BE49-F238E27FC236}">
                  <a16:creationId xmlns:a16="http://schemas.microsoft.com/office/drawing/2014/main" id="{547184D9-A2F0-463C-9AB7-FEF7031EC86C}"/>
                </a:ext>
              </a:extLst>
            </xdr:cNvPr>
            <xdr:cNvSpPr txBox="1"/>
          </xdr:nvSpPr>
          <xdr:spPr>
            <a:xfrm>
              <a:off x="365760" y="26612850"/>
              <a:ext cx="4301490" cy="605807"/>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latin typeface="Cambria Math" panose="02040503050406030204" pitchFamily="18" charset="0"/>
                </a:rPr>
                <a:t>𝑃𝑉</a:t>
              </a:r>
              <a:r>
                <a:rPr lang="en-US" sz="1400" i="0">
                  <a:latin typeface="Cambria Math" panose="02040503050406030204" pitchFamily="18" charset="0"/>
                </a:rPr>
                <a:t>=∑</a:t>
              </a:r>
              <a:r>
                <a:rPr lang="en-US" sz="1400" b="0" i="0">
                  <a:latin typeface="Cambria Math" panose="02040503050406030204" pitchFamily="18" charset="0"/>
                </a:rPr>
                <a:t>_(𝑡=1)^𝑇▒〖𝐶𝐹〗_𝑡/〖(1+𝑊𝐴𝐶𝐶)〗^𝑡 </a:t>
              </a:r>
              <a:endParaRPr lang="en-US" sz="1400"/>
            </a:p>
          </xdr:txBody>
        </xdr:sp>
      </mc:Fallback>
    </mc:AlternateContent>
    <xdr:clientData/>
  </xdr:twoCellAnchor>
  <xdr:twoCellAnchor>
    <xdr:from>
      <xdr:col>1</xdr:col>
      <xdr:colOff>548640</xdr:colOff>
      <xdr:row>150</xdr:row>
      <xdr:rowOff>72390</xdr:rowOff>
    </xdr:from>
    <xdr:to>
      <xdr:col>1</xdr:col>
      <xdr:colOff>3486432</xdr:colOff>
      <xdr:row>152</xdr:row>
      <xdr:rowOff>111356</xdr:rowOff>
    </xdr:to>
    <mc:AlternateContent xmlns:mc="http://schemas.openxmlformats.org/markup-compatibility/2006" xmlns:a14="http://schemas.microsoft.com/office/drawing/2010/main">
      <mc:Choice Requires="a14">
        <xdr:sp macro="" textlink="">
          <xdr:nvSpPr>
            <xdr:cNvPr id="8" name="TextBox 3">
              <a:extLst>
                <a:ext uri="{FF2B5EF4-FFF2-40B4-BE49-F238E27FC236}">
                  <a16:creationId xmlns:a16="http://schemas.microsoft.com/office/drawing/2014/main" id="{D49D5835-4777-4C34-9FF0-FFF7D36360DB}"/>
                </a:ext>
              </a:extLst>
            </xdr:cNvPr>
            <xdr:cNvSpPr txBox="1"/>
          </xdr:nvSpPr>
          <xdr:spPr>
            <a:xfrm>
              <a:off x="902970" y="27778710"/>
              <a:ext cx="2937792" cy="404726"/>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n-US" sz="1400" b="0" i="1">
                            <a:solidFill>
                              <a:srgbClr val="7030A0"/>
                            </a:solidFill>
                            <a:latin typeface="Cambria Math" panose="02040503050406030204" pitchFamily="18" charset="0"/>
                          </a:rPr>
                        </m:ctrlPr>
                      </m:sSubPr>
                      <m:e>
                        <m:r>
                          <a:rPr lang="en-US" sz="1400" b="0" i="1">
                            <a:solidFill>
                              <a:srgbClr val="7030A0"/>
                            </a:solidFill>
                            <a:latin typeface="Cambria Math" panose="02040503050406030204" pitchFamily="18" charset="0"/>
                          </a:rPr>
                          <m:t>𝐶𝑉</m:t>
                        </m:r>
                      </m:e>
                      <m:sub>
                        <m:r>
                          <a:rPr lang="en-US" sz="1400" b="0" i="1">
                            <a:solidFill>
                              <a:srgbClr val="7030A0"/>
                            </a:solidFill>
                            <a:latin typeface="Cambria Math" panose="02040503050406030204" pitchFamily="18" charset="0"/>
                          </a:rPr>
                          <m:t>𝑇</m:t>
                        </m:r>
                        <m:r>
                          <a:rPr lang="en-US" sz="1400" b="0" i="1">
                            <a:solidFill>
                              <a:srgbClr val="7030A0"/>
                            </a:solidFill>
                            <a:latin typeface="Cambria Math" panose="02040503050406030204" pitchFamily="18" charset="0"/>
                          </a:rPr>
                          <m:t>−1</m:t>
                        </m:r>
                      </m:sub>
                    </m:sSub>
                    <m:r>
                      <a:rPr lang="en-US" sz="1400" i="1">
                        <a:solidFill>
                          <a:srgbClr val="7030A0"/>
                        </a:solidFill>
                        <a:latin typeface="Cambria Math" panose="02040503050406030204" pitchFamily="18" charset="0"/>
                      </a:rPr>
                      <m:t>=</m:t>
                    </m:r>
                    <m:f>
                      <m:fPr>
                        <m:ctrlPr>
                          <a:rPr lang="en-US" sz="1400" i="1">
                            <a:solidFill>
                              <a:srgbClr val="7030A0"/>
                            </a:solidFill>
                            <a:latin typeface="Cambria Math" panose="02040503050406030204" pitchFamily="18" charset="0"/>
                          </a:rPr>
                        </m:ctrlPr>
                      </m:fPr>
                      <m:num>
                        <m:sSub>
                          <m:sSubPr>
                            <m:ctrlPr>
                              <a:rPr lang="en-US" sz="1400" b="0" i="1">
                                <a:solidFill>
                                  <a:srgbClr val="7030A0"/>
                                </a:solidFill>
                                <a:latin typeface="Cambria Math" panose="02040503050406030204" pitchFamily="18" charset="0"/>
                              </a:rPr>
                            </m:ctrlPr>
                          </m:sSubPr>
                          <m:e>
                            <m:r>
                              <a:rPr lang="en-US" sz="1400" b="0" i="1">
                                <a:solidFill>
                                  <a:srgbClr val="7030A0"/>
                                </a:solidFill>
                                <a:latin typeface="Cambria Math" panose="02040503050406030204" pitchFamily="18" charset="0"/>
                              </a:rPr>
                              <m:t>𝐶𝐹</m:t>
                            </m:r>
                          </m:e>
                          <m:sub>
                            <m:r>
                              <a:rPr lang="en-US" sz="1400" b="0" i="1">
                                <a:solidFill>
                                  <a:srgbClr val="7030A0"/>
                                </a:solidFill>
                                <a:latin typeface="Cambria Math" panose="02040503050406030204" pitchFamily="18" charset="0"/>
                              </a:rPr>
                              <m:t>𝑇</m:t>
                            </m:r>
                          </m:sub>
                        </m:sSub>
                      </m:num>
                      <m:den>
                        <m:r>
                          <a:rPr lang="en-US" sz="1400" b="0" i="1">
                            <a:solidFill>
                              <a:srgbClr val="7030A0"/>
                            </a:solidFill>
                            <a:latin typeface="Cambria Math" panose="02040503050406030204" pitchFamily="18" charset="0"/>
                          </a:rPr>
                          <m:t>𝑟</m:t>
                        </m:r>
                      </m:den>
                    </m:f>
                    <m:r>
                      <a:rPr lang="en-US" sz="1400" b="0" i="1">
                        <a:solidFill>
                          <a:srgbClr val="7030A0"/>
                        </a:solidFill>
                        <a:latin typeface="Cambria Math" panose="02040503050406030204" pitchFamily="18" charset="0"/>
                      </a:rPr>
                      <m:t>=</m:t>
                    </m:r>
                    <m:f>
                      <m:fPr>
                        <m:ctrlPr>
                          <a:rPr lang="en-US" sz="1400" i="1">
                            <a:solidFill>
                              <a:srgbClr val="7030A0"/>
                            </a:solidFill>
                            <a:latin typeface="Cambria Math" panose="02040503050406030204" pitchFamily="18" charset="0"/>
                          </a:rPr>
                        </m:ctrlPr>
                      </m:fPr>
                      <m:num>
                        <m:sSub>
                          <m:sSubPr>
                            <m:ctrlPr>
                              <a:rPr lang="en-US" sz="1400" b="0" i="1" kern="1200">
                                <a:solidFill>
                                  <a:srgbClr val="7030A0"/>
                                </a:solidFill>
                                <a:effectLst/>
                                <a:latin typeface="Cambria Math" panose="02040503050406030204" pitchFamily="18" charset="0"/>
                                <a:ea typeface="+mn-ea"/>
                                <a:cs typeface="+mn-cs"/>
                              </a:rPr>
                            </m:ctrlPr>
                          </m:sSubPr>
                          <m:e>
                            <m:r>
                              <a:rPr lang="en-US" sz="1400" b="0" i="1" kern="1200">
                                <a:solidFill>
                                  <a:srgbClr val="7030A0"/>
                                </a:solidFill>
                                <a:effectLst/>
                                <a:latin typeface="Cambria Math" panose="02040503050406030204" pitchFamily="18" charset="0"/>
                                <a:ea typeface="+mn-ea"/>
                                <a:cs typeface="+mn-cs"/>
                              </a:rPr>
                              <m:t>𝐶𝐹</m:t>
                            </m:r>
                          </m:e>
                          <m:sub>
                            <m:r>
                              <a:rPr lang="en-US" sz="1400" b="0" i="1" kern="1200">
                                <a:solidFill>
                                  <a:srgbClr val="7030A0"/>
                                </a:solidFill>
                                <a:effectLst/>
                                <a:latin typeface="Cambria Math" panose="02040503050406030204" pitchFamily="18" charset="0"/>
                                <a:ea typeface="+mn-ea"/>
                                <a:cs typeface="+mn-cs"/>
                              </a:rPr>
                              <m:t>𝑇</m:t>
                            </m:r>
                          </m:sub>
                        </m:sSub>
                      </m:num>
                      <m:den>
                        <m:r>
                          <a:rPr lang="en-US" sz="1400" b="0" i="1">
                            <a:solidFill>
                              <a:srgbClr val="7030A0"/>
                            </a:solidFill>
                            <a:latin typeface="Cambria Math" panose="02040503050406030204" pitchFamily="18" charset="0"/>
                          </a:rPr>
                          <m:t>𝑊𝐴𝐶𝐶</m:t>
                        </m:r>
                      </m:den>
                    </m:f>
                  </m:oMath>
                </m:oMathPara>
              </a14:m>
              <a:endParaRPr lang="en-US" sz="1400">
                <a:solidFill>
                  <a:srgbClr val="7030A0"/>
                </a:solidFill>
              </a:endParaRPr>
            </a:p>
          </xdr:txBody>
        </xdr:sp>
      </mc:Choice>
      <mc:Fallback xmlns="">
        <xdr:sp macro="" textlink="">
          <xdr:nvSpPr>
            <xdr:cNvPr id="8" name="TextBox 3">
              <a:extLst>
                <a:ext uri="{FF2B5EF4-FFF2-40B4-BE49-F238E27FC236}">
                  <a16:creationId xmlns:a16="http://schemas.microsoft.com/office/drawing/2014/main" id="{D49D5835-4777-4C34-9FF0-FFF7D36360DB}"/>
                </a:ext>
              </a:extLst>
            </xdr:cNvPr>
            <xdr:cNvSpPr txBox="1"/>
          </xdr:nvSpPr>
          <xdr:spPr>
            <a:xfrm>
              <a:off x="902970" y="27778710"/>
              <a:ext cx="2937792" cy="404726"/>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solidFill>
                    <a:srgbClr val="7030A0"/>
                  </a:solidFill>
                  <a:latin typeface="Cambria Math" panose="02040503050406030204" pitchFamily="18" charset="0"/>
                </a:rPr>
                <a:t>〖𝐶𝑉〗_(𝑇−1)</a:t>
              </a:r>
              <a:r>
                <a:rPr lang="en-US" sz="1400" i="0">
                  <a:solidFill>
                    <a:srgbClr val="7030A0"/>
                  </a:solidFill>
                  <a:latin typeface="Cambria Math" panose="02040503050406030204" pitchFamily="18" charset="0"/>
                </a:rPr>
                <a:t>=</a:t>
              </a:r>
              <a:r>
                <a:rPr lang="en-US" sz="1400" b="0" i="0">
                  <a:solidFill>
                    <a:srgbClr val="7030A0"/>
                  </a:solidFill>
                  <a:latin typeface="Cambria Math" panose="02040503050406030204" pitchFamily="18" charset="0"/>
                </a:rPr>
                <a:t>〖𝐶𝐹〗_𝑇/𝑟=</a:t>
              </a:r>
              <a:r>
                <a:rPr lang="en-US" sz="1400" b="0" i="0" kern="1200">
                  <a:solidFill>
                    <a:srgbClr val="7030A0"/>
                  </a:solidFill>
                  <a:effectLst/>
                  <a:latin typeface="Cambria Math" panose="02040503050406030204" pitchFamily="18" charset="0"/>
                  <a:ea typeface="+mn-ea"/>
                  <a:cs typeface="+mn-cs"/>
                </a:rPr>
                <a:t>〖𝐶𝐹〗_𝑇/</a:t>
              </a:r>
              <a:r>
                <a:rPr lang="en-US" sz="1400" b="0" i="0">
                  <a:solidFill>
                    <a:srgbClr val="7030A0"/>
                  </a:solidFill>
                  <a:latin typeface="Cambria Math" panose="02040503050406030204" pitchFamily="18" charset="0"/>
                </a:rPr>
                <a:t>𝑊𝐴𝐶𝐶</a:t>
              </a:r>
              <a:endParaRPr lang="en-US" sz="1400">
                <a:solidFill>
                  <a:srgbClr val="7030A0"/>
                </a:solidFill>
              </a:endParaRPr>
            </a:p>
          </xdr:txBody>
        </xdr:sp>
      </mc:Fallback>
    </mc:AlternateContent>
    <xdr:clientData/>
  </xdr:twoCellAnchor>
  <xdr:twoCellAnchor>
    <xdr:from>
      <xdr:col>1</xdr:col>
      <xdr:colOff>742950</xdr:colOff>
      <xdr:row>159</xdr:row>
      <xdr:rowOff>76200</xdr:rowOff>
    </xdr:from>
    <xdr:to>
      <xdr:col>1</xdr:col>
      <xdr:colOff>3680742</xdr:colOff>
      <xdr:row>161</xdr:row>
      <xdr:rowOff>166462</xdr:rowOff>
    </xdr:to>
    <mc:AlternateContent xmlns:mc="http://schemas.openxmlformats.org/markup-compatibility/2006" xmlns:a14="http://schemas.microsoft.com/office/drawing/2010/main">
      <mc:Choice Requires="a14">
        <xdr:sp macro="" textlink="">
          <xdr:nvSpPr>
            <xdr:cNvPr id="9" name="TextBox 3">
              <a:extLst>
                <a:ext uri="{FF2B5EF4-FFF2-40B4-BE49-F238E27FC236}">
                  <a16:creationId xmlns:a16="http://schemas.microsoft.com/office/drawing/2014/main" id="{13FAC303-F5D2-456F-93DD-45696D12CEC9}"/>
                </a:ext>
              </a:extLst>
            </xdr:cNvPr>
            <xdr:cNvSpPr txBox="1"/>
          </xdr:nvSpPr>
          <xdr:spPr>
            <a:xfrm>
              <a:off x="1097280" y="29428440"/>
              <a:ext cx="2937792" cy="45602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𝑃𝑉</m:t>
                    </m:r>
                    <m:r>
                      <a:rPr lang="en-US" sz="1400" b="0" i="1">
                        <a:latin typeface="Cambria Math" panose="02040503050406030204" pitchFamily="18" charset="0"/>
                      </a:rPr>
                      <m:t> </m:t>
                    </m:r>
                    <m:r>
                      <a:rPr lang="en-US" sz="1400" b="0" i="1">
                        <a:latin typeface="Cambria Math" panose="02040503050406030204" pitchFamily="18" charset="0"/>
                      </a:rPr>
                      <m:t>𝑜𝑓</m:t>
                    </m:r>
                    <m:r>
                      <a:rPr lang="en-US" sz="1400" b="0" i="1">
                        <a:latin typeface="Cambria Math" panose="02040503050406030204" pitchFamily="18" charset="0"/>
                      </a:rPr>
                      <m:t> </m:t>
                    </m:r>
                    <m:r>
                      <a:rPr lang="en-US" sz="1400" b="0" i="1">
                        <a:latin typeface="Cambria Math" panose="02040503050406030204" pitchFamily="18" charset="0"/>
                      </a:rPr>
                      <m:t>𝐶𝑉</m:t>
                    </m:r>
                    <m:r>
                      <a:rPr lang="en-US" sz="1400" i="1">
                        <a:latin typeface="Cambria Math" panose="02040503050406030204" pitchFamily="18" charset="0"/>
                      </a:rPr>
                      <m:t>=</m:t>
                    </m:r>
                    <m:f>
                      <m:fPr>
                        <m:ctrlPr>
                          <a:rPr lang="en-US" sz="1400" i="1">
                            <a:latin typeface="Cambria Math" panose="02040503050406030204" pitchFamily="18" charset="0"/>
                          </a:rPr>
                        </m:ctrlPr>
                      </m:fPr>
                      <m:num>
                        <m:sSub>
                          <m:sSubPr>
                            <m:ctrlPr>
                              <a:rPr lang="en-US" sz="1400" b="0" i="1">
                                <a:latin typeface="Cambria Math" panose="02040503050406030204" pitchFamily="18" charset="0"/>
                              </a:rPr>
                            </m:ctrlPr>
                          </m:sSubPr>
                          <m:e>
                            <m:r>
                              <a:rPr lang="en-US" sz="1400" b="0" i="1">
                                <a:latin typeface="Cambria Math" panose="02040503050406030204" pitchFamily="18" charset="0"/>
                              </a:rPr>
                              <m:t>𝐶𝑉</m:t>
                            </m:r>
                          </m:e>
                          <m:sub>
                            <m:r>
                              <a:rPr lang="en-US" sz="1400" b="0" i="1">
                                <a:latin typeface="Cambria Math" panose="02040503050406030204" pitchFamily="18" charset="0"/>
                              </a:rPr>
                              <m:t>𝑇</m:t>
                            </m:r>
                            <m:r>
                              <a:rPr lang="en-US" sz="1400" b="0" i="1">
                                <a:latin typeface="Cambria Math" panose="02040503050406030204" pitchFamily="18" charset="0"/>
                              </a:rPr>
                              <m:t>−1</m:t>
                            </m:r>
                          </m:sub>
                        </m:sSub>
                      </m:num>
                      <m:den>
                        <m:sSup>
                          <m:sSupPr>
                            <m:ctrlPr>
                              <a:rPr lang="en-US" sz="1400" i="1" kern="1200">
                                <a:solidFill>
                                  <a:schemeClr val="tx1"/>
                                </a:solidFill>
                                <a:effectLst/>
                                <a:latin typeface="Cambria Math" panose="02040503050406030204" pitchFamily="18" charset="0"/>
                                <a:ea typeface="+mn-ea"/>
                                <a:cs typeface="+mn-cs"/>
                              </a:rPr>
                            </m:ctrlPr>
                          </m:sSupPr>
                          <m:e>
                            <m:r>
                              <a:rPr lang="en-US" sz="1400" b="0" i="1" kern="1200">
                                <a:solidFill>
                                  <a:schemeClr val="tx1"/>
                                </a:solidFill>
                                <a:effectLst/>
                                <a:latin typeface="Cambria Math" panose="02040503050406030204" pitchFamily="18" charset="0"/>
                                <a:ea typeface="+mn-ea"/>
                                <a:cs typeface="+mn-cs"/>
                              </a:rPr>
                              <m:t>(1+</m:t>
                            </m:r>
                            <m:r>
                              <a:rPr lang="en-US" sz="1400" b="0" i="1" kern="1200">
                                <a:solidFill>
                                  <a:schemeClr val="tx1"/>
                                </a:solidFill>
                                <a:effectLst/>
                                <a:latin typeface="Cambria Math" panose="02040503050406030204" pitchFamily="18" charset="0"/>
                                <a:ea typeface="+mn-ea"/>
                                <a:cs typeface="+mn-cs"/>
                              </a:rPr>
                              <m:t>𝑊𝐴𝐶𝐶</m:t>
                            </m:r>
                            <m:r>
                              <a:rPr lang="en-US" sz="1400" b="0" i="1" kern="1200">
                                <a:solidFill>
                                  <a:schemeClr val="tx1"/>
                                </a:solidFill>
                                <a:effectLst/>
                                <a:latin typeface="Cambria Math" panose="02040503050406030204" pitchFamily="18" charset="0"/>
                                <a:ea typeface="+mn-ea"/>
                                <a:cs typeface="+mn-cs"/>
                              </a:rPr>
                              <m:t>)</m:t>
                            </m:r>
                          </m:e>
                          <m:sup>
                            <m:r>
                              <a:rPr lang="en-US" sz="1400" b="0" i="1" kern="1200">
                                <a:solidFill>
                                  <a:schemeClr val="tx1"/>
                                </a:solidFill>
                                <a:effectLst/>
                                <a:latin typeface="Cambria Math" panose="02040503050406030204" pitchFamily="18" charset="0"/>
                                <a:ea typeface="+mn-ea"/>
                                <a:cs typeface="+mn-cs"/>
                              </a:rPr>
                              <m:t>𝑇</m:t>
                            </m:r>
                            <m:r>
                              <a:rPr lang="en-US" sz="1400" b="0" i="1" kern="1200">
                                <a:solidFill>
                                  <a:schemeClr val="tx1"/>
                                </a:solidFill>
                                <a:effectLst/>
                                <a:latin typeface="Cambria Math" panose="02040503050406030204" pitchFamily="18" charset="0"/>
                                <a:ea typeface="+mn-ea"/>
                                <a:cs typeface="+mn-cs"/>
                              </a:rPr>
                              <m:t>−1</m:t>
                            </m:r>
                          </m:sup>
                        </m:sSup>
                      </m:den>
                    </m:f>
                  </m:oMath>
                </m:oMathPara>
              </a14:m>
              <a:endParaRPr lang="en-US" sz="1400"/>
            </a:p>
          </xdr:txBody>
        </xdr:sp>
      </mc:Choice>
      <mc:Fallback xmlns="">
        <xdr:sp macro="" textlink="">
          <xdr:nvSpPr>
            <xdr:cNvPr id="9" name="TextBox 3">
              <a:extLst>
                <a:ext uri="{FF2B5EF4-FFF2-40B4-BE49-F238E27FC236}">
                  <a16:creationId xmlns:a16="http://schemas.microsoft.com/office/drawing/2014/main" id="{13FAC303-F5D2-456F-93DD-45696D12CEC9}"/>
                </a:ext>
              </a:extLst>
            </xdr:cNvPr>
            <xdr:cNvSpPr txBox="1"/>
          </xdr:nvSpPr>
          <xdr:spPr>
            <a:xfrm>
              <a:off x="1097280" y="29428440"/>
              <a:ext cx="2937792" cy="45602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latin typeface="Cambria Math" panose="02040503050406030204" pitchFamily="18" charset="0"/>
                </a:rPr>
                <a:t>𝑃𝑉 𝑜𝑓 𝐶𝑉</a:t>
              </a:r>
              <a:r>
                <a:rPr lang="en-US" sz="1400" i="0">
                  <a:latin typeface="Cambria Math" panose="02040503050406030204" pitchFamily="18" charset="0"/>
                </a:rPr>
                <a:t>=</a:t>
              </a:r>
              <a:r>
                <a:rPr lang="en-US" sz="1400" b="0" i="0">
                  <a:latin typeface="Cambria Math" panose="02040503050406030204" pitchFamily="18" charset="0"/>
                </a:rPr>
                <a:t>〖𝐶𝑉〗_(𝑇−1)/</a:t>
              </a:r>
              <a:r>
                <a:rPr lang="en-US" sz="1400" b="0" i="0" kern="1200">
                  <a:solidFill>
                    <a:schemeClr val="tx1"/>
                  </a:solidFill>
                  <a:effectLst/>
                  <a:latin typeface="Cambria Math" panose="02040503050406030204" pitchFamily="18" charset="0"/>
                  <a:ea typeface="+mn-ea"/>
                  <a:cs typeface="+mn-cs"/>
                </a:rPr>
                <a:t>〖(1+𝑊𝐴𝐶𝐶)〗^(𝑇−1) </a:t>
              </a:r>
              <a:endParaRPr lang="en-US" sz="1400"/>
            </a:p>
          </xdr:txBody>
        </xdr:sp>
      </mc:Fallback>
    </mc:AlternateContent>
    <xdr:clientData/>
  </xdr:twoCellAnchor>
  <xdr:twoCellAnchor>
    <xdr:from>
      <xdr:col>1</xdr:col>
      <xdr:colOff>11430</xdr:colOff>
      <xdr:row>173</xdr:row>
      <xdr:rowOff>3810</xdr:rowOff>
    </xdr:from>
    <xdr:to>
      <xdr:col>1</xdr:col>
      <xdr:colOff>4312920</xdr:colOff>
      <xdr:row>176</xdr:row>
      <xdr:rowOff>60977</xdr:rowOff>
    </xdr:to>
    <mc:AlternateContent xmlns:mc="http://schemas.openxmlformats.org/markup-compatibility/2006" xmlns:a14="http://schemas.microsoft.com/office/drawing/2010/main">
      <mc:Choice Requires="a14">
        <xdr:sp macro="" textlink="">
          <xdr:nvSpPr>
            <xdr:cNvPr id="10" name="TextBox 1">
              <a:extLst>
                <a:ext uri="{FF2B5EF4-FFF2-40B4-BE49-F238E27FC236}">
                  <a16:creationId xmlns:a16="http://schemas.microsoft.com/office/drawing/2014/main" id="{9C6D2937-5C82-437C-91EF-BEC0E7C306D1}"/>
                </a:ext>
              </a:extLst>
            </xdr:cNvPr>
            <xdr:cNvSpPr txBox="1"/>
          </xdr:nvSpPr>
          <xdr:spPr>
            <a:xfrm>
              <a:off x="365760" y="31977330"/>
              <a:ext cx="4301490" cy="605807"/>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𝑃𝑉</m:t>
                    </m:r>
                    <m:r>
                      <a:rPr lang="en-US" sz="1400" i="1">
                        <a:latin typeface="Cambria Math" panose="02040503050406030204" pitchFamily="18" charset="0"/>
                      </a:rPr>
                      <m:t>=</m:t>
                    </m:r>
                    <m:nary>
                      <m:naryPr>
                        <m:chr m:val="∑"/>
                        <m:ctrlPr>
                          <a:rPr lang="en-US" sz="1400" i="1">
                            <a:latin typeface="Cambria Math" panose="02040503050406030204" pitchFamily="18" charset="0"/>
                          </a:rPr>
                        </m:ctrlPr>
                      </m:naryPr>
                      <m:sub>
                        <m:r>
                          <m:rPr>
                            <m:brk m:alnAt="23"/>
                          </m:rPr>
                          <a:rPr lang="en-US" sz="1400" b="0" i="1">
                            <a:latin typeface="Cambria Math" panose="02040503050406030204" pitchFamily="18" charset="0"/>
                          </a:rPr>
                          <m:t>𝑡</m:t>
                        </m:r>
                        <m:r>
                          <a:rPr lang="en-US" sz="1400" b="0" i="1">
                            <a:latin typeface="Cambria Math" panose="02040503050406030204" pitchFamily="18" charset="0"/>
                          </a:rPr>
                          <m:t>=1</m:t>
                        </m:r>
                      </m:sub>
                      <m:sup>
                        <m:r>
                          <a:rPr lang="en-US" sz="1400" b="0" i="1">
                            <a:latin typeface="Cambria Math" panose="02040503050406030204" pitchFamily="18" charset="0"/>
                          </a:rPr>
                          <m:t>𝑇</m:t>
                        </m:r>
                      </m:sup>
                      <m:e>
                        <m:f>
                          <m:fPr>
                            <m:ctrlPr>
                              <a:rPr lang="en-US" sz="1400" i="1">
                                <a:latin typeface="Cambria Math" panose="02040503050406030204" pitchFamily="18" charset="0"/>
                              </a:rPr>
                            </m:ctrlPr>
                          </m:fPr>
                          <m:num>
                            <m:sSub>
                              <m:sSubPr>
                                <m:ctrlPr>
                                  <a:rPr lang="en-US" sz="1400" i="1">
                                    <a:latin typeface="Cambria Math" panose="02040503050406030204" pitchFamily="18" charset="0"/>
                                  </a:rPr>
                                </m:ctrlPr>
                              </m:sSubPr>
                              <m:e>
                                <m:r>
                                  <a:rPr lang="en-US" sz="1400" b="0" i="1">
                                    <a:latin typeface="Cambria Math" panose="02040503050406030204" pitchFamily="18" charset="0"/>
                                  </a:rPr>
                                  <m:t>𝐶𝐹</m:t>
                                </m:r>
                              </m:e>
                              <m:sub>
                                <m:r>
                                  <a:rPr lang="en-US" sz="1400" b="0" i="1">
                                    <a:latin typeface="Cambria Math" panose="02040503050406030204" pitchFamily="18" charset="0"/>
                                  </a:rPr>
                                  <m:t>𝑡</m:t>
                                </m:r>
                              </m:sub>
                            </m:sSub>
                          </m:num>
                          <m:den>
                            <m:sSup>
                              <m:sSupPr>
                                <m:ctrlPr>
                                  <a:rPr lang="en-US" sz="1400" i="1">
                                    <a:latin typeface="Cambria Math" panose="02040503050406030204" pitchFamily="18" charset="0"/>
                                  </a:rPr>
                                </m:ctrlPr>
                              </m:sSupPr>
                              <m:e>
                                <m:r>
                                  <a:rPr lang="en-US" sz="1400" b="0" i="1">
                                    <a:latin typeface="Cambria Math" panose="02040503050406030204" pitchFamily="18" charset="0"/>
                                  </a:rPr>
                                  <m:t>(1+</m:t>
                                </m:r>
                                <m:r>
                                  <a:rPr lang="en-US" sz="1400" b="0" i="1">
                                    <a:latin typeface="Cambria Math" panose="02040503050406030204" pitchFamily="18" charset="0"/>
                                  </a:rPr>
                                  <m:t>𝑊𝐴𝐶𝐶</m:t>
                                </m:r>
                                <m:r>
                                  <a:rPr lang="en-US" sz="1400" b="0" i="1">
                                    <a:latin typeface="Cambria Math" panose="02040503050406030204" pitchFamily="18" charset="0"/>
                                  </a:rPr>
                                  <m:t>)</m:t>
                                </m:r>
                              </m:e>
                              <m:sup>
                                <m:r>
                                  <a:rPr lang="en-US" sz="1400" b="0" i="1">
                                    <a:latin typeface="Cambria Math" panose="02040503050406030204" pitchFamily="18" charset="0"/>
                                  </a:rPr>
                                  <m:t>𝑡</m:t>
                                </m:r>
                              </m:sup>
                            </m:sSup>
                          </m:den>
                        </m:f>
                      </m:e>
                    </m:nary>
                  </m:oMath>
                </m:oMathPara>
              </a14:m>
              <a:endParaRPr lang="en-US" sz="1400"/>
            </a:p>
          </xdr:txBody>
        </xdr:sp>
      </mc:Choice>
      <mc:Fallback xmlns="">
        <xdr:sp macro="" textlink="">
          <xdr:nvSpPr>
            <xdr:cNvPr id="10" name="TextBox 1">
              <a:extLst>
                <a:ext uri="{FF2B5EF4-FFF2-40B4-BE49-F238E27FC236}">
                  <a16:creationId xmlns:a16="http://schemas.microsoft.com/office/drawing/2014/main" id="{9C6D2937-5C82-437C-91EF-BEC0E7C306D1}"/>
                </a:ext>
              </a:extLst>
            </xdr:cNvPr>
            <xdr:cNvSpPr txBox="1"/>
          </xdr:nvSpPr>
          <xdr:spPr>
            <a:xfrm>
              <a:off x="365760" y="31977330"/>
              <a:ext cx="4301490" cy="605807"/>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latin typeface="Cambria Math" panose="02040503050406030204" pitchFamily="18" charset="0"/>
                </a:rPr>
                <a:t>𝑃𝑉</a:t>
              </a:r>
              <a:r>
                <a:rPr lang="en-US" sz="1400" i="0">
                  <a:latin typeface="Cambria Math" panose="02040503050406030204" pitchFamily="18" charset="0"/>
                </a:rPr>
                <a:t>=∑</a:t>
              </a:r>
              <a:r>
                <a:rPr lang="en-US" sz="1400" b="0" i="0">
                  <a:latin typeface="Cambria Math" panose="02040503050406030204" pitchFamily="18" charset="0"/>
                </a:rPr>
                <a:t>_(𝑡=1)^𝑇▒〖𝐶𝐹〗_𝑡/〖(1+𝑊𝐴𝐶𝐶)〗^𝑡 </a:t>
              </a:r>
              <a:endParaRPr lang="en-US" sz="1400"/>
            </a:p>
          </xdr:txBody>
        </xdr:sp>
      </mc:Fallback>
    </mc:AlternateContent>
    <xdr:clientData/>
  </xdr:twoCellAnchor>
  <xdr:twoCellAnchor>
    <xdr:from>
      <xdr:col>1</xdr:col>
      <xdr:colOff>742950</xdr:colOff>
      <xdr:row>188</xdr:row>
      <xdr:rowOff>76200</xdr:rowOff>
    </xdr:from>
    <xdr:to>
      <xdr:col>1</xdr:col>
      <xdr:colOff>3680742</xdr:colOff>
      <xdr:row>190</xdr:row>
      <xdr:rowOff>166462</xdr:rowOff>
    </xdr:to>
    <mc:AlternateContent xmlns:mc="http://schemas.openxmlformats.org/markup-compatibility/2006" xmlns:a14="http://schemas.microsoft.com/office/drawing/2010/main">
      <mc:Choice Requires="a14">
        <xdr:sp macro="" textlink="">
          <xdr:nvSpPr>
            <xdr:cNvPr id="11" name="TextBox 3">
              <a:extLst>
                <a:ext uri="{FF2B5EF4-FFF2-40B4-BE49-F238E27FC236}">
                  <a16:creationId xmlns:a16="http://schemas.microsoft.com/office/drawing/2014/main" id="{1CCA03AC-4549-44F5-8114-9EE67ABD990D}"/>
                </a:ext>
              </a:extLst>
            </xdr:cNvPr>
            <xdr:cNvSpPr txBox="1"/>
          </xdr:nvSpPr>
          <xdr:spPr>
            <a:xfrm>
              <a:off x="1097280" y="34792920"/>
              <a:ext cx="2937792" cy="45602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𝑃𝑉</m:t>
                    </m:r>
                    <m:r>
                      <a:rPr lang="en-US" sz="1400" b="0" i="1">
                        <a:latin typeface="Cambria Math" panose="02040503050406030204" pitchFamily="18" charset="0"/>
                      </a:rPr>
                      <m:t> </m:t>
                    </m:r>
                    <m:r>
                      <a:rPr lang="en-US" sz="1400" b="0" i="1">
                        <a:latin typeface="Cambria Math" panose="02040503050406030204" pitchFamily="18" charset="0"/>
                      </a:rPr>
                      <m:t>𝑜𝑓</m:t>
                    </m:r>
                    <m:r>
                      <a:rPr lang="en-US" sz="1400" b="0" i="1">
                        <a:latin typeface="Cambria Math" panose="02040503050406030204" pitchFamily="18" charset="0"/>
                      </a:rPr>
                      <m:t> </m:t>
                    </m:r>
                    <m:r>
                      <a:rPr lang="en-US" sz="1400" b="0" i="1">
                        <a:latin typeface="Cambria Math" panose="02040503050406030204" pitchFamily="18" charset="0"/>
                      </a:rPr>
                      <m:t>𝐶𝑉</m:t>
                    </m:r>
                    <m:r>
                      <a:rPr lang="en-US" sz="1400" i="1">
                        <a:latin typeface="Cambria Math" panose="02040503050406030204" pitchFamily="18" charset="0"/>
                      </a:rPr>
                      <m:t>=</m:t>
                    </m:r>
                    <m:f>
                      <m:fPr>
                        <m:ctrlPr>
                          <a:rPr lang="en-US" sz="1400" i="1">
                            <a:latin typeface="Cambria Math" panose="02040503050406030204" pitchFamily="18" charset="0"/>
                          </a:rPr>
                        </m:ctrlPr>
                      </m:fPr>
                      <m:num>
                        <m:sSub>
                          <m:sSubPr>
                            <m:ctrlPr>
                              <a:rPr lang="en-US" sz="1400" b="0" i="1">
                                <a:latin typeface="Cambria Math" panose="02040503050406030204" pitchFamily="18" charset="0"/>
                              </a:rPr>
                            </m:ctrlPr>
                          </m:sSubPr>
                          <m:e>
                            <m:r>
                              <a:rPr lang="en-US" sz="1400" b="0" i="1">
                                <a:latin typeface="Cambria Math" panose="02040503050406030204" pitchFamily="18" charset="0"/>
                              </a:rPr>
                              <m:t>𝐶𝑉</m:t>
                            </m:r>
                          </m:e>
                          <m:sub>
                            <m:r>
                              <a:rPr lang="en-US" sz="1400" b="0" i="1">
                                <a:latin typeface="Cambria Math" panose="02040503050406030204" pitchFamily="18" charset="0"/>
                              </a:rPr>
                              <m:t>𝑇</m:t>
                            </m:r>
                            <m:r>
                              <a:rPr lang="en-US" sz="1400" b="0" i="1">
                                <a:latin typeface="Cambria Math" panose="02040503050406030204" pitchFamily="18" charset="0"/>
                              </a:rPr>
                              <m:t>−1</m:t>
                            </m:r>
                          </m:sub>
                        </m:sSub>
                      </m:num>
                      <m:den>
                        <m:sSup>
                          <m:sSupPr>
                            <m:ctrlPr>
                              <a:rPr lang="en-US" sz="1400" i="1" kern="1200">
                                <a:solidFill>
                                  <a:schemeClr val="tx1"/>
                                </a:solidFill>
                                <a:effectLst/>
                                <a:latin typeface="Cambria Math" panose="02040503050406030204" pitchFamily="18" charset="0"/>
                                <a:ea typeface="+mn-ea"/>
                                <a:cs typeface="+mn-cs"/>
                              </a:rPr>
                            </m:ctrlPr>
                          </m:sSupPr>
                          <m:e>
                            <m:r>
                              <a:rPr lang="en-US" sz="1400" b="0" i="1" kern="1200">
                                <a:solidFill>
                                  <a:schemeClr val="tx1"/>
                                </a:solidFill>
                                <a:effectLst/>
                                <a:latin typeface="Cambria Math" panose="02040503050406030204" pitchFamily="18" charset="0"/>
                                <a:ea typeface="+mn-ea"/>
                                <a:cs typeface="+mn-cs"/>
                              </a:rPr>
                              <m:t>(1+</m:t>
                            </m:r>
                            <m:r>
                              <a:rPr lang="en-US" sz="1400" b="0" i="1" kern="1200">
                                <a:solidFill>
                                  <a:schemeClr val="tx1"/>
                                </a:solidFill>
                                <a:effectLst/>
                                <a:latin typeface="Cambria Math" panose="02040503050406030204" pitchFamily="18" charset="0"/>
                                <a:ea typeface="+mn-ea"/>
                                <a:cs typeface="+mn-cs"/>
                              </a:rPr>
                              <m:t>𝑊𝐴𝐶𝐶</m:t>
                            </m:r>
                            <m:r>
                              <a:rPr lang="en-US" sz="1400" b="0" i="1" kern="1200">
                                <a:solidFill>
                                  <a:schemeClr val="tx1"/>
                                </a:solidFill>
                                <a:effectLst/>
                                <a:latin typeface="Cambria Math" panose="02040503050406030204" pitchFamily="18" charset="0"/>
                                <a:ea typeface="+mn-ea"/>
                                <a:cs typeface="+mn-cs"/>
                              </a:rPr>
                              <m:t>)</m:t>
                            </m:r>
                          </m:e>
                          <m:sup>
                            <m:r>
                              <a:rPr lang="en-US" sz="1400" b="0" i="1" kern="1200">
                                <a:solidFill>
                                  <a:schemeClr val="tx1"/>
                                </a:solidFill>
                                <a:effectLst/>
                                <a:latin typeface="Cambria Math" panose="02040503050406030204" pitchFamily="18" charset="0"/>
                                <a:ea typeface="+mn-ea"/>
                                <a:cs typeface="+mn-cs"/>
                              </a:rPr>
                              <m:t>𝑇</m:t>
                            </m:r>
                            <m:r>
                              <a:rPr lang="en-US" sz="1400" b="0" i="1" kern="1200">
                                <a:solidFill>
                                  <a:schemeClr val="tx1"/>
                                </a:solidFill>
                                <a:effectLst/>
                                <a:latin typeface="Cambria Math" panose="02040503050406030204" pitchFamily="18" charset="0"/>
                                <a:ea typeface="+mn-ea"/>
                                <a:cs typeface="+mn-cs"/>
                              </a:rPr>
                              <m:t>−1</m:t>
                            </m:r>
                          </m:sup>
                        </m:sSup>
                      </m:den>
                    </m:f>
                  </m:oMath>
                </m:oMathPara>
              </a14:m>
              <a:endParaRPr lang="en-US" sz="1400"/>
            </a:p>
          </xdr:txBody>
        </xdr:sp>
      </mc:Choice>
      <mc:Fallback xmlns="">
        <xdr:sp macro="" textlink="">
          <xdr:nvSpPr>
            <xdr:cNvPr id="11" name="TextBox 3">
              <a:extLst>
                <a:ext uri="{FF2B5EF4-FFF2-40B4-BE49-F238E27FC236}">
                  <a16:creationId xmlns:a16="http://schemas.microsoft.com/office/drawing/2014/main" id="{1CCA03AC-4549-44F5-8114-9EE67ABD990D}"/>
                </a:ext>
              </a:extLst>
            </xdr:cNvPr>
            <xdr:cNvSpPr txBox="1"/>
          </xdr:nvSpPr>
          <xdr:spPr>
            <a:xfrm>
              <a:off x="1097280" y="34792920"/>
              <a:ext cx="2937792" cy="45602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latin typeface="Cambria Math" panose="02040503050406030204" pitchFamily="18" charset="0"/>
                </a:rPr>
                <a:t>𝑃𝑉 𝑜𝑓 𝐶𝑉</a:t>
              </a:r>
              <a:r>
                <a:rPr lang="en-US" sz="1400" i="0">
                  <a:latin typeface="Cambria Math" panose="02040503050406030204" pitchFamily="18" charset="0"/>
                </a:rPr>
                <a:t>=</a:t>
              </a:r>
              <a:r>
                <a:rPr lang="en-US" sz="1400" b="0" i="0">
                  <a:latin typeface="Cambria Math" panose="02040503050406030204" pitchFamily="18" charset="0"/>
                </a:rPr>
                <a:t>〖𝐶𝑉〗_(𝑇−1)/</a:t>
              </a:r>
              <a:r>
                <a:rPr lang="en-US" sz="1400" b="0" i="0" kern="1200">
                  <a:solidFill>
                    <a:schemeClr val="tx1"/>
                  </a:solidFill>
                  <a:effectLst/>
                  <a:latin typeface="Cambria Math" panose="02040503050406030204" pitchFamily="18" charset="0"/>
                  <a:ea typeface="+mn-ea"/>
                  <a:cs typeface="+mn-cs"/>
                </a:rPr>
                <a:t>〖(1+𝑊𝐴𝐶𝐶)〗^(𝑇−1) </a:t>
              </a:r>
              <a:endParaRPr lang="en-US" sz="1400"/>
            </a:p>
          </xdr:txBody>
        </xdr:sp>
      </mc:Fallback>
    </mc:AlternateContent>
    <xdr:clientData/>
  </xdr:twoCellAnchor>
  <xdr:twoCellAnchor>
    <xdr:from>
      <xdr:col>1</xdr:col>
      <xdr:colOff>381000</xdr:colOff>
      <xdr:row>126</xdr:row>
      <xdr:rowOff>104775</xdr:rowOff>
    </xdr:from>
    <xdr:to>
      <xdr:col>1</xdr:col>
      <xdr:colOff>3790950</xdr:colOff>
      <xdr:row>134</xdr:row>
      <xdr:rowOff>95250</xdr:rowOff>
    </xdr:to>
    <xdr:sp macro="" textlink="">
      <xdr:nvSpPr>
        <xdr:cNvPr id="12" name="TextBox 11">
          <a:extLst>
            <a:ext uri="{FF2B5EF4-FFF2-40B4-BE49-F238E27FC236}">
              <a16:creationId xmlns:a16="http://schemas.microsoft.com/office/drawing/2014/main" id="{BD21A206-1033-41E2-9653-6C9F2EC4F1AE}"/>
            </a:ext>
          </a:extLst>
        </xdr:cNvPr>
        <xdr:cNvSpPr txBox="1"/>
      </xdr:nvSpPr>
      <xdr:spPr>
        <a:xfrm>
          <a:off x="733425" y="23441025"/>
          <a:ext cx="3409950" cy="1438275"/>
        </a:xfrm>
        <a:prstGeom prst="rect">
          <a:avLst/>
        </a:prstGeom>
        <a:solidFill>
          <a:schemeClr val="lt1"/>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NOPLAT</a:t>
          </a:r>
        </a:p>
        <a:p>
          <a:r>
            <a:rPr lang="en-US" sz="1200"/>
            <a:t> -/+  Increase (Decrease) Change in Working Capital</a:t>
          </a:r>
        </a:p>
        <a:p>
          <a:r>
            <a:rPr lang="en-US" sz="1200" u="sng"/>
            <a:t> -/+ </a:t>
          </a:r>
          <a:r>
            <a:rPr lang="en-US" sz="1200" u="sng" baseline="0"/>
            <a:t> Increase (Decrease)</a:t>
          </a:r>
          <a:r>
            <a:rPr lang="en-US" sz="1200" u="sng"/>
            <a:t> Net Capex                                       </a:t>
          </a:r>
        </a:p>
        <a:p>
          <a:r>
            <a:rPr lang="en-US" sz="1200"/>
            <a:t>          </a:t>
          </a:r>
          <a:r>
            <a:rPr lang="en-US" sz="1200" b="1"/>
            <a:t>FCFF</a:t>
          </a:r>
        </a:p>
        <a:p>
          <a:r>
            <a:rPr lang="en-US" sz="1200"/>
            <a:t>   - Interest Expense after tax</a:t>
          </a:r>
        </a:p>
        <a:p>
          <a:r>
            <a:rPr lang="en-US" sz="1200" u="sng"/>
            <a:t>   + Increase</a:t>
          </a:r>
          <a:r>
            <a:rPr lang="en-US" sz="1200" u="sng" baseline="0"/>
            <a:t> in Debt             </a:t>
          </a:r>
        </a:p>
        <a:p>
          <a:r>
            <a:rPr lang="en-US" sz="1200" baseline="0"/>
            <a:t>          </a:t>
          </a:r>
          <a:r>
            <a:rPr lang="en-US" sz="1200" b="1" baseline="0"/>
            <a:t>FCFE</a:t>
          </a:r>
          <a:endParaRPr lang="en-US" sz="1200" b="1"/>
        </a:p>
      </xdr:txBody>
    </xdr:sp>
    <xdr:clientData/>
  </xdr:twoCellAnchor>
  <xdr:twoCellAnchor>
    <xdr:from>
      <xdr:col>0</xdr:col>
      <xdr:colOff>125730</xdr:colOff>
      <xdr:row>154</xdr:row>
      <xdr:rowOff>125730</xdr:rowOff>
    </xdr:from>
    <xdr:to>
      <xdr:col>1</xdr:col>
      <xdr:colOff>4152645</xdr:colOff>
      <xdr:row>157</xdr:row>
      <xdr:rowOff>19583</xdr:rowOff>
    </xdr:to>
    <mc:AlternateContent xmlns:mc="http://schemas.openxmlformats.org/markup-compatibility/2006" xmlns:a14="http://schemas.microsoft.com/office/drawing/2010/main">
      <mc:Choice Requires="a14">
        <xdr:sp macro="" textlink="">
          <xdr:nvSpPr>
            <xdr:cNvPr id="13" name="TextBox 3">
              <a:extLst>
                <a:ext uri="{FF2B5EF4-FFF2-40B4-BE49-F238E27FC236}">
                  <a16:creationId xmlns:a16="http://schemas.microsoft.com/office/drawing/2014/main" id="{B7C21C07-28ED-4B2A-AA92-75B57C502D30}"/>
                </a:ext>
              </a:extLst>
            </xdr:cNvPr>
            <xdr:cNvSpPr txBox="1"/>
          </xdr:nvSpPr>
          <xdr:spPr>
            <a:xfrm>
              <a:off x="125730" y="28563570"/>
              <a:ext cx="4381245" cy="442493"/>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n-US" sz="1400" b="0" i="1">
                            <a:solidFill>
                              <a:srgbClr val="00B050"/>
                            </a:solidFill>
                            <a:latin typeface="Cambria Math" panose="02040503050406030204" pitchFamily="18" charset="0"/>
                          </a:rPr>
                        </m:ctrlPr>
                      </m:sSubPr>
                      <m:e>
                        <m:r>
                          <a:rPr lang="en-US" sz="1400" b="0" i="1">
                            <a:solidFill>
                              <a:srgbClr val="00B050"/>
                            </a:solidFill>
                            <a:latin typeface="Cambria Math" panose="02040503050406030204" pitchFamily="18" charset="0"/>
                          </a:rPr>
                          <m:t>𝐶𝑉</m:t>
                        </m:r>
                      </m:e>
                      <m:sub>
                        <m:r>
                          <a:rPr lang="en-US" sz="1400" b="0" i="1">
                            <a:solidFill>
                              <a:srgbClr val="00B050"/>
                            </a:solidFill>
                            <a:latin typeface="Cambria Math" panose="02040503050406030204" pitchFamily="18" charset="0"/>
                          </a:rPr>
                          <m:t>𝑇</m:t>
                        </m:r>
                        <m:r>
                          <a:rPr lang="en-US" sz="1400" b="0" i="1">
                            <a:solidFill>
                              <a:srgbClr val="00B050"/>
                            </a:solidFill>
                            <a:latin typeface="Cambria Math" panose="02040503050406030204" pitchFamily="18" charset="0"/>
                          </a:rPr>
                          <m:t>−1</m:t>
                        </m:r>
                      </m:sub>
                    </m:sSub>
                    <m:r>
                      <a:rPr lang="en-US" sz="1400" i="1">
                        <a:solidFill>
                          <a:srgbClr val="00B050"/>
                        </a:solidFill>
                        <a:latin typeface="Cambria Math" panose="02040503050406030204" pitchFamily="18" charset="0"/>
                      </a:rPr>
                      <m:t>=</m:t>
                    </m:r>
                    <m:f>
                      <m:fPr>
                        <m:ctrlPr>
                          <a:rPr lang="en-US" sz="1400" i="1">
                            <a:solidFill>
                              <a:srgbClr val="00B050"/>
                            </a:solidFill>
                            <a:latin typeface="Cambria Math" panose="02040503050406030204" pitchFamily="18" charset="0"/>
                          </a:rPr>
                        </m:ctrlPr>
                      </m:fPr>
                      <m:num>
                        <m:sSub>
                          <m:sSubPr>
                            <m:ctrlPr>
                              <a:rPr lang="en-US" sz="1400" b="0" i="1">
                                <a:solidFill>
                                  <a:srgbClr val="00B050"/>
                                </a:solidFill>
                                <a:latin typeface="Cambria Math" panose="02040503050406030204" pitchFamily="18" charset="0"/>
                              </a:rPr>
                            </m:ctrlPr>
                          </m:sSubPr>
                          <m:e>
                            <m:r>
                              <a:rPr lang="en-US" sz="1400" b="0" i="1">
                                <a:solidFill>
                                  <a:srgbClr val="00B050"/>
                                </a:solidFill>
                                <a:latin typeface="Cambria Math" panose="02040503050406030204" pitchFamily="18" charset="0"/>
                              </a:rPr>
                              <m:t>𝐶𝐹</m:t>
                            </m:r>
                          </m:e>
                          <m:sub>
                            <m:r>
                              <a:rPr lang="en-US" sz="1400" b="0" i="1">
                                <a:solidFill>
                                  <a:srgbClr val="00B050"/>
                                </a:solidFill>
                                <a:latin typeface="Cambria Math" panose="02040503050406030204" pitchFamily="18" charset="0"/>
                              </a:rPr>
                              <m:t>𝑇</m:t>
                            </m:r>
                          </m:sub>
                        </m:sSub>
                      </m:num>
                      <m:den>
                        <m:r>
                          <a:rPr lang="en-US" sz="1400" b="0" i="1">
                            <a:solidFill>
                              <a:srgbClr val="00B050"/>
                            </a:solidFill>
                            <a:latin typeface="Cambria Math" panose="02040503050406030204" pitchFamily="18" charset="0"/>
                          </a:rPr>
                          <m:t>𝑟</m:t>
                        </m:r>
                        <m:r>
                          <a:rPr lang="en-US" sz="1400" b="0" i="1">
                            <a:solidFill>
                              <a:srgbClr val="00B050"/>
                            </a:solidFill>
                            <a:latin typeface="Cambria Math" panose="02040503050406030204" pitchFamily="18" charset="0"/>
                          </a:rPr>
                          <m:t>−</m:t>
                        </m:r>
                        <m:r>
                          <a:rPr lang="en-US" sz="1400" b="0" i="1">
                            <a:solidFill>
                              <a:srgbClr val="00B050"/>
                            </a:solidFill>
                            <a:latin typeface="Cambria Math" panose="02040503050406030204" pitchFamily="18" charset="0"/>
                          </a:rPr>
                          <m:t>𝑔</m:t>
                        </m:r>
                      </m:den>
                    </m:f>
                    <m:r>
                      <a:rPr lang="en-US" sz="1400" b="0" i="1">
                        <a:solidFill>
                          <a:srgbClr val="00B050"/>
                        </a:solidFill>
                        <a:latin typeface="Cambria Math" panose="02040503050406030204" pitchFamily="18" charset="0"/>
                      </a:rPr>
                      <m:t>=</m:t>
                    </m:r>
                    <m:f>
                      <m:fPr>
                        <m:ctrlPr>
                          <a:rPr lang="en-US" sz="1400" i="1">
                            <a:solidFill>
                              <a:srgbClr val="00B050"/>
                            </a:solidFill>
                            <a:latin typeface="Cambria Math" panose="02040503050406030204" pitchFamily="18" charset="0"/>
                          </a:rPr>
                        </m:ctrlPr>
                      </m:fPr>
                      <m:num>
                        <m:sSub>
                          <m:sSubPr>
                            <m:ctrlPr>
                              <a:rPr lang="en-US" sz="1400" b="0" i="1" kern="1200">
                                <a:solidFill>
                                  <a:srgbClr val="00B050"/>
                                </a:solidFill>
                                <a:effectLst/>
                                <a:latin typeface="Cambria Math" panose="02040503050406030204" pitchFamily="18" charset="0"/>
                              </a:rPr>
                            </m:ctrlPr>
                          </m:sSubPr>
                          <m:e>
                            <m:r>
                              <a:rPr lang="en-US" sz="1400" b="0" i="1" kern="1200">
                                <a:solidFill>
                                  <a:srgbClr val="00B050"/>
                                </a:solidFill>
                                <a:effectLst/>
                                <a:latin typeface="Cambria Math" panose="02040503050406030204" pitchFamily="18" charset="0"/>
                              </a:rPr>
                              <m:t>𝐶𝐹</m:t>
                            </m:r>
                          </m:e>
                          <m:sub>
                            <m:r>
                              <a:rPr lang="en-US" sz="1400" b="0" i="1" kern="1200">
                                <a:solidFill>
                                  <a:srgbClr val="00B050"/>
                                </a:solidFill>
                                <a:effectLst/>
                                <a:latin typeface="Cambria Math" panose="02040503050406030204" pitchFamily="18" charset="0"/>
                              </a:rPr>
                              <m:t>𝑇</m:t>
                            </m:r>
                          </m:sub>
                        </m:sSub>
                      </m:num>
                      <m:den>
                        <m:r>
                          <a:rPr lang="en-US" sz="1400" b="0" i="1">
                            <a:solidFill>
                              <a:srgbClr val="00B050"/>
                            </a:solidFill>
                            <a:latin typeface="Cambria Math" panose="02040503050406030204" pitchFamily="18" charset="0"/>
                          </a:rPr>
                          <m:t>𝑊𝐴𝐶𝐶</m:t>
                        </m:r>
                        <m:r>
                          <a:rPr lang="en-US" sz="1400" b="0" i="1">
                            <a:solidFill>
                              <a:srgbClr val="00B050"/>
                            </a:solidFill>
                            <a:latin typeface="Cambria Math" panose="02040503050406030204" pitchFamily="18" charset="0"/>
                          </a:rPr>
                          <m:t>−</m:t>
                        </m:r>
                        <m:r>
                          <a:rPr lang="en-US" sz="1400" b="0" i="1">
                            <a:solidFill>
                              <a:srgbClr val="00B050"/>
                            </a:solidFill>
                            <a:latin typeface="Cambria Math" panose="02040503050406030204" pitchFamily="18" charset="0"/>
                          </a:rPr>
                          <m:t>𝑔</m:t>
                        </m:r>
                      </m:den>
                    </m:f>
                  </m:oMath>
                </m:oMathPara>
              </a14:m>
              <a:endParaRPr lang="en-US" sz="1400">
                <a:solidFill>
                  <a:srgbClr val="00B050"/>
                </a:solidFill>
              </a:endParaRPr>
            </a:p>
          </xdr:txBody>
        </xdr:sp>
      </mc:Choice>
      <mc:Fallback xmlns="">
        <xdr:sp macro="" textlink="">
          <xdr:nvSpPr>
            <xdr:cNvPr id="13" name="TextBox 3">
              <a:extLst>
                <a:ext uri="{FF2B5EF4-FFF2-40B4-BE49-F238E27FC236}">
                  <a16:creationId xmlns:a16="http://schemas.microsoft.com/office/drawing/2014/main" id="{B7C21C07-28ED-4B2A-AA92-75B57C502D30}"/>
                </a:ext>
              </a:extLst>
            </xdr:cNvPr>
            <xdr:cNvSpPr txBox="1"/>
          </xdr:nvSpPr>
          <xdr:spPr>
            <a:xfrm>
              <a:off x="125730" y="28563570"/>
              <a:ext cx="4381245" cy="442493"/>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solidFill>
                    <a:srgbClr val="00B050"/>
                  </a:solidFill>
                  <a:latin typeface="Cambria Math" panose="02040503050406030204" pitchFamily="18" charset="0"/>
                </a:rPr>
                <a:t>〖𝐶𝑉〗_(𝑇−1)</a:t>
              </a:r>
              <a:r>
                <a:rPr lang="en-US" sz="1400" i="0">
                  <a:solidFill>
                    <a:srgbClr val="00B050"/>
                  </a:solidFill>
                  <a:latin typeface="Cambria Math" panose="02040503050406030204" pitchFamily="18" charset="0"/>
                </a:rPr>
                <a:t>=</a:t>
              </a:r>
              <a:r>
                <a:rPr lang="en-US" sz="1400" b="0" i="0">
                  <a:solidFill>
                    <a:srgbClr val="00B050"/>
                  </a:solidFill>
                  <a:latin typeface="Cambria Math" panose="02040503050406030204" pitchFamily="18" charset="0"/>
                </a:rPr>
                <a:t>〖𝐶𝐹〗_𝑇/(𝑟−𝑔)=</a:t>
              </a:r>
              <a:r>
                <a:rPr lang="en-US" sz="1400" b="0" i="0" kern="1200">
                  <a:solidFill>
                    <a:srgbClr val="00B050"/>
                  </a:solidFill>
                  <a:effectLst/>
                  <a:latin typeface="Cambria Math" panose="02040503050406030204" pitchFamily="18" charset="0"/>
                </a:rPr>
                <a:t>〖𝐶𝐹〗_𝑇/(</a:t>
              </a:r>
              <a:r>
                <a:rPr lang="en-US" sz="1400" b="0" i="0">
                  <a:solidFill>
                    <a:srgbClr val="00B050"/>
                  </a:solidFill>
                  <a:latin typeface="Cambria Math" panose="02040503050406030204" pitchFamily="18" charset="0"/>
                </a:rPr>
                <a:t>𝑊𝐴𝐶𝐶−𝑔)</a:t>
              </a:r>
              <a:endParaRPr lang="en-US" sz="1400">
                <a:solidFill>
                  <a:srgbClr val="00B050"/>
                </a:solidFill>
              </a:endParaRPr>
            </a:p>
          </xdr:txBody>
        </xdr:sp>
      </mc:Fallback>
    </mc:AlternateContent>
    <xdr:clientData/>
  </xdr:twoCellAnchor>
  <xdr:twoCellAnchor>
    <xdr:from>
      <xdr:col>1</xdr:col>
      <xdr:colOff>548640</xdr:colOff>
      <xdr:row>179</xdr:row>
      <xdr:rowOff>72390</xdr:rowOff>
    </xdr:from>
    <xdr:to>
      <xdr:col>1</xdr:col>
      <xdr:colOff>3486432</xdr:colOff>
      <xdr:row>181</xdr:row>
      <xdr:rowOff>111356</xdr:rowOff>
    </xdr:to>
    <mc:AlternateContent xmlns:mc="http://schemas.openxmlformats.org/markup-compatibility/2006" xmlns:a14="http://schemas.microsoft.com/office/drawing/2010/main">
      <mc:Choice Requires="a14">
        <xdr:sp macro="" textlink="">
          <xdr:nvSpPr>
            <xdr:cNvPr id="14" name="TextBox 3">
              <a:extLst>
                <a:ext uri="{FF2B5EF4-FFF2-40B4-BE49-F238E27FC236}">
                  <a16:creationId xmlns:a16="http://schemas.microsoft.com/office/drawing/2014/main" id="{261F6EB0-9F5B-4343-AC12-927C82F0E7CC}"/>
                </a:ext>
              </a:extLst>
            </xdr:cNvPr>
            <xdr:cNvSpPr txBox="1"/>
          </xdr:nvSpPr>
          <xdr:spPr>
            <a:xfrm>
              <a:off x="902970" y="33143190"/>
              <a:ext cx="2937792" cy="404726"/>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n-US" sz="1400" b="0" i="1">
                            <a:solidFill>
                              <a:srgbClr val="7030A0"/>
                            </a:solidFill>
                            <a:latin typeface="Cambria Math" panose="02040503050406030204" pitchFamily="18" charset="0"/>
                          </a:rPr>
                        </m:ctrlPr>
                      </m:sSubPr>
                      <m:e>
                        <m:r>
                          <a:rPr lang="en-US" sz="1400" b="0" i="1">
                            <a:solidFill>
                              <a:srgbClr val="7030A0"/>
                            </a:solidFill>
                            <a:latin typeface="Cambria Math" panose="02040503050406030204" pitchFamily="18" charset="0"/>
                          </a:rPr>
                          <m:t>𝐶𝑉</m:t>
                        </m:r>
                      </m:e>
                      <m:sub>
                        <m:r>
                          <a:rPr lang="en-US" sz="1400" b="0" i="1">
                            <a:solidFill>
                              <a:srgbClr val="7030A0"/>
                            </a:solidFill>
                            <a:latin typeface="Cambria Math" panose="02040503050406030204" pitchFamily="18" charset="0"/>
                          </a:rPr>
                          <m:t>𝑇</m:t>
                        </m:r>
                        <m:r>
                          <a:rPr lang="en-US" sz="1400" b="0" i="1">
                            <a:solidFill>
                              <a:srgbClr val="7030A0"/>
                            </a:solidFill>
                            <a:latin typeface="Cambria Math" panose="02040503050406030204" pitchFamily="18" charset="0"/>
                          </a:rPr>
                          <m:t>−1</m:t>
                        </m:r>
                      </m:sub>
                    </m:sSub>
                    <m:r>
                      <a:rPr lang="en-US" sz="1400" i="1">
                        <a:solidFill>
                          <a:srgbClr val="7030A0"/>
                        </a:solidFill>
                        <a:latin typeface="Cambria Math" panose="02040503050406030204" pitchFamily="18" charset="0"/>
                      </a:rPr>
                      <m:t>=</m:t>
                    </m:r>
                    <m:f>
                      <m:fPr>
                        <m:ctrlPr>
                          <a:rPr lang="en-US" sz="1400" i="1">
                            <a:solidFill>
                              <a:srgbClr val="7030A0"/>
                            </a:solidFill>
                            <a:latin typeface="Cambria Math" panose="02040503050406030204" pitchFamily="18" charset="0"/>
                          </a:rPr>
                        </m:ctrlPr>
                      </m:fPr>
                      <m:num>
                        <m:sSub>
                          <m:sSubPr>
                            <m:ctrlPr>
                              <a:rPr lang="en-US" sz="1400" b="0" i="1">
                                <a:solidFill>
                                  <a:srgbClr val="7030A0"/>
                                </a:solidFill>
                                <a:latin typeface="Cambria Math" panose="02040503050406030204" pitchFamily="18" charset="0"/>
                              </a:rPr>
                            </m:ctrlPr>
                          </m:sSubPr>
                          <m:e>
                            <m:r>
                              <a:rPr lang="en-US" sz="1400" b="0" i="1">
                                <a:solidFill>
                                  <a:srgbClr val="7030A0"/>
                                </a:solidFill>
                                <a:latin typeface="Cambria Math" panose="02040503050406030204" pitchFamily="18" charset="0"/>
                              </a:rPr>
                              <m:t>𝐶𝐹</m:t>
                            </m:r>
                          </m:e>
                          <m:sub>
                            <m:r>
                              <a:rPr lang="en-US" sz="1400" b="0" i="1">
                                <a:solidFill>
                                  <a:srgbClr val="7030A0"/>
                                </a:solidFill>
                                <a:latin typeface="Cambria Math" panose="02040503050406030204" pitchFamily="18" charset="0"/>
                              </a:rPr>
                              <m:t>𝑇</m:t>
                            </m:r>
                          </m:sub>
                        </m:sSub>
                      </m:num>
                      <m:den>
                        <m:r>
                          <a:rPr lang="en-US" sz="1400" b="0" i="1">
                            <a:solidFill>
                              <a:srgbClr val="7030A0"/>
                            </a:solidFill>
                            <a:latin typeface="Cambria Math" panose="02040503050406030204" pitchFamily="18" charset="0"/>
                          </a:rPr>
                          <m:t>𝑟</m:t>
                        </m:r>
                      </m:den>
                    </m:f>
                    <m:r>
                      <a:rPr lang="en-US" sz="1400" b="0" i="1">
                        <a:solidFill>
                          <a:srgbClr val="7030A0"/>
                        </a:solidFill>
                        <a:latin typeface="Cambria Math" panose="02040503050406030204" pitchFamily="18" charset="0"/>
                      </a:rPr>
                      <m:t>=</m:t>
                    </m:r>
                    <m:f>
                      <m:fPr>
                        <m:ctrlPr>
                          <a:rPr lang="en-US" sz="1400" i="1">
                            <a:solidFill>
                              <a:srgbClr val="7030A0"/>
                            </a:solidFill>
                            <a:latin typeface="Cambria Math" panose="02040503050406030204" pitchFamily="18" charset="0"/>
                          </a:rPr>
                        </m:ctrlPr>
                      </m:fPr>
                      <m:num>
                        <m:sSub>
                          <m:sSubPr>
                            <m:ctrlPr>
                              <a:rPr lang="en-US" sz="1400" b="0" i="1" kern="1200">
                                <a:solidFill>
                                  <a:srgbClr val="7030A0"/>
                                </a:solidFill>
                                <a:effectLst/>
                                <a:latin typeface="Cambria Math" panose="02040503050406030204" pitchFamily="18" charset="0"/>
                                <a:ea typeface="+mn-ea"/>
                                <a:cs typeface="+mn-cs"/>
                              </a:rPr>
                            </m:ctrlPr>
                          </m:sSubPr>
                          <m:e>
                            <m:r>
                              <a:rPr lang="en-US" sz="1400" b="0" i="1" kern="1200">
                                <a:solidFill>
                                  <a:srgbClr val="7030A0"/>
                                </a:solidFill>
                                <a:effectLst/>
                                <a:latin typeface="Cambria Math" panose="02040503050406030204" pitchFamily="18" charset="0"/>
                                <a:ea typeface="+mn-ea"/>
                                <a:cs typeface="+mn-cs"/>
                              </a:rPr>
                              <m:t>𝐶𝐹</m:t>
                            </m:r>
                          </m:e>
                          <m:sub>
                            <m:r>
                              <a:rPr lang="en-US" sz="1400" b="0" i="1" kern="1200">
                                <a:solidFill>
                                  <a:srgbClr val="7030A0"/>
                                </a:solidFill>
                                <a:effectLst/>
                                <a:latin typeface="Cambria Math" panose="02040503050406030204" pitchFamily="18" charset="0"/>
                                <a:ea typeface="+mn-ea"/>
                                <a:cs typeface="+mn-cs"/>
                              </a:rPr>
                              <m:t>𝑇</m:t>
                            </m:r>
                          </m:sub>
                        </m:sSub>
                      </m:num>
                      <m:den>
                        <m:r>
                          <a:rPr lang="en-US" sz="1400" b="0" i="1">
                            <a:solidFill>
                              <a:srgbClr val="7030A0"/>
                            </a:solidFill>
                            <a:latin typeface="Cambria Math" panose="02040503050406030204" pitchFamily="18" charset="0"/>
                          </a:rPr>
                          <m:t>𝑊𝐴𝐶𝐶</m:t>
                        </m:r>
                      </m:den>
                    </m:f>
                  </m:oMath>
                </m:oMathPara>
              </a14:m>
              <a:endParaRPr lang="en-US" sz="1400">
                <a:solidFill>
                  <a:srgbClr val="7030A0"/>
                </a:solidFill>
              </a:endParaRPr>
            </a:p>
          </xdr:txBody>
        </xdr:sp>
      </mc:Choice>
      <mc:Fallback xmlns="">
        <xdr:sp macro="" textlink="">
          <xdr:nvSpPr>
            <xdr:cNvPr id="14" name="TextBox 3">
              <a:extLst>
                <a:ext uri="{FF2B5EF4-FFF2-40B4-BE49-F238E27FC236}">
                  <a16:creationId xmlns:a16="http://schemas.microsoft.com/office/drawing/2014/main" id="{261F6EB0-9F5B-4343-AC12-927C82F0E7CC}"/>
                </a:ext>
              </a:extLst>
            </xdr:cNvPr>
            <xdr:cNvSpPr txBox="1"/>
          </xdr:nvSpPr>
          <xdr:spPr>
            <a:xfrm>
              <a:off x="902970" y="33143190"/>
              <a:ext cx="2937792" cy="404726"/>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solidFill>
                    <a:srgbClr val="7030A0"/>
                  </a:solidFill>
                  <a:latin typeface="Cambria Math" panose="02040503050406030204" pitchFamily="18" charset="0"/>
                </a:rPr>
                <a:t>〖𝐶𝑉〗_(𝑇−1)</a:t>
              </a:r>
              <a:r>
                <a:rPr lang="en-US" sz="1400" i="0">
                  <a:solidFill>
                    <a:srgbClr val="7030A0"/>
                  </a:solidFill>
                  <a:latin typeface="Cambria Math" panose="02040503050406030204" pitchFamily="18" charset="0"/>
                </a:rPr>
                <a:t>=</a:t>
              </a:r>
              <a:r>
                <a:rPr lang="en-US" sz="1400" b="0" i="0">
                  <a:solidFill>
                    <a:srgbClr val="7030A0"/>
                  </a:solidFill>
                  <a:latin typeface="Cambria Math" panose="02040503050406030204" pitchFamily="18" charset="0"/>
                </a:rPr>
                <a:t>〖𝐶𝐹〗_𝑇/𝑟=</a:t>
              </a:r>
              <a:r>
                <a:rPr lang="en-US" sz="1400" b="0" i="0" kern="1200">
                  <a:solidFill>
                    <a:srgbClr val="7030A0"/>
                  </a:solidFill>
                  <a:effectLst/>
                  <a:latin typeface="Cambria Math" panose="02040503050406030204" pitchFamily="18" charset="0"/>
                  <a:ea typeface="+mn-ea"/>
                  <a:cs typeface="+mn-cs"/>
                </a:rPr>
                <a:t>〖𝐶𝐹〗_𝑇/</a:t>
              </a:r>
              <a:r>
                <a:rPr lang="en-US" sz="1400" b="0" i="0">
                  <a:solidFill>
                    <a:srgbClr val="7030A0"/>
                  </a:solidFill>
                  <a:latin typeface="Cambria Math" panose="02040503050406030204" pitchFamily="18" charset="0"/>
                </a:rPr>
                <a:t>𝑊𝐴𝐶𝐶</a:t>
              </a:r>
              <a:endParaRPr lang="en-US" sz="1400">
                <a:solidFill>
                  <a:srgbClr val="7030A0"/>
                </a:solidFill>
              </a:endParaRPr>
            </a:p>
          </xdr:txBody>
        </xdr:sp>
      </mc:Fallback>
    </mc:AlternateContent>
    <xdr:clientData/>
  </xdr:twoCellAnchor>
  <xdr:twoCellAnchor>
    <xdr:from>
      <xdr:col>1</xdr:col>
      <xdr:colOff>19050</xdr:colOff>
      <xdr:row>183</xdr:row>
      <xdr:rowOff>106680</xdr:rowOff>
    </xdr:from>
    <xdr:to>
      <xdr:col>1</xdr:col>
      <xdr:colOff>4400295</xdr:colOff>
      <xdr:row>186</xdr:row>
      <xdr:rowOff>0</xdr:rowOff>
    </xdr:to>
    <mc:AlternateContent xmlns:mc="http://schemas.openxmlformats.org/markup-compatibility/2006" xmlns:a14="http://schemas.microsoft.com/office/drawing/2010/main">
      <mc:Choice Requires="a14">
        <xdr:sp macro="" textlink="">
          <xdr:nvSpPr>
            <xdr:cNvPr id="15" name="TextBox 3">
              <a:extLst>
                <a:ext uri="{FF2B5EF4-FFF2-40B4-BE49-F238E27FC236}">
                  <a16:creationId xmlns:a16="http://schemas.microsoft.com/office/drawing/2014/main" id="{B8C8505F-29E8-49B2-A801-09B726B522E3}"/>
                </a:ext>
              </a:extLst>
            </xdr:cNvPr>
            <xdr:cNvSpPr txBox="1"/>
          </xdr:nvSpPr>
          <xdr:spPr>
            <a:xfrm>
              <a:off x="373380" y="33909000"/>
              <a:ext cx="4381245" cy="441960"/>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n-US" sz="1400" b="0" i="1">
                            <a:solidFill>
                              <a:srgbClr val="00B050"/>
                            </a:solidFill>
                            <a:latin typeface="Cambria Math" panose="02040503050406030204" pitchFamily="18" charset="0"/>
                          </a:rPr>
                        </m:ctrlPr>
                      </m:sSubPr>
                      <m:e>
                        <m:r>
                          <a:rPr lang="en-US" sz="1400" b="0" i="1">
                            <a:solidFill>
                              <a:srgbClr val="00B050"/>
                            </a:solidFill>
                            <a:latin typeface="Cambria Math" panose="02040503050406030204" pitchFamily="18" charset="0"/>
                          </a:rPr>
                          <m:t>𝐶𝑉</m:t>
                        </m:r>
                      </m:e>
                      <m:sub>
                        <m:r>
                          <a:rPr lang="en-US" sz="1400" b="0" i="1">
                            <a:solidFill>
                              <a:srgbClr val="00B050"/>
                            </a:solidFill>
                            <a:latin typeface="Cambria Math" panose="02040503050406030204" pitchFamily="18" charset="0"/>
                          </a:rPr>
                          <m:t>𝑇</m:t>
                        </m:r>
                        <m:r>
                          <a:rPr lang="en-US" sz="1400" b="0" i="1">
                            <a:solidFill>
                              <a:srgbClr val="00B050"/>
                            </a:solidFill>
                            <a:latin typeface="Cambria Math" panose="02040503050406030204" pitchFamily="18" charset="0"/>
                          </a:rPr>
                          <m:t>−1</m:t>
                        </m:r>
                      </m:sub>
                    </m:sSub>
                    <m:r>
                      <a:rPr lang="en-US" sz="1400" i="1">
                        <a:solidFill>
                          <a:srgbClr val="00B050"/>
                        </a:solidFill>
                        <a:latin typeface="Cambria Math" panose="02040503050406030204" pitchFamily="18" charset="0"/>
                      </a:rPr>
                      <m:t>=</m:t>
                    </m:r>
                    <m:f>
                      <m:fPr>
                        <m:ctrlPr>
                          <a:rPr lang="en-US" sz="1400" i="1">
                            <a:solidFill>
                              <a:srgbClr val="00B050"/>
                            </a:solidFill>
                            <a:latin typeface="Cambria Math" panose="02040503050406030204" pitchFamily="18" charset="0"/>
                          </a:rPr>
                        </m:ctrlPr>
                      </m:fPr>
                      <m:num>
                        <m:sSub>
                          <m:sSubPr>
                            <m:ctrlPr>
                              <a:rPr lang="en-US" sz="1400" b="0" i="1">
                                <a:solidFill>
                                  <a:srgbClr val="00B050"/>
                                </a:solidFill>
                                <a:latin typeface="Cambria Math" panose="02040503050406030204" pitchFamily="18" charset="0"/>
                              </a:rPr>
                            </m:ctrlPr>
                          </m:sSubPr>
                          <m:e>
                            <m:r>
                              <a:rPr lang="en-US" sz="1400" b="0" i="1">
                                <a:solidFill>
                                  <a:srgbClr val="00B050"/>
                                </a:solidFill>
                                <a:latin typeface="Cambria Math" panose="02040503050406030204" pitchFamily="18" charset="0"/>
                              </a:rPr>
                              <m:t>𝐶𝐹</m:t>
                            </m:r>
                          </m:e>
                          <m:sub>
                            <m:r>
                              <a:rPr lang="en-US" sz="1400" b="0" i="1">
                                <a:solidFill>
                                  <a:srgbClr val="00B050"/>
                                </a:solidFill>
                                <a:latin typeface="Cambria Math" panose="02040503050406030204" pitchFamily="18" charset="0"/>
                              </a:rPr>
                              <m:t>𝑇</m:t>
                            </m:r>
                          </m:sub>
                        </m:sSub>
                      </m:num>
                      <m:den>
                        <m:r>
                          <a:rPr lang="en-US" sz="1400" b="0" i="1">
                            <a:solidFill>
                              <a:srgbClr val="00B050"/>
                            </a:solidFill>
                            <a:latin typeface="Cambria Math" panose="02040503050406030204" pitchFamily="18" charset="0"/>
                          </a:rPr>
                          <m:t>𝑟</m:t>
                        </m:r>
                        <m:r>
                          <a:rPr lang="en-US" sz="1400" b="0" i="1">
                            <a:solidFill>
                              <a:srgbClr val="00B050"/>
                            </a:solidFill>
                            <a:latin typeface="Cambria Math" panose="02040503050406030204" pitchFamily="18" charset="0"/>
                          </a:rPr>
                          <m:t>−</m:t>
                        </m:r>
                        <m:r>
                          <a:rPr lang="en-US" sz="1400" b="0" i="1">
                            <a:solidFill>
                              <a:srgbClr val="00B050"/>
                            </a:solidFill>
                            <a:latin typeface="Cambria Math" panose="02040503050406030204" pitchFamily="18" charset="0"/>
                          </a:rPr>
                          <m:t>𝑔</m:t>
                        </m:r>
                      </m:den>
                    </m:f>
                    <m:r>
                      <a:rPr lang="en-US" sz="1400" b="0" i="1">
                        <a:solidFill>
                          <a:srgbClr val="00B050"/>
                        </a:solidFill>
                        <a:latin typeface="Cambria Math" panose="02040503050406030204" pitchFamily="18" charset="0"/>
                      </a:rPr>
                      <m:t>=</m:t>
                    </m:r>
                    <m:f>
                      <m:fPr>
                        <m:ctrlPr>
                          <a:rPr lang="en-US" sz="1400" i="1">
                            <a:solidFill>
                              <a:srgbClr val="00B050"/>
                            </a:solidFill>
                            <a:latin typeface="Cambria Math" panose="02040503050406030204" pitchFamily="18" charset="0"/>
                          </a:rPr>
                        </m:ctrlPr>
                      </m:fPr>
                      <m:num>
                        <m:sSub>
                          <m:sSubPr>
                            <m:ctrlPr>
                              <a:rPr lang="en-US" sz="1400" b="0" i="1" kern="1200">
                                <a:solidFill>
                                  <a:srgbClr val="00B050"/>
                                </a:solidFill>
                                <a:effectLst/>
                                <a:latin typeface="Cambria Math" panose="02040503050406030204" pitchFamily="18" charset="0"/>
                              </a:rPr>
                            </m:ctrlPr>
                          </m:sSubPr>
                          <m:e>
                            <m:r>
                              <a:rPr lang="en-US" sz="1400" b="0" i="1" kern="1200">
                                <a:solidFill>
                                  <a:srgbClr val="00B050"/>
                                </a:solidFill>
                                <a:effectLst/>
                                <a:latin typeface="Cambria Math" panose="02040503050406030204" pitchFamily="18" charset="0"/>
                              </a:rPr>
                              <m:t>𝐶𝐹</m:t>
                            </m:r>
                          </m:e>
                          <m:sub>
                            <m:r>
                              <a:rPr lang="en-US" sz="1400" b="0" i="1" kern="1200">
                                <a:solidFill>
                                  <a:srgbClr val="00B050"/>
                                </a:solidFill>
                                <a:effectLst/>
                                <a:latin typeface="Cambria Math" panose="02040503050406030204" pitchFamily="18" charset="0"/>
                              </a:rPr>
                              <m:t>𝑇</m:t>
                            </m:r>
                          </m:sub>
                        </m:sSub>
                      </m:num>
                      <m:den>
                        <m:r>
                          <a:rPr lang="en-US" sz="1400" b="0" i="1">
                            <a:solidFill>
                              <a:srgbClr val="00B050"/>
                            </a:solidFill>
                            <a:latin typeface="Cambria Math" panose="02040503050406030204" pitchFamily="18" charset="0"/>
                          </a:rPr>
                          <m:t>𝑊𝐴𝐶𝐶</m:t>
                        </m:r>
                        <m:r>
                          <a:rPr lang="en-US" sz="1400" b="0" i="1">
                            <a:solidFill>
                              <a:srgbClr val="00B050"/>
                            </a:solidFill>
                            <a:latin typeface="Cambria Math" panose="02040503050406030204" pitchFamily="18" charset="0"/>
                          </a:rPr>
                          <m:t>−</m:t>
                        </m:r>
                        <m:r>
                          <a:rPr lang="en-US" sz="1400" b="0" i="1">
                            <a:solidFill>
                              <a:srgbClr val="00B050"/>
                            </a:solidFill>
                            <a:latin typeface="Cambria Math" panose="02040503050406030204" pitchFamily="18" charset="0"/>
                          </a:rPr>
                          <m:t>𝑔</m:t>
                        </m:r>
                      </m:den>
                    </m:f>
                  </m:oMath>
                </m:oMathPara>
              </a14:m>
              <a:endParaRPr lang="en-US" sz="1400">
                <a:solidFill>
                  <a:srgbClr val="00B050"/>
                </a:solidFill>
              </a:endParaRPr>
            </a:p>
          </xdr:txBody>
        </xdr:sp>
      </mc:Choice>
      <mc:Fallback xmlns="">
        <xdr:sp macro="" textlink="">
          <xdr:nvSpPr>
            <xdr:cNvPr id="15" name="TextBox 3">
              <a:extLst>
                <a:ext uri="{FF2B5EF4-FFF2-40B4-BE49-F238E27FC236}">
                  <a16:creationId xmlns:a16="http://schemas.microsoft.com/office/drawing/2014/main" id="{B8C8505F-29E8-49B2-A801-09B726B522E3}"/>
                </a:ext>
              </a:extLst>
            </xdr:cNvPr>
            <xdr:cNvSpPr txBox="1"/>
          </xdr:nvSpPr>
          <xdr:spPr>
            <a:xfrm>
              <a:off x="373380" y="33909000"/>
              <a:ext cx="4381245" cy="441960"/>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400" b="0" i="0">
                  <a:solidFill>
                    <a:srgbClr val="00B050"/>
                  </a:solidFill>
                  <a:latin typeface="Cambria Math" panose="02040503050406030204" pitchFamily="18" charset="0"/>
                </a:rPr>
                <a:t>〖𝐶𝑉〗_(𝑇−1)</a:t>
              </a:r>
              <a:r>
                <a:rPr lang="en-US" sz="1400" i="0">
                  <a:solidFill>
                    <a:srgbClr val="00B050"/>
                  </a:solidFill>
                  <a:latin typeface="Cambria Math" panose="02040503050406030204" pitchFamily="18" charset="0"/>
                </a:rPr>
                <a:t>=</a:t>
              </a:r>
              <a:r>
                <a:rPr lang="en-US" sz="1400" b="0" i="0">
                  <a:solidFill>
                    <a:srgbClr val="00B050"/>
                  </a:solidFill>
                  <a:latin typeface="Cambria Math" panose="02040503050406030204" pitchFamily="18" charset="0"/>
                </a:rPr>
                <a:t>〖𝐶𝐹〗_𝑇/(𝑟−𝑔)=</a:t>
              </a:r>
              <a:r>
                <a:rPr lang="en-US" sz="1400" b="0" i="0" kern="1200">
                  <a:solidFill>
                    <a:srgbClr val="00B050"/>
                  </a:solidFill>
                  <a:effectLst/>
                  <a:latin typeface="Cambria Math" panose="02040503050406030204" pitchFamily="18" charset="0"/>
                </a:rPr>
                <a:t>〖𝐶𝐹〗_𝑇/(</a:t>
              </a:r>
              <a:r>
                <a:rPr lang="en-US" sz="1400" b="0" i="0">
                  <a:solidFill>
                    <a:srgbClr val="00B050"/>
                  </a:solidFill>
                  <a:latin typeface="Cambria Math" panose="02040503050406030204" pitchFamily="18" charset="0"/>
                </a:rPr>
                <a:t>𝑊𝐴𝐶𝐶−𝑔)</a:t>
              </a:r>
              <a:endParaRPr lang="en-US" sz="1400">
                <a:solidFill>
                  <a:srgbClr val="00B050"/>
                </a:solidFill>
              </a:endParaRPr>
            </a:p>
          </xdr:txBody>
        </xdr:sp>
      </mc:Fallback>
    </mc:AlternateContent>
    <xdr:clientData/>
  </xdr:twoCellAnchor>
  <xdr:oneCellAnchor>
    <xdr:from>
      <xdr:col>2</xdr:col>
      <xdr:colOff>170717</xdr:colOff>
      <xdr:row>39</xdr:row>
      <xdr:rowOff>79643</xdr:rowOff>
    </xdr:from>
    <xdr:ext cx="1339661" cy="381771"/>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F1887BFF-7B5F-436D-B441-EE8F25F6C842}"/>
                </a:ext>
              </a:extLst>
            </xdr:cNvPr>
            <xdr:cNvSpPr txBox="1"/>
          </xdr:nvSpPr>
          <xdr:spPr>
            <a:xfrm>
              <a:off x="5068032" y="7248305"/>
              <a:ext cx="1339661" cy="381771"/>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200" i="1">
                            <a:latin typeface="Cambria Math" panose="02040503050406030204" pitchFamily="18" charset="0"/>
                          </a:rPr>
                        </m:ctrlPr>
                      </m:fPr>
                      <m:num>
                        <m:sSub>
                          <m:sSubPr>
                            <m:ctrlPr>
                              <a:rPr lang="en-US" sz="1200" i="1">
                                <a:latin typeface="Cambria Math" panose="02040503050406030204" pitchFamily="18" charset="0"/>
                              </a:rPr>
                            </m:ctrlPr>
                          </m:sSubPr>
                          <m:e>
                            <m:r>
                              <a:rPr lang="en-US" sz="1200" b="0" i="1">
                                <a:solidFill>
                                  <a:schemeClr val="tx1"/>
                                </a:solidFill>
                                <a:effectLst/>
                                <a:latin typeface="Cambria Math" panose="02040503050406030204" pitchFamily="18" charset="0"/>
                                <a:ea typeface="+mn-ea"/>
                                <a:cs typeface="+mn-cs"/>
                              </a:rPr>
                              <m:t>𝑅𝑒𝑝𝑜𝑟𝑡𝑒𝑑</m:t>
                            </m:r>
                            <m:r>
                              <a:rPr lang="en-US" sz="1200" b="0" i="1">
                                <a:solidFill>
                                  <a:schemeClr val="tx1"/>
                                </a:solidFill>
                                <a:effectLst/>
                                <a:latin typeface="Cambria Math" panose="02040503050406030204" pitchFamily="18" charset="0"/>
                                <a:ea typeface="+mn-ea"/>
                                <a:cs typeface="+mn-cs"/>
                              </a:rPr>
                              <m:t> </m:t>
                            </m:r>
                            <m:r>
                              <a:rPr lang="en-US" sz="1200" b="0" i="1">
                                <a:solidFill>
                                  <a:schemeClr val="tx1"/>
                                </a:solidFill>
                                <a:effectLst/>
                                <a:latin typeface="Cambria Math" panose="02040503050406030204" pitchFamily="18" charset="0"/>
                                <a:ea typeface="+mn-ea"/>
                                <a:cs typeface="+mn-cs"/>
                              </a:rPr>
                              <m:t>𝑇𝑎𝑥𝑒𝑠</m:t>
                            </m:r>
                          </m:e>
                          <m:sub>
                            <m:r>
                              <a:rPr lang="en-US" sz="1200" b="0" i="1">
                                <a:latin typeface="Cambria Math" panose="02040503050406030204" pitchFamily="18" charset="0"/>
                              </a:rPr>
                              <m:t>𝑡</m:t>
                            </m:r>
                          </m:sub>
                        </m:sSub>
                      </m:num>
                      <m:den>
                        <m:sSub>
                          <m:sSubPr>
                            <m:ctrlPr>
                              <a:rPr lang="en-US" sz="1200" b="0" i="1">
                                <a:latin typeface="Cambria Math" panose="02040503050406030204" pitchFamily="18" charset="0"/>
                              </a:rPr>
                            </m:ctrlPr>
                          </m:sSubPr>
                          <m:e>
                            <m:r>
                              <a:rPr lang="en-US" sz="1200" b="0" i="1">
                                <a:solidFill>
                                  <a:schemeClr val="tx1"/>
                                </a:solidFill>
                                <a:effectLst/>
                                <a:latin typeface="Cambria Math" panose="02040503050406030204" pitchFamily="18" charset="0"/>
                                <a:ea typeface="+mn-ea"/>
                                <a:cs typeface="+mn-cs"/>
                              </a:rPr>
                              <m:t>𝐸𝐵𝐼𝑇</m:t>
                            </m:r>
                          </m:e>
                          <m:sub>
                            <m:r>
                              <a:rPr lang="en-US" sz="1200" b="0" i="1">
                                <a:latin typeface="Cambria Math" panose="02040503050406030204" pitchFamily="18" charset="0"/>
                              </a:rPr>
                              <m:t>𝑡</m:t>
                            </m:r>
                          </m:sub>
                        </m:sSub>
                      </m:den>
                    </m:f>
                    <m:r>
                      <a:rPr lang="en-US" sz="1200" b="0" i="1">
                        <a:latin typeface="Cambria Math" panose="02040503050406030204" pitchFamily="18" charset="0"/>
                      </a:rPr>
                      <m:t>%</m:t>
                    </m:r>
                  </m:oMath>
                </m:oMathPara>
              </a14:m>
              <a:endParaRPr lang="en-US" sz="1200"/>
            </a:p>
          </xdr:txBody>
        </xdr:sp>
      </mc:Choice>
      <mc:Fallback xmlns="">
        <xdr:sp macro="" textlink="">
          <xdr:nvSpPr>
            <xdr:cNvPr id="16" name="TextBox 15">
              <a:extLst>
                <a:ext uri="{FF2B5EF4-FFF2-40B4-BE49-F238E27FC236}">
                  <a16:creationId xmlns:a16="http://schemas.microsoft.com/office/drawing/2014/main" id="{F1887BFF-7B5F-436D-B441-EE8F25F6C842}"/>
                </a:ext>
              </a:extLst>
            </xdr:cNvPr>
            <xdr:cNvSpPr txBox="1"/>
          </xdr:nvSpPr>
          <xdr:spPr>
            <a:xfrm>
              <a:off x="5068032" y="7248305"/>
              <a:ext cx="1339661" cy="381771"/>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200" i="0">
                  <a:latin typeface="Cambria Math" panose="02040503050406030204" pitchFamily="18" charset="0"/>
                </a:rPr>
                <a:t>〖</a:t>
              </a:r>
              <a:r>
                <a:rPr lang="en-US" sz="1200" b="0" i="0">
                  <a:solidFill>
                    <a:schemeClr val="tx1"/>
                  </a:solidFill>
                  <a:effectLst/>
                  <a:latin typeface="Cambria Math" panose="02040503050406030204" pitchFamily="18" charset="0"/>
                  <a:ea typeface="+mn-ea"/>
                  <a:cs typeface="+mn-cs"/>
                </a:rPr>
                <a:t>𝑅𝑒𝑝𝑜𝑟𝑡𝑒𝑑 𝑇𝑎𝑥𝑒𝑠〗_</a:t>
              </a:r>
              <a:r>
                <a:rPr lang="en-US" sz="1200" b="0" i="0">
                  <a:latin typeface="Cambria Math" panose="02040503050406030204" pitchFamily="18" charset="0"/>
                </a:rPr>
                <a:t>𝑡/〖</a:t>
              </a:r>
              <a:r>
                <a:rPr lang="en-US" sz="1200" b="0" i="0">
                  <a:solidFill>
                    <a:schemeClr val="tx1"/>
                  </a:solidFill>
                  <a:effectLst/>
                  <a:latin typeface="Cambria Math" panose="02040503050406030204" pitchFamily="18" charset="0"/>
                  <a:ea typeface="+mn-ea"/>
                  <a:cs typeface="+mn-cs"/>
                </a:rPr>
                <a:t>𝐸𝐵𝐼𝑇〗_</a:t>
              </a:r>
              <a:r>
                <a:rPr lang="en-US" sz="1200" b="0" i="0">
                  <a:latin typeface="Cambria Math" panose="02040503050406030204" pitchFamily="18" charset="0"/>
                </a:rPr>
                <a:t>𝑡 %</a:t>
              </a:r>
              <a:endParaRPr lang="en-US" sz="1200"/>
            </a:p>
          </xdr:txBody>
        </xdr:sp>
      </mc:Fallback>
    </mc:AlternateContent>
    <xdr:clientData/>
  </xdr:oneCellAnchor>
  <xdr:oneCellAnchor>
    <xdr:from>
      <xdr:col>2</xdr:col>
      <xdr:colOff>1870564</xdr:colOff>
      <xdr:row>39</xdr:row>
      <xdr:rowOff>74953</xdr:rowOff>
    </xdr:from>
    <xdr:ext cx="1106585" cy="376898"/>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9C4627E3-A90D-42AD-B287-F6385BCBB562}"/>
                </a:ext>
              </a:extLst>
            </xdr:cNvPr>
            <xdr:cNvSpPr txBox="1"/>
          </xdr:nvSpPr>
          <xdr:spPr>
            <a:xfrm>
              <a:off x="6767879" y="7243615"/>
              <a:ext cx="1106585" cy="376898"/>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200" i="1">
                            <a:latin typeface="Cambria Math" panose="02040503050406030204" pitchFamily="18" charset="0"/>
                          </a:rPr>
                        </m:ctrlPr>
                      </m:fPr>
                      <m:num>
                        <m:sSub>
                          <m:sSubPr>
                            <m:ctrlPr>
                              <a:rPr lang="en-US" sz="1200" i="1">
                                <a:latin typeface="Cambria Math" panose="02040503050406030204" pitchFamily="18" charset="0"/>
                              </a:rPr>
                            </m:ctrlPr>
                          </m:sSubPr>
                          <m:e>
                            <m:r>
                              <a:rPr lang="en-US" sz="1200" b="0" i="1">
                                <a:solidFill>
                                  <a:schemeClr val="tx1"/>
                                </a:solidFill>
                                <a:effectLst/>
                                <a:latin typeface="Cambria Math" panose="02040503050406030204" pitchFamily="18" charset="0"/>
                                <a:ea typeface="+mn-ea"/>
                                <a:cs typeface="+mn-cs"/>
                              </a:rPr>
                              <m:t>𝑁𝑒𝑡</m:t>
                            </m:r>
                            <m:r>
                              <a:rPr lang="en-US" sz="1200" b="0" i="1">
                                <a:solidFill>
                                  <a:schemeClr val="tx1"/>
                                </a:solidFill>
                                <a:effectLst/>
                                <a:latin typeface="Cambria Math" panose="02040503050406030204" pitchFamily="18" charset="0"/>
                                <a:ea typeface="+mn-ea"/>
                                <a:cs typeface="+mn-cs"/>
                              </a:rPr>
                              <m:t> </m:t>
                            </m:r>
                            <m:r>
                              <a:rPr lang="en-US" sz="1200" b="0" i="1">
                                <a:solidFill>
                                  <a:schemeClr val="tx1"/>
                                </a:solidFill>
                                <a:effectLst/>
                                <a:latin typeface="Cambria Math" panose="02040503050406030204" pitchFamily="18" charset="0"/>
                                <a:ea typeface="+mn-ea"/>
                                <a:cs typeface="+mn-cs"/>
                              </a:rPr>
                              <m:t>𝐼𝑛𝑡𝑒𝑟𝑒𝑠𝑡</m:t>
                            </m:r>
                          </m:e>
                          <m:sub>
                            <m:r>
                              <a:rPr lang="en-US" sz="1200" b="0" i="1">
                                <a:latin typeface="Cambria Math" panose="02040503050406030204" pitchFamily="18" charset="0"/>
                              </a:rPr>
                              <m:t>𝑡</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𝐷𝑒𝑏𝑡</m:t>
                            </m:r>
                          </m:e>
                          <m:sub>
                            <m:r>
                              <a:rPr lang="en-US" sz="1200" b="0" i="1">
                                <a:latin typeface="Cambria Math" panose="02040503050406030204" pitchFamily="18" charset="0"/>
                              </a:rPr>
                              <m:t>𝑡</m:t>
                            </m:r>
                            <m:r>
                              <a:rPr lang="en-US" sz="1200" b="0" i="1">
                                <a:latin typeface="Cambria Math" panose="02040503050406030204" pitchFamily="18" charset="0"/>
                              </a:rPr>
                              <m:t>−1</m:t>
                            </m:r>
                          </m:sub>
                        </m:sSub>
                      </m:den>
                    </m:f>
                    <m:r>
                      <a:rPr lang="en-US" sz="1200" b="0" i="1">
                        <a:latin typeface="Cambria Math" panose="02040503050406030204" pitchFamily="18" charset="0"/>
                      </a:rPr>
                      <m:t>%</m:t>
                    </m:r>
                  </m:oMath>
                </m:oMathPara>
              </a14:m>
              <a:endParaRPr lang="en-US" sz="1200"/>
            </a:p>
          </xdr:txBody>
        </xdr:sp>
      </mc:Choice>
      <mc:Fallback xmlns="">
        <xdr:sp macro="" textlink="">
          <xdr:nvSpPr>
            <xdr:cNvPr id="18" name="TextBox 17">
              <a:extLst>
                <a:ext uri="{FF2B5EF4-FFF2-40B4-BE49-F238E27FC236}">
                  <a16:creationId xmlns:a16="http://schemas.microsoft.com/office/drawing/2014/main" id="{9C4627E3-A90D-42AD-B287-F6385BCBB562}"/>
                </a:ext>
              </a:extLst>
            </xdr:cNvPr>
            <xdr:cNvSpPr txBox="1"/>
          </xdr:nvSpPr>
          <xdr:spPr>
            <a:xfrm>
              <a:off x="6767879" y="7243615"/>
              <a:ext cx="1106585" cy="376898"/>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200" i="0">
                  <a:latin typeface="Cambria Math" panose="02040503050406030204" pitchFamily="18" charset="0"/>
                </a:rPr>
                <a:t>〖</a:t>
              </a:r>
              <a:r>
                <a:rPr lang="en-US" sz="1200" b="0" i="0">
                  <a:solidFill>
                    <a:schemeClr val="tx1"/>
                  </a:solidFill>
                  <a:effectLst/>
                  <a:latin typeface="Cambria Math" panose="02040503050406030204" pitchFamily="18" charset="0"/>
                  <a:ea typeface="+mn-ea"/>
                  <a:cs typeface="+mn-cs"/>
                </a:rPr>
                <a:t>𝑁𝑒𝑡 𝐼𝑛𝑡𝑒𝑟𝑒𝑠𝑡〗_</a:t>
              </a:r>
              <a:r>
                <a:rPr lang="en-US" sz="1200" b="0" i="0">
                  <a:latin typeface="Cambria Math" panose="02040503050406030204" pitchFamily="18" charset="0"/>
                </a:rPr>
                <a:t>𝑡/〖𝐷𝑒𝑏𝑡〗_(𝑡−1) %</a:t>
              </a:r>
              <a:endParaRPr lang="en-US" sz="1200"/>
            </a:p>
          </xdr:txBody>
        </xdr:sp>
      </mc:Fallback>
    </mc:AlternateContent>
    <xdr:clientData/>
  </xdr:oneCellAnchor>
  <xdr:oneCellAnchor>
    <xdr:from>
      <xdr:col>2</xdr:col>
      <xdr:colOff>645501</xdr:colOff>
      <xdr:row>133</xdr:row>
      <xdr:rowOff>136279</xdr:rowOff>
    </xdr:from>
    <xdr:ext cx="1603451" cy="346505"/>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5067D1AB-E60A-4BD7-B065-5C89BA3A0BEC}"/>
                </a:ext>
              </a:extLst>
            </xdr:cNvPr>
            <xdr:cNvSpPr txBox="1"/>
          </xdr:nvSpPr>
          <xdr:spPr>
            <a:xfrm>
              <a:off x="5539886" y="25392183"/>
              <a:ext cx="1603451" cy="3465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𝑅𝑂𝐼𝐶</m:t>
                    </m:r>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𝑁𝑂𝑃𝐿𝐴𝑇</m:t>
                        </m:r>
                      </m:num>
                      <m:den>
                        <m:r>
                          <a:rPr lang="en-US" sz="1100" b="0" i="1">
                            <a:latin typeface="Cambria Math" panose="02040503050406030204" pitchFamily="18" charset="0"/>
                          </a:rPr>
                          <m:t>𝐼𝑛𝑣𝑒𝑠𝑡𝑒𝑑</m:t>
                        </m:r>
                        <m:r>
                          <a:rPr lang="en-US" sz="1100" b="0" i="1">
                            <a:latin typeface="Cambria Math" panose="02040503050406030204" pitchFamily="18" charset="0"/>
                          </a:rPr>
                          <m:t> </m:t>
                        </m:r>
                        <m:r>
                          <a:rPr lang="en-US" sz="1100" b="0" i="1">
                            <a:latin typeface="Cambria Math" panose="02040503050406030204" pitchFamily="18" charset="0"/>
                          </a:rPr>
                          <m:t>𝐶𝑎𝑝𝑖𝑡𝑎𝑙</m:t>
                        </m:r>
                      </m:den>
                    </m:f>
                  </m:oMath>
                </m:oMathPara>
              </a14:m>
              <a:endParaRPr lang="en-US" sz="1100"/>
            </a:p>
          </xdr:txBody>
        </xdr:sp>
      </mc:Choice>
      <mc:Fallback xmlns="">
        <xdr:sp macro="" textlink="">
          <xdr:nvSpPr>
            <xdr:cNvPr id="17" name="TextBox 16">
              <a:extLst>
                <a:ext uri="{FF2B5EF4-FFF2-40B4-BE49-F238E27FC236}">
                  <a16:creationId xmlns:a16="http://schemas.microsoft.com/office/drawing/2014/main" id="{5067D1AB-E60A-4BD7-B065-5C89BA3A0BEC}"/>
                </a:ext>
              </a:extLst>
            </xdr:cNvPr>
            <xdr:cNvSpPr txBox="1"/>
          </xdr:nvSpPr>
          <xdr:spPr>
            <a:xfrm>
              <a:off x="5539886" y="25392183"/>
              <a:ext cx="1603451" cy="3465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𝑅𝑂𝐼𝐶=𝑁𝑂𝑃𝐿𝐴𝑇/(𝐼𝑛𝑣𝑒𝑠𝑡𝑒𝑑 𝐶𝑎𝑝𝑖𝑡𝑎𝑙)</a:t>
              </a:r>
              <a:endParaRPr 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2</xdr:col>
      <xdr:colOff>112668</xdr:colOff>
      <xdr:row>17</xdr:row>
      <xdr:rowOff>7894</xdr:rowOff>
    </xdr:from>
    <xdr:to>
      <xdr:col>2</xdr:col>
      <xdr:colOff>322762</xdr:colOff>
      <xdr:row>18</xdr:row>
      <xdr:rowOff>1171576</xdr:rowOff>
    </xdr:to>
    <xdr:sp macro="" textlink="">
      <xdr:nvSpPr>
        <xdr:cNvPr id="2" name="Right Brace 1">
          <a:extLst>
            <a:ext uri="{FF2B5EF4-FFF2-40B4-BE49-F238E27FC236}">
              <a16:creationId xmlns:a16="http://schemas.microsoft.com/office/drawing/2014/main" id="{31F6C364-3F2C-4BE8-8724-69788923481C}"/>
            </a:ext>
          </a:extLst>
        </xdr:cNvPr>
        <xdr:cNvSpPr/>
      </xdr:nvSpPr>
      <xdr:spPr>
        <a:xfrm>
          <a:off x="9551943" y="6237244"/>
          <a:ext cx="210094" cy="143038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447676</xdr:colOff>
      <xdr:row>18</xdr:row>
      <xdr:rowOff>266158</xdr:rowOff>
    </xdr:from>
    <xdr:to>
      <xdr:col>7</xdr:col>
      <xdr:colOff>207666</xdr:colOff>
      <xdr:row>18</xdr:row>
      <xdr:rowOff>716150</xdr:rowOff>
    </xdr:to>
    <xdr:sp macro="" textlink="">
      <xdr:nvSpPr>
        <xdr:cNvPr id="3" name="TextBox 2">
          <a:extLst>
            <a:ext uri="{FF2B5EF4-FFF2-40B4-BE49-F238E27FC236}">
              <a16:creationId xmlns:a16="http://schemas.microsoft.com/office/drawing/2014/main" id="{B2115468-CE29-4C30-BD8E-5282623ED4CF}"/>
            </a:ext>
          </a:extLst>
        </xdr:cNvPr>
        <xdr:cNvSpPr txBox="1"/>
      </xdr:nvSpPr>
      <xdr:spPr>
        <a:xfrm>
          <a:off x="9886951" y="6762208"/>
          <a:ext cx="2950865" cy="449992"/>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Net Op Long-term Assets </a:t>
          </a:r>
        </a:p>
        <a:p>
          <a:r>
            <a:rPr lang="en-US" sz="1100">
              <a:solidFill>
                <a:schemeClr val="tx1"/>
              </a:solidFill>
            </a:rPr>
            <a:t>= Fixed Assets + Net Other Long-term Op Assets</a:t>
          </a:r>
          <a:r>
            <a:rPr lang="en-US" sz="1100" baseline="0">
              <a:solidFill>
                <a:schemeClr val="tx1"/>
              </a:solidFill>
            </a:rPr>
            <a:t> </a:t>
          </a:r>
        </a:p>
        <a:p>
          <a:endParaRPr lang="en-US" sz="1100" b="0" baseline="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4100830</xdr:colOff>
      <xdr:row>13</xdr:row>
      <xdr:rowOff>48895</xdr:rowOff>
    </xdr:to>
    <xdr:pic>
      <xdr:nvPicPr>
        <xdr:cNvPr id="2" name="Picture 1">
          <a:extLst>
            <a:ext uri="{FF2B5EF4-FFF2-40B4-BE49-F238E27FC236}">
              <a16:creationId xmlns:a16="http://schemas.microsoft.com/office/drawing/2014/main" id="{2B0693BF-0C0A-40AA-9C2F-ED76AD3A8EC9}"/>
            </a:ext>
          </a:extLst>
        </xdr:cNvPr>
        <xdr:cNvPicPr/>
      </xdr:nvPicPr>
      <xdr:blipFill>
        <a:blip xmlns:r="http://schemas.openxmlformats.org/officeDocument/2006/relationships" r:embed="rId1"/>
        <a:stretch>
          <a:fillRect/>
        </a:stretch>
      </xdr:blipFill>
      <xdr:spPr>
        <a:xfrm>
          <a:off x="0" y="415290"/>
          <a:ext cx="4100830" cy="2060575"/>
        </a:xfrm>
        <a:prstGeom prst="rect">
          <a:avLst/>
        </a:prstGeom>
      </xdr:spPr>
    </xdr:pic>
    <xdr:clientData/>
  </xdr:twoCellAnchor>
  <xdr:twoCellAnchor>
    <xdr:from>
      <xdr:col>0</xdr:col>
      <xdr:colOff>1283970</xdr:colOff>
      <xdr:row>30</xdr:row>
      <xdr:rowOff>125730</xdr:rowOff>
    </xdr:from>
    <xdr:to>
      <xdr:col>0</xdr:col>
      <xdr:colOff>4865370</xdr:colOff>
      <xdr:row>41</xdr:row>
      <xdr:rowOff>171450</xdr:rowOff>
    </xdr:to>
    <xdr:pic>
      <xdr:nvPicPr>
        <xdr:cNvPr id="3" name="Picture 6">
          <a:extLst>
            <a:ext uri="{FF2B5EF4-FFF2-40B4-BE49-F238E27FC236}">
              <a16:creationId xmlns:a16="http://schemas.microsoft.com/office/drawing/2014/main" id="{A5CDF530-6074-4544-868E-72067E4BBA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3970" y="5478780"/>
          <a:ext cx="35814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xdr:colOff>
      <xdr:row>30</xdr:row>
      <xdr:rowOff>125730</xdr:rowOff>
    </xdr:from>
    <xdr:to>
      <xdr:col>0</xdr:col>
      <xdr:colOff>1703070</xdr:colOff>
      <xdr:row>32</xdr:row>
      <xdr:rowOff>179070</xdr:rowOff>
    </xdr:to>
    <xdr:sp macro="" textlink="">
      <xdr:nvSpPr>
        <xdr:cNvPr id="14338" name="AutoShape 2">
          <a:extLst>
            <a:ext uri="{FF2B5EF4-FFF2-40B4-BE49-F238E27FC236}">
              <a16:creationId xmlns:a16="http://schemas.microsoft.com/office/drawing/2014/main" id="{C0087EAE-D073-4842-ACB5-029437A9B362}"/>
            </a:ext>
          </a:extLst>
        </xdr:cNvPr>
        <xdr:cNvSpPr>
          <a:spLocks noChangeShapeType="1"/>
        </xdr:cNvSpPr>
      </xdr:nvSpPr>
      <xdr:spPr bwMode="auto">
        <a:xfrm>
          <a:off x="228600" y="5478780"/>
          <a:ext cx="1474470" cy="419100"/>
        </a:xfrm>
        <a:prstGeom prst="straightConnector1">
          <a:avLst/>
        </a:prstGeom>
        <a:noFill/>
        <a:ln w="95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editAs="oneCell">
    <xdr:from>
      <xdr:col>0</xdr:col>
      <xdr:colOff>1291590</xdr:colOff>
      <xdr:row>44</xdr:row>
      <xdr:rowOff>163830</xdr:rowOff>
    </xdr:from>
    <xdr:to>
      <xdr:col>0</xdr:col>
      <xdr:colOff>4869180</xdr:colOff>
      <xdr:row>52</xdr:row>
      <xdr:rowOff>167641</xdr:rowOff>
    </xdr:to>
    <xdr:pic>
      <xdr:nvPicPr>
        <xdr:cNvPr id="5" name="Picture 4">
          <a:extLst>
            <a:ext uri="{FF2B5EF4-FFF2-40B4-BE49-F238E27FC236}">
              <a16:creationId xmlns:a16="http://schemas.microsoft.com/office/drawing/2014/main" id="{4E1CDD91-ED6A-41A6-8492-E5C4478C9F12}"/>
            </a:ext>
          </a:extLst>
        </xdr:cNvPr>
        <xdr:cNvPicPr/>
      </xdr:nvPicPr>
      <xdr:blipFill>
        <a:blip xmlns:r="http://schemas.openxmlformats.org/officeDocument/2006/relationships" r:embed="rId3"/>
        <a:stretch>
          <a:fillRect/>
        </a:stretch>
      </xdr:blipFill>
      <xdr:spPr>
        <a:xfrm>
          <a:off x="1291590" y="8077200"/>
          <a:ext cx="3577590" cy="1466850"/>
        </a:xfrm>
        <a:prstGeom prst="rect">
          <a:avLst/>
        </a:prstGeom>
      </xdr:spPr>
    </xdr:pic>
    <xdr:clientData/>
  </xdr:twoCellAnchor>
  <xdr:twoCellAnchor>
    <xdr:from>
      <xdr:col>0</xdr:col>
      <xdr:colOff>3836670</xdr:colOff>
      <xdr:row>47</xdr:row>
      <xdr:rowOff>26670</xdr:rowOff>
    </xdr:from>
    <xdr:to>
      <xdr:col>0</xdr:col>
      <xdr:colOff>4987290</xdr:colOff>
      <xdr:row>50</xdr:row>
      <xdr:rowOff>26670</xdr:rowOff>
    </xdr:to>
    <xdr:sp macro="" textlink="">
      <xdr:nvSpPr>
        <xdr:cNvPr id="4" name="Oval 3">
          <a:extLst>
            <a:ext uri="{FF2B5EF4-FFF2-40B4-BE49-F238E27FC236}">
              <a16:creationId xmlns:a16="http://schemas.microsoft.com/office/drawing/2014/main" id="{F0E46B81-2BD0-446A-BF52-1C3168196AED}"/>
            </a:ext>
          </a:extLst>
        </xdr:cNvPr>
        <xdr:cNvSpPr/>
      </xdr:nvSpPr>
      <xdr:spPr>
        <a:xfrm>
          <a:off x="3836670" y="8488680"/>
          <a:ext cx="1150620" cy="54864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5025390</xdr:colOff>
      <xdr:row>46</xdr:row>
      <xdr:rowOff>41910</xdr:rowOff>
    </xdr:from>
    <xdr:to>
      <xdr:col>1</xdr:col>
      <xdr:colOff>617220</xdr:colOff>
      <xdr:row>48</xdr:row>
      <xdr:rowOff>0</xdr:rowOff>
    </xdr:to>
    <xdr:sp macro="" textlink="">
      <xdr:nvSpPr>
        <xdr:cNvPr id="7" name="AutoShape 2">
          <a:extLst>
            <a:ext uri="{FF2B5EF4-FFF2-40B4-BE49-F238E27FC236}">
              <a16:creationId xmlns:a16="http://schemas.microsoft.com/office/drawing/2014/main" id="{A647BAEB-02BD-470B-861F-4C07987DA8A0}"/>
            </a:ext>
          </a:extLst>
        </xdr:cNvPr>
        <xdr:cNvSpPr>
          <a:spLocks noChangeShapeType="1"/>
        </xdr:cNvSpPr>
      </xdr:nvSpPr>
      <xdr:spPr bwMode="auto">
        <a:xfrm flipH="1">
          <a:off x="5025390" y="8321040"/>
          <a:ext cx="1188720" cy="323850"/>
        </a:xfrm>
        <a:prstGeom prst="straightConnector1">
          <a:avLst/>
        </a:prstGeom>
        <a:noFill/>
        <a:ln w="9525">
          <a:solidFill>
            <a:srgbClr val="C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1062989</xdr:colOff>
      <xdr:row>68</xdr:row>
      <xdr:rowOff>133350</xdr:rowOff>
    </xdr:from>
    <xdr:to>
      <xdr:col>1</xdr:col>
      <xdr:colOff>554660</xdr:colOff>
      <xdr:row>79</xdr:row>
      <xdr:rowOff>110490</xdr:rowOff>
    </xdr:to>
    <xdr:pic>
      <xdr:nvPicPr>
        <xdr:cNvPr id="8" name="image5.jpeg">
          <a:extLst>
            <a:ext uri="{FF2B5EF4-FFF2-40B4-BE49-F238E27FC236}">
              <a16:creationId xmlns:a16="http://schemas.microsoft.com/office/drawing/2014/main" id="{0C6B6543-E584-474A-BEE0-08606A30D4D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62989" y="12435840"/>
          <a:ext cx="5088561" cy="1988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200025</xdr:colOff>
      <xdr:row>188</xdr:row>
      <xdr:rowOff>112395</xdr:rowOff>
    </xdr:from>
    <xdr:to>
      <xdr:col>31</xdr:col>
      <xdr:colOff>779432</xdr:colOff>
      <xdr:row>210</xdr:row>
      <xdr:rowOff>172849</xdr:rowOff>
    </xdr:to>
    <xdr:pic>
      <xdr:nvPicPr>
        <xdr:cNvPr id="3" name="Picture 2">
          <a:extLst>
            <a:ext uri="{FF2B5EF4-FFF2-40B4-BE49-F238E27FC236}">
              <a16:creationId xmlns:a16="http://schemas.microsoft.com/office/drawing/2014/main" id="{448F2C08-06A7-CA06-A026-B655B0435C98}"/>
            </a:ext>
          </a:extLst>
        </xdr:cNvPr>
        <xdr:cNvPicPr>
          <a:picLocks noChangeAspect="1"/>
        </xdr:cNvPicPr>
      </xdr:nvPicPr>
      <xdr:blipFill>
        <a:blip xmlns:r="http://schemas.openxmlformats.org/officeDocument/2006/relationships" r:embed="rId1"/>
        <a:stretch>
          <a:fillRect/>
        </a:stretch>
      </xdr:blipFill>
      <xdr:spPr>
        <a:xfrm>
          <a:off x="11325225" y="34450020"/>
          <a:ext cx="7180952" cy="403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8282</xdr:colOff>
      <xdr:row>5</xdr:row>
      <xdr:rowOff>82826</xdr:rowOff>
    </xdr:from>
    <xdr:to>
      <xdr:col>11</xdr:col>
      <xdr:colOff>0</xdr:colOff>
      <xdr:row>5</xdr:row>
      <xdr:rowOff>91109</xdr:rowOff>
    </xdr:to>
    <xdr:cxnSp macro="">
      <xdr:nvCxnSpPr>
        <xdr:cNvPr id="2" name="Straight Arrow Connector 1">
          <a:extLst>
            <a:ext uri="{FF2B5EF4-FFF2-40B4-BE49-F238E27FC236}">
              <a16:creationId xmlns:a16="http://schemas.microsoft.com/office/drawing/2014/main" id="{0AC7A0EF-7646-48F8-BE90-AA8BB40C05D0}"/>
            </a:ext>
          </a:extLst>
        </xdr:cNvPr>
        <xdr:cNvCxnSpPr/>
      </xdr:nvCxnSpPr>
      <xdr:spPr>
        <a:xfrm>
          <a:off x="2429537" y="1037231"/>
          <a:ext cx="8181313" cy="10188"/>
        </a:xfrm>
        <a:prstGeom prst="straightConnector1">
          <a:avLst/>
        </a:prstGeom>
        <a:ln>
          <a:solidFill>
            <a:srgbClr val="C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691734</xdr:colOff>
      <xdr:row>3</xdr:row>
      <xdr:rowOff>35859</xdr:rowOff>
    </xdr:from>
    <xdr:to>
      <xdr:col>9</xdr:col>
      <xdr:colOff>430307</xdr:colOff>
      <xdr:row>4</xdr:row>
      <xdr:rowOff>179090</xdr:rowOff>
    </xdr:to>
    <xdr:sp macro="" textlink="">
      <xdr:nvSpPr>
        <xdr:cNvPr id="3" name="TextBox 2">
          <a:extLst>
            <a:ext uri="{FF2B5EF4-FFF2-40B4-BE49-F238E27FC236}">
              <a16:creationId xmlns:a16="http://schemas.microsoft.com/office/drawing/2014/main" id="{95DFBDAA-8583-4B63-9E7F-D9221E99E181}"/>
            </a:ext>
          </a:extLst>
        </xdr:cNvPr>
        <xdr:cNvSpPr txBox="1"/>
      </xdr:nvSpPr>
      <xdr:spPr>
        <a:xfrm>
          <a:off x="6389589" y="630219"/>
          <a:ext cx="3011363" cy="322301"/>
        </a:xfrm>
        <a:prstGeom prst="rect">
          <a:avLst/>
        </a:prstGeom>
        <a:solidFill>
          <a:schemeClr val="lt1"/>
        </a:solidFill>
        <a:ln w="9525" cmpd="sng">
          <a:solidFill>
            <a:srgbClr val="C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C00000"/>
              </a:solidFill>
            </a:rPr>
            <a:t>2a: Complete</a:t>
          </a:r>
          <a:r>
            <a:rPr lang="en-US" sz="1200" b="1" baseline="0">
              <a:solidFill>
                <a:srgbClr val="C00000"/>
              </a:solidFill>
            </a:rPr>
            <a:t> historical data</a:t>
          </a:r>
        </a:p>
      </xdr:txBody>
    </xdr:sp>
    <xdr:clientData/>
  </xdr:twoCellAnchor>
  <xdr:twoCellAnchor>
    <xdr:from>
      <xdr:col>11</xdr:col>
      <xdr:colOff>10188</xdr:colOff>
      <xdr:row>4</xdr:row>
      <xdr:rowOff>134427</xdr:rowOff>
    </xdr:from>
    <xdr:to>
      <xdr:col>16</xdr:col>
      <xdr:colOff>10187</xdr:colOff>
      <xdr:row>4</xdr:row>
      <xdr:rowOff>150992</xdr:rowOff>
    </xdr:to>
    <xdr:cxnSp macro="">
      <xdr:nvCxnSpPr>
        <xdr:cNvPr id="4" name="Straight Arrow Connector 3">
          <a:extLst>
            <a:ext uri="{FF2B5EF4-FFF2-40B4-BE49-F238E27FC236}">
              <a16:creationId xmlns:a16="http://schemas.microsoft.com/office/drawing/2014/main" id="{9236CF70-6CD4-4C87-A997-344D9A0EBA26}"/>
            </a:ext>
          </a:extLst>
        </xdr:cNvPr>
        <xdr:cNvCxnSpPr/>
      </xdr:nvCxnSpPr>
      <xdr:spPr>
        <a:xfrm>
          <a:off x="10619133" y="905952"/>
          <a:ext cx="3190874" cy="16565"/>
        </a:xfrm>
        <a:prstGeom prst="straightConnector1">
          <a:avLst/>
        </a:prstGeom>
        <a:ln>
          <a:solidFill>
            <a:schemeClr val="accent6">
              <a:lumMod val="7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265042</xdr:colOff>
      <xdr:row>1</xdr:row>
      <xdr:rowOff>99391</xdr:rowOff>
    </xdr:from>
    <xdr:to>
      <xdr:col>20</xdr:col>
      <xdr:colOff>398228</xdr:colOff>
      <xdr:row>3</xdr:row>
      <xdr:rowOff>47791</xdr:rowOff>
    </xdr:to>
    <xdr:sp macro="" textlink="">
      <xdr:nvSpPr>
        <xdr:cNvPr id="5" name="TextBox 4">
          <a:extLst>
            <a:ext uri="{FF2B5EF4-FFF2-40B4-BE49-F238E27FC236}">
              <a16:creationId xmlns:a16="http://schemas.microsoft.com/office/drawing/2014/main" id="{E9788CF7-C4BE-40EB-93F5-0E0FDD7427C7}"/>
            </a:ext>
          </a:extLst>
        </xdr:cNvPr>
        <xdr:cNvSpPr txBox="1"/>
      </xdr:nvSpPr>
      <xdr:spPr>
        <a:xfrm>
          <a:off x="14066767" y="324181"/>
          <a:ext cx="2685886" cy="312255"/>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lumMod val="50000"/>
                </a:schemeClr>
              </a:solidFill>
            </a:rPr>
            <a:t>3b:</a:t>
          </a:r>
          <a:r>
            <a:rPr lang="en-US" sz="1200" b="1" baseline="0">
              <a:solidFill>
                <a:schemeClr val="accent1">
                  <a:lumMod val="50000"/>
                </a:schemeClr>
              </a:solidFill>
            </a:rPr>
            <a:t> simplified forecast of key line items</a:t>
          </a:r>
          <a:endParaRPr lang="en-US" sz="1200" b="1" i="1">
            <a:solidFill>
              <a:schemeClr val="accent1">
                <a:lumMod val="50000"/>
              </a:schemeClr>
            </a:solidFill>
          </a:endParaRPr>
        </a:p>
      </xdr:txBody>
    </xdr:sp>
    <xdr:clientData/>
  </xdr:twoCellAnchor>
  <xdr:twoCellAnchor>
    <xdr:from>
      <xdr:col>11</xdr:col>
      <xdr:colOff>68164</xdr:colOff>
      <xdr:row>2</xdr:row>
      <xdr:rowOff>61787</xdr:rowOff>
    </xdr:from>
    <xdr:to>
      <xdr:col>15</xdr:col>
      <xdr:colOff>575309</xdr:colOff>
      <xdr:row>4</xdr:row>
      <xdr:rowOff>6376</xdr:rowOff>
    </xdr:to>
    <xdr:sp macro="" textlink="">
      <xdr:nvSpPr>
        <xdr:cNvPr id="6" name="TextBox 5">
          <a:extLst>
            <a:ext uri="{FF2B5EF4-FFF2-40B4-BE49-F238E27FC236}">
              <a16:creationId xmlns:a16="http://schemas.microsoft.com/office/drawing/2014/main" id="{387AB12A-C496-4905-8473-AC2EAB9341C2}"/>
            </a:ext>
          </a:extLst>
        </xdr:cNvPr>
        <xdr:cNvSpPr txBox="1"/>
      </xdr:nvSpPr>
      <xdr:spPr>
        <a:xfrm>
          <a:off x="10677109" y="467552"/>
          <a:ext cx="3057940" cy="312254"/>
        </a:xfrm>
        <a:prstGeom prst="rect">
          <a:avLst/>
        </a:prstGeom>
        <a:solidFill>
          <a:schemeClr val="lt1"/>
        </a:solidFill>
        <a:ln w="9525"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6">
                  <a:lumMod val="75000"/>
                </a:schemeClr>
              </a:solidFill>
            </a:rPr>
            <a:t>3a: detailed</a:t>
          </a:r>
          <a:r>
            <a:rPr lang="en-US" sz="1200" b="1" baseline="0">
              <a:solidFill>
                <a:schemeClr val="accent6">
                  <a:lumMod val="75000"/>
                </a:schemeClr>
              </a:solidFill>
            </a:rPr>
            <a:t> forecast</a:t>
          </a:r>
          <a:endParaRPr lang="en-US" sz="1200" b="1" i="1">
            <a:solidFill>
              <a:schemeClr val="accent6">
                <a:lumMod val="75000"/>
              </a:schemeClr>
            </a:solidFill>
          </a:endParaRPr>
        </a:p>
      </xdr:txBody>
    </xdr:sp>
    <xdr:clientData/>
  </xdr:twoCellAnchor>
  <xdr:twoCellAnchor>
    <xdr:from>
      <xdr:col>16</xdr:col>
      <xdr:colOff>3810</xdr:colOff>
      <xdr:row>3</xdr:row>
      <xdr:rowOff>161180</xdr:rowOff>
    </xdr:from>
    <xdr:to>
      <xdr:col>21</xdr:col>
      <xdr:colOff>3810</xdr:colOff>
      <xdr:row>3</xdr:row>
      <xdr:rowOff>177745</xdr:rowOff>
    </xdr:to>
    <xdr:cxnSp macro="">
      <xdr:nvCxnSpPr>
        <xdr:cNvPr id="7" name="Straight Arrow Connector 6">
          <a:extLst>
            <a:ext uri="{FF2B5EF4-FFF2-40B4-BE49-F238E27FC236}">
              <a16:creationId xmlns:a16="http://schemas.microsoft.com/office/drawing/2014/main" id="{B9DC0D23-9986-4355-B203-A06392379CD1}"/>
            </a:ext>
          </a:extLst>
        </xdr:cNvPr>
        <xdr:cNvCxnSpPr/>
      </xdr:nvCxnSpPr>
      <xdr:spPr>
        <a:xfrm>
          <a:off x="13801725" y="753635"/>
          <a:ext cx="3190875" cy="16565"/>
        </a:xfrm>
        <a:prstGeom prst="straightConnector1">
          <a:avLst/>
        </a:prstGeom>
        <a:ln>
          <a:solidFill>
            <a:srgbClr val="00206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Shashwat Parashar" id="{73D72EAA-358F-46E4-ABE2-613D2B828FA4}" userId="S::shashwat.parashar1@ucdconnect.ie::c97a7d37-cd15-4b93-9456-3e288e0ef636"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 dT="2025-09-30T11:18:30.22" personId="{73D72EAA-358F-46E4-ABE2-613D2B828FA4}" id="{77EF8AB1-0347-47A7-B4F5-0342951F4DFE}">
    <text>new column added. assumption- have to start with FY2015</text>
  </threadedComment>
  <threadedComment ref="B4" dT="2025-09-30T11:11:44.49" personId="{73D72EAA-358F-46E4-ABE2-613D2B828FA4}" id="{12ECF9E0-93BF-4A3B-951C-F8AE5B446B9D}">
    <text xml:space="preserve">TBC </text>
  </threadedComment>
  <threadedComment ref="W8" dT="2025-09-30T16:07:52.72" personId="{73D72EAA-358F-46E4-ABE2-613D2B828FA4}" id="{4CC66CDF-A2D0-4A52-9A66-875E4927186A}">
    <text>TBC</text>
  </threadedComment>
</ThreadedComments>
</file>

<file path=xl/threadedComments/threadedComment2.xml><?xml version="1.0" encoding="utf-8"?>
<ThreadedComments xmlns="http://schemas.microsoft.com/office/spreadsheetml/2018/threadedcomments" xmlns:x="http://schemas.openxmlformats.org/spreadsheetml/2006/main">
  <threadedComment ref="L2" dT="2025-09-30T11:18:30.22" personId="{73D72EAA-358F-46E4-ABE2-613D2B828FA4}" id="{36285681-4C11-4A67-A223-6FF0717DB0E3}">
    <text>new column added. assumption- have to start with FY2015</text>
  </threadedComment>
  <threadedComment ref="B3" dT="2025-09-30T15:40:54.49" personId="{73D72EAA-358F-46E4-ABE2-613D2B828FA4}" id="{00EB28A2-5E33-4936-9FEF-0736B252CDA8}">
    <text>TBC</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emea1.identity.ciam.refinitiv.net/auth/cdcservlet?theme=charcoal&amp;RequestID=6B92B081FFB33823588777619A0E9D604FE3DA6AB0AF1604F55AD2F66D6C8EF4&amp;MajorVersion=1&amp;MinorVersion=0&amp;ProviderID=https%3A%2F%2Femea1-proxy.platform.refinitiv.com%3A443%2Famagent&amp;I" TargetMode="External"/><Relationship Id="rId1" Type="http://schemas.openxmlformats.org/officeDocument/2006/relationships/hyperlink" Target="https://buselrn.ucd.ie/bloomberg-market-concepts-bmc/"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www.reuters.com/business/retail-consumer/walmart-results-show-consumer-resilience-shares-down-after-recent-rally-2025-08-21/" TargetMode="External"/><Relationship Id="rId7" Type="http://schemas.openxmlformats.org/officeDocument/2006/relationships/vmlDrawing" Target="../drawings/vmlDrawing4.vml"/><Relationship Id="rId2" Type="http://schemas.openxmlformats.org/officeDocument/2006/relationships/hyperlink" Target="https://www.nasdaq.com/articles/will-walmart-stock-continue-ring-investor-returns" TargetMode="External"/><Relationship Id="rId1" Type="http://schemas.openxmlformats.org/officeDocument/2006/relationships/hyperlink" Target="https://nrf.com/media-center/press-releases/nrf-forecasts-2025-retail-sales-to-hit-5-42-trillion-despite-economic-uncertainty?utm_source=chatgpt.com" TargetMode="External"/><Relationship Id="rId6" Type="http://schemas.openxmlformats.org/officeDocument/2006/relationships/hyperlink" Target="https://stock.walmart.com/_assets/_ce43125c287746b5bb9dd177aebe127f/walmart/db/938/9959/earnings_release/Earnings+Release+%28FY26+Q2%29.pdf" TargetMode="External"/><Relationship Id="rId5" Type="http://schemas.openxmlformats.org/officeDocument/2006/relationships/hyperlink" Target="https://corporate.walmart.com/news/2025/08/21/walmart-releases-q2-fy26-earnings" TargetMode="External"/><Relationship Id="rId4" Type="http://schemas.openxmlformats.org/officeDocument/2006/relationships/hyperlink" Target="https://www.nasdaq.com/articles/where-will-walmart-stock-be-3-years-0" TargetMode="Externa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opLeftCell="A124" zoomScale="165" zoomScaleNormal="85" workbookViewId="0">
      <selection activeCell="B123" sqref="B123"/>
    </sheetView>
  </sheetViews>
  <sheetFormatPr defaultColWidth="8.85546875" defaultRowHeight="15"/>
  <cols>
    <col min="1" max="1" width="4.85546875" style="16" bestFit="1" customWidth="1"/>
    <col min="2" max="2" width="75.42578125" customWidth="1"/>
    <col min="3" max="3" width="92.7109375" customWidth="1"/>
  </cols>
  <sheetData>
    <row r="1" spans="1:3" ht="18.95">
      <c r="A1" s="348" t="s">
        <v>0</v>
      </c>
      <c r="B1" s="349"/>
      <c r="C1" s="38" t="s">
        <v>1</v>
      </c>
    </row>
    <row r="2" spans="1:3" ht="15.95">
      <c r="A2" s="39">
        <v>1</v>
      </c>
      <c r="B2" s="88" t="s">
        <v>2</v>
      </c>
      <c r="C2" s="147" t="s">
        <v>3</v>
      </c>
    </row>
    <row r="3" spans="1:3">
      <c r="A3" s="41"/>
      <c r="B3" t="s">
        <v>4</v>
      </c>
      <c r="C3" s="40" t="s">
        <v>5</v>
      </c>
    </row>
    <row r="4" spans="1:3">
      <c r="A4" s="41"/>
      <c r="B4" t="s">
        <v>6</v>
      </c>
      <c r="C4" s="42"/>
    </row>
    <row r="5" spans="1:3" ht="15.95">
      <c r="A5" s="39">
        <v>2</v>
      </c>
      <c r="B5" s="88" t="s">
        <v>7</v>
      </c>
      <c r="C5" s="40" t="s">
        <v>8</v>
      </c>
    </row>
    <row r="6" spans="1:3">
      <c r="A6" s="41"/>
      <c r="B6" s="17" t="s">
        <v>9</v>
      </c>
      <c r="C6" s="42"/>
    </row>
    <row r="7" spans="1:3">
      <c r="A7" s="41"/>
      <c r="B7" s="17" t="s">
        <v>10</v>
      </c>
      <c r="C7" s="40" t="s">
        <v>11</v>
      </c>
    </row>
    <row r="8" spans="1:3">
      <c r="A8" s="41"/>
      <c r="B8" t="s">
        <v>12</v>
      </c>
      <c r="C8" s="42"/>
    </row>
    <row r="9" spans="1:3">
      <c r="A9" s="41"/>
      <c r="B9" s="89" t="s">
        <v>13</v>
      </c>
      <c r="C9" s="42"/>
    </row>
    <row r="10" spans="1:3">
      <c r="A10" s="41"/>
      <c r="B10" t="s">
        <v>14</v>
      </c>
      <c r="C10" s="42" t="s">
        <v>15</v>
      </c>
    </row>
    <row r="11" spans="1:3">
      <c r="A11" s="41"/>
      <c r="B11" t="s">
        <v>16</v>
      </c>
      <c r="C11" s="42" t="s">
        <v>15</v>
      </c>
    </row>
    <row r="12" spans="1:3" ht="14.1" customHeight="1">
      <c r="A12" s="41"/>
      <c r="B12" t="s">
        <v>17</v>
      </c>
      <c r="C12" s="42" t="s">
        <v>15</v>
      </c>
    </row>
    <row r="13" spans="1:3">
      <c r="A13" s="41"/>
      <c r="B13" t="s">
        <v>18</v>
      </c>
      <c r="C13" s="42" t="s">
        <v>15</v>
      </c>
    </row>
    <row r="14" spans="1:3">
      <c r="A14" s="41"/>
      <c r="B14" t="s">
        <v>19</v>
      </c>
      <c r="C14" s="42" t="s">
        <v>15</v>
      </c>
    </row>
    <row r="15" spans="1:3">
      <c r="A15" s="41"/>
      <c r="B15" t="s">
        <v>20</v>
      </c>
      <c r="C15" s="42"/>
    </row>
    <row r="16" spans="1:3">
      <c r="A16" s="41"/>
      <c r="B16" t="s">
        <v>21</v>
      </c>
      <c r="C16" s="42"/>
    </row>
    <row r="17" spans="1:3">
      <c r="A17" s="41"/>
      <c r="B17" t="s">
        <v>22</v>
      </c>
      <c r="C17" s="42"/>
    </row>
    <row r="18" spans="1:3">
      <c r="A18" s="41"/>
      <c r="B18" t="s">
        <v>23</v>
      </c>
      <c r="C18" s="42"/>
    </row>
    <row r="19" spans="1:3">
      <c r="A19" s="41"/>
      <c r="B19" t="s">
        <v>24</v>
      </c>
      <c r="C19" s="42"/>
    </row>
    <row r="20" spans="1:3">
      <c r="A20" s="41"/>
      <c r="B20" t="s">
        <v>25</v>
      </c>
      <c r="C20" s="42"/>
    </row>
    <row r="21" spans="1:3">
      <c r="A21" s="41"/>
      <c r="B21" t="s">
        <v>26</v>
      </c>
      <c r="C21" s="42"/>
    </row>
    <row r="22" spans="1:3">
      <c r="A22" s="41"/>
      <c r="B22" s="90" t="s">
        <v>27</v>
      </c>
      <c r="C22" s="42"/>
    </row>
    <row r="23" spans="1:3">
      <c r="A23" s="41"/>
      <c r="B23" t="s">
        <v>28</v>
      </c>
      <c r="C23" s="42"/>
    </row>
    <row r="24" spans="1:3">
      <c r="A24" s="41"/>
      <c r="B24" t="s">
        <v>29</v>
      </c>
      <c r="C24" s="42"/>
    </row>
    <row r="25" spans="1:3">
      <c r="A25" s="41"/>
      <c r="B25" t="s">
        <v>30</v>
      </c>
      <c r="C25" s="42"/>
    </row>
    <row r="26" spans="1:3">
      <c r="A26" s="41"/>
      <c r="B26" t="s">
        <v>31</v>
      </c>
      <c r="C26" s="42"/>
    </row>
    <row r="27" spans="1:3">
      <c r="A27" s="41"/>
      <c r="B27" t="s">
        <v>32</v>
      </c>
      <c r="C27" s="42"/>
    </row>
    <row r="28" spans="1:3">
      <c r="A28" s="41"/>
      <c r="B28" t="s">
        <v>33</v>
      </c>
      <c r="C28" s="42"/>
    </row>
    <row r="29" spans="1:3">
      <c r="A29" s="41"/>
      <c r="B29" s="66" t="s">
        <v>34</v>
      </c>
      <c r="C29" s="42"/>
    </row>
    <row r="30" spans="1:3">
      <c r="A30" s="41"/>
      <c r="B30" t="s">
        <v>35</v>
      </c>
      <c r="C30" s="42"/>
    </row>
    <row r="31" spans="1:3">
      <c r="A31" s="41"/>
      <c r="B31" t="s">
        <v>36</v>
      </c>
      <c r="C31" s="42"/>
    </row>
    <row r="32" spans="1:3">
      <c r="A32" s="41"/>
      <c r="B32" t="s">
        <v>37</v>
      </c>
      <c r="C32" s="42"/>
    </row>
    <row r="33" spans="1:3">
      <c r="A33" s="41"/>
      <c r="B33" t="s">
        <v>38</v>
      </c>
      <c r="C33" s="42"/>
    </row>
    <row r="34" spans="1:3">
      <c r="A34" s="41"/>
      <c r="B34" t="s">
        <v>39</v>
      </c>
      <c r="C34" s="42"/>
    </row>
    <row r="35" spans="1:3">
      <c r="A35" s="41"/>
      <c r="B35" t="s">
        <v>40</v>
      </c>
      <c r="C35" s="42"/>
    </row>
    <row r="36" spans="1:3">
      <c r="A36" s="41"/>
      <c r="B36" s="17" t="s">
        <v>41</v>
      </c>
      <c r="C36" s="42"/>
    </row>
    <row r="37" spans="1:3">
      <c r="A37" s="41"/>
      <c r="B37" s="89" t="s">
        <v>42</v>
      </c>
      <c r="C37" s="42"/>
    </row>
    <row r="38" spans="1:3">
      <c r="A38" s="41"/>
      <c r="B38" t="s">
        <v>43</v>
      </c>
      <c r="C38" s="42"/>
    </row>
    <row r="39" spans="1:3">
      <c r="A39" s="41"/>
      <c r="B39" t="s">
        <v>44</v>
      </c>
      <c r="C39" s="42"/>
    </row>
    <row r="40" spans="1:3">
      <c r="A40" s="41"/>
      <c r="B40" t="s">
        <v>45</v>
      </c>
    </row>
    <row r="41" spans="1:3">
      <c r="A41" s="41"/>
      <c r="B41" t="s">
        <v>46</v>
      </c>
      <c r="C41" s="42"/>
    </row>
    <row r="42" spans="1:3">
      <c r="A42" s="41"/>
      <c r="B42" t="s">
        <v>47</v>
      </c>
      <c r="C42" s="42"/>
    </row>
    <row r="43" spans="1:3">
      <c r="A43" s="41"/>
      <c r="B43" t="s">
        <v>48</v>
      </c>
      <c r="C43" s="146" t="s">
        <v>49</v>
      </c>
    </row>
    <row r="44" spans="1:3">
      <c r="A44" s="41"/>
      <c r="B44" t="s">
        <v>50</v>
      </c>
      <c r="C44" s="42"/>
    </row>
    <row r="45" spans="1:3">
      <c r="A45" s="41"/>
      <c r="B45" s="90" t="s">
        <v>51</v>
      </c>
      <c r="C45" s="42"/>
    </row>
    <row r="46" spans="1:3">
      <c r="A46" s="41"/>
      <c r="B46" t="s">
        <v>52</v>
      </c>
      <c r="C46" s="42"/>
    </row>
    <row r="47" spans="1:3">
      <c r="A47" s="41"/>
      <c r="B47" t="s">
        <v>53</v>
      </c>
      <c r="C47" s="42"/>
    </row>
    <row r="48" spans="1:3">
      <c r="A48" s="41"/>
      <c r="B48" t="s">
        <v>54</v>
      </c>
      <c r="C48" s="42"/>
    </row>
    <row r="49" spans="1:3">
      <c r="A49" s="41"/>
      <c r="B49" s="17" t="s">
        <v>55</v>
      </c>
      <c r="C49" s="350" t="s">
        <v>56</v>
      </c>
    </row>
    <row r="50" spans="1:3">
      <c r="A50" s="41"/>
      <c r="B50" s="17" t="s">
        <v>57</v>
      </c>
      <c r="C50" s="350"/>
    </row>
    <row r="51" spans="1:3">
      <c r="A51" s="41"/>
      <c r="B51" s="91" t="s">
        <v>58</v>
      </c>
      <c r="C51" s="42"/>
    </row>
    <row r="52" spans="1:3">
      <c r="A52" s="41"/>
      <c r="B52" s="89" t="s">
        <v>42</v>
      </c>
      <c r="C52" s="42"/>
    </row>
    <row r="53" spans="1:3">
      <c r="A53" s="41"/>
      <c r="B53" s="92" t="s">
        <v>59</v>
      </c>
      <c r="C53" s="42"/>
    </row>
    <row r="54" spans="1:3">
      <c r="A54" s="41"/>
      <c r="B54" s="43" t="s">
        <v>60</v>
      </c>
      <c r="C54" s="42"/>
    </row>
    <row r="55" spans="1:3">
      <c r="A55" s="41"/>
      <c r="B55" s="91" t="s">
        <v>61</v>
      </c>
      <c r="C55" s="42"/>
    </row>
    <row r="56" spans="1:3">
      <c r="A56" s="41"/>
      <c r="B56" s="91" t="s">
        <v>62</v>
      </c>
      <c r="C56" s="42"/>
    </row>
    <row r="57" spans="1:3">
      <c r="A57" s="41"/>
      <c r="B57" s="91" t="s">
        <v>63</v>
      </c>
      <c r="C57" s="42"/>
    </row>
    <row r="58" spans="1:3">
      <c r="A58" s="41"/>
      <c r="B58" s="91" t="s">
        <v>64</v>
      </c>
      <c r="C58" s="42"/>
    </row>
    <row r="59" spans="1:3">
      <c r="A59" s="41"/>
      <c r="B59" t="s">
        <v>65</v>
      </c>
      <c r="C59" s="42"/>
    </row>
    <row r="60" spans="1:3">
      <c r="A60" s="41"/>
      <c r="B60" t="s">
        <v>66</v>
      </c>
      <c r="C60" s="42"/>
    </row>
    <row r="61" spans="1:3">
      <c r="A61" s="41"/>
      <c r="B61" t="s">
        <v>67</v>
      </c>
      <c r="C61" s="42"/>
    </row>
    <row r="62" spans="1:3">
      <c r="A62" s="41"/>
      <c r="B62" t="s">
        <v>68</v>
      </c>
      <c r="C62" s="42"/>
    </row>
    <row r="63" spans="1:3">
      <c r="A63" s="41"/>
      <c r="B63" s="91" t="s">
        <v>69</v>
      </c>
      <c r="C63" s="42"/>
    </row>
    <row r="64" spans="1:3">
      <c r="A64" s="41"/>
      <c r="B64" s="43" t="s">
        <v>70</v>
      </c>
      <c r="C64" s="42"/>
    </row>
    <row r="65" spans="1:3" ht="15.95">
      <c r="A65" s="41"/>
      <c r="B65" s="93" t="s">
        <v>71</v>
      </c>
      <c r="C65" s="42"/>
    </row>
    <row r="66" spans="1:3">
      <c r="A66" s="41"/>
      <c r="B66" s="91" t="s">
        <v>72</v>
      </c>
      <c r="C66" s="42"/>
    </row>
    <row r="67" spans="1:3" ht="15.95">
      <c r="A67" s="41"/>
      <c r="B67" s="93" t="s">
        <v>73</v>
      </c>
      <c r="C67" s="42"/>
    </row>
    <row r="68" spans="1:3" ht="15.95">
      <c r="A68" s="41"/>
      <c r="B68" s="93" t="s">
        <v>74</v>
      </c>
      <c r="C68" s="42"/>
    </row>
    <row r="69" spans="1:3">
      <c r="A69" s="41"/>
      <c r="B69" s="90" t="s">
        <v>51</v>
      </c>
      <c r="C69" s="42"/>
    </row>
    <row r="70" spans="1:3">
      <c r="A70" s="41"/>
      <c r="B70" s="43" t="s">
        <v>75</v>
      </c>
      <c r="C70" s="94" t="s">
        <v>76</v>
      </c>
    </row>
    <row r="71" spans="1:3">
      <c r="A71" s="41"/>
      <c r="B71" s="43" t="s">
        <v>77</v>
      </c>
      <c r="C71" s="42"/>
    </row>
    <row r="72" spans="1:3">
      <c r="A72" s="41"/>
      <c r="B72" s="43" t="s">
        <v>78</v>
      </c>
      <c r="C72" s="42"/>
    </row>
    <row r="73" spans="1:3">
      <c r="A73" s="41"/>
      <c r="B73" s="43" t="s">
        <v>79</v>
      </c>
      <c r="C73" s="42"/>
    </row>
    <row r="74" spans="1:3">
      <c r="A74" s="41"/>
      <c r="B74" s="43" t="s">
        <v>80</v>
      </c>
      <c r="C74" s="42"/>
    </row>
    <row r="75" spans="1:3">
      <c r="A75" s="41"/>
      <c r="B75" s="17" t="s">
        <v>81</v>
      </c>
      <c r="C75" s="42"/>
    </row>
    <row r="76" spans="1:3" ht="15.95">
      <c r="A76" s="39">
        <v>3</v>
      </c>
      <c r="B76" s="88" t="s">
        <v>82</v>
      </c>
      <c r="C76" s="42"/>
    </row>
    <row r="77" spans="1:3" ht="15.95">
      <c r="A77" s="41"/>
      <c r="B77" s="93" t="s">
        <v>83</v>
      </c>
      <c r="C77" s="42"/>
    </row>
    <row r="78" spans="1:3" ht="18">
      <c r="A78" s="41"/>
      <c r="B78" s="93" t="s">
        <v>84</v>
      </c>
      <c r="C78" s="42"/>
    </row>
    <row r="79" spans="1:3" ht="18">
      <c r="A79" s="41"/>
      <c r="B79" s="95" t="s">
        <v>85</v>
      </c>
      <c r="C79" s="44" t="e">
        <f>#REF!</f>
        <v>#REF!</v>
      </c>
    </row>
    <row r="80" spans="1:3" ht="17.100000000000001">
      <c r="A80" s="41"/>
      <c r="B80" s="96" t="s">
        <v>86</v>
      </c>
      <c r="C80" s="42" t="s">
        <v>87</v>
      </c>
    </row>
    <row r="81" spans="1:3">
      <c r="A81" s="41"/>
      <c r="B81" t="s">
        <v>88</v>
      </c>
      <c r="C81" s="42"/>
    </row>
    <row r="82" spans="1:3">
      <c r="A82" s="41"/>
      <c r="B82" t="s">
        <v>89</v>
      </c>
      <c r="C82" s="42"/>
    </row>
    <row r="83" spans="1:3">
      <c r="A83" s="41"/>
      <c r="B83" t="s">
        <v>90</v>
      </c>
      <c r="C83" s="42"/>
    </row>
    <row r="84" spans="1:3">
      <c r="A84" s="41"/>
      <c r="B84" t="s">
        <v>91</v>
      </c>
      <c r="C84" s="42"/>
    </row>
    <row r="85" spans="1:3" ht="15.95">
      <c r="A85" s="41"/>
      <c r="B85" s="93" t="s">
        <v>92</v>
      </c>
      <c r="C85" s="42"/>
    </row>
    <row r="86" spans="1:3">
      <c r="A86" s="41"/>
      <c r="B86" s="91" t="s">
        <v>93</v>
      </c>
      <c r="C86" s="42"/>
    </row>
    <row r="87" spans="1:3" ht="17.100000000000001">
      <c r="A87" s="41"/>
      <c r="B87" t="s">
        <v>94</v>
      </c>
      <c r="C87" s="42"/>
    </row>
    <row r="88" spans="1:3">
      <c r="A88" s="41"/>
      <c r="B88" t="s">
        <v>95</v>
      </c>
      <c r="C88" s="42"/>
    </row>
    <row r="89" spans="1:3">
      <c r="A89" s="41"/>
      <c r="B89" t="s">
        <v>96</v>
      </c>
      <c r="C89" s="42"/>
    </row>
    <row r="90" spans="1:3" ht="18">
      <c r="A90" s="41"/>
      <c r="B90" s="95" t="s">
        <v>97</v>
      </c>
      <c r="C90" s="44" t="e">
        <f>#REF!</f>
        <v>#REF!</v>
      </c>
    </row>
    <row r="91" spans="1:3" ht="17.100000000000001">
      <c r="A91" s="41"/>
      <c r="B91" s="96" t="s">
        <v>98</v>
      </c>
      <c r="C91" s="42" t="s">
        <v>99</v>
      </c>
    </row>
    <row r="92" spans="1:3">
      <c r="A92" s="41"/>
      <c r="C92" s="42"/>
    </row>
    <row r="93" spans="1:3">
      <c r="A93" s="41"/>
      <c r="B93" t="s">
        <v>100</v>
      </c>
      <c r="C93" s="42"/>
    </row>
    <row r="94" spans="1:3">
      <c r="A94" s="41"/>
      <c r="B94" t="s">
        <v>101</v>
      </c>
      <c r="C94" s="42"/>
    </row>
    <row r="95" spans="1:3">
      <c r="A95" s="41"/>
      <c r="B95" t="s">
        <v>102</v>
      </c>
      <c r="C95" s="42"/>
    </row>
    <row r="96" spans="1:3">
      <c r="A96" s="41"/>
      <c r="B96" t="s">
        <v>103</v>
      </c>
      <c r="C96" s="42"/>
    </row>
    <row r="97" spans="1:3" ht="15.95">
      <c r="A97" s="39">
        <v>4</v>
      </c>
      <c r="B97" s="88" t="s">
        <v>104</v>
      </c>
      <c r="C97" s="42"/>
    </row>
    <row r="98" spans="1:3">
      <c r="A98" s="41"/>
      <c r="B98" t="s">
        <v>105</v>
      </c>
      <c r="C98" s="42"/>
    </row>
    <row r="99" spans="1:3" ht="18">
      <c r="A99" s="41"/>
      <c r="B99" s="95" t="s">
        <v>106</v>
      </c>
      <c r="C99" s="44" t="e">
        <f>#REF!</f>
        <v>#REF!</v>
      </c>
    </row>
    <row r="100" spans="1:3" ht="17.100000000000001">
      <c r="A100" s="41"/>
      <c r="B100" s="96" t="s">
        <v>107</v>
      </c>
      <c r="C100" s="42" t="s">
        <v>87</v>
      </c>
    </row>
    <row r="101" spans="1:3">
      <c r="A101" s="41"/>
      <c r="B101" t="s">
        <v>108</v>
      </c>
      <c r="C101" s="42"/>
    </row>
    <row r="102" spans="1:3" ht="18">
      <c r="A102" s="41"/>
      <c r="B102" s="95" t="s">
        <v>109</v>
      </c>
      <c r="C102" s="44" t="e">
        <f>#REF!</f>
        <v>#REF!</v>
      </c>
    </row>
    <row r="103" spans="1:3" ht="17.100000000000001">
      <c r="A103" s="41"/>
      <c r="B103" s="96" t="s">
        <v>110</v>
      </c>
      <c r="C103" s="42" t="s">
        <v>87</v>
      </c>
    </row>
    <row r="104" spans="1:3">
      <c r="A104" s="41"/>
      <c r="B104" t="s">
        <v>111</v>
      </c>
      <c r="C104" s="42"/>
    </row>
    <row r="105" spans="1:3" ht="18">
      <c r="A105" s="41"/>
      <c r="B105" s="95" t="s">
        <v>112</v>
      </c>
      <c r="C105" s="44" t="e">
        <f>#REF!</f>
        <v>#REF!</v>
      </c>
    </row>
    <row r="106" spans="1:3" ht="17.100000000000001">
      <c r="A106" s="41"/>
      <c r="B106" s="96" t="s">
        <v>113</v>
      </c>
      <c r="C106" s="42" t="s">
        <v>87</v>
      </c>
    </row>
    <row r="107" spans="1:3">
      <c r="A107" s="41"/>
      <c r="B107" s="91" t="s">
        <v>114</v>
      </c>
      <c r="C107" s="42"/>
    </row>
    <row r="108" spans="1:3">
      <c r="A108" s="41"/>
      <c r="B108" s="91" t="s">
        <v>115</v>
      </c>
      <c r="C108" s="42"/>
    </row>
    <row r="109" spans="1:3">
      <c r="A109" s="41"/>
      <c r="B109" s="91" t="s">
        <v>116</v>
      </c>
      <c r="C109" s="42"/>
    </row>
    <row r="110" spans="1:3">
      <c r="A110" s="41"/>
      <c r="B110" s="91" t="s">
        <v>117</v>
      </c>
      <c r="C110" s="42"/>
    </row>
    <row r="111" spans="1:3" ht="15.95">
      <c r="A111" s="39">
        <v>5</v>
      </c>
      <c r="B111" s="88" t="s">
        <v>118</v>
      </c>
      <c r="C111" s="40" t="s">
        <v>119</v>
      </c>
    </row>
    <row r="112" spans="1:3" ht="17.100000000000001">
      <c r="A112" s="41"/>
      <c r="B112" t="s">
        <v>120</v>
      </c>
      <c r="C112" s="42"/>
    </row>
    <row r="113" spans="1:3">
      <c r="A113" s="41"/>
      <c r="B113" s="91" t="s">
        <v>121</v>
      </c>
      <c r="C113" s="42"/>
    </row>
    <row r="114" spans="1:3">
      <c r="A114" s="41"/>
      <c r="B114" s="91" t="s">
        <v>122</v>
      </c>
      <c r="C114" s="94" t="s">
        <v>123</v>
      </c>
    </row>
    <row r="115" spans="1:3">
      <c r="A115" s="41"/>
      <c r="B115" s="91" t="s">
        <v>124</v>
      </c>
      <c r="C115" s="42"/>
    </row>
    <row r="116" spans="1:3">
      <c r="A116" s="41"/>
      <c r="B116" s="91" t="s">
        <v>125</v>
      </c>
      <c r="C116" s="42"/>
    </row>
    <row r="117" spans="1:3" ht="15.95">
      <c r="A117" s="39">
        <v>6</v>
      </c>
      <c r="B117" s="88" t="s">
        <v>126</v>
      </c>
      <c r="C117" s="147" t="s">
        <v>127</v>
      </c>
    </row>
    <row r="118" spans="1:3">
      <c r="A118" s="41"/>
      <c r="B118" t="s">
        <v>128</v>
      </c>
      <c r="C118" s="42"/>
    </row>
    <row r="119" spans="1:3">
      <c r="A119" s="41"/>
      <c r="B119" t="s">
        <v>129</v>
      </c>
      <c r="C119" s="42"/>
    </row>
    <row r="120" spans="1:3">
      <c r="A120" s="41"/>
      <c r="B120" t="s">
        <v>130</v>
      </c>
      <c r="C120" s="42"/>
    </row>
    <row r="121" spans="1:3">
      <c r="A121" s="41"/>
      <c r="B121" t="s">
        <v>131</v>
      </c>
      <c r="C121" s="42"/>
    </row>
    <row r="122" spans="1:3">
      <c r="A122" s="41"/>
      <c r="B122" t="s">
        <v>132</v>
      </c>
      <c r="C122" s="42"/>
    </row>
    <row r="123" spans="1:3" ht="17.100000000000001">
      <c r="A123" s="41"/>
      <c r="B123" t="s">
        <v>133</v>
      </c>
      <c r="C123" s="42" t="s">
        <v>134</v>
      </c>
    </row>
    <row r="124" spans="1:3">
      <c r="A124" s="41"/>
      <c r="B124" t="s">
        <v>135</v>
      </c>
      <c r="C124" s="40" t="s">
        <v>136</v>
      </c>
    </row>
    <row r="125" spans="1:3">
      <c r="A125" s="41"/>
      <c r="B125" t="s">
        <v>137</v>
      </c>
      <c r="C125" s="42"/>
    </row>
    <row r="126" spans="1:3">
      <c r="A126" s="41"/>
      <c r="B126" t="s">
        <v>138</v>
      </c>
      <c r="C126" s="42"/>
    </row>
    <row r="127" spans="1:3">
      <c r="A127" s="41"/>
      <c r="C127" s="42"/>
    </row>
    <row r="128" spans="1:3">
      <c r="A128" s="41"/>
      <c r="C128" s="42" t="s">
        <v>139</v>
      </c>
    </row>
    <row r="129" spans="1:3">
      <c r="A129" s="41"/>
      <c r="C129" s="42"/>
    </row>
    <row r="130" spans="1:3">
      <c r="A130" s="41"/>
      <c r="B130" s="17"/>
      <c r="C130" s="42"/>
    </row>
    <row r="131" spans="1:3">
      <c r="A131" s="41"/>
      <c r="B131" s="17"/>
      <c r="C131" s="42"/>
    </row>
    <row r="132" spans="1:3">
      <c r="A132" s="41"/>
      <c r="B132" s="17"/>
      <c r="C132" s="42"/>
    </row>
    <row r="133" spans="1:3">
      <c r="A133" s="41"/>
      <c r="B133" s="17"/>
      <c r="C133" s="42"/>
    </row>
    <row r="134" spans="1:3">
      <c r="A134" s="41"/>
      <c r="C134" s="42"/>
    </row>
    <row r="135" spans="1:3">
      <c r="A135" s="41"/>
      <c r="C135" s="42"/>
    </row>
    <row r="136" spans="1:3">
      <c r="A136" s="41"/>
      <c r="B136" t="s">
        <v>140</v>
      </c>
      <c r="C136" s="42"/>
    </row>
    <row r="137" spans="1:3" ht="15.95">
      <c r="A137" s="39">
        <v>7</v>
      </c>
      <c r="B137" s="88" t="s">
        <v>141</v>
      </c>
      <c r="C137" s="42"/>
    </row>
    <row r="138" spans="1:3">
      <c r="A138" s="41"/>
      <c r="B138" t="s">
        <v>142</v>
      </c>
      <c r="C138" s="42"/>
    </row>
    <row r="139" spans="1:3">
      <c r="A139" s="41"/>
      <c r="B139" t="s">
        <v>143</v>
      </c>
      <c r="C139" s="42"/>
    </row>
    <row r="140" spans="1:3">
      <c r="A140" s="41"/>
      <c r="B140" s="8" t="s">
        <v>144</v>
      </c>
      <c r="C140" s="42"/>
    </row>
    <row r="141" spans="1:3">
      <c r="A141" s="41" t="s">
        <v>145</v>
      </c>
      <c r="B141" t="s">
        <v>146</v>
      </c>
      <c r="C141" s="42"/>
    </row>
    <row r="142" spans="1:3">
      <c r="A142" s="41"/>
      <c r="B142" t="s">
        <v>147</v>
      </c>
      <c r="C142" s="42"/>
    </row>
    <row r="143" spans="1:3">
      <c r="A143" s="41"/>
      <c r="B143" t="s">
        <v>148</v>
      </c>
      <c r="C143" s="42"/>
    </row>
    <row r="144" spans="1:3" ht="17.100000000000001">
      <c r="A144" s="41"/>
      <c r="B144" t="s">
        <v>149</v>
      </c>
      <c r="C144" s="42"/>
    </row>
    <row r="145" spans="1:3">
      <c r="A145" s="41"/>
      <c r="C145" s="42"/>
    </row>
    <row r="146" spans="1:3">
      <c r="A146" s="41"/>
      <c r="C146" s="42"/>
    </row>
    <row r="147" spans="1:3">
      <c r="A147" s="41"/>
      <c r="C147" s="42"/>
    </row>
    <row r="148" spans="1:3">
      <c r="A148" s="41"/>
      <c r="C148" s="42"/>
    </row>
    <row r="149" spans="1:3">
      <c r="A149" s="41"/>
      <c r="B149" t="s">
        <v>150</v>
      </c>
      <c r="C149" s="42"/>
    </row>
    <row r="150" spans="1:3">
      <c r="A150" s="41"/>
      <c r="B150" s="8" t="s">
        <v>151</v>
      </c>
      <c r="C150" s="42"/>
    </row>
    <row r="151" spans="1:3">
      <c r="A151" s="41"/>
      <c r="C151" s="42"/>
    </row>
    <row r="152" spans="1:3">
      <c r="A152" s="41"/>
      <c r="C152" s="42"/>
    </row>
    <row r="153" spans="1:3">
      <c r="A153" s="41"/>
      <c r="C153" s="42"/>
    </row>
    <row r="154" spans="1:3">
      <c r="A154" s="41"/>
      <c r="B154" t="s">
        <v>152</v>
      </c>
      <c r="C154" s="42"/>
    </row>
    <row r="155" spans="1:3">
      <c r="A155" s="41"/>
      <c r="C155" s="42"/>
    </row>
    <row r="156" spans="1:3">
      <c r="A156" s="41"/>
      <c r="C156" s="42"/>
    </row>
    <row r="157" spans="1:3">
      <c r="A157" s="41"/>
      <c r="C157" s="42"/>
    </row>
    <row r="158" spans="1:3">
      <c r="A158" s="41"/>
      <c r="C158" s="42"/>
    </row>
    <row r="159" spans="1:3">
      <c r="A159" s="41"/>
      <c r="B159" t="s">
        <v>153</v>
      </c>
      <c r="C159" s="42"/>
    </row>
    <row r="160" spans="1:3">
      <c r="A160" s="41"/>
      <c r="C160" s="42"/>
    </row>
    <row r="161" spans="1:3">
      <c r="A161" s="41"/>
      <c r="C161" s="42"/>
    </row>
    <row r="162" spans="1:3">
      <c r="A162" s="41"/>
      <c r="C162" s="42"/>
    </row>
    <row r="163" spans="1:3" ht="17.100000000000001">
      <c r="A163" s="41"/>
      <c r="B163" t="s">
        <v>154</v>
      </c>
      <c r="C163" s="42"/>
    </row>
    <row r="164" spans="1:3">
      <c r="A164" s="41"/>
      <c r="B164" t="s">
        <v>155</v>
      </c>
      <c r="C164" s="42"/>
    </row>
    <row r="165" spans="1:3">
      <c r="A165" s="41"/>
      <c r="B165" t="s">
        <v>156</v>
      </c>
      <c r="C165" s="42"/>
    </row>
    <row r="166" spans="1:3">
      <c r="A166" s="41"/>
      <c r="B166" t="s">
        <v>157</v>
      </c>
      <c r="C166" s="42"/>
    </row>
    <row r="167" spans="1:3">
      <c r="A167" s="41"/>
      <c r="B167" t="s">
        <v>158</v>
      </c>
      <c r="C167" s="42"/>
    </row>
    <row r="168" spans="1:3">
      <c r="A168" s="41"/>
      <c r="B168" t="s">
        <v>159</v>
      </c>
      <c r="C168" s="42"/>
    </row>
    <row r="169" spans="1:3">
      <c r="A169" s="41"/>
      <c r="B169" s="8" t="s">
        <v>160</v>
      </c>
      <c r="C169" s="42"/>
    </row>
    <row r="170" spans="1:3">
      <c r="A170" s="41"/>
      <c r="B170" t="s">
        <v>161</v>
      </c>
      <c r="C170" s="42"/>
    </row>
    <row r="171" spans="1:3">
      <c r="A171" s="41"/>
      <c r="B171" t="s">
        <v>162</v>
      </c>
      <c r="C171" s="42"/>
    </row>
    <row r="172" spans="1:3">
      <c r="A172" s="41"/>
      <c r="B172" t="s">
        <v>163</v>
      </c>
      <c r="C172" s="42"/>
    </row>
    <row r="173" spans="1:3" ht="17.100000000000001">
      <c r="A173" s="41"/>
      <c r="B173" t="s">
        <v>164</v>
      </c>
      <c r="C173" s="42"/>
    </row>
    <row r="174" spans="1:3">
      <c r="A174" s="41"/>
      <c r="C174" s="42"/>
    </row>
    <row r="175" spans="1:3">
      <c r="A175" s="41"/>
      <c r="C175" s="42"/>
    </row>
    <row r="176" spans="1:3">
      <c r="A176" s="41"/>
      <c r="C176" s="42"/>
    </row>
    <row r="177" spans="1:3">
      <c r="A177" s="41"/>
      <c r="C177" s="42"/>
    </row>
    <row r="178" spans="1:3">
      <c r="A178" s="41"/>
      <c r="B178" t="s">
        <v>165</v>
      </c>
      <c r="C178" s="42"/>
    </row>
    <row r="179" spans="1:3">
      <c r="A179" s="41"/>
      <c r="B179" s="8" t="s">
        <v>151</v>
      </c>
      <c r="C179" s="42"/>
    </row>
    <row r="180" spans="1:3">
      <c r="A180" s="41"/>
      <c r="C180" s="42"/>
    </row>
    <row r="181" spans="1:3">
      <c r="A181" s="41"/>
      <c r="C181" s="42"/>
    </row>
    <row r="182" spans="1:3">
      <c r="A182" s="41"/>
      <c r="C182" s="42"/>
    </row>
    <row r="183" spans="1:3">
      <c r="A183" s="41"/>
      <c r="B183" t="s">
        <v>152</v>
      </c>
      <c r="C183" s="42"/>
    </row>
    <row r="184" spans="1:3">
      <c r="A184" s="41"/>
      <c r="C184" s="42"/>
    </row>
    <row r="185" spans="1:3">
      <c r="A185" s="41"/>
      <c r="C185" s="42"/>
    </row>
    <row r="186" spans="1:3">
      <c r="A186" s="41"/>
      <c r="C186" s="42"/>
    </row>
    <row r="187" spans="1:3">
      <c r="A187" s="41"/>
      <c r="C187" s="42"/>
    </row>
    <row r="188" spans="1:3">
      <c r="A188" s="41"/>
      <c r="B188" t="s">
        <v>153</v>
      </c>
      <c r="C188" s="42"/>
    </row>
    <row r="189" spans="1:3">
      <c r="A189" s="41"/>
      <c r="C189" s="42"/>
    </row>
    <row r="190" spans="1:3">
      <c r="A190" s="41"/>
      <c r="C190" s="42"/>
    </row>
    <row r="191" spans="1:3">
      <c r="A191" s="41"/>
      <c r="C191" s="42"/>
    </row>
    <row r="192" spans="1:3" ht="17.100000000000001">
      <c r="A192" s="41"/>
      <c r="B192" t="s">
        <v>166</v>
      </c>
      <c r="C192" s="42"/>
    </row>
    <row r="193" spans="1:3">
      <c r="A193" s="41"/>
      <c r="B193" t="s">
        <v>167</v>
      </c>
      <c r="C193" s="42"/>
    </row>
    <row r="194" spans="1:3" ht="15.95" thickBot="1">
      <c r="A194" s="45"/>
      <c r="B194" s="97" t="s">
        <v>168</v>
      </c>
      <c r="C194" s="46"/>
    </row>
  </sheetData>
  <mergeCells count="2">
    <mergeCell ref="A1:B1"/>
    <mergeCell ref="C49:C5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topLeftCell="A10" zoomScale="62" zoomScaleNormal="100" workbookViewId="0">
      <selection activeCell="B22" sqref="B22"/>
    </sheetView>
  </sheetViews>
  <sheetFormatPr defaultColWidth="8.85546875" defaultRowHeight="15"/>
  <cols>
    <col min="1" max="1" width="46.140625" style="18" bestFit="1" customWidth="1"/>
    <col min="2" max="2" width="84.140625" customWidth="1"/>
  </cols>
  <sheetData>
    <row r="1" spans="1:2" ht="26.1">
      <c r="A1" s="353" t="s">
        <v>169</v>
      </c>
      <c r="B1" s="354"/>
    </row>
    <row r="2" spans="1:2" ht="21">
      <c r="A2" s="28" t="s">
        <v>170</v>
      </c>
      <c r="B2" s="30"/>
    </row>
    <row r="3" spans="1:2" ht="24.95" customHeight="1">
      <c r="A3" s="28" t="s">
        <v>171</v>
      </c>
      <c r="B3" s="355" t="s">
        <v>172</v>
      </c>
    </row>
    <row r="4" spans="1:2" ht="24.95" customHeight="1">
      <c r="A4" s="28" t="s">
        <v>173</v>
      </c>
      <c r="B4" s="355"/>
    </row>
    <row r="5" spans="1:2" ht="24.95" customHeight="1">
      <c r="A5" s="28" t="s">
        <v>174</v>
      </c>
      <c r="B5" s="355"/>
    </row>
    <row r="6" spans="1:2" ht="24.95" customHeight="1">
      <c r="A6" s="28" t="s">
        <v>175</v>
      </c>
      <c r="B6" s="355"/>
    </row>
    <row r="7" spans="1:2" ht="21">
      <c r="A7" s="28" t="s">
        <v>176</v>
      </c>
      <c r="B7" s="22"/>
    </row>
    <row r="8" spans="1:2" ht="32.1">
      <c r="A8" s="29" t="s">
        <v>177</v>
      </c>
      <c r="B8" s="21" t="s">
        <v>178</v>
      </c>
    </row>
    <row r="9" spans="1:2" ht="26.1">
      <c r="A9" s="98" t="s">
        <v>179</v>
      </c>
      <c r="B9" s="356"/>
    </row>
    <row r="10" spans="1:2" ht="21">
      <c r="A10" s="29" t="s">
        <v>180</v>
      </c>
      <c r="B10" s="356"/>
    </row>
    <row r="11" spans="1:2" ht="24.95" thickBot="1">
      <c r="A11" s="99" t="s">
        <v>181</v>
      </c>
      <c r="B11" s="357"/>
    </row>
    <row r="12" spans="1:2" ht="24.95" thickBot="1">
      <c r="A12" s="100"/>
      <c r="B12" s="101"/>
    </row>
    <row r="13" spans="1:2" ht="27" thickBot="1">
      <c r="A13" s="353" t="s">
        <v>182</v>
      </c>
      <c r="B13" s="354"/>
    </row>
    <row r="14" spans="1:2" ht="26.1">
      <c r="A14" s="351" t="s">
        <v>183</v>
      </c>
      <c r="B14" s="352"/>
    </row>
    <row r="15" spans="1:2" ht="48">
      <c r="A15" s="19" t="s">
        <v>184</v>
      </c>
      <c r="B15" s="20" t="s">
        <v>185</v>
      </c>
    </row>
    <row r="16" spans="1:2" ht="96">
      <c r="A16" s="26" t="s">
        <v>186</v>
      </c>
      <c r="B16" s="21" t="s">
        <v>187</v>
      </c>
    </row>
    <row r="17" spans="1:2" ht="24">
      <c r="A17" s="19" t="s">
        <v>188</v>
      </c>
      <c r="B17" s="22"/>
    </row>
    <row r="18" spans="1:2" ht="21.6" customHeight="1">
      <c r="A18" s="19" t="s">
        <v>189</v>
      </c>
      <c r="B18" s="23" t="s">
        <v>190</v>
      </c>
    </row>
    <row r="19" spans="1:2" ht="93.6" customHeight="1">
      <c r="A19" s="19" t="s">
        <v>191</v>
      </c>
      <c r="B19" s="75" t="s">
        <v>192</v>
      </c>
    </row>
    <row r="20" spans="1:2" ht="32.1">
      <c r="A20" s="19" t="s">
        <v>193</v>
      </c>
      <c r="B20" s="25" t="s">
        <v>194</v>
      </c>
    </row>
    <row r="21" spans="1:2" ht="26.1">
      <c r="A21" s="102" t="s">
        <v>195</v>
      </c>
      <c r="B21" s="149" t="s">
        <v>196</v>
      </c>
    </row>
    <row r="22" spans="1:2" ht="63.95">
      <c r="A22" s="19" t="s">
        <v>197</v>
      </c>
      <c r="B22" s="21" t="s">
        <v>198</v>
      </c>
    </row>
    <row r="23" spans="1:2" ht="24.95" thickBot="1">
      <c r="A23" s="99" t="s">
        <v>199</v>
      </c>
      <c r="B23" s="24"/>
    </row>
    <row r="24" spans="1:2" ht="15.95" thickBot="1"/>
    <row r="25" spans="1:2" ht="26.1">
      <c r="A25" s="351" t="s">
        <v>200</v>
      </c>
      <c r="B25" s="352"/>
    </row>
    <row r="26" spans="1:2" ht="32.1">
      <c r="A26" s="19" t="s">
        <v>201</v>
      </c>
      <c r="B26" s="20" t="s">
        <v>202</v>
      </c>
    </row>
    <row r="27" spans="1:2" ht="48">
      <c r="A27" s="19" t="s">
        <v>203</v>
      </c>
      <c r="B27" s="21" t="s">
        <v>204</v>
      </c>
    </row>
    <row r="28" spans="1:2" ht="80.099999999999994">
      <c r="A28" s="19" t="s">
        <v>205</v>
      </c>
      <c r="B28" s="21" t="s">
        <v>206</v>
      </c>
    </row>
    <row r="29" spans="1:2" ht="32.1">
      <c r="A29" s="19" t="s">
        <v>207</v>
      </c>
      <c r="B29" s="20" t="s">
        <v>208</v>
      </c>
    </row>
    <row r="30" spans="1:2" ht="24.95" thickBot="1">
      <c r="A30" s="99" t="s">
        <v>199</v>
      </c>
      <c r="B30" s="24"/>
    </row>
    <row r="32" spans="1:2">
      <c r="A32" s="14" t="s">
        <v>209</v>
      </c>
    </row>
  </sheetData>
  <mergeCells count="6">
    <mergeCell ref="A25:B25"/>
    <mergeCell ref="A1:B1"/>
    <mergeCell ref="B3:B6"/>
    <mergeCell ref="B9:B11"/>
    <mergeCell ref="A13:B13"/>
    <mergeCell ref="A14:B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1"/>
  <sheetViews>
    <sheetView showGridLines="0" topLeftCell="A12" zoomScale="115" zoomScaleNormal="115" workbookViewId="0">
      <selection activeCell="A25" sqref="A25"/>
    </sheetView>
  </sheetViews>
  <sheetFormatPr defaultColWidth="8.85546875" defaultRowHeight="15"/>
  <cols>
    <col min="1" max="1" width="77.28515625" customWidth="1"/>
  </cols>
  <sheetData>
    <row r="1" spans="1:1" ht="18.95">
      <c r="A1" s="1" t="s">
        <v>210</v>
      </c>
    </row>
    <row r="2" spans="1:1">
      <c r="A2" t="s">
        <v>211</v>
      </c>
    </row>
    <row r="15" spans="1:1">
      <c r="A15" t="s">
        <v>212</v>
      </c>
    </row>
    <row r="16" spans="1:1">
      <c r="A16" t="s">
        <v>213</v>
      </c>
    </row>
    <row r="17" spans="1:1">
      <c r="A17" t="s">
        <v>214</v>
      </c>
    </row>
    <row r="18" spans="1:1">
      <c r="A18" t="s">
        <v>215</v>
      </c>
    </row>
    <row r="20" spans="1:1">
      <c r="A20" s="17" t="s">
        <v>216</v>
      </c>
    </row>
    <row r="21" spans="1:1">
      <c r="A21" t="s">
        <v>217</v>
      </c>
    </row>
    <row r="22" spans="1:1">
      <c r="A22" t="s">
        <v>218</v>
      </c>
    </row>
    <row r="23" spans="1:1">
      <c r="A23" s="48" t="s">
        <v>219</v>
      </c>
    </row>
    <row r="25" spans="1:1">
      <c r="A25" s="148" t="s">
        <v>220</v>
      </c>
    </row>
    <row r="26" spans="1:1">
      <c r="A26" t="s">
        <v>221</v>
      </c>
    </row>
    <row r="27" spans="1:1">
      <c r="A27" s="47" t="s">
        <v>222</v>
      </c>
    </row>
    <row r="28" spans="1:1">
      <c r="A28" s="47" t="s">
        <v>223</v>
      </c>
    </row>
    <row r="29" spans="1:1">
      <c r="A29" s="47" t="s">
        <v>224</v>
      </c>
    </row>
    <row r="30" spans="1:1">
      <c r="A30" t="s">
        <v>225</v>
      </c>
    </row>
    <row r="44" spans="1:1">
      <c r="A44" t="s">
        <v>226</v>
      </c>
    </row>
    <row r="55" spans="1:1">
      <c r="A55" s="17" t="s">
        <v>227</v>
      </c>
    </row>
    <row r="56" spans="1:1">
      <c r="A56" t="s">
        <v>228</v>
      </c>
    </row>
    <row r="57" spans="1:1">
      <c r="A57" s="49" t="s">
        <v>229</v>
      </c>
    </row>
    <row r="58" spans="1:1">
      <c r="A58" s="49" t="s">
        <v>230</v>
      </c>
    </row>
    <row r="59" spans="1:1">
      <c r="A59" s="49" t="s">
        <v>231</v>
      </c>
    </row>
    <row r="60" spans="1:1">
      <c r="A60" s="49" t="s">
        <v>232</v>
      </c>
    </row>
    <row r="61" spans="1:1">
      <c r="A61" s="49" t="s">
        <v>233</v>
      </c>
    </row>
    <row r="62" spans="1:1">
      <c r="A62" s="49"/>
    </row>
    <row r="63" spans="1:1">
      <c r="A63" t="s">
        <v>234</v>
      </c>
    </row>
    <row r="64" spans="1:1">
      <c r="A64" s="49" t="s">
        <v>235</v>
      </c>
    </row>
    <row r="65" spans="1:1">
      <c r="A65" s="49" t="s">
        <v>236</v>
      </c>
    </row>
    <row r="66" spans="1:1">
      <c r="A66" s="49" t="s">
        <v>237</v>
      </c>
    </row>
    <row r="67" spans="1:1">
      <c r="A67" s="49" t="s">
        <v>238</v>
      </c>
    </row>
    <row r="68" spans="1:1">
      <c r="A68" s="49" t="s">
        <v>239</v>
      </c>
    </row>
    <row r="70" spans="1:1">
      <c r="A70" s="50"/>
    </row>
    <row r="81" spans="1:1">
      <c r="A81" s="49" t="s">
        <v>240</v>
      </c>
    </row>
  </sheetData>
  <hyperlinks>
    <hyperlink ref="A23" r:id="rId1" display="https://buselrn.ucd.ie/bloomberg-market-concepts-bmc/" xr:uid="{00000000-0004-0000-0200-000000000000}"/>
    <hyperlink ref="A25" r:id="rId2" xr:uid="{00000000-0004-0000-0200-000001000000}"/>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99"/>
  <sheetViews>
    <sheetView showGridLines="0" topLeftCell="A3" zoomScale="70" zoomScaleNormal="70" workbookViewId="0">
      <pane ySplit="1" topLeftCell="A4" activePane="bottomLeft" state="frozen"/>
      <selection pane="bottomLeft" activeCell="C116" sqref="C116"/>
      <selection activeCell="A3" sqref="A3"/>
    </sheetView>
  </sheetViews>
  <sheetFormatPr defaultColWidth="14.42578125" defaultRowHeight="15" customHeight="1"/>
  <cols>
    <col min="1" max="1" width="35.140625" style="151" customWidth="1"/>
    <col min="2" max="2" width="8.7109375" style="151" hidden="1" customWidth="1"/>
    <col min="3" max="17" width="11.85546875" style="151" customWidth="1"/>
    <col min="18" max="26" width="8.7109375" style="151" customWidth="1"/>
    <col min="27" max="16384" width="14.42578125" style="151"/>
  </cols>
  <sheetData>
    <row r="1" spans="1:17">
      <c r="A1" s="152"/>
      <c r="B1" s="152"/>
      <c r="C1" s="152"/>
      <c r="D1" s="152"/>
      <c r="E1" s="152"/>
      <c r="F1" s="152"/>
      <c r="G1" s="152"/>
      <c r="H1" s="152"/>
      <c r="I1" s="152"/>
      <c r="J1" s="152"/>
      <c r="K1" s="152"/>
      <c r="L1" s="152"/>
      <c r="M1" s="152"/>
      <c r="N1" s="152"/>
      <c r="O1" s="152"/>
      <c r="P1" s="152"/>
      <c r="Q1" s="152"/>
    </row>
    <row r="2" spans="1:17" ht="20.100000000000001">
      <c r="A2" s="153" t="s">
        <v>241</v>
      </c>
      <c r="B2" s="153"/>
      <c r="C2" s="153"/>
      <c r="D2" s="153"/>
      <c r="E2" s="153"/>
      <c r="F2" s="153"/>
      <c r="G2" s="153"/>
      <c r="H2" s="153"/>
      <c r="I2" s="153"/>
      <c r="J2" s="153"/>
      <c r="K2" s="153"/>
      <c r="L2" s="153"/>
      <c r="M2" s="153"/>
      <c r="N2" s="153"/>
      <c r="O2" s="153"/>
      <c r="P2" s="153"/>
      <c r="Q2" s="153"/>
    </row>
    <row r="3" spans="1:17">
      <c r="A3" s="154" t="s">
        <v>242</v>
      </c>
      <c r="B3" s="154"/>
      <c r="C3" s="155" t="s">
        <v>243</v>
      </c>
      <c r="D3" s="155" t="s">
        <v>244</v>
      </c>
      <c r="E3" s="155" t="s">
        <v>245</v>
      </c>
      <c r="F3" s="155" t="s">
        <v>246</v>
      </c>
      <c r="G3" s="155" t="s">
        <v>247</v>
      </c>
      <c r="H3" s="155" t="s">
        <v>248</v>
      </c>
      <c r="I3" s="155" t="s">
        <v>249</v>
      </c>
      <c r="J3" s="155" t="s">
        <v>250</v>
      </c>
      <c r="K3" s="155" t="s">
        <v>251</v>
      </c>
      <c r="L3" s="155" t="s">
        <v>252</v>
      </c>
      <c r="M3" s="155" t="s">
        <v>253</v>
      </c>
      <c r="N3" s="155" t="s">
        <v>254</v>
      </c>
      <c r="O3" s="155" t="s">
        <v>255</v>
      </c>
      <c r="P3" s="155" t="s">
        <v>256</v>
      </c>
      <c r="Q3" s="155" t="s">
        <v>257</v>
      </c>
    </row>
    <row r="4" spans="1:17">
      <c r="A4" s="154" t="s">
        <v>258</v>
      </c>
      <c r="B4" s="154"/>
      <c r="C4" s="155" t="s">
        <v>259</v>
      </c>
      <c r="D4" s="155" t="s">
        <v>260</v>
      </c>
      <c r="E4" s="155" t="s">
        <v>261</v>
      </c>
      <c r="F4" s="155" t="s">
        <v>262</v>
      </c>
      <c r="G4" s="155" t="s">
        <v>263</v>
      </c>
      <c r="H4" s="155" t="s">
        <v>264</v>
      </c>
      <c r="I4" s="155" t="s">
        <v>265</v>
      </c>
      <c r="J4" s="155" t="s">
        <v>266</v>
      </c>
      <c r="K4" s="155" t="s">
        <v>267</v>
      </c>
      <c r="L4" s="155" t="s">
        <v>268</v>
      </c>
      <c r="M4" s="155" t="s">
        <v>269</v>
      </c>
      <c r="N4" s="155" t="s">
        <v>270</v>
      </c>
      <c r="O4" s="155" t="s">
        <v>271</v>
      </c>
      <c r="P4" s="155" t="s">
        <v>272</v>
      </c>
      <c r="Q4" s="155" t="s">
        <v>273</v>
      </c>
    </row>
    <row r="5" spans="1:17">
      <c r="A5" s="156" t="s">
        <v>274</v>
      </c>
      <c r="B5" s="157"/>
      <c r="C5" s="157"/>
      <c r="D5" s="157"/>
      <c r="E5" s="157"/>
      <c r="F5" s="157"/>
      <c r="G5" s="157"/>
      <c r="H5" s="157"/>
      <c r="I5" s="157"/>
      <c r="J5" s="157"/>
      <c r="K5" s="157"/>
      <c r="L5" s="157"/>
      <c r="M5" s="157"/>
      <c r="N5" s="157"/>
      <c r="O5" s="157"/>
      <c r="P5" s="157"/>
      <c r="Q5" s="157"/>
    </row>
    <row r="6" spans="1:17">
      <c r="A6" s="158" t="s">
        <v>275</v>
      </c>
      <c r="B6" s="159"/>
      <c r="C6" s="159"/>
      <c r="D6" s="159"/>
      <c r="E6" s="159"/>
      <c r="F6" s="159"/>
      <c r="G6" s="159"/>
      <c r="H6" s="159"/>
      <c r="I6" s="159"/>
      <c r="J6" s="159"/>
      <c r="K6" s="159"/>
      <c r="L6" s="159"/>
      <c r="M6" s="159"/>
      <c r="N6" s="159"/>
      <c r="O6" s="159"/>
      <c r="P6" s="159"/>
      <c r="Q6" s="159"/>
    </row>
    <row r="7" spans="1:17">
      <c r="A7" s="158" t="s">
        <v>276</v>
      </c>
      <c r="B7" s="158" t="s">
        <v>277</v>
      </c>
      <c r="C7" s="160">
        <v>418952</v>
      </c>
      <c r="D7" s="160">
        <v>443416</v>
      </c>
      <c r="E7" s="160">
        <v>465604</v>
      </c>
      <c r="F7" s="160">
        <v>473076</v>
      </c>
      <c r="G7" s="160">
        <v>482229</v>
      </c>
      <c r="H7" s="160">
        <v>478614</v>
      </c>
      <c r="I7" s="160">
        <v>481317</v>
      </c>
      <c r="J7" s="160">
        <v>495761</v>
      </c>
      <c r="K7" s="160">
        <v>510329</v>
      </c>
      <c r="L7" s="160">
        <v>519926</v>
      </c>
      <c r="M7" s="160">
        <v>555233</v>
      </c>
      <c r="N7" s="160">
        <v>567762</v>
      </c>
      <c r="O7" s="160">
        <v>605881</v>
      </c>
      <c r="P7" s="160">
        <v>642637</v>
      </c>
      <c r="Q7" s="160">
        <v>674538</v>
      </c>
    </row>
    <row r="8" spans="1:17">
      <c r="A8" s="158" t="s">
        <v>278</v>
      </c>
      <c r="B8" s="158" t="s">
        <v>279</v>
      </c>
      <c r="C8" s="160">
        <v>2897</v>
      </c>
      <c r="D8" s="160">
        <v>3093</v>
      </c>
      <c r="E8" s="160">
        <v>3047</v>
      </c>
      <c r="F8" s="160">
        <v>3218</v>
      </c>
      <c r="G8" s="160">
        <v>3422</v>
      </c>
      <c r="H8" s="160">
        <v>3516</v>
      </c>
      <c r="I8" s="160">
        <v>4556</v>
      </c>
      <c r="J8" s="160">
        <v>4582</v>
      </c>
      <c r="K8" s="160">
        <v>4076</v>
      </c>
      <c r="L8" s="160">
        <v>4038</v>
      </c>
      <c r="M8" s="160">
        <v>3918</v>
      </c>
      <c r="N8" s="160">
        <v>4992</v>
      </c>
      <c r="O8" s="160">
        <v>5408</v>
      </c>
      <c r="P8" s="160">
        <v>5488</v>
      </c>
      <c r="Q8" s="160">
        <v>6447</v>
      </c>
    </row>
    <row r="9" spans="1:17">
      <c r="A9" s="156" t="s">
        <v>280</v>
      </c>
      <c r="B9" s="156" t="s">
        <v>281</v>
      </c>
      <c r="C9" s="161">
        <v>421849</v>
      </c>
      <c r="D9" s="161">
        <v>446509</v>
      </c>
      <c r="E9" s="161">
        <v>468651</v>
      </c>
      <c r="F9" s="161">
        <v>476294</v>
      </c>
      <c r="G9" s="161">
        <v>485651</v>
      </c>
      <c r="H9" s="161">
        <v>482130</v>
      </c>
      <c r="I9" s="161">
        <v>485873</v>
      </c>
      <c r="J9" s="161">
        <v>500343</v>
      </c>
      <c r="K9" s="161">
        <v>514405</v>
      </c>
      <c r="L9" s="161">
        <v>523964</v>
      </c>
      <c r="M9" s="161">
        <v>559151</v>
      </c>
      <c r="N9" s="161">
        <v>572754</v>
      </c>
      <c r="O9" s="161">
        <v>611289</v>
      </c>
      <c r="P9" s="161">
        <v>648125</v>
      </c>
      <c r="Q9" s="161">
        <v>680985</v>
      </c>
    </row>
    <row r="10" spans="1:17">
      <c r="A10" s="158" t="s">
        <v>282</v>
      </c>
      <c r="B10" s="159"/>
      <c r="C10" s="159"/>
      <c r="D10" s="159"/>
      <c r="E10" s="159"/>
      <c r="F10" s="159"/>
      <c r="G10" s="159"/>
      <c r="H10" s="159"/>
      <c r="I10" s="159"/>
      <c r="J10" s="159"/>
      <c r="K10" s="159"/>
      <c r="L10" s="159"/>
      <c r="M10" s="159"/>
      <c r="N10" s="159"/>
      <c r="O10" s="159"/>
      <c r="P10" s="159"/>
      <c r="Q10" s="159"/>
    </row>
    <row r="11" spans="1:17">
      <c r="A11" s="158" t="s">
        <v>283</v>
      </c>
      <c r="B11" s="158" t="s">
        <v>284</v>
      </c>
      <c r="C11" s="160">
        <v>314946</v>
      </c>
      <c r="D11" s="160">
        <v>334993</v>
      </c>
      <c r="E11" s="160">
        <v>352297</v>
      </c>
      <c r="F11" s="160">
        <v>358069</v>
      </c>
      <c r="G11" s="160">
        <v>365086</v>
      </c>
      <c r="H11" s="160">
        <v>360984</v>
      </c>
      <c r="I11" s="160">
        <v>361256</v>
      </c>
      <c r="J11" s="160">
        <v>373396</v>
      </c>
      <c r="K11" s="160">
        <v>385301</v>
      </c>
      <c r="L11" s="160">
        <v>394605</v>
      </c>
      <c r="M11" s="160">
        <v>420315</v>
      </c>
      <c r="N11" s="160">
        <v>429000</v>
      </c>
      <c r="O11" s="160">
        <v>463721</v>
      </c>
      <c r="P11" s="160">
        <v>490142</v>
      </c>
      <c r="Q11" s="160">
        <v>511753</v>
      </c>
    </row>
    <row r="12" spans="1:17">
      <c r="A12" s="158" t="s">
        <v>285</v>
      </c>
      <c r="B12" s="158" t="s">
        <v>286</v>
      </c>
      <c r="C12" s="160">
        <v>81361</v>
      </c>
      <c r="D12" s="160">
        <v>85025</v>
      </c>
      <c r="E12" s="160">
        <v>88629</v>
      </c>
      <c r="F12" s="160">
        <v>91353</v>
      </c>
      <c r="G12" s="160">
        <v>93418</v>
      </c>
      <c r="H12" s="160">
        <v>97041</v>
      </c>
      <c r="I12" s="160">
        <v>101853</v>
      </c>
      <c r="J12" s="160">
        <v>106510</v>
      </c>
      <c r="K12" s="160">
        <v>107147</v>
      </c>
      <c r="L12" s="160">
        <v>108791</v>
      </c>
      <c r="M12" s="160">
        <v>116288</v>
      </c>
      <c r="N12" s="160">
        <v>117812</v>
      </c>
      <c r="O12" s="160">
        <v>127140</v>
      </c>
      <c r="P12" s="160">
        <v>130971</v>
      </c>
      <c r="Q12" s="160">
        <v>139884</v>
      </c>
    </row>
    <row r="13" spans="1:17">
      <c r="A13" s="158" t="s">
        <v>287</v>
      </c>
      <c r="B13" s="158" t="s">
        <v>288</v>
      </c>
      <c r="C13" s="160">
        <v>25542</v>
      </c>
      <c r="D13" s="160">
        <v>26491</v>
      </c>
      <c r="E13" s="160">
        <v>27725</v>
      </c>
      <c r="F13" s="160">
        <v>26872</v>
      </c>
      <c r="G13" s="160">
        <v>27147</v>
      </c>
      <c r="H13" s="160">
        <v>24105</v>
      </c>
      <c r="I13" s="160">
        <v>22764</v>
      </c>
      <c r="J13" s="160">
        <v>20437</v>
      </c>
      <c r="K13" s="160">
        <v>21957</v>
      </c>
      <c r="L13" s="160">
        <v>20568</v>
      </c>
      <c r="M13" s="160">
        <v>22548</v>
      </c>
      <c r="N13" s="160">
        <v>25942</v>
      </c>
      <c r="O13" s="160">
        <v>20428</v>
      </c>
      <c r="P13" s="160">
        <v>27012</v>
      </c>
      <c r="Q13" s="160">
        <v>29348</v>
      </c>
    </row>
    <row r="14" spans="1:17">
      <c r="A14" s="158" t="s">
        <v>289</v>
      </c>
      <c r="B14" s="159"/>
      <c r="C14" s="159"/>
      <c r="D14" s="159"/>
      <c r="E14" s="159"/>
      <c r="F14" s="159"/>
      <c r="G14" s="159"/>
      <c r="H14" s="159"/>
      <c r="I14" s="159"/>
      <c r="J14" s="159"/>
      <c r="K14" s="159"/>
      <c r="L14" s="159"/>
      <c r="M14" s="159"/>
      <c r="N14" s="159"/>
      <c r="O14" s="159"/>
      <c r="P14" s="159"/>
      <c r="Q14" s="159"/>
    </row>
    <row r="15" spans="1:17">
      <c r="A15" s="158" t="s">
        <v>290</v>
      </c>
      <c r="B15" s="158" t="s">
        <v>291</v>
      </c>
      <c r="C15" s="160">
        <v>2205</v>
      </c>
      <c r="D15" s="160">
        <v>2320</v>
      </c>
      <c r="E15" s="160">
        <v>1977</v>
      </c>
      <c r="F15" s="160">
        <v>2072</v>
      </c>
      <c r="G15" s="160">
        <v>2161</v>
      </c>
      <c r="H15" s="160">
        <v>2027</v>
      </c>
      <c r="I15" s="160">
        <v>2044</v>
      </c>
      <c r="J15" s="160">
        <v>1978</v>
      </c>
      <c r="K15" s="160">
        <v>1975</v>
      </c>
      <c r="L15" s="160">
        <v>2262</v>
      </c>
      <c r="M15" s="160">
        <v>1976</v>
      </c>
      <c r="N15" s="160">
        <v>1674</v>
      </c>
      <c r="O15" s="160">
        <v>1787</v>
      </c>
      <c r="P15" s="160">
        <v>2259</v>
      </c>
      <c r="Q15" s="160">
        <v>2249</v>
      </c>
    </row>
    <row r="16" spans="1:17">
      <c r="A16" s="158" t="s">
        <v>292</v>
      </c>
      <c r="B16" s="158" t="s">
        <v>293</v>
      </c>
      <c r="C16" s="160">
        <v>-201</v>
      </c>
      <c r="D16" s="160">
        <v>-161</v>
      </c>
      <c r="E16" s="160">
        <v>-186</v>
      </c>
      <c r="F16" s="160">
        <v>-119</v>
      </c>
      <c r="G16" s="160">
        <v>-113</v>
      </c>
      <c r="H16" s="160">
        <v>-81</v>
      </c>
      <c r="I16" s="160">
        <v>-100</v>
      </c>
      <c r="J16" s="160">
        <v>-152</v>
      </c>
      <c r="K16" s="160">
        <v>-217</v>
      </c>
      <c r="L16" s="160">
        <v>-189</v>
      </c>
      <c r="M16" s="160">
        <v>-121</v>
      </c>
      <c r="N16" s="160">
        <v>-158</v>
      </c>
      <c r="O16" s="160">
        <v>-254</v>
      </c>
      <c r="P16" s="160">
        <v>-546</v>
      </c>
      <c r="Q16" s="160">
        <v>-483</v>
      </c>
    </row>
    <row r="17" spans="1:17">
      <c r="A17" s="158" t="s">
        <v>294</v>
      </c>
      <c r="B17" s="158" t="s">
        <v>295</v>
      </c>
      <c r="C17" s="160" t="s">
        <v>296</v>
      </c>
      <c r="D17" s="160" t="s">
        <v>296</v>
      </c>
      <c r="E17" s="160">
        <v>2063</v>
      </c>
      <c r="F17" s="160">
        <v>2216</v>
      </c>
      <c r="G17" s="160">
        <v>2348</v>
      </c>
      <c r="H17" s="160">
        <v>2467</v>
      </c>
      <c r="I17" s="160">
        <v>2267</v>
      </c>
      <c r="J17" s="160">
        <v>2178</v>
      </c>
      <c r="K17" s="160">
        <v>2129</v>
      </c>
      <c r="L17" s="160">
        <v>2410</v>
      </c>
      <c r="M17" s="160">
        <v>2194</v>
      </c>
      <c r="N17" s="160">
        <v>1836</v>
      </c>
      <c r="O17" s="160">
        <v>1874</v>
      </c>
      <c r="P17" s="160">
        <v>2137</v>
      </c>
      <c r="Q17" s="160">
        <v>2245</v>
      </c>
    </row>
    <row r="18" spans="1:17">
      <c r="A18" s="158" t="s">
        <v>297</v>
      </c>
      <c r="B18" s="158" t="s">
        <v>298</v>
      </c>
      <c r="C18" s="160">
        <v>7579</v>
      </c>
      <c r="D18" s="160">
        <v>7924</v>
      </c>
      <c r="E18" s="160">
        <v>7958</v>
      </c>
      <c r="F18" s="160">
        <v>8105</v>
      </c>
      <c r="G18" s="160">
        <v>7985</v>
      </c>
      <c r="H18" s="160">
        <v>6558</v>
      </c>
      <c r="I18" s="160">
        <v>6204</v>
      </c>
      <c r="J18" s="160">
        <v>4600</v>
      </c>
      <c r="K18" s="160">
        <v>4281</v>
      </c>
      <c r="L18" s="160">
        <v>4915</v>
      </c>
      <c r="M18" s="160">
        <v>6858</v>
      </c>
      <c r="N18" s="160">
        <v>4756</v>
      </c>
      <c r="O18" s="160">
        <v>5724</v>
      </c>
      <c r="P18" s="160">
        <v>5578</v>
      </c>
      <c r="Q18" s="160">
        <v>6152</v>
      </c>
    </row>
    <row r="19" spans="1:17">
      <c r="A19" s="158" t="s">
        <v>299</v>
      </c>
      <c r="B19" s="158" t="s">
        <v>300</v>
      </c>
      <c r="C19" s="160">
        <v>23538</v>
      </c>
      <c r="D19" s="160">
        <v>24332</v>
      </c>
      <c r="E19" s="160">
        <v>25662</v>
      </c>
      <c r="F19" s="160">
        <v>24656</v>
      </c>
      <c r="G19" s="160">
        <v>24799</v>
      </c>
      <c r="H19" s="160">
        <v>21638</v>
      </c>
      <c r="I19" s="160">
        <v>20497</v>
      </c>
      <c r="J19" s="160">
        <v>15123</v>
      </c>
      <c r="K19" s="160">
        <v>11460</v>
      </c>
      <c r="L19" s="160">
        <v>20116</v>
      </c>
      <c r="M19" s="160">
        <v>20564</v>
      </c>
      <c r="N19" s="160">
        <v>18696</v>
      </c>
      <c r="O19" s="160">
        <v>17016</v>
      </c>
      <c r="P19" s="160">
        <v>21848</v>
      </c>
      <c r="Q19" s="160">
        <v>26309</v>
      </c>
    </row>
    <row r="20" spans="1:17" ht="15.75" customHeight="1">
      <c r="A20" s="158" t="s">
        <v>301</v>
      </c>
      <c r="B20" s="158" t="s">
        <v>302</v>
      </c>
      <c r="C20" s="160">
        <v>15959</v>
      </c>
      <c r="D20" s="160">
        <v>16408</v>
      </c>
      <c r="E20" s="160">
        <v>17704</v>
      </c>
      <c r="F20" s="160">
        <v>16551</v>
      </c>
      <c r="G20" s="160">
        <v>16814</v>
      </c>
      <c r="H20" s="160">
        <v>15080</v>
      </c>
      <c r="I20" s="160">
        <v>14293</v>
      </c>
      <c r="J20" s="160">
        <v>10523</v>
      </c>
      <c r="K20" s="160">
        <v>7179</v>
      </c>
      <c r="L20" s="160">
        <v>15201</v>
      </c>
      <c r="M20" s="160">
        <v>13706</v>
      </c>
      <c r="N20" s="160">
        <v>13940</v>
      </c>
      <c r="O20" s="160">
        <v>11680</v>
      </c>
      <c r="P20" s="160">
        <v>15511</v>
      </c>
      <c r="Q20" s="160">
        <v>20157</v>
      </c>
    </row>
    <row r="21" spans="1:17" ht="15.75" customHeight="1">
      <c r="A21" s="158" t="s">
        <v>303</v>
      </c>
      <c r="B21" s="158" t="s">
        <v>304</v>
      </c>
      <c r="C21" s="160" t="s">
        <v>296</v>
      </c>
      <c r="D21" s="160" t="s">
        <v>296</v>
      </c>
      <c r="E21" s="160">
        <v>0</v>
      </c>
      <c r="F21" s="160">
        <v>0</v>
      </c>
      <c r="G21" s="160">
        <v>0</v>
      </c>
      <c r="H21" s="160">
        <v>0</v>
      </c>
      <c r="I21" s="160">
        <v>0</v>
      </c>
      <c r="J21" s="160">
        <v>3136</v>
      </c>
      <c r="K21" s="160">
        <v>0</v>
      </c>
      <c r="L21" s="160" t="s">
        <v>296</v>
      </c>
      <c r="M21" s="160">
        <v>0</v>
      </c>
      <c r="N21" s="160">
        <v>2410</v>
      </c>
      <c r="O21" s="160">
        <v>0</v>
      </c>
      <c r="P21" s="160">
        <v>0</v>
      </c>
      <c r="Q21" s="160" t="s">
        <v>296</v>
      </c>
    </row>
    <row r="22" spans="1:17" ht="15.75" customHeight="1">
      <c r="A22" s="158" t="s">
        <v>305</v>
      </c>
      <c r="B22" s="158" t="s">
        <v>306</v>
      </c>
      <c r="C22" s="160">
        <v>6703</v>
      </c>
      <c r="D22" s="160">
        <v>6722</v>
      </c>
      <c r="E22" s="160">
        <v>7976</v>
      </c>
      <c r="F22" s="160">
        <v>8619</v>
      </c>
      <c r="G22" s="160" t="s">
        <v>296</v>
      </c>
      <c r="H22" s="160" t="s">
        <v>296</v>
      </c>
      <c r="I22" s="160" t="s">
        <v>296</v>
      </c>
      <c r="J22" s="160" t="s">
        <v>296</v>
      </c>
      <c r="K22" s="160" t="s">
        <v>296</v>
      </c>
      <c r="L22" s="160" t="s">
        <v>296</v>
      </c>
      <c r="M22" s="160" t="s">
        <v>296</v>
      </c>
      <c r="N22" s="160" t="s">
        <v>296</v>
      </c>
      <c r="O22" s="160" t="s">
        <v>296</v>
      </c>
      <c r="P22" s="160" t="s">
        <v>296</v>
      </c>
      <c r="Q22" s="160" t="s">
        <v>296</v>
      </c>
    </row>
    <row r="23" spans="1:17" ht="15.75" customHeight="1">
      <c r="A23" s="158" t="s">
        <v>307</v>
      </c>
      <c r="B23" s="158" t="s">
        <v>308</v>
      </c>
      <c r="C23" s="160">
        <v>876</v>
      </c>
      <c r="D23" s="160">
        <v>1202</v>
      </c>
      <c r="E23" s="160">
        <v>-18</v>
      </c>
      <c r="F23" s="160">
        <v>-514</v>
      </c>
      <c r="G23" s="160" t="s">
        <v>296</v>
      </c>
      <c r="H23" s="160" t="s">
        <v>296</v>
      </c>
      <c r="I23" s="160" t="s">
        <v>296</v>
      </c>
      <c r="J23" s="160" t="s">
        <v>296</v>
      </c>
      <c r="K23" s="160" t="s">
        <v>296</v>
      </c>
      <c r="L23" s="160" t="s">
        <v>296</v>
      </c>
      <c r="M23" s="160" t="s">
        <v>296</v>
      </c>
      <c r="N23" s="160" t="s">
        <v>296</v>
      </c>
      <c r="O23" s="160" t="s">
        <v>296</v>
      </c>
      <c r="P23" s="160" t="s">
        <v>296</v>
      </c>
      <c r="Q23" s="160" t="s">
        <v>296</v>
      </c>
    </row>
    <row r="24" spans="1:17" ht="15.75" customHeight="1">
      <c r="A24" s="158" t="s">
        <v>309</v>
      </c>
      <c r="B24" s="158" t="s">
        <v>310</v>
      </c>
      <c r="C24" s="160" t="s">
        <v>296</v>
      </c>
      <c r="D24" s="160" t="s">
        <v>296</v>
      </c>
      <c r="E24" s="160" t="s">
        <v>296</v>
      </c>
      <c r="F24" s="160" t="s">
        <v>296</v>
      </c>
      <c r="G24" s="160" t="s">
        <v>296</v>
      </c>
      <c r="H24" s="160" t="s">
        <v>296</v>
      </c>
      <c r="I24" s="160">
        <v>0</v>
      </c>
      <c r="J24" s="160">
        <v>0</v>
      </c>
      <c r="K24" s="160">
        <v>8368</v>
      </c>
      <c r="L24" s="160">
        <v>-1958</v>
      </c>
      <c r="M24" s="160">
        <v>-210</v>
      </c>
      <c r="N24" s="160">
        <v>3000</v>
      </c>
      <c r="O24" s="160">
        <v>1538</v>
      </c>
      <c r="P24" s="160">
        <v>3027</v>
      </c>
      <c r="Q24" s="160">
        <v>794</v>
      </c>
    </row>
    <row r="25" spans="1:17" ht="15.75" customHeight="1">
      <c r="A25" s="158" t="s">
        <v>311</v>
      </c>
      <c r="B25" s="158" t="s">
        <v>312</v>
      </c>
      <c r="C25" s="160" t="s">
        <v>296</v>
      </c>
      <c r="D25" s="160" t="s">
        <v>296</v>
      </c>
      <c r="E25" s="160">
        <v>272</v>
      </c>
      <c r="F25" s="160">
        <v>263</v>
      </c>
      <c r="G25" s="160">
        <v>300</v>
      </c>
      <c r="H25" s="160">
        <v>521</v>
      </c>
      <c r="I25" s="160">
        <v>323</v>
      </c>
      <c r="J25" s="160">
        <v>352</v>
      </c>
      <c r="K25" s="160">
        <v>371</v>
      </c>
      <c r="L25" s="160">
        <v>337</v>
      </c>
      <c r="M25" s="160">
        <v>339</v>
      </c>
      <c r="N25" s="160">
        <v>320</v>
      </c>
      <c r="O25" s="160">
        <v>341</v>
      </c>
      <c r="P25" s="160">
        <v>424</v>
      </c>
      <c r="Q25" s="160">
        <v>479</v>
      </c>
    </row>
    <row r="26" spans="1:17" ht="15.75" customHeight="1">
      <c r="A26" s="158" t="s">
        <v>313</v>
      </c>
      <c r="B26" s="159"/>
      <c r="C26" s="159"/>
      <c r="D26" s="159"/>
      <c r="E26" s="159"/>
      <c r="F26" s="159"/>
      <c r="G26" s="159"/>
      <c r="H26" s="159"/>
      <c r="I26" s="159"/>
      <c r="J26" s="159"/>
      <c r="K26" s="159"/>
      <c r="L26" s="159"/>
      <c r="M26" s="159"/>
      <c r="N26" s="159"/>
      <c r="O26" s="159"/>
      <c r="P26" s="159"/>
      <c r="Q26" s="159"/>
    </row>
    <row r="27" spans="1:17" ht="15.75" customHeight="1">
      <c r="A27" s="158" t="s">
        <v>314</v>
      </c>
      <c r="B27" s="158" t="s">
        <v>315</v>
      </c>
      <c r="C27" s="160">
        <v>-1034</v>
      </c>
      <c r="D27" s="160">
        <v>21</v>
      </c>
      <c r="E27" s="160">
        <v>-52</v>
      </c>
      <c r="F27" s="160">
        <v>-144</v>
      </c>
      <c r="G27" s="160">
        <v>-285</v>
      </c>
      <c r="H27" s="160" t="s">
        <v>296</v>
      </c>
      <c r="I27" s="160" t="s">
        <v>296</v>
      </c>
      <c r="J27" s="160" t="s">
        <v>296</v>
      </c>
      <c r="K27" s="160" t="s">
        <v>296</v>
      </c>
      <c r="L27" s="160" t="s">
        <v>296</v>
      </c>
      <c r="M27" s="160" t="s">
        <v>296</v>
      </c>
      <c r="N27" s="160" t="s">
        <v>296</v>
      </c>
      <c r="O27" s="160" t="s">
        <v>296</v>
      </c>
      <c r="P27" s="160" t="s">
        <v>296</v>
      </c>
      <c r="Q27" s="160" t="s">
        <v>296</v>
      </c>
    </row>
    <row r="28" spans="1:17" ht="15.75" customHeight="1">
      <c r="A28" s="158" t="s">
        <v>316</v>
      </c>
      <c r="B28" s="159"/>
      <c r="C28" s="159"/>
      <c r="D28" s="159"/>
      <c r="E28" s="159"/>
      <c r="F28" s="159"/>
      <c r="G28" s="159"/>
      <c r="H28" s="159"/>
      <c r="I28" s="159"/>
      <c r="J28" s="159"/>
      <c r="K28" s="159"/>
      <c r="L28" s="159"/>
      <c r="M28" s="159"/>
      <c r="N28" s="159"/>
      <c r="O28" s="159"/>
      <c r="P28" s="159"/>
      <c r="Q28" s="159"/>
    </row>
    <row r="29" spans="1:17" ht="15.75" customHeight="1">
      <c r="A29" s="158" t="s">
        <v>317</v>
      </c>
      <c r="B29" s="158" t="s">
        <v>318</v>
      </c>
      <c r="C29" s="160">
        <v>604</v>
      </c>
      <c r="D29" s="160">
        <v>688</v>
      </c>
      <c r="E29" s="160">
        <v>757</v>
      </c>
      <c r="F29" s="160">
        <v>673</v>
      </c>
      <c r="G29" s="160">
        <v>736</v>
      </c>
      <c r="H29" s="160">
        <v>386</v>
      </c>
      <c r="I29" s="160">
        <v>650</v>
      </c>
      <c r="J29" s="160">
        <v>661</v>
      </c>
      <c r="K29" s="160">
        <v>509</v>
      </c>
      <c r="L29" s="160">
        <v>320</v>
      </c>
      <c r="M29" s="160">
        <v>196</v>
      </c>
      <c r="N29" s="160">
        <v>267</v>
      </c>
      <c r="O29" s="160">
        <v>-388</v>
      </c>
      <c r="P29" s="160">
        <v>759</v>
      </c>
      <c r="Q29" s="160">
        <v>721</v>
      </c>
    </row>
    <row r="30" spans="1:17" ht="15.75" customHeight="1">
      <c r="A30" s="158" t="s">
        <v>319</v>
      </c>
      <c r="B30" s="158" t="s">
        <v>320</v>
      </c>
      <c r="C30" s="162">
        <v>1.21</v>
      </c>
      <c r="D30" s="162">
        <v>1.46</v>
      </c>
      <c r="E30" s="162">
        <v>1.59</v>
      </c>
      <c r="F30" s="162">
        <v>1.88</v>
      </c>
      <c r="G30" s="162">
        <v>1.92</v>
      </c>
      <c r="H30" s="162">
        <v>1.96</v>
      </c>
      <c r="I30" s="162">
        <v>2</v>
      </c>
      <c r="J30" s="162">
        <v>2.04</v>
      </c>
      <c r="K30" s="162">
        <v>2.08</v>
      </c>
      <c r="L30" s="162">
        <v>2.12</v>
      </c>
      <c r="M30" s="162">
        <v>2.16</v>
      </c>
      <c r="N30" s="162">
        <v>2.2000000000000002</v>
      </c>
      <c r="O30" s="162">
        <v>2.2400000000000002</v>
      </c>
      <c r="P30" s="162">
        <v>0.76</v>
      </c>
      <c r="Q30" s="162">
        <v>0.83</v>
      </c>
    </row>
    <row r="31" spans="1:17" ht="15.75" customHeight="1">
      <c r="A31" s="158" t="s">
        <v>321</v>
      </c>
      <c r="B31" s="158" t="s">
        <v>322</v>
      </c>
      <c r="C31" s="162">
        <v>4.2</v>
      </c>
      <c r="D31" s="162">
        <v>4.55</v>
      </c>
      <c r="E31" s="162">
        <v>5.03</v>
      </c>
      <c r="F31" s="162">
        <v>4.87</v>
      </c>
      <c r="G31" s="162" t="s">
        <v>296</v>
      </c>
      <c r="H31" s="162" t="s">
        <v>296</v>
      </c>
      <c r="I31" s="162" t="s">
        <v>296</v>
      </c>
      <c r="J31" s="162" t="s">
        <v>296</v>
      </c>
      <c r="K31" s="162" t="s">
        <v>296</v>
      </c>
      <c r="L31" s="162" t="s">
        <v>296</v>
      </c>
      <c r="M31" s="162" t="s">
        <v>296</v>
      </c>
      <c r="N31" s="162" t="s">
        <v>296</v>
      </c>
      <c r="O31" s="162" t="s">
        <v>296</v>
      </c>
      <c r="P31" s="162" t="s">
        <v>296</v>
      </c>
      <c r="Q31" s="162" t="s">
        <v>296</v>
      </c>
    </row>
    <row r="32" spans="1:17" ht="15.75" customHeight="1">
      <c r="A32" s="158" t="s">
        <v>323</v>
      </c>
      <c r="B32" s="158" t="s">
        <v>324</v>
      </c>
      <c r="C32" s="162">
        <v>4.4800000000000004</v>
      </c>
      <c r="D32" s="162">
        <v>4.54</v>
      </c>
      <c r="E32" s="162">
        <v>5.04</v>
      </c>
      <c r="F32" s="162">
        <v>4.9000000000000004</v>
      </c>
      <c r="G32" s="162">
        <v>5.07</v>
      </c>
      <c r="H32" s="162">
        <v>4.58</v>
      </c>
      <c r="I32" s="162">
        <v>4.4000000000000004</v>
      </c>
      <c r="J32" s="162">
        <v>3.29</v>
      </c>
      <c r="K32" s="162">
        <v>2.2799999999999998</v>
      </c>
      <c r="L32" s="162">
        <v>5.22</v>
      </c>
      <c r="M32" s="162">
        <v>4.7699999999999996</v>
      </c>
      <c r="N32" s="162">
        <v>4.9000000000000004</v>
      </c>
      <c r="O32" s="162">
        <v>4.29</v>
      </c>
      <c r="P32" s="162">
        <v>1.92</v>
      </c>
      <c r="Q32" s="162">
        <v>2.42</v>
      </c>
    </row>
    <row r="33" spans="1:17" ht="15.75" customHeight="1">
      <c r="A33" s="158" t="s">
        <v>325</v>
      </c>
      <c r="B33" s="158" t="s">
        <v>326</v>
      </c>
      <c r="C33" s="160">
        <v>3656</v>
      </c>
      <c r="D33" s="160">
        <v>3460</v>
      </c>
      <c r="E33" s="160">
        <v>3374</v>
      </c>
      <c r="F33" s="160">
        <v>3269</v>
      </c>
      <c r="G33" s="160">
        <v>3230</v>
      </c>
      <c r="H33" s="160">
        <v>3207</v>
      </c>
      <c r="I33" s="160">
        <v>3101</v>
      </c>
      <c r="J33" s="160">
        <v>2995</v>
      </c>
      <c r="K33" s="160">
        <v>2929</v>
      </c>
      <c r="L33" s="160">
        <v>2850</v>
      </c>
      <c r="M33" s="160">
        <v>2831</v>
      </c>
      <c r="N33" s="160">
        <v>2792</v>
      </c>
      <c r="O33" s="160">
        <v>2724</v>
      </c>
      <c r="P33" s="160">
        <v>8077</v>
      </c>
      <c r="Q33" s="160">
        <v>8041</v>
      </c>
    </row>
    <row r="34" spans="1:17" ht="15.75" customHeight="1">
      <c r="A34" s="158" t="s">
        <v>327</v>
      </c>
      <c r="B34" s="158" t="s">
        <v>328</v>
      </c>
      <c r="C34" s="162">
        <v>4.18</v>
      </c>
      <c r="D34" s="162">
        <v>4.53</v>
      </c>
      <c r="E34" s="162">
        <v>5.01</v>
      </c>
      <c r="F34" s="162">
        <v>4.8499999999999996</v>
      </c>
      <c r="G34" s="162" t="s">
        <v>296</v>
      </c>
      <c r="H34" s="162" t="s">
        <v>296</v>
      </c>
      <c r="I34" s="162" t="s">
        <v>296</v>
      </c>
      <c r="J34" s="162" t="s">
        <v>296</v>
      </c>
      <c r="K34" s="162" t="s">
        <v>296</v>
      </c>
      <c r="L34" s="162" t="s">
        <v>296</v>
      </c>
      <c r="M34" s="162" t="s">
        <v>296</v>
      </c>
      <c r="N34" s="162" t="s">
        <v>296</v>
      </c>
      <c r="O34" s="162" t="s">
        <v>296</v>
      </c>
      <c r="P34" s="162" t="s">
        <v>296</v>
      </c>
      <c r="Q34" s="162" t="s">
        <v>296</v>
      </c>
    </row>
    <row r="35" spans="1:17" ht="15.75" customHeight="1">
      <c r="A35" s="158" t="s">
        <v>329</v>
      </c>
      <c r="B35" s="158" t="s">
        <v>330</v>
      </c>
      <c r="C35" s="162">
        <v>4.47</v>
      </c>
      <c r="D35" s="162">
        <v>4.5199999999999996</v>
      </c>
      <c r="E35" s="162">
        <v>5.0199999999999996</v>
      </c>
      <c r="F35" s="162">
        <v>4.88</v>
      </c>
      <c r="G35" s="162">
        <v>5.05</v>
      </c>
      <c r="H35" s="162">
        <v>4.57</v>
      </c>
      <c r="I35" s="162">
        <v>4.38</v>
      </c>
      <c r="J35" s="162">
        <v>3.28</v>
      </c>
      <c r="K35" s="162">
        <v>2.2599999999999998</v>
      </c>
      <c r="L35" s="162">
        <v>5.19</v>
      </c>
      <c r="M35" s="162">
        <v>4.75</v>
      </c>
      <c r="N35" s="162">
        <v>4.87</v>
      </c>
      <c r="O35" s="162">
        <v>4.2699999999999996</v>
      </c>
      <c r="P35" s="162">
        <v>1.91</v>
      </c>
      <c r="Q35" s="162">
        <v>2.41</v>
      </c>
    </row>
    <row r="36" spans="1:17" ht="15.75" customHeight="1">
      <c r="A36" s="158" t="s">
        <v>331</v>
      </c>
      <c r="B36" s="158" t="s">
        <v>332</v>
      </c>
      <c r="C36" s="160">
        <v>3670</v>
      </c>
      <c r="D36" s="160">
        <v>3474</v>
      </c>
      <c r="E36" s="160">
        <v>3389</v>
      </c>
      <c r="F36" s="160">
        <v>3283</v>
      </c>
      <c r="G36" s="160">
        <v>3243</v>
      </c>
      <c r="H36" s="160">
        <v>3217</v>
      </c>
      <c r="I36" s="160">
        <v>3112</v>
      </c>
      <c r="J36" s="160">
        <v>3010</v>
      </c>
      <c r="K36" s="160">
        <v>2945</v>
      </c>
      <c r="L36" s="160">
        <v>2868</v>
      </c>
      <c r="M36" s="160">
        <v>2847</v>
      </c>
      <c r="N36" s="160">
        <v>2805</v>
      </c>
      <c r="O36" s="160">
        <v>2734</v>
      </c>
      <c r="P36" s="160">
        <v>8108</v>
      </c>
      <c r="Q36" s="160">
        <v>8081</v>
      </c>
    </row>
    <row r="37" spans="1:17" ht="15.75" customHeight="1">
      <c r="A37" s="158" t="s">
        <v>333</v>
      </c>
      <c r="B37" s="158" t="s">
        <v>334</v>
      </c>
      <c r="C37" s="160" t="s">
        <v>296</v>
      </c>
      <c r="D37" s="160" t="s">
        <v>296</v>
      </c>
      <c r="E37" s="160" t="s">
        <v>296</v>
      </c>
      <c r="F37" s="160" t="s">
        <v>296</v>
      </c>
      <c r="G37" s="160" t="s">
        <v>296</v>
      </c>
      <c r="H37" s="160" t="s">
        <v>296</v>
      </c>
      <c r="I37" s="160" t="s">
        <v>296</v>
      </c>
      <c r="J37" s="160" t="s">
        <v>296</v>
      </c>
      <c r="K37" s="160" t="s">
        <v>296</v>
      </c>
      <c r="L37" s="160">
        <v>14881</v>
      </c>
      <c r="M37" s="160">
        <v>13510</v>
      </c>
      <c r="N37" s="160">
        <v>13673</v>
      </c>
      <c r="O37" s="160">
        <v>11680</v>
      </c>
      <c r="P37" s="160">
        <v>15511</v>
      </c>
      <c r="Q37" s="160">
        <v>19436</v>
      </c>
    </row>
    <row r="38" spans="1:17" ht="15.75" customHeight="1">
      <c r="A38" s="158" t="s">
        <v>335</v>
      </c>
      <c r="B38" s="158" t="s">
        <v>336</v>
      </c>
      <c r="C38" s="162">
        <v>0.28000000000000003</v>
      </c>
      <c r="D38" s="162">
        <v>-0.01</v>
      </c>
      <c r="E38" s="162">
        <v>0.01</v>
      </c>
      <c r="F38" s="162">
        <v>0.03</v>
      </c>
      <c r="G38" s="162">
        <v>0.06</v>
      </c>
      <c r="H38" s="162" t="s">
        <v>296</v>
      </c>
      <c r="I38" s="162" t="s">
        <v>296</v>
      </c>
      <c r="J38" s="162" t="s">
        <v>296</v>
      </c>
      <c r="K38" s="162" t="s">
        <v>296</v>
      </c>
      <c r="L38" s="162" t="s">
        <v>296</v>
      </c>
      <c r="M38" s="162" t="s">
        <v>296</v>
      </c>
      <c r="N38" s="162" t="s">
        <v>296</v>
      </c>
      <c r="O38" s="162" t="s">
        <v>296</v>
      </c>
      <c r="P38" s="162" t="s">
        <v>296</v>
      </c>
      <c r="Q38" s="162" t="s">
        <v>296</v>
      </c>
    </row>
    <row r="39" spans="1:17" ht="15.75" customHeight="1">
      <c r="A39" s="158" t="s">
        <v>337</v>
      </c>
      <c r="B39" s="158" t="s">
        <v>338</v>
      </c>
      <c r="C39" s="162">
        <v>0.28999999999999998</v>
      </c>
      <c r="D39" s="162">
        <v>-0.01</v>
      </c>
      <c r="E39" s="162">
        <v>0.01</v>
      </c>
      <c r="F39" s="162">
        <v>0.03</v>
      </c>
      <c r="G39" s="162">
        <v>0.06</v>
      </c>
      <c r="H39" s="162" t="s">
        <v>296</v>
      </c>
      <c r="I39" s="162" t="s">
        <v>296</v>
      </c>
      <c r="J39" s="162" t="s">
        <v>296</v>
      </c>
      <c r="K39" s="162" t="s">
        <v>296</v>
      </c>
      <c r="L39" s="162" t="s">
        <v>296</v>
      </c>
      <c r="M39" s="162" t="s">
        <v>296</v>
      </c>
      <c r="N39" s="162" t="s">
        <v>296</v>
      </c>
      <c r="O39" s="162" t="s">
        <v>296</v>
      </c>
      <c r="P39" s="162" t="s">
        <v>296</v>
      </c>
      <c r="Q39" s="162" t="s">
        <v>296</v>
      </c>
    </row>
    <row r="40" spans="1:17" ht="15.75" customHeight="1">
      <c r="A40" s="158" t="s">
        <v>339</v>
      </c>
      <c r="B40" s="158" t="s">
        <v>340</v>
      </c>
      <c r="C40" s="160">
        <v>16993</v>
      </c>
      <c r="D40" s="160">
        <v>16387</v>
      </c>
      <c r="E40" s="160">
        <v>17756</v>
      </c>
      <c r="F40" s="160">
        <v>16695</v>
      </c>
      <c r="G40" s="160">
        <v>17099</v>
      </c>
      <c r="H40" s="160">
        <v>15080</v>
      </c>
      <c r="I40" s="160">
        <v>14293</v>
      </c>
      <c r="J40" s="160">
        <v>10523</v>
      </c>
      <c r="K40" s="160">
        <v>7179</v>
      </c>
      <c r="L40" s="160">
        <v>15201</v>
      </c>
      <c r="M40" s="160">
        <v>13706</v>
      </c>
      <c r="N40" s="160">
        <v>13940</v>
      </c>
      <c r="O40" s="160">
        <v>11292</v>
      </c>
      <c r="P40" s="160">
        <v>16270</v>
      </c>
      <c r="Q40" s="160">
        <v>20157</v>
      </c>
    </row>
    <row r="41" spans="1:17" ht="15.75" customHeight="1">
      <c r="A41" s="158" t="s">
        <v>341</v>
      </c>
      <c r="B41" s="158" t="s">
        <v>342</v>
      </c>
      <c r="C41" s="160">
        <v>16389</v>
      </c>
      <c r="D41" s="160">
        <v>15699</v>
      </c>
      <c r="E41" s="160">
        <v>16999</v>
      </c>
      <c r="F41" s="160">
        <v>16022</v>
      </c>
      <c r="G41" s="160">
        <v>16363</v>
      </c>
      <c r="H41" s="160">
        <v>14694</v>
      </c>
      <c r="I41" s="160">
        <v>13643</v>
      </c>
      <c r="J41" s="160">
        <v>9862</v>
      </c>
      <c r="K41" s="160">
        <v>6670</v>
      </c>
      <c r="L41" s="160">
        <v>14881</v>
      </c>
      <c r="M41" s="160">
        <v>13510</v>
      </c>
      <c r="N41" s="160">
        <v>13673</v>
      </c>
      <c r="O41" s="160">
        <v>11680</v>
      </c>
      <c r="P41" s="160">
        <v>15511</v>
      </c>
      <c r="Q41" s="160">
        <v>19436</v>
      </c>
    </row>
    <row r="42" spans="1:17" ht="15.75" customHeight="1">
      <c r="A42" s="156" t="s">
        <v>181</v>
      </c>
      <c r="B42" s="156" t="s">
        <v>343</v>
      </c>
      <c r="C42" s="161">
        <v>16389</v>
      </c>
      <c r="D42" s="161">
        <v>15699</v>
      </c>
      <c r="E42" s="161">
        <v>16999</v>
      </c>
      <c r="F42" s="161">
        <v>16022</v>
      </c>
      <c r="G42" s="161">
        <v>16363</v>
      </c>
      <c r="H42" s="161">
        <v>14694</v>
      </c>
      <c r="I42" s="161">
        <v>13643</v>
      </c>
      <c r="J42" s="161">
        <v>9862</v>
      </c>
      <c r="K42" s="161">
        <v>6670</v>
      </c>
      <c r="L42" s="161">
        <v>14881</v>
      </c>
      <c r="M42" s="161">
        <v>13510</v>
      </c>
      <c r="N42" s="161">
        <v>13673</v>
      </c>
      <c r="O42" s="161">
        <v>11680</v>
      </c>
      <c r="P42" s="161">
        <v>15511</v>
      </c>
      <c r="Q42" s="161">
        <v>19436</v>
      </c>
    </row>
    <row r="43" spans="1:17" ht="15.75" customHeight="1">
      <c r="A43" s="158" t="s">
        <v>344</v>
      </c>
      <c r="B43" s="159"/>
      <c r="C43" s="159"/>
      <c r="D43" s="159"/>
      <c r="E43" s="159"/>
      <c r="F43" s="159"/>
      <c r="G43" s="159"/>
      <c r="H43" s="159"/>
      <c r="I43" s="159"/>
      <c r="J43" s="159"/>
      <c r="K43" s="159"/>
      <c r="L43" s="159"/>
      <c r="M43" s="159"/>
      <c r="N43" s="159"/>
      <c r="O43" s="159"/>
      <c r="P43" s="159"/>
      <c r="Q43" s="159"/>
    </row>
    <row r="44" spans="1:17" ht="15.75" customHeight="1">
      <c r="A44" s="158" t="s">
        <v>345</v>
      </c>
      <c r="B44" s="158" t="s">
        <v>346</v>
      </c>
      <c r="C44" s="160">
        <v>16993</v>
      </c>
      <c r="D44" s="160">
        <v>16387</v>
      </c>
      <c r="E44" s="160">
        <v>16999</v>
      </c>
      <c r="F44" s="160">
        <v>16022</v>
      </c>
      <c r="G44" s="160">
        <v>16363</v>
      </c>
      <c r="H44" s="160">
        <v>14694</v>
      </c>
      <c r="I44" s="160">
        <v>13643</v>
      </c>
      <c r="J44" s="160">
        <v>9862</v>
      </c>
      <c r="K44" s="160">
        <v>6670</v>
      </c>
      <c r="L44" s="160">
        <v>14881</v>
      </c>
      <c r="M44" s="160">
        <v>13510</v>
      </c>
      <c r="N44" s="160">
        <v>13673</v>
      </c>
      <c r="O44" s="160">
        <v>11680</v>
      </c>
      <c r="P44" s="160">
        <v>15511</v>
      </c>
      <c r="Q44" s="160">
        <v>19436</v>
      </c>
    </row>
    <row r="45" spans="1:17" ht="15.75" customHeight="1">
      <c r="A45" s="158" t="s">
        <v>347</v>
      </c>
      <c r="B45" s="159"/>
      <c r="C45" s="159"/>
      <c r="D45" s="159"/>
      <c r="E45" s="159"/>
      <c r="F45" s="159"/>
      <c r="G45" s="159"/>
      <c r="H45" s="159"/>
      <c r="I45" s="159"/>
      <c r="J45" s="159"/>
      <c r="K45" s="159"/>
      <c r="L45" s="159"/>
      <c r="M45" s="159"/>
      <c r="N45" s="159"/>
      <c r="O45" s="159"/>
      <c r="P45" s="159"/>
      <c r="Q45" s="159"/>
    </row>
    <row r="46" spans="1:17" ht="15.75" customHeight="1">
      <c r="A46" s="158" t="s">
        <v>348</v>
      </c>
      <c r="B46" s="159"/>
      <c r="C46" s="159"/>
      <c r="D46" s="159"/>
      <c r="E46" s="159"/>
      <c r="F46" s="159"/>
      <c r="G46" s="159"/>
      <c r="H46" s="159"/>
      <c r="I46" s="159"/>
      <c r="J46" s="159"/>
      <c r="K46" s="159"/>
      <c r="L46" s="159"/>
      <c r="M46" s="159"/>
      <c r="N46" s="159"/>
      <c r="O46" s="159"/>
      <c r="P46" s="159"/>
      <c r="Q46" s="159"/>
    </row>
    <row r="47" spans="1:17" ht="15.75" customHeight="1">
      <c r="A47" s="158" t="s">
        <v>349</v>
      </c>
      <c r="B47" s="158" t="s">
        <v>350</v>
      </c>
      <c r="C47" s="160" t="s">
        <v>296</v>
      </c>
      <c r="D47" s="160" t="s">
        <v>296</v>
      </c>
      <c r="E47" s="160" t="s">
        <v>296</v>
      </c>
      <c r="F47" s="160" t="s">
        <v>296</v>
      </c>
      <c r="G47" s="160" t="s">
        <v>296</v>
      </c>
      <c r="H47" s="160" t="s">
        <v>296</v>
      </c>
      <c r="I47" s="160" t="s">
        <v>296</v>
      </c>
      <c r="J47" s="160" t="s">
        <v>296</v>
      </c>
      <c r="K47" s="160" t="s">
        <v>296</v>
      </c>
      <c r="L47" s="160" t="s">
        <v>296</v>
      </c>
      <c r="M47" s="160">
        <v>4100</v>
      </c>
      <c r="N47" s="160" t="s">
        <v>296</v>
      </c>
      <c r="O47" s="160" t="s">
        <v>296</v>
      </c>
      <c r="P47" s="160" t="s">
        <v>296</v>
      </c>
      <c r="Q47" s="160" t="s">
        <v>296</v>
      </c>
    </row>
    <row r="48" spans="1:17" ht="15.75" customHeight="1">
      <c r="A48" s="158" t="s">
        <v>351</v>
      </c>
      <c r="B48" s="158" t="s">
        <v>352</v>
      </c>
      <c r="C48" s="160">
        <v>7600</v>
      </c>
      <c r="D48" s="160">
        <v>8100</v>
      </c>
      <c r="E48" s="160">
        <v>8400</v>
      </c>
      <c r="F48" s="160">
        <v>8800</v>
      </c>
      <c r="G48" s="160">
        <v>9100</v>
      </c>
      <c r="H48" s="160">
        <v>9454</v>
      </c>
      <c r="I48" s="160">
        <v>10080</v>
      </c>
      <c r="J48" s="160">
        <v>10500</v>
      </c>
      <c r="K48" s="160">
        <v>10678</v>
      </c>
      <c r="L48" s="160">
        <v>10987</v>
      </c>
      <c r="M48" s="160">
        <v>11152</v>
      </c>
      <c r="N48" s="160">
        <v>10658</v>
      </c>
      <c r="O48" s="160">
        <v>10945</v>
      </c>
      <c r="P48" s="160">
        <v>11853</v>
      </c>
      <c r="Q48" s="160" t="s">
        <v>296</v>
      </c>
    </row>
    <row r="49" spans="1:17" ht="15.75" customHeight="1">
      <c r="A49" s="158" t="s">
        <v>353</v>
      </c>
      <c r="B49" s="158" t="s">
        <v>354</v>
      </c>
      <c r="C49" s="160">
        <v>7641</v>
      </c>
      <c r="D49" s="160">
        <v>8130</v>
      </c>
      <c r="E49" s="160">
        <v>8478</v>
      </c>
      <c r="F49" s="160">
        <v>8870</v>
      </c>
      <c r="G49" s="160">
        <v>9173</v>
      </c>
      <c r="H49" s="160">
        <v>9454</v>
      </c>
      <c r="I49" s="160">
        <v>10080</v>
      </c>
      <c r="J49" s="160">
        <v>10529</v>
      </c>
      <c r="K49" s="160">
        <v>10678</v>
      </c>
      <c r="L49" s="160">
        <v>10987</v>
      </c>
      <c r="M49" s="160">
        <v>11152</v>
      </c>
      <c r="N49" s="160">
        <v>10658</v>
      </c>
      <c r="O49" s="160">
        <v>10945</v>
      </c>
      <c r="P49" s="160">
        <v>11853</v>
      </c>
      <c r="Q49" s="160">
        <v>12973</v>
      </c>
    </row>
    <row r="50" spans="1:17" ht="15.75" customHeight="1">
      <c r="A50" s="158" t="s">
        <v>355</v>
      </c>
      <c r="B50" s="158" t="s">
        <v>356</v>
      </c>
      <c r="C50" s="160" t="s">
        <v>296</v>
      </c>
      <c r="D50" s="160" t="s">
        <v>296</v>
      </c>
      <c r="E50" s="160" t="s">
        <v>296</v>
      </c>
      <c r="F50" s="160" t="s">
        <v>296</v>
      </c>
      <c r="G50" s="160" t="s">
        <v>296</v>
      </c>
      <c r="H50" s="160" t="s">
        <v>296</v>
      </c>
      <c r="I50" s="160" t="s">
        <v>296</v>
      </c>
      <c r="J50" s="160" t="s">
        <v>296</v>
      </c>
      <c r="K50" s="160" t="s">
        <v>296</v>
      </c>
      <c r="L50" s="160" t="s">
        <v>296</v>
      </c>
      <c r="M50" s="160">
        <v>380</v>
      </c>
      <c r="N50" s="160">
        <v>108</v>
      </c>
      <c r="O50" s="160">
        <v>849</v>
      </c>
      <c r="P50" s="160">
        <v>0</v>
      </c>
      <c r="Q50" s="160">
        <v>255</v>
      </c>
    </row>
    <row r="51" spans="1:17" ht="15.75" customHeight="1">
      <c r="A51" s="158" t="s">
        <v>357</v>
      </c>
      <c r="B51" s="158" t="s">
        <v>358</v>
      </c>
      <c r="C51" s="160" t="s">
        <v>296</v>
      </c>
      <c r="D51" s="160">
        <v>148</v>
      </c>
      <c r="E51" s="160" t="s">
        <v>296</v>
      </c>
      <c r="F51" s="160" t="s">
        <v>296</v>
      </c>
      <c r="G51" s="160" t="s">
        <v>296</v>
      </c>
      <c r="H51" s="160" t="s">
        <v>296</v>
      </c>
      <c r="I51" s="160" t="s">
        <v>296</v>
      </c>
      <c r="J51" s="160" t="s">
        <v>296</v>
      </c>
      <c r="K51" s="160" t="s">
        <v>296</v>
      </c>
      <c r="L51" s="160" t="s">
        <v>296</v>
      </c>
      <c r="M51" s="160">
        <v>175</v>
      </c>
      <c r="N51" s="160" t="s">
        <v>296</v>
      </c>
      <c r="O51" s="160" t="s">
        <v>296</v>
      </c>
      <c r="P51" s="160" t="s">
        <v>296</v>
      </c>
      <c r="Q51" s="160" t="s">
        <v>296</v>
      </c>
    </row>
    <row r="52" spans="1:17" ht="15.75" customHeight="1">
      <c r="A52" s="158" t="s">
        <v>292</v>
      </c>
      <c r="B52" s="158" t="s">
        <v>359</v>
      </c>
      <c r="C52" s="160">
        <v>-201</v>
      </c>
      <c r="D52" s="160">
        <v>-162</v>
      </c>
      <c r="E52" s="160">
        <v>-186</v>
      </c>
      <c r="F52" s="160">
        <v>-119</v>
      </c>
      <c r="G52" s="160">
        <v>-113</v>
      </c>
      <c r="H52" s="160">
        <v>-81</v>
      </c>
      <c r="I52" s="160">
        <v>-100</v>
      </c>
      <c r="J52" s="160">
        <v>-152</v>
      </c>
      <c r="K52" s="160" t="s">
        <v>296</v>
      </c>
      <c r="L52" s="160">
        <v>-189</v>
      </c>
      <c r="M52" s="160">
        <v>-121</v>
      </c>
      <c r="N52" s="160">
        <v>-158</v>
      </c>
      <c r="O52" s="160">
        <v>-254</v>
      </c>
      <c r="P52" s="160">
        <v>-546</v>
      </c>
      <c r="Q52" s="160">
        <v>-483</v>
      </c>
    </row>
    <row r="53" spans="1:17" ht="15.75" customHeight="1">
      <c r="A53" s="158" t="s">
        <v>294</v>
      </c>
      <c r="B53" s="158" t="s">
        <v>360</v>
      </c>
      <c r="C53" s="160">
        <v>2004</v>
      </c>
      <c r="D53" s="160">
        <v>2159</v>
      </c>
      <c r="E53" s="160">
        <v>2063</v>
      </c>
      <c r="F53" s="160">
        <v>2216</v>
      </c>
      <c r="G53" s="160">
        <v>2348</v>
      </c>
      <c r="H53" s="160">
        <v>2467</v>
      </c>
      <c r="I53" s="160">
        <v>2267</v>
      </c>
      <c r="J53" s="160">
        <v>2178</v>
      </c>
      <c r="K53" s="160" t="s">
        <v>296</v>
      </c>
      <c r="L53" s="160">
        <v>2410</v>
      </c>
      <c r="M53" s="160">
        <v>2194</v>
      </c>
      <c r="N53" s="160">
        <v>1836</v>
      </c>
      <c r="O53" s="160">
        <v>1874</v>
      </c>
      <c r="P53" s="160">
        <v>2137</v>
      </c>
      <c r="Q53" s="160">
        <v>2245</v>
      </c>
    </row>
    <row r="54" spans="1:17" ht="15.75" customHeight="1">
      <c r="A54" s="158" t="s">
        <v>297</v>
      </c>
      <c r="B54" s="158" t="s">
        <v>361</v>
      </c>
      <c r="C54" s="160">
        <v>7579</v>
      </c>
      <c r="D54" s="160">
        <v>7924</v>
      </c>
      <c r="E54" s="160">
        <v>7958</v>
      </c>
      <c r="F54" s="160">
        <v>8105</v>
      </c>
      <c r="G54" s="160">
        <v>7985</v>
      </c>
      <c r="H54" s="160">
        <v>6558</v>
      </c>
      <c r="I54" s="160">
        <v>6204</v>
      </c>
      <c r="J54" s="160">
        <v>4600</v>
      </c>
      <c r="K54" s="160">
        <v>4281</v>
      </c>
      <c r="L54" s="160">
        <v>4915</v>
      </c>
      <c r="M54" s="160">
        <v>6858</v>
      </c>
      <c r="N54" s="160">
        <v>4756</v>
      </c>
      <c r="O54" s="160">
        <v>5724</v>
      </c>
      <c r="P54" s="160">
        <v>5578</v>
      </c>
      <c r="Q54" s="160">
        <v>6152</v>
      </c>
    </row>
    <row r="55" spans="1:17" ht="15.75" customHeight="1">
      <c r="A55" s="158" t="s">
        <v>362</v>
      </c>
      <c r="B55" s="158" t="s">
        <v>363</v>
      </c>
      <c r="C55" s="160">
        <v>1137</v>
      </c>
      <c r="D55" s="160">
        <v>-2758</v>
      </c>
      <c r="E55" s="160">
        <v>1042</v>
      </c>
      <c r="F55" s="160">
        <v>-3221</v>
      </c>
      <c r="G55" s="160">
        <v>-4558</v>
      </c>
      <c r="H55" s="160">
        <v>-5220</v>
      </c>
      <c r="I55" s="160">
        <v>-3027</v>
      </c>
      <c r="J55" s="160">
        <v>2540</v>
      </c>
      <c r="K55" s="160">
        <v>-226</v>
      </c>
      <c r="L55" s="160">
        <v>286</v>
      </c>
      <c r="M55" s="160">
        <v>842</v>
      </c>
      <c r="N55" s="160">
        <v>2442</v>
      </c>
      <c r="O55" s="160">
        <v>-1858</v>
      </c>
      <c r="P55" s="160">
        <v>899</v>
      </c>
      <c r="Q55" s="160">
        <v>-2810</v>
      </c>
    </row>
    <row r="56" spans="1:17" ht="15.75" customHeight="1">
      <c r="A56" s="158" t="s">
        <v>364</v>
      </c>
      <c r="B56" s="158" t="s">
        <v>365</v>
      </c>
      <c r="C56" s="160" t="s">
        <v>296</v>
      </c>
      <c r="D56" s="160" t="s">
        <v>296</v>
      </c>
      <c r="E56" s="160" t="s">
        <v>296</v>
      </c>
      <c r="F56" s="160" t="s">
        <v>296</v>
      </c>
      <c r="G56" s="160" t="s">
        <v>296</v>
      </c>
      <c r="H56" s="160">
        <v>0</v>
      </c>
      <c r="I56" s="160">
        <v>145</v>
      </c>
      <c r="J56" s="160">
        <v>1501</v>
      </c>
      <c r="K56" s="160">
        <v>0</v>
      </c>
      <c r="L56" s="160" t="s">
        <v>296</v>
      </c>
      <c r="M56" s="160" t="s">
        <v>296</v>
      </c>
      <c r="N56" s="160" t="s">
        <v>296</v>
      </c>
      <c r="O56" s="160" t="s">
        <v>296</v>
      </c>
      <c r="P56" s="160" t="s">
        <v>296</v>
      </c>
      <c r="Q56" s="160" t="s">
        <v>296</v>
      </c>
    </row>
    <row r="57" spans="1:17" ht="15.75" customHeight="1">
      <c r="A57" s="158" t="s">
        <v>366</v>
      </c>
      <c r="B57" s="158" t="s">
        <v>367</v>
      </c>
      <c r="C57" s="160">
        <v>-17</v>
      </c>
      <c r="D57" s="160">
        <v>-67</v>
      </c>
      <c r="E57" s="160">
        <v>136</v>
      </c>
      <c r="F57" s="160">
        <v>282</v>
      </c>
      <c r="G57" s="160">
        <v>-91</v>
      </c>
      <c r="H57" s="160">
        <v>164</v>
      </c>
      <c r="I57" s="160">
        <v>434</v>
      </c>
      <c r="J57" s="160">
        <v>32</v>
      </c>
      <c r="K57" s="160">
        <v>-18</v>
      </c>
      <c r="L57" s="160">
        <v>-277</v>
      </c>
      <c r="M57" s="160">
        <v>14</v>
      </c>
      <c r="N57" s="160">
        <v>-1646</v>
      </c>
      <c r="O57" s="160">
        <v>-203</v>
      </c>
      <c r="P57" s="160">
        <v>56</v>
      </c>
      <c r="Q57" s="160">
        <v>-49</v>
      </c>
    </row>
    <row r="58" spans="1:17" ht="15.75" customHeight="1">
      <c r="A58" s="158" t="s">
        <v>368</v>
      </c>
      <c r="B58" s="158" t="s">
        <v>369</v>
      </c>
      <c r="C58" s="160">
        <v>-145</v>
      </c>
      <c r="D58" s="160">
        <v>43</v>
      </c>
      <c r="E58" s="160">
        <v>-166</v>
      </c>
      <c r="F58" s="160">
        <v>153</v>
      </c>
      <c r="G58" s="160">
        <v>-69</v>
      </c>
      <c r="H58" s="160">
        <v>86</v>
      </c>
      <c r="I58" s="160">
        <v>-397</v>
      </c>
      <c r="J58" s="160">
        <v>147</v>
      </c>
      <c r="K58" s="160">
        <v>131</v>
      </c>
      <c r="L58" s="160">
        <v>-1244</v>
      </c>
      <c r="M58" s="160">
        <v>-30</v>
      </c>
      <c r="N58" s="160">
        <v>1974</v>
      </c>
      <c r="O58" s="160">
        <v>5</v>
      </c>
      <c r="P58" s="160">
        <v>-11</v>
      </c>
      <c r="Q58" s="160" t="s">
        <v>296</v>
      </c>
    </row>
    <row r="59" spans="1:17" ht="15.75" customHeight="1">
      <c r="A59" s="158" t="s">
        <v>370</v>
      </c>
      <c r="B59" s="158" t="s">
        <v>371</v>
      </c>
      <c r="C59" s="160">
        <v>63</v>
      </c>
      <c r="D59" s="160">
        <v>60</v>
      </c>
      <c r="E59" s="160">
        <v>74</v>
      </c>
      <c r="F59" s="160">
        <v>78</v>
      </c>
      <c r="G59" s="160">
        <v>59</v>
      </c>
      <c r="H59" s="160">
        <v>39</v>
      </c>
      <c r="I59" s="160">
        <v>36</v>
      </c>
      <c r="J59" s="160">
        <v>17</v>
      </c>
      <c r="K59" s="160" t="s">
        <v>296</v>
      </c>
      <c r="L59" s="160" t="s">
        <v>296</v>
      </c>
      <c r="M59" s="160" t="s">
        <v>296</v>
      </c>
      <c r="N59" s="160" t="s">
        <v>296</v>
      </c>
      <c r="O59" s="160" t="s">
        <v>296</v>
      </c>
      <c r="P59" s="160" t="s">
        <v>296</v>
      </c>
      <c r="Q59" s="160" t="s">
        <v>296</v>
      </c>
    </row>
    <row r="60" spans="1:17" ht="15.75" customHeight="1">
      <c r="A60" s="180" t="s">
        <v>372</v>
      </c>
      <c r="B60" s="158" t="s">
        <v>373</v>
      </c>
      <c r="C60" s="160">
        <v>4437</v>
      </c>
      <c r="D60" s="160" t="s">
        <v>296</v>
      </c>
      <c r="E60" s="160">
        <v>5361</v>
      </c>
      <c r="F60" s="160">
        <v>6100</v>
      </c>
      <c r="G60" s="160">
        <v>6185</v>
      </c>
      <c r="H60" s="160">
        <v>6294</v>
      </c>
      <c r="I60" s="160">
        <v>6216</v>
      </c>
      <c r="J60" s="160">
        <v>6124</v>
      </c>
      <c r="K60" s="160">
        <v>6102</v>
      </c>
      <c r="L60" s="160">
        <v>6048</v>
      </c>
      <c r="M60" s="160">
        <v>6116</v>
      </c>
      <c r="N60" s="160">
        <v>6152</v>
      </c>
      <c r="O60" s="160">
        <v>6114</v>
      </c>
      <c r="P60" s="160">
        <v>6140</v>
      </c>
      <c r="Q60" s="160">
        <v>6688</v>
      </c>
    </row>
    <row r="61" spans="1:17" ht="15.75" customHeight="1">
      <c r="A61" s="158" t="s">
        <v>319</v>
      </c>
      <c r="B61" s="158" t="s">
        <v>374</v>
      </c>
      <c r="C61" s="162">
        <v>1.21</v>
      </c>
      <c r="D61" s="162" t="s">
        <v>296</v>
      </c>
      <c r="E61" s="162">
        <v>1.59</v>
      </c>
      <c r="F61" s="162">
        <v>1.88</v>
      </c>
      <c r="G61" s="162">
        <v>1.92</v>
      </c>
      <c r="H61" s="162">
        <v>1.96</v>
      </c>
      <c r="I61" s="162">
        <v>2</v>
      </c>
      <c r="J61" s="162">
        <v>2.04</v>
      </c>
      <c r="K61" s="162">
        <v>2.08</v>
      </c>
      <c r="L61" s="162">
        <v>2.12</v>
      </c>
      <c r="M61" s="162">
        <v>2.16</v>
      </c>
      <c r="N61" s="162">
        <v>2.2000000000000002</v>
      </c>
      <c r="O61" s="162">
        <v>2.2400000000000002</v>
      </c>
      <c r="P61" s="162">
        <v>0.76</v>
      </c>
      <c r="Q61" s="162">
        <v>0.83</v>
      </c>
    </row>
    <row r="62" spans="1:17" ht="15.75" customHeight="1">
      <c r="A62" s="158" t="s">
        <v>321</v>
      </c>
      <c r="B62" s="158" t="s">
        <v>375</v>
      </c>
      <c r="C62" s="162">
        <v>4.2</v>
      </c>
      <c r="D62" s="162">
        <v>4.5599999999999996</v>
      </c>
      <c r="E62" s="162">
        <v>5.03</v>
      </c>
      <c r="F62" s="162">
        <v>4.87</v>
      </c>
      <c r="G62" s="162" t="s">
        <v>296</v>
      </c>
      <c r="H62" s="162" t="s">
        <v>296</v>
      </c>
      <c r="I62" s="162" t="s">
        <v>296</v>
      </c>
      <c r="J62" s="162" t="s">
        <v>296</v>
      </c>
      <c r="K62" s="162" t="s">
        <v>296</v>
      </c>
      <c r="L62" s="162" t="s">
        <v>296</v>
      </c>
      <c r="M62" s="162" t="s">
        <v>296</v>
      </c>
      <c r="N62" s="162" t="s">
        <v>296</v>
      </c>
      <c r="O62" s="162" t="s">
        <v>296</v>
      </c>
      <c r="P62" s="162" t="s">
        <v>296</v>
      </c>
      <c r="Q62" s="162" t="s">
        <v>296</v>
      </c>
    </row>
    <row r="63" spans="1:17" ht="15.75" customHeight="1">
      <c r="A63" s="158" t="s">
        <v>323</v>
      </c>
      <c r="B63" s="158" t="s">
        <v>376</v>
      </c>
      <c r="C63" s="162" t="s">
        <v>296</v>
      </c>
      <c r="D63" s="162" t="s">
        <v>296</v>
      </c>
      <c r="E63" s="162" t="s">
        <v>296</v>
      </c>
      <c r="F63" s="162" t="s">
        <v>296</v>
      </c>
      <c r="G63" s="162" t="s">
        <v>296</v>
      </c>
      <c r="H63" s="162">
        <v>4.58</v>
      </c>
      <c r="I63" s="162">
        <v>4.4000000000000004</v>
      </c>
      <c r="J63" s="162">
        <v>3.29</v>
      </c>
      <c r="K63" s="162">
        <v>2.2799999999999998</v>
      </c>
      <c r="L63" s="162">
        <v>5.22</v>
      </c>
      <c r="M63" s="162">
        <v>4.7699999999999996</v>
      </c>
      <c r="N63" s="162">
        <v>4.9000000000000004</v>
      </c>
      <c r="O63" s="162">
        <v>4.29</v>
      </c>
      <c r="P63" s="162">
        <v>1.92</v>
      </c>
      <c r="Q63" s="162">
        <v>2.42</v>
      </c>
    </row>
    <row r="64" spans="1:17" ht="15.75" customHeight="1">
      <c r="A64" s="158" t="s">
        <v>325</v>
      </c>
      <c r="B64" s="158" t="s">
        <v>377</v>
      </c>
      <c r="C64" s="160">
        <v>3656</v>
      </c>
      <c r="D64" s="160">
        <v>3460</v>
      </c>
      <c r="E64" s="160">
        <v>3374</v>
      </c>
      <c r="F64" s="160">
        <v>3269</v>
      </c>
      <c r="G64" s="160">
        <v>3230</v>
      </c>
      <c r="H64" s="160">
        <v>3207</v>
      </c>
      <c r="I64" s="160">
        <v>3101</v>
      </c>
      <c r="J64" s="160">
        <v>2995</v>
      </c>
      <c r="K64" s="160">
        <v>2929</v>
      </c>
      <c r="L64" s="160">
        <v>2850</v>
      </c>
      <c r="M64" s="160">
        <v>2831</v>
      </c>
      <c r="N64" s="160">
        <v>2792</v>
      </c>
      <c r="O64" s="160">
        <v>2724</v>
      </c>
      <c r="P64" s="160">
        <v>8077</v>
      </c>
      <c r="Q64" s="160">
        <v>8041</v>
      </c>
    </row>
    <row r="65" spans="1:17" ht="15.75" customHeight="1">
      <c r="A65" s="158" t="s">
        <v>327</v>
      </c>
      <c r="B65" s="158" t="s">
        <v>378</v>
      </c>
      <c r="C65" s="162">
        <v>4.18</v>
      </c>
      <c r="D65" s="162">
        <v>4.54</v>
      </c>
      <c r="E65" s="162">
        <v>5.01</v>
      </c>
      <c r="F65" s="162">
        <v>4.8499999999999996</v>
      </c>
      <c r="G65" s="162" t="s">
        <v>296</v>
      </c>
      <c r="H65" s="162" t="s">
        <v>296</v>
      </c>
      <c r="I65" s="162" t="s">
        <v>296</v>
      </c>
      <c r="J65" s="162" t="s">
        <v>296</v>
      </c>
      <c r="K65" s="162" t="s">
        <v>296</v>
      </c>
      <c r="L65" s="162" t="s">
        <v>296</v>
      </c>
      <c r="M65" s="162" t="s">
        <v>296</v>
      </c>
      <c r="N65" s="162" t="s">
        <v>296</v>
      </c>
      <c r="O65" s="162" t="s">
        <v>296</v>
      </c>
      <c r="P65" s="162" t="s">
        <v>296</v>
      </c>
      <c r="Q65" s="162" t="s">
        <v>296</v>
      </c>
    </row>
    <row r="66" spans="1:17" ht="15.75" customHeight="1">
      <c r="A66" s="158" t="s">
        <v>329</v>
      </c>
      <c r="B66" s="158" t="s">
        <v>379</v>
      </c>
      <c r="C66" s="162" t="s">
        <v>296</v>
      </c>
      <c r="D66" s="162" t="s">
        <v>296</v>
      </c>
      <c r="E66" s="162" t="s">
        <v>296</v>
      </c>
      <c r="F66" s="162" t="s">
        <v>296</v>
      </c>
      <c r="G66" s="162" t="s">
        <v>296</v>
      </c>
      <c r="H66" s="162">
        <v>4.57</v>
      </c>
      <c r="I66" s="162">
        <v>4.38</v>
      </c>
      <c r="J66" s="162">
        <v>3.28</v>
      </c>
      <c r="K66" s="162">
        <v>2.2599999999999998</v>
      </c>
      <c r="L66" s="162">
        <v>5.19</v>
      </c>
      <c r="M66" s="162">
        <v>4.75</v>
      </c>
      <c r="N66" s="162">
        <v>4.87</v>
      </c>
      <c r="O66" s="162">
        <v>4.2699999999999996</v>
      </c>
      <c r="P66" s="162">
        <v>1.91</v>
      </c>
      <c r="Q66" s="162">
        <v>2.41</v>
      </c>
    </row>
    <row r="67" spans="1:17" ht="15.75" customHeight="1">
      <c r="A67" s="158" t="s">
        <v>331</v>
      </c>
      <c r="B67" s="158" t="s">
        <v>380</v>
      </c>
      <c r="C67" s="160">
        <v>3670</v>
      </c>
      <c r="D67" s="160">
        <v>3474</v>
      </c>
      <c r="E67" s="160">
        <v>3389</v>
      </c>
      <c r="F67" s="160">
        <v>3283</v>
      </c>
      <c r="G67" s="160">
        <v>3243</v>
      </c>
      <c r="H67" s="160">
        <v>3217</v>
      </c>
      <c r="I67" s="160">
        <v>3112</v>
      </c>
      <c r="J67" s="160">
        <v>3010</v>
      </c>
      <c r="K67" s="160">
        <v>2945</v>
      </c>
      <c r="L67" s="160">
        <v>2868</v>
      </c>
      <c r="M67" s="160">
        <v>2847</v>
      </c>
      <c r="N67" s="160">
        <v>2805</v>
      </c>
      <c r="O67" s="160">
        <v>2734</v>
      </c>
      <c r="P67" s="160">
        <v>8108</v>
      </c>
      <c r="Q67" s="160">
        <v>8081</v>
      </c>
    </row>
    <row r="68" spans="1:17" ht="15.75" customHeight="1">
      <c r="A68" s="158" t="s">
        <v>381</v>
      </c>
      <c r="B68" s="158" t="s">
        <v>382</v>
      </c>
      <c r="C68" s="160">
        <v>2000</v>
      </c>
      <c r="D68" s="160">
        <v>2400</v>
      </c>
      <c r="E68" s="160">
        <v>2600</v>
      </c>
      <c r="F68" s="160">
        <v>2800</v>
      </c>
      <c r="G68" s="160">
        <v>2800</v>
      </c>
      <c r="H68" s="160">
        <v>2500</v>
      </c>
      <c r="I68" s="160">
        <v>2600</v>
      </c>
      <c r="J68" s="160">
        <v>2900</v>
      </c>
      <c r="K68" s="160">
        <v>3000</v>
      </c>
      <c r="L68" s="160">
        <v>3361</v>
      </c>
      <c r="M68" s="160">
        <v>3403</v>
      </c>
      <c r="N68" s="160">
        <v>3097</v>
      </c>
      <c r="O68" s="160">
        <v>3205</v>
      </c>
      <c r="P68" s="160">
        <v>3359</v>
      </c>
      <c r="Q68" s="160">
        <v>3492</v>
      </c>
    </row>
    <row r="69" spans="1:17" ht="15.75" customHeight="1">
      <c r="A69" s="158" t="s">
        <v>383</v>
      </c>
      <c r="B69" s="158" t="s">
        <v>384</v>
      </c>
      <c r="C69" s="160">
        <v>371</v>
      </c>
      <c r="D69" s="160">
        <v>355</v>
      </c>
      <c r="E69" s="160">
        <v>378</v>
      </c>
      <c r="F69" s="160">
        <v>388</v>
      </c>
      <c r="G69" s="160">
        <v>462</v>
      </c>
      <c r="H69" s="160">
        <v>448</v>
      </c>
      <c r="I69" s="160">
        <v>596</v>
      </c>
      <c r="J69" s="160">
        <v>626</v>
      </c>
      <c r="K69" s="160">
        <v>773</v>
      </c>
      <c r="L69" s="160">
        <v>854</v>
      </c>
      <c r="M69" s="160">
        <v>1169</v>
      </c>
      <c r="N69" s="160">
        <v>1163</v>
      </c>
      <c r="O69" s="160">
        <v>1578</v>
      </c>
      <c r="P69" s="160">
        <v>2093</v>
      </c>
      <c r="Q69" s="160">
        <v>2769</v>
      </c>
    </row>
    <row r="70" spans="1:17" ht="15.75" customHeight="1">
      <c r="A70" s="158" t="s">
        <v>385</v>
      </c>
      <c r="B70" s="158" t="s">
        <v>386</v>
      </c>
      <c r="C70" s="160">
        <v>17105</v>
      </c>
      <c r="D70" s="160">
        <v>13643</v>
      </c>
      <c r="E70" s="160">
        <v>17822</v>
      </c>
      <c r="F70" s="160">
        <v>13613</v>
      </c>
      <c r="G70" s="160">
        <v>12191</v>
      </c>
      <c r="H70" s="160">
        <v>10265</v>
      </c>
      <c r="I70" s="160">
        <v>11008</v>
      </c>
      <c r="J70" s="160">
        <v>13913</v>
      </c>
      <c r="K70" s="160">
        <v>6745</v>
      </c>
      <c r="L70" s="160">
        <v>13618</v>
      </c>
      <c r="M70" s="160">
        <v>14549</v>
      </c>
      <c r="N70" s="160">
        <v>16673</v>
      </c>
      <c r="O70" s="160">
        <v>10028</v>
      </c>
      <c r="P70" s="160">
        <v>15889</v>
      </c>
      <c r="Q70" s="160">
        <v>17133</v>
      </c>
    </row>
    <row r="71" spans="1:17" ht="15.75" customHeight="1">
      <c r="A71" s="158" t="s">
        <v>387</v>
      </c>
      <c r="B71" s="158" t="s">
        <v>388</v>
      </c>
      <c r="C71" s="160" t="s">
        <v>296</v>
      </c>
      <c r="D71" s="160" t="s">
        <v>296</v>
      </c>
      <c r="E71" s="160" t="s">
        <v>296</v>
      </c>
      <c r="F71" s="160" t="s">
        <v>296</v>
      </c>
      <c r="G71" s="160" t="s">
        <v>296</v>
      </c>
      <c r="H71" s="160" t="s">
        <v>296</v>
      </c>
      <c r="I71" s="160" t="s">
        <v>296</v>
      </c>
      <c r="J71" s="160" t="s">
        <v>296</v>
      </c>
      <c r="K71" s="160" t="s">
        <v>296</v>
      </c>
      <c r="L71" s="160" t="s">
        <v>296</v>
      </c>
      <c r="M71" s="160" t="s">
        <v>296</v>
      </c>
      <c r="N71" s="160" t="s">
        <v>296</v>
      </c>
      <c r="O71" s="160">
        <v>3325</v>
      </c>
      <c r="P71" s="160">
        <v>93</v>
      </c>
      <c r="Q71" s="160">
        <v>-99</v>
      </c>
    </row>
    <row r="72" spans="1:17" ht="15.75" customHeight="1">
      <c r="A72" s="158" t="s">
        <v>389</v>
      </c>
      <c r="B72" s="158" t="s">
        <v>390</v>
      </c>
      <c r="C72" s="160" t="s">
        <v>296</v>
      </c>
      <c r="D72" s="160">
        <v>36</v>
      </c>
      <c r="E72" s="160" t="s">
        <v>296</v>
      </c>
      <c r="F72" s="160" t="s">
        <v>296</v>
      </c>
      <c r="G72" s="160" t="s">
        <v>296</v>
      </c>
      <c r="H72" s="160" t="s">
        <v>296</v>
      </c>
      <c r="I72" s="160" t="s">
        <v>296</v>
      </c>
      <c r="J72" s="160" t="s">
        <v>296</v>
      </c>
      <c r="K72" s="160" t="s">
        <v>296</v>
      </c>
      <c r="L72" s="160" t="s">
        <v>296</v>
      </c>
      <c r="M72" s="160" t="s">
        <v>296</v>
      </c>
      <c r="N72" s="160" t="s">
        <v>296</v>
      </c>
      <c r="O72" s="160" t="s">
        <v>296</v>
      </c>
      <c r="P72" s="160" t="s">
        <v>296</v>
      </c>
      <c r="Q72" s="160" t="s">
        <v>296</v>
      </c>
    </row>
    <row r="73" spans="1:17" ht="15.75" customHeight="1">
      <c r="A73" s="158" t="s">
        <v>280</v>
      </c>
      <c r="B73" s="158" t="s">
        <v>391</v>
      </c>
      <c r="C73" s="160" t="s">
        <v>296</v>
      </c>
      <c r="D73" s="160" t="s">
        <v>296</v>
      </c>
      <c r="E73" s="160" t="s">
        <v>296</v>
      </c>
      <c r="F73" s="160" t="s">
        <v>296</v>
      </c>
      <c r="G73" s="160" t="s">
        <v>296</v>
      </c>
      <c r="H73" s="160" t="s">
        <v>296</v>
      </c>
      <c r="I73" s="160" t="s">
        <v>296</v>
      </c>
      <c r="J73" s="160" t="s">
        <v>296</v>
      </c>
      <c r="K73" s="160" t="s">
        <v>296</v>
      </c>
      <c r="L73" s="160" t="s">
        <v>296</v>
      </c>
      <c r="M73" s="160">
        <v>555233</v>
      </c>
      <c r="N73" s="160">
        <v>567762</v>
      </c>
      <c r="O73" s="160">
        <v>605881</v>
      </c>
      <c r="P73" s="160">
        <v>642637</v>
      </c>
      <c r="Q73" s="160">
        <v>680985</v>
      </c>
    </row>
    <row r="74" spans="1:17" ht="15.75" customHeight="1">
      <c r="A74" s="158" t="s">
        <v>303</v>
      </c>
      <c r="B74" s="158" t="s">
        <v>392</v>
      </c>
      <c r="C74" s="160" t="s">
        <v>296</v>
      </c>
      <c r="D74" s="160" t="s">
        <v>296</v>
      </c>
      <c r="E74" s="160" t="s">
        <v>296</v>
      </c>
      <c r="F74" s="160" t="s">
        <v>296</v>
      </c>
      <c r="G74" s="160" t="s">
        <v>296</v>
      </c>
      <c r="H74" s="160" t="s">
        <v>296</v>
      </c>
      <c r="I74" s="160" t="s">
        <v>296</v>
      </c>
      <c r="J74" s="160">
        <v>3136</v>
      </c>
      <c r="K74" s="160" t="s">
        <v>296</v>
      </c>
      <c r="L74" s="160" t="s">
        <v>296</v>
      </c>
      <c r="M74" s="160" t="s">
        <v>296</v>
      </c>
      <c r="N74" s="160">
        <v>2410</v>
      </c>
      <c r="O74" s="160">
        <v>0</v>
      </c>
      <c r="P74" s="160" t="s">
        <v>296</v>
      </c>
      <c r="Q74" s="160" t="s">
        <v>296</v>
      </c>
    </row>
    <row r="75" spans="1:17" ht="15.75" customHeight="1">
      <c r="A75" s="158" t="s">
        <v>393</v>
      </c>
      <c r="B75" s="158" t="s">
        <v>394</v>
      </c>
      <c r="C75" s="160" t="s">
        <v>296</v>
      </c>
      <c r="D75" s="160">
        <v>-51</v>
      </c>
      <c r="E75" s="160" t="s">
        <v>296</v>
      </c>
      <c r="F75" s="160" t="s">
        <v>296</v>
      </c>
      <c r="G75" s="160" t="s">
        <v>296</v>
      </c>
      <c r="H75" s="160" t="s">
        <v>296</v>
      </c>
      <c r="I75" s="160" t="s">
        <v>296</v>
      </c>
      <c r="J75" s="160" t="s">
        <v>296</v>
      </c>
      <c r="K75" s="160" t="s">
        <v>296</v>
      </c>
      <c r="L75" s="160" t="s">
        <v>296</v>
      </c>
      <c r="M75" s="160" t="s">
        <v>296</v>
      </c>
      <c r="N75" s="160" t="s">
        <v>296</v>
      </c>
      <c r="O75" s="160" t="s">
        <v>296</v>
      </c>
      <c r="P75" s="160" t="s">
        <v>296</v>
      </c>
      <c r="Q75" s="160" t="s">
        <v>296</v>
      </c>
    </row>
    <row r="76" spans="1:17" ht="15.75" customHeight="1">
      <c r="A76" s="158" t="s">
        <v>395</v>
      </c>
      <c r="B76" s="158" t="s">
        <v>396</v>
      </c>
      <c r="C76" s="160" t="s">
        <v>296</v>
      </c>
      <c r="D76" s="160" t="s">
        <v>296</v>
      </c>
      <c r="E76" s="160" t="s">
        <v>296</v>
      </c>
      <c r="F76" s="160" t="s">
        <v>296</v>
      </c>
      <c r="G76" s="160" t="s">
        <v>296</v>
      </c>
      <c r="H76" s="160" t="s">
        <v>296</v>
      </c>
      <c r="I76" s="160" t="s">
        <v>296</v>
      </c>
      <c r="J76" s="160" t="s">
        <v>296</v>
      </c>
      <c r="K76" s="160" t="s">
        <v>296</v>
      </c>
      <c r="L76" s="160" t="s">
        <v>296</v>
      </c>
      <c r="M76" s="160">
        <v>8401</v>
      </c>
      <c r="N76" s="160">
        <v>433</v>
      </c>
      <c r="O76" s="160">
        <v>0</v>
      </c>
      <c r="P76" s="160" t="s">
        <v>296</v>
      </c>
      <c r="Q76" s="160" t="s">
        <v>296</v>
      </c>
    </row>
    <row r="77" spans="1:17" ht="15.75" customHeight="1">
      <c r="A77" s="158" t="s">
        <v>305</v>
      </c>
      <c r="B77" s="158" t="s">
        <v>397</v>
      </c>
      <c r="C77" s="160">
        <v>6703</v>
      </c>
      <c r="D77" s="160">
        <v>6722</v>
      </c>
      <c r="E77" s="160">
        <v>7976</v>
      </c>
      <c r="F77" s="160">
        <v>8619</v>
      </c>
      <c r="G77" s="160">
        <v>8504</v>
      </c>
      <c r="H77" s="160">
        <v>7584</v>
      </c>
      <c r="I77" s="160">
        <v>5459</v>
      </c>
      <c r="J77" s="160">
        <v>4780</v>
      </c>
      <c r="K77" s="160">
        <v>4751</v>
      </c>
      <c r="L77" s="160">
        <v>4586</v>
      </c>
      <c r="M77" s="160">
        <v>4860</v>
      </c>
      <c r="N77" s="160">
        <v>5515</v>
      </c>
      <c r="O77" s="160">
        <v>5294</v>
      </c>
      <c r="P77" s="160">
        <v>5749</v>
      </c>
      <c r="Q77" s="160">
        <v>6815</v>
      </c>
    </row>
    <row r="78" spans="1:17" ht="15.75" customHeight="1">
      <c r="A78" s="158" t="s">
        <v>307</v>
      </c>
      <c r="B78" s="158" t="s">
        <v>398</v>
      </c>
      <c r="C78" s="160">
        <v>876</v>
      </c>
      <c r="D78" s="160">
        <v>1202</v>
      </c>
      <c r="E78" s="160">
        <v>-18</v>
      </c>
      <c r="F78" s="160">
        <v>-514</v>
      </c>
      <c r="G78" s="160">
        <v>-519</v>
      </c>
      <c r="H78" s="160">
        <v>-1026</v>
      </c>
      <c r="I78" s="160">
        <v>745</v>
      </c>
      <c r="J78" s="160">
        <v>-180</v>
      </c>
      <c r="K78" s="160">
        <v>-470</v>
      </c>
      <c r="L78" s="160">
        <v>329</v>
      </c>
      <c r="M78" s="160">
        <v>1998</v>
      </c>
      <c r="N78" s="160">
        <v>-759</v>
      </c>
      <c r="O78" s="160">
        <v>430</v>
      </c>
      <c r="P78" s="160">
        <v>-171</v>
      </c>
      <c r="Q78" s="160">
        <v>-663</v>
      </c>
    </row>
    <row r="79" spans="1:17" ht="15.75" customHeight="1">
      <c r="A79" s="158" t="s">
        <v>399</v>
      </c>
      <c r="B79" s="158" t="s">
        <v>400</v>
      </c>
      <c r="C79" s="160">
        <v>15355</v>
      </c>
      <c r="D79" s="160">
        <v>15766</v>
      </c>
      <c r="E79" s="160">
        <v>17756</v>
      </c>
      <c r="F79" s="160">
        <v>16022</v>
      </c>
      <c r="G79" s="160">
        <v>16363</v>
      </c>
      <c r="H79" s="160">
        <v>14694</v>
      </c>
      <c r="I79" s="160">
        <v>13643</v>
      </c>
      <c r="J79" s="160">
        <v>9862</v>
      </c>
      <c r="K79" s="160">
        <v>6670</v>
      </c>
      <c r="L79" s="160">
        <v>14881</v>
      </c>
      <c r="M79" s="160">
        <v>13510</v>
      </c>
      <c r="N79" s="160">
        <v>13673</v>
      </c>
      <c r="O79" s="160">
        <v>11680</v>
      </c>
      <c r="P79" s="160">
        <v>15511</v>
      </c>
      <c r="Q79" s="160">
        <v>19436</v>
      </c>
    </row>
    <row r="80" spans="1:17" ht="15.75" customHeight="1">
      <c r="A80" s="158" t="s">
        <v>401</v>
      </c>
      <c r="B80" s="158" t="s">
        <v>402</v>
      </c>
      <c r="C80" s="162" t="s">
        <v>296</v>
      </c>
      <c r="D80" s="162" t="s">
        <v>296</v>
      </c>
      <c r="E80" s="162" t="s">
        <v>296</v>
      </c>
      <c r="F80" s="162" t="s">
        <v>296</v>
      </c>
      <c r="G80" s="162" t="s">
        <v>296</v>
      </c>
      <c r="H80" s="162" t="s">
        <v>296</v>
      </c>
      <c r="I80" s="162" t="s">
        <v>296</v>
      </c>
      <c r="J80" s="162" t="s">
        <v>296</v>
      </c>
      <c r="K80" s="162" t="s">
        <v>296</v>
      </c>
      <c r="L80" s="162" t="s">
        <v>296</v>
      </c>
      <c r="M80" s="162" t="s">
        <v>296</v>
      </c>
      <c r="N80" s="162" t="s">
        <v>296</v>
      </c>
      <c r="O80" s="162" t="s">
        <v>296</v>
      </c>
      <c r="P80" s="162">
        <v>3</v>
      </c>
      <c r="Q80" s="162" t="s">
        <v>296</v>
      </c>
    </row>
    <row r="81" spans="1:17" ht="15.75" customHeight="1">
      <c r="A81" s="158" t="s">
        <v>403</v>
      </c>
      <c r="B81" s="158" t="s">
        <v>404</v>
      </c>
      <c r="C81" s="160">
        <v>14921</v>
      </c>
      <c r="D81" s="160" t="s">
        <v>296</v>
      </c>
      <c r="E81" s="160" t="s">
        <v>296</v>
      </c>
      <c r="F81" s="160" t="s">
        <v>296</v>
      </c>
      <c r="G81" s="160" t="s">
        <v>296</v>
      </c>
      <c r="H81" s="160" t="s">
        <v>296</v>
      </c>
      <c r="I81" s="160" t="s">
        <v>296</v>
      </c>
      <c r="J81" s="160" t="s">
        <v>296</v>
      </c>
      <c r="K81" s="160" t="s">
        <v>296</v>
      </c>
      <c r="L81" s="160" t="s">
        <v>296</v>
      </c>
      <c r="M81" s="160" t="s">
        <v>296</v>
      </c>
      <c r="N81" s="160" t="s">
        <v>296</v>
      </c>
      <c r="O81" s="160" t="s">
        <v>296</v>
      </c>
      <c r="P81" s="160" t="s">
        <v>296</v>
      </c>
      <c r="Q81" s="160" t="s">
        <v>296</v>
      </c>
    </row>
    <row r="82" spans="1:17" ht="15.75" customHeight="1">
      <c r="A82" s="158" t="s">
        <v>405</v>
      </c>
      <c r="B82" s="158" t="s">
        <v>406</v>
      </c>
      <c r="C82" s="162">
        <v>32.200000000000003</v>
      </c>
      <c r="D82" s="162">
        <v>32.6</v>
      </c>
      <c r="E82" s="162">
        <v>31</v>
      </c>
      <c r="F82" s="162">
        <v>32.9</v>
      </c>
      <c r="G82" s="162">
        <v>32.200000000000003</v>
      </c>
      <c r="H82" s="162">
        <v>30.3</v>
      </c>
      <c r="I82" s="162">
        <v>30.3</v>
      </c>
      <c r="J82" s="162">
        <v>30.4</v>
      </c>
      <c r="K82" s="162">
        <v>37.4</v>
      </c>
      <c r="L82" s="162">
        <v>24.4</v>
      </c>
      <c r="M82" s="162">
        <v>33.299999999999997</v>
      </c>
      <c r="N82" s="162">
        <v>25.4</v>
      </c>
      <c r="O82" s="162">
        <v>33.6</v>
      </c>
      <c r="P82" s="162">
        <v>25.5</v>
      </c>
      <c r="Q82" s="162">
        <v>23.4</v>
      </c>
    </row>
    <row r="83" spans="1:17" ht="15.75" customHeight="1">
      <c r="A83" s="158" t="s">
        <v>407</v>
      </c>
      <c r="B83" s="158" t="s">
        <v>408</v>
      </c>
      <c r="C83" s="162">
        <v>4.07</v>
      </c>
      <c r="D83" s="162">
        <v>1.51</v>
      </c>
      <c r="E83" s="162">
        <v>5.01</v>
      </c>
      <c r="F83" s="162" t="s">
        <v>296</v>
      </c>
      <c r="G83" s="162" t="s">
        <v>296</v>
      </c>
      <c r="H83" s="162">
        <v>4.59</v>
      </c>
      <c r="I83" s="162">
        <v>4.32</v>
      </c>
      <c r="J83" s="162">
        <v>4.42</v>
      </c>
      <c r="K83" s="162">
        <v>4.91</v>
      </c>
      <c r="L83" s="162">
        <v>4.93</v>
      </c>
      <c r="M83" s="162">
        <v>5.48</v>
      </c>
      <c r="N83" s="162">
        <v>6.46</v>
      </c>
      <c r="O83" s="162">
        <v>6.29</v>
      </c>
      <c r="P83" s="162">
        <v>6.65</v>
      </c>
      <c r="Q83" s="162">
        <v>2.5099999999999998</v>
      </c>
    </row>
    <row r="84" spans="1:17" ht="15.75" customHeight="1">
      <c r="A84" s="158" t="s">
        <v>409</v>
      </c>
      <c r="B84" s="158" t="s">
        <v>410</v>
      </c>
      <c r="C84" s="160" t="s">
        <v>296</v>
      </c>
      <c r="D84" s="160" t="s">
        <v>296</v>
      </c>
      <c r="E84" s="160" t="s">
        <v>296</v>
      </c>
      <c r="F84" s="160" t="s">
        <v>296</v>
      </c>
      <c r="G84" s="160" t="s">
        <v>296</v>
      </c>
      <c r="H84" s="160" t="s">
        <v>296</v>
      </c>
      <c r="I84" s="160" t="s">
        <v>296</v>
      </c>
      <c r="J84" s="160" t="s">
        <v>296</v>
      </c>
      <c r="K84" s="160" t="s">
        <v>296</v>
      </c>
      <c r="L84" s="160">
        <v>480</v>
      </c>
      <c r="M84" s="160">
        <v>583</v>
      </c>
      <c r="N84" s="160">
        <v>565</v>
      </c>
      <c r="O84" s="160">
        <v>596</v>
      </c>
      <c r="P84" s="160">
        <v>755</v>
      </c>
      <c r="Q84" s="160">
        <v>891</v>
      </c>
    </row>
    <row r="85" spans="1:17" ht="15.75" customHeight="1">
      <c r="A85" s="158" t="s">
        <v>411</v>
      </c>
      <c r="B85" s="158" t="s">
        <v>412</v>
      </c>
      <c r="C85" s="160" t="s">
        <v>296</v>
      </c>
      <c r="D85" s="160" t="s">
        <v>296</v>
      </c>
      <c r="E85" s="160">
        <v>18.683</v>
      </c>
      <c r="F85" s="160">
        <v>19.137</v>
      </c>
      <c r="G85" s="160">
        <v>20.478000000000002</v>
      </c>
      <c r="H85" s="160">
        <v>21.782</v>
      </c>
      <c r="I85" s="160">
        <v>22.38</v>
      </c>
      <c r="J85" s="160">
        <v>24.437999999999999</v>
      </c>
      <c r="K85" s="160">
        <v>28.100999999999999</v>
      </c>
      <c r="L85" s="160">
        <v>27.751000000000001</v>
      </c>
      <c r="M85" s="160">
        <v>28.231000000000002</v>
      </c>
      <c r="N85" s="160">
        <v>29.997</v>
      </c>
      <c r="O85" s="160">
        <v>32.69</v>
      </c>
      <c r="P85" s="160">
        <v>32.131999999999998</v>
      </c>
      <c r="Q85" s="160" t="s">
        <v>296</v>
      </c>
    </row>
    <row r="86" spans="1:17" ht="15.75" customHeight="1">
      <c r="A86" s="158" t="s">
        <v>413</v>
      </c>
      <c r="B86" s="158" t="s">
        <v>414</v>
      </c>
      <c r="C86" s="160" t="s">
        <v>296</v>
      </c>
      <c r="D86" s="160" t="s">
        <v>296</v>
      </c>
      <c r="E86" s="160" t="s">
        <v>296</v>
      </c>
      <c r="F86" s="160" t="s">
        <v>296</v>
      </c>
      <c r="G86" s="160" t="s">
        <v>296</v>
      </c>
      <c r="H86" s="160" t="s">
        <v>296</v>
      </c>
      <c r="I86" s="160" t="s">
        <v>296</v>
      </c>
      <c r="J86" s="160" t="s">
        <v>296</v>
      </c>
      <c r="K86" s="160" t="s">
        <v>296</v>
      </c>
      <c r="L86" s="160" t="s">
        <v>296</v>
      </c>
      <c r="M86" s="160">
        <v>-8589</v>
      </c>
      <c r="N86" s="160">
        <v>2440</v>
      </c>
      <c r="O86" s="160">
        <v>1683</v>
      </c>
      <c r="P86" s="160">
        <v>3193</v>
      </c>
      <c r="Q86" s="160">
        <v>878</v>
      </c>
    </row>
    <row r="87" spans="1:17" ht="15.75" customHeight="1">
      <c r="A87" s="158" t="s">
        <v>415</v>
      </c>
      <c r="B87" s="158" t="s">
        <v>416</v>
      </c>
      <c r="C87" s="160" t="s">
        <v>296</v>
      </c>
      <c r="D87" s="160" t="s">
        <v>296</v>
      </c>
      <c r="E87" s="160">
        <v>16</v>
      </c>
      <c r="F87" s="160" t="s">
        <v>296</v>
      </c>
      <c r="G87" s="160" t="s">
        <v>296</v>
      </c>
      <c r="H87" s="160" t="s">
        <v>296</v>
      </c>
      <c r="I87" s="160" t="s">
        <v>296</v>
      </c>
      <c r="J87" s="160" t="s">
        <v>296</v>
      </c>
      <c r="K87" s="160" t="s">
        <v>296</v>
      </c>
      <c r="L87" s="160" t="s">
        <v>296</v>
      </c>
      <c r="M87" s="160" t="s">
        <v>296</v>
      </c>
      <c r="N87" s="160" t="s">
        <v>296</v>
      </c>
      <c r="O87" s="160" t="s">
        <v>296</v>
      </c>
      <c r="P87" s="160" t="s">
        <v>296</v>
      </c>
      <c r="Q87" s="160" t="s">
        <v>296</v>
      </c>
    </row>
    <row r="88" spans="1:17" ht="15.75" customHeight="1">
      <c r="A88" s="158" t="s">
        <v>417</v>
      </c>
      <c r="B88" s="158" t="s">
        <v>418</v>
      </c>
      <c r="C88" s="160" t="s">
        <v>296</v>
      </c>
      <c r="D88" s="160" t="s">
        <v>296</v>
      </c>
      <c r="E88" s="160" t="s">
        <v>296</v>
      </c>
      <c r="F88" s="160" t="s">
        <v>296</v>
      </c>
      <c r="G88" s="160" t="s">
        <v>296</v>
      </c>
      <c r="H88" s="160" t="s">
        <v>296</v>
      </c>
      <c r="I88" s="160" t="s">
        <v>296</v>
      </c>
      <c r="J88" s="160" t="s">
        <v>296</v>
      </c>
      <c r="K88" s="160" t="s">
        <v>296</v>
      </c>
      <c r="L88" s="160">
        <v>306</v>
      </c>
      <c r="M88" s="160">
        <v>298</v>
      </c>
      <c r="N88" s="160">
        <v>232</v>
      </c>
      <c r="O88" s="160">
        <v>256</v>
      </c>
      <c r="P88" s="160">
        <v>326</v>
      </c>
      <c r="Q88" s="160">
        <v>381</v>
      </c>
    </row>
    <row r="89" spans="1:17" ht="15.75" customHeight="1">
      <c r="A89" s="158" t="s">
        <v>419</v>
      </c>
      <c r="B89" s="158" t="s">
        <v>420</v>
      </c>
      <c r="C89" s="160" t="s">
        <v>296</v>
      </c>
      <c r="D89" s="160" t="s">
        <v>296</v>
      </c>
      <c r="E89" s="160">
        <v>17.518000000000001</v>
      </c>
      <c r="F89" s="160">
        <v>18.318000000000001</v>
      </c>
      <c r="G89" s="160">
        <v>19.277000000000001</v>
      </c>
      <c r="H89" s="160">
        <v>19.593</v>
      </c>
      <c r="I89" s="160">
        <v>20.469000000000001</v>
      </c>
      <c r="J89" s="160">
        <v>23.472999999999999</v>
      </c>
      <c r="K89" s="160">
        <v>27.347999999999999</v>
      </c>
      <c r="L89" s="160">
        <v>27.024000000000001</v>
      </c>
      <c r="M89" s="160">
        <v>27.555</v>
      </c>
      <c r="N89" s="160">
        <v>29.628</v>
      </c>
      <c r="O89" s="160">
        <v>32.598999999999997</v>
      </c>
      <c r="P89" s="160">
        <v>32.100999999999999</v>
      </c>
      <c r="Q89" s="160" t="s">
        <v>296</v>
      </c>
    </row>
    <row r="90" spans="1:17" ht="15.75" customHeight="1">
      <c r="A90" s="158" t="s">
        <v>421</v>
      </c>
      <c r="B90" s="158" t="s">
        <v>422</v>
      </c>
      <c r="C90" s="160" t="s">
        <v>296</v>
      </c>
      <c r="D90" s="160" t="s">
        <v>296</v>
      </c>
      <c r="E90" s="160">
        <v>1.165</v>
      </c>
      <c r="F90" s="160">
        <v>0.81899999999999995</v>
      </c>
      <c r="G90" s="160">
        <v>1.2010000000000001</v>
      </c>
      <c r="H90" s="160">
        <v>2.1890000000000001</v>
      </c>
      <c r="I90" s="160">
        <v>1.911</v>
      </c>
      <c r="J90" s="160">
        <v>0.96499999999999997</v>
      </c>
      <c r="K90" s="160">
        <v>0.753</v>
      </c>
      <c r="L90" s="160">
        <v>0.72699999999999998</v>
      </c>
      <c r="M90" s="160">
        <v>0.67600000000000005</v>
      </c>
      <c r="N90" s="160">
        <v>0.36899999999999999</v>
      </c>
      <c r="O90" s="160">
        <v>9.0999999999999998E-2</v>
      </c>
      <c r="P90" s="160">
        <v>3.1E-2</v>
      </c>
      <c r="Q90" s="160" t="s">
        <v>296</v>
      </c>
    </row>
    <row r="91" spans="1:17" ht="15.75" customHeight="1">
      <c r="A91" s="158" t="s">
        <v>423</v>
      </c>
      <c r="B91" s="158" t="s">
        <v>424</v>
      </c>
      <c r="C91" s="160" t="s">
        <v>296</v>
      </c>
      <c r="D91" s="160">
        <v>-68</v>
      </c>
      <c r="E91" s="160" t="s">
        <v>296</v>
      </c>
      <c r="F91" s="160" t="s">
        <v>296</v>
      </c>
      <c r="G91" s="160" t="s">
        <v>296</v>
      </c>
      <c r="H91" s="160" t="s">
        <v>296</v>
      </c>
      <c r="I91" s="160" t="s">
        <v>296</v>
      </c>
      <c r="J91" s="160" t="s">
        <v>296</v>
      </c>
      <c r="K91" s="160" t="s">
        <v>296</v>
      </c>
      <c r="L91" s="160" t="s">
        <v>296</v>
      </c>
      <c r="M91" s="160" t="s">
        <v>296</v>
      </c>
      <c r="N91" s="160" t="s">
        <v>296</v>
      </c>
      <c r="O91" s="160" t="s">
        <v>296</v>
      </c>
      <c r="P91" s="160" t="s">
        <v>296</v>
      </c>
      <c r="Q91" s="160" t="s">
        <v>296</v>
      </c>
    </row>
    <row r="92" spans="1:17" ht="15.75" customHeight="1">
      <c r="A92" s="158" t="s">
        <v>425</v>
      </c>
      <c r="B92" s="158" t="s">
        <v>426</v>
      </c>
      <c r="C92" s="162" t="s">
        <v>296</v>
      </c>
      <c r="D92" s="162" t="s">
        <v>296</v>
      </c>
      <c r="E92" s="162">
        <v>8.9</v>
      </c>
      <c r="F92" s="162">
        <v>8.1</v>
      </c>
      <c r="G92" s="162">
        <v>8.1999999999999993</v>
      </c>
      <c r="H92" s="162">
        <v>7.5</v>
      </c>
      <c r="I92" s="162">
        <v>7.2</v>
      </c>
      <c r="J92" s="162">
        <v>5.2</v>
      </c>
      <c r="K92" s="162">
        <v>3.4</v>
      </c>
      <c r="L92" s="162">
        <v>6.7</v>
      </c>
      <c r="M92" s="162">
        <v>5.6</v>
      </c>
      <c r="N92" s="162">
        <v>5.6</v>
      </c>
      <c r="O92" s="162">
        <v>4.5999999999999996</v>
      </c>
      <c r="P92" s="162">
        <v>6.6</v>
      </c>
      <c r="Q92" s="162">
        <v>7.9</v>
      </c>
    </row>
    <row r="93" spans="1:17" ht="15.75" customHeight="1">
      <c r="A93" s="158" t="s">
        <v>427</v>
      </c>
      <c r="B93" s="158" t="s">
        <v>428</v>
      </c>
      <c r="C93" s="162">
        <v>35</v>
      </c>
      <c r="D93" s="162">
        <v>35</v>
      </c>
      <c r="E93" s="162">
        <v>35</v>
      </c>
      <c r="F93" s="162">
        <v>35</v>
      </c>
      <c r="G93" s="162">
        <v>35</v>
      </c>
      <c r="H93" s="162">
        <v>35</v>
      </c>
      <c r="I93" s="162">
        <v>35</v>
      </c>
      <c r="J93" s="162">
        <v>33.799999999999997</v>
      </c>
      <c r="K93" s="162" t="s">
        <v>296</v>
      </c>
      <c r="L93" s="162">
        <v>21</v>
      </c>
      <c r="M93" s="162" t="s">
        <v>296</v>
      </c>
      <c r="N93" s="162" t="s">
        <v>296</v>
      </c>
      <c r="O93" s="162" t="s">
        <v>296</v>
      </c>
      <c r="P93" s="162" t="s">
        <v>296</v>
      </c>
      <c r="Q93" s="162" t="s">
        <v>296</v>
      </c>
    </row>
    <row r="94" spans="1:17" ht="15.75" customHeight="1">
      <c r="A94" s="158" t="s">
        <v>429</v>
      </c>
      <c r="B94" s="158" t="s">
        <v>430</v>
      </c>
      <c r="C94" s="160">
        <v>-434</v>
      </c>
      <c r="D94" s="160" t="s">
        <v>296</v>
      </c>
      <c r="E94" s="160" t="s">
        <v>296</v>
      </c>
      <c r="F94" s="160" t="s">
        <v>296</v>
      </c>
      <c r="G94" s="160" t="s">
        <v>296</v>
      </c>
      <c r="H94" s="160" t="s">
        <v>296</v>
      </c>
      <c r="I94" s="160" t="s">
        <v>296</v>
      </c>
      <c r="J94" s="160" t="s">
        <v>296</v>
      </c>
      <c r="K94" s="160" t="s">
        <v>296</v>
      </c>
      <c r="L94" s="160" t="s">
        <v>296</v>
      </c>
      <c r="M94" s="160">
        <v>77</v>
      </c>
      <c r="N94" s="160" t="s">
        <v>296</v>
      </c>
      <c r="O94" s="160" t="s">
        <v>296</v>
      </c>
      <c r="P94" s="160" t="s">
        <v>296</v>
      </c>
      <c r="Q94" s="160" t="s">
        <v>296</v>
      </c>
    </row>
    <row r="95" spans="1:17" ht="15.75" customHeight="1">
      <c r="A95" s="158" t="s">
        <v>431</v>
      </c>
      <c r="B95" s="158" t="s">
        <v>432</v>
      </c>
      <c r="C95" s="160" t="s">
        <v>296</v>
      </c>
      <c r="D95" s="160" t="s">
        <v>296</v>
      </c>
      <c r="E95" s="160" t="s">
        <v>296</v>
      </c>
      <c r="F95" s="160" t="s">
        <v>296</v>
      </c>
      <c r="G95" s="160" t="s">
        <v>296</v>
      </c>
      <c r="H95" s="160" t="s">
        <v>296</v>
      </c>
      <c r="I95" s="160" t="s">
        <v>296</v>
      </c>
      <c r="J95" s="160" t="s">
        <v>296</v>
      </c>
      <c r="K95" s="160" t="s">
        <v>296</v>
      </c>
      <c r="L95" s="160" t="s">
        <v>296</v>
      </c>
      <c r="M95" s="160" t="s">
        <v>296</v>
      </c>
      <c r="N95" s="160" t="s">
        <v>296</v>
      </c>
      <c r="O95" s="160" t="s">
        <v>296</v>
      </c>
      <c r="P95" s="160" t="s">
        <v>296</v>
      </c>
      <c r="Q95" s="160" t="s">
        <v>296</v>
      </c>
    </row>
    <row r="96" spans="1:17" ht="15.75" customHeight="1">
      <c r="A96" s="158" t="s">
        <v>433</v>
      </c>
      <c r="B96" s="158" t="s">
        <v>434</v>
      </c>
      <c r="C96" s="160">
        <v>2500</v>
      </c>
      <c r="D96" s="160">
        <v>2300</v>
      </c>
      <c r="E96" s="160">
        <v>2300</v>
      </c>
      <c r="F96" s="160">
        <v>2400</v>
      </c>
      <c r="G96" s="160">
        <v>2400</v>
      </c>
      <c r="H96" s="160">
        <v>2500</v>
      </c>
      <c r="I96" s="160">
        <v>2900</v>
      </c>
      <c r="J96" s="160">
        <v>3100</v>
      </c>
      <c r="K96" s="160">
        <v>3100</v>
      </c>
      <c r="L96" s="160">
        <v>3700</v>
      </c>
      <c r="M96" s="160">
        <v>3200</v>
      </c>
      <c r="N96" s="160">
        <v>3900</v>
      </c>
      <c r="O96" s="160">
        <v>4100</v>
      </c>
      <c r="P96" s="160">
        <v>4400</v>
      </c>
      <c r="Q96" s="160">
        <v>5100</v>
      </c>
    </row>
    <row r="97" spans="1:17" ht="15.75" customHeight="1">
      <c r="A97" s="158" t="s">
        <v>435</v>
      </c>
      <c r="B97" s="158" t="s">
        <v>436</v>
      </c>
      <c r="C97" s="160">
        <v>-259</v>
      </c>
      <c r="D97" s="160">
        <v>726</v>
      </c>
      <c r="E97" s="160">
        <v>-946</v>
      </c>
      <c r="F97" s="160">
        <v>377</v>
      </c>
      <c r="G97" s="160">
        <v>546</v>
      </c>
      <c r="H97" s="160">
        <v>541</v>
      </c>
      <c r="I97" s="160">
        <v>210</v>
      </c>
      <c r="J97" s="160">
        <v>-169</v>
      </c>
      <c r="K97" s="160">
        <v>188</v>
      </c>
      <c r="L97" s="160">
        <v>-28</v>
      </c>
      <c r="M97" s="160">
        <v>213</v>
      </c>
      <c r="N97" s="160">
        <v>230</v>
      </c>
      <c r="O97" s="160">
        <v>404</v>
      </c>
      <c r="P97" s="160">
        <v>-566</v>
      </c>
      <c r="Q97" s="160">
        <v>556</v>
      </c>
    </row>
    <row r="98" spans="1:17" ht="15.75" customHeight="1">
      <c r="A98" s="158" t="s">
        <v>437</v>
      </c>
      <c r="B98" s="158" t="s">
        <v>438</v>
      </c>
      <c r="C98" s="160">
        <v>52</v>
      </c>
      <c r="D98" s="160">
        <v>29</v>
      </c>
      <c r="E98" s="160">
        <v>31</v>
      </c>
      <c r="F98" s="160" t="s">
        <v>296</v>
      </c>
      <c r="G98" s="160" t="s">
        <v>296</v>
      </c>
      <c r="H98" s="160" t="s">
        <v>296</v>
      </c>
      <c r="I98" s="160" t="s">
        <v>296</v>
      </c>
      <c r="J98" s="160" t="s">
        <v>296</v>
      </c>
      <c r="K98" s="160" t="s">
        <v>296</v>
      </c>
      <c r="L98" s="160" t="s">
        <v>296</v>
      </c>
      <c r="M98" s="160" t="s">
        <v>296</v>
      </c>
      <c r="N98" s="160" t="s">
        <v>296</v>
      </c>
      <c r="O98" s="160" t="s">
        <v>296</v>
      </c>
      <c r="P98" s="160" t="s">
        <v>296</v>
      </c>
      <c r="Q98" s="160" t="s">
        <v>296</v>
      </c>
    </row>
    <row r="99" spans="1:17" ht="15.75" customHeight="1">
      <c r="A99" s="158" t="s">
        <v>439</v>
      </c>
      <c r="B99" s="158" t="s">
        <v>440</v>
      </c>
      <c r="C99" s="160" t="s">
        <v>296</v>
      </c>
      <c r="D99" s="160" t="s">
        <v>296</v>
      </c>
      <c r="E99" s="160">
        <v>38970</v>
      </c>
      <c r="F99" s="160">
        <v>38689</v>
      </c>
      <c r="G99" s="160">
        <v>39210</v>
      </c>
      <c r="H99" s="160">
        <v>36172</v>
      </c>
      <c r="I99" s="160" t="s">
        <v>296</v>
      </c>
      <c r="J99" s="160" t="s">
        <v>296</v>
      </c>
      <c r="K99" s="160">
        <v>21957</v>
      </c>
      <c r="L99" s="160">
        <v>21407</v>
      </c>
      <c r="M99" s="160">
        <v>23180</v>
      </c>
      <c r="N99" s="160">
        <v>26050</v>
      </c>
      <c r="O99" s="160">
        <v>24602</v>
      </c>
      <c r="P99" s="160">
        <v>27105</v>
      </c>
      <c r="Q99" s="160">
        <v>29504</v>
      </c>
    </row>
    <row r="100" spans="1:17" ht="15.75" customHeight="1">
      <c r="A100" s="158" t="s">
        <v>441</v>
      </c>
      <c r="B100" s="158" t="s">
        <v>442</v>
      </c>
      <c r="C100" s="160">
        <v>371</v>
      </c>
      <c r="D100" s="160">
        <v>355</v>
      </c>
      <c r="E100" s="160">
        <v>378</v>
      </c>
      <c r="F100" s="160">
        <v>388</v>
      </c>
      <c r="G100" s="160">
        <v>462</v>
      </c>
      <c r="H100" s="160">
        <v>448</v>
      </c>
      <c r="I100" s="160">
        <v>596</v>
      </c>
      <c r="J100" s="160">
        <v>626</v>
      </c>
      <c r="K100" s="160">
        <v>773</v>
      </c>
      <c r="L100" s="160">
        <v>854</v>
      </c>
      <c r="M100" s="160">
        <v>1169</v>
      </c>
      <c r="N100" s="160">
        <v>1163</v>
      </c>
      <c r="O100" s="160">
        <v>1578</v>
      </c>
      <c r="P100" s="160">
        <v>2093</v>
      </c>
      <c r="Q100" s="160">
        <v>2769</v>
      </c>
    </row>
    <row r="101" spans="1:17" ht="15.75" customHeight="1">
      <c r="A101" s="158" t="s">
        <v>443</v>
      </c>
      <c r="B101" s="158" t="s">
        <v>444</v>
      </c>
      <c r="C101" s="160">
        <v>1466</v>
      </c>
      <c r="D101" s="160">
        <v>1383</v>
      </c>
      <c r="E101" s="160">
        <v>1743</v>
      </c>
      <c r="F101" s="160">
        <v>1523</v>
      </c>
      <c r="G101" s="160">
        <v>1529</v>
      </c>
      <c r="H101" s="160">
        <v>1400</v>
      </c>
      <c r="I101" s="160">
        <v>1510</v>
      </c>
      <c r="J101" s="160">
        <v>1377</v>
      </c>
      <c r="K101" s="160">
        <v>1495</v>
      </c>
      <c r="L101" s="160">
        <v>1205</v>
      </c>
      <c r="M101" s="160">
        <v>1127</v>
      </c>
      <c r="N101" s="160">
        <v>1553</v>
      </c>
      <c r="O101" s="160">
        <v>2654</v>
      </c>
      <c r="P101" s="160">
        <v>1772</v>
      </c>
      <c r="Q101" s="160">
        <v>2451</v>
      </c>
    </row>
    <row r="102" spans="1:17" ht="15.75" customHeight="1">
      <c r="A102" s="158" t="s">
        <v>445</v>
      </c>
      <c r="B102" s="158" t="s">
        <v>446</v>
      </c>
      <c r="C102" s="160">
        <v>4600</v>
      </c>
      <c r="D102" s="160">
        <v>4596</v>
      </c>
      <c r="E102" s="160">
        <v>5611</v>
      </c>
      <c r="F102" s="160">
        <v>6377</v>
      </c>
      <c r="G102" s="160">
        <v>6165</v>
      </c>
      <c r="H102" s="160">
        <v>5562</v>
      </c>
      <c r="I102" s="160">
        <v>3454</v>
      </c>
      <c r="J102" s="160">
        <v>2998</v>
      </c>
      <c r="K102" s="160">
        <v>2763</v>
      </c>
      <c r="L102" s="160">
        <v>2794</v>
      </c>
      <c r="M102" s="160">
        <v>2991</v>
      </c>
      <c r="N102" s="160">
        <v>3313</v>
      </c>
      <c r="O102" s="160">
        <v>2030</v>
      </c>
      <c r="P102" s="160">
        <v>3215</v>
      </c>
      <c r="Q102" s="160">
        <v>3478</v>
      </c>
    </row>
    <row r="103" spans="1:17" ht="15.75" customHeight="1">
      <c r="A103" s="158" t="s">
        <v>447</v>
      </c>
      <c r="B103" s="158" t="s">
        <v>448</v>
      </c>
      <c r="C103" s="160">
        <v>637</v>
      </c>
      <c r="D103" s="160">
        <v>743</v>
      </c>
      <c r="E103" s="160">
        <v>622</v>
      </c>
      <c r="F103" s="160">
        <v>719</v>
      </c>
      <c r="G103" s="160">
        <v>810</v>
      </c>
      <c r="H103" s="160">
        <v>622</v>
      </c>
      <c r="I103" s="160">
        <v>495</v>
      </c>
      <c r="J103" s="160">
        <v>405</v>
      </c>
      <c r="K103" s="160">
        <v>493</v>
      </c>
      <c r="L103" s="160">
        <v>587</v>
      </c>
      <c r="M103" s="160">
        <v>742</v>
      </c>
      <c r="N103" s="160">
        <v>649</v>
      </c>
      <c r="O103" s="160">
        <v>610</v>
      </c>
      <c r="P103" s="160">
        <v>762</v>
      </c>
      <c r="Q103" s="160">
        <v>886</v>
      </c>
    </row>
    <row r="104" spans="1:17" ht="15.75" customHeight="1">
      <c r="A104" s="158" t="s">
        <v>449</v>
      </c>
      <c r="B104" s="158" t="s">
        <v>450</v>
      </c>
      <c r="C104" s="160">
        <v>19</v>
      </c>
      <c r="D104" s="160">
        <v>-299</v>
      </c>
      <c r="E104" s="160">
        <v>-48</v>
      </c>
      <c r="F104" s="160">
        <v>-479</v>
      </c>
      <c r="G104" s="160">
        <v>-77</v>
      </c>
      <c r="H104" s="160">
        <v>-216</v>
      </c>
      <c r="I104" s="160">
        <v>-360</v>
      </c>
      <c r="J104" s="160">
        <v>-146</v>
      </c>
      <c r="K104" s="160">
        <v>-93</v>
      </c>
      <c r="L104" s="160">
        <v>-369</v>
      </c>
      <c r="M104" s="160">
        <v>-341</v>
      </c>
      <c r="N104" s="160">
        <v>-129</v>
      </c>
      <c r="O104" s="160">
        <v>-297</v>
      </c>
      <c r="P104" s="160">
        <v>126</v>
      </c>
      <c r="Q104" s="160">
        <v>-479</v>
      </c>
    </row>
    <row r="105" spans="1:17" ht="15.75" customHeight="1">
      <c r="A105" s="158" t="s">
        <v>451</v>
      </c>
      <c r="B105" s="158" t="s">
        <v>452</v>
      </c>
      <c r="C105" s="160">
        <v>818</v>
      </c>
      <c r="D105" s="160">
        <v>1444</v>
      </c>
      <c r="E105" s="160">
        <v>38</v>
      </c>
      <c r="F105" s="160">
        <v>-72</v>
      </c>
      <c r="G105" s="160">
        <v>-387</v>
      </c>
      <c r="H105" s="160">
        <v>-704</v>
      </c>
      <c r="I105" s="160">
        <v>1054</v>
      </c>
      <c r="J105" s="160">
        <v>-22</v>
      </c>
      <c r="K105" s="160">
        <v>-361</v>
      </c>
      <c r="L105" s="160">
        <v>663</v>
      </c>
      <c r="M105" s="160">
        <v>2316</v>
      </c>
      <c r="N105" s="160">
        <v>-671</v>
      </c>
      <c r="O105" s="160">
        <v>608</v>
      </c>
      <c r="P105" s="160">
        <v>-438</v>
      </c>
      <c r="Q105" s="160">
        <v>-214</v>
      </c>
    </row>
    <row r="106" spans="1:17" ht="15.75" customHeight="1">
      <c r="A106" s="158" t="s">
        <v>453</v>
      </c>
      <c r="B106" s="158" t="s">
        <v>454</v>
      </c>
      <c r="C106" s="160">
        <v>39</v>
      </c>
      <c r="D106" s="160">
        <v>57</v>
      </c>
      <c r="E106" s="160">
        <v>-8</v>
      </c>
      <c r="F106" s="160">
        <v>37</v>
      </c>
      <c r="G106" s="160">
        <v>-55</v>
      </c>
      <c r="H106" s="160">
        <v>-106</v>
      </c>
      <c r="I106" s="160">
        <v>51</v>
      </c>
      <c r="J106" s="160">
        <v>-12</v>
      </c>
      <c r="K106" s="160">
        <v>-16</v>
      </c>
      <c r="L106" s="160">
        <v>35</v>
      </c>
      <c r="M106" s="160">
        <v>23</v>
      </c>
      <c r="N106" s="160">
        <v>41</v>
      </c>
      <c r="O106" s="160">
        <v>119</v>
      </c>
      <c r="P106" s="160">
        <v>141</v>
      </c>
      <c r="Q106" s="160">
        <v>30</v>
      </c>
    </row>
    <row r="107" spans="1:17" ht="15.75" customHeight="1">
      <c r="A107" s="158" t="s">
        <v>455</v>
      </c>
      <c r="B107" s="158" t="s">
        <v>456</v>
      </c>
      <c r="C107" s="160" t="s">
        <v>296</v>
      </c>
      <c r="D107" s="160" t="s">
        <v>296</v>
      </c>
      <c r="E107" s="160" t="s">
        <v>296</v>
      </c>
      <c r="F107" s="160" t="s">
        <v>296</v>
      </c>
      <c r="G107" s="160" t="s">
        <v>296</v>
      </c>
      <c r="H107" s="160" t="s">
        <v>296</v>
      </c>
      <c r="I107" s="160" t="s">
        <v>296</v>
      </c>
      <c r="J107" s="160" t="s">
        <v>296</v>
      </c>
      <c r="K107" s="160" t="s">
        <v>296</v>
      </c>
      <c r="L107" s="160" t="s">
        <v>296</v>
      </c>
      <c r="M107" s="160" t="s">
        <v>296</v>
      </c>
      <c r="N107" s="160" t="s">
        <v>296</v>
      </c>
      <c r="O107" s="160" t="s">
        <v>296</v>
      </c>
      <c r="P107" s="160">
        <v>130878</v>
      </c>
      <c r="Q107" s="160">
        <v>139728</v>
      </c>
    </row>
    <row r="108" spans="1:17" ht="15.75" customHeight="1">
      <c r="A108" s="158" t="s">
        <v>457</v>
      </c>
      <c r="B108" s="158" t="s">
        <v>458</v>
      </c>
      <c r="C108" s="162">
        <v>19.2</v>
      </c>
      <c r="D108" s="162">
        <v>18.600000000000001</v>
      </c>
      <c r="E108" s="162">
        <v>18.100000000000001</v>
      </c>
      <c r="F108" s="162">
        <v>17</v>
      </c>
      <c r="G108" s="162">
        <v>16.899999999999999</v>
      </c>
      <c r="H108" s="162">
        <v>15.5</v>
      </c>
      <c r="I108" s="162">
        <v>15.2</v>
      </c>
      <c r="J108" s="162">
        <v>14.2</v>
      </c>
      <c r="K108" s="162">
        <v>14.2</v>
      </c>
      <c r="L108" s="162">
        <v>13.4</v>
      </c>
      <c r="M108" s="162">
        <v>14</v>
      </c>
      <c r="N108" s="162">
        <v>14.9</v>
      </c>
      <c r="O108" s="162">
        <v>12.7</v>
      </c>
      <c r="P108" s="162">
        <v>15</v>
      </c>
      <c r="Q108" s="162">
        <v>15.5</v>
      </c>
    </row>
    <row r="109" spans="1:17" ht="15.75" customHeight="1">
      <c r="A109" s="158" t="s">
        <v>459</v>
      </c>
      <c r="B109" s="158" t="s">
        <v>460</v>
      </c>
      <c r="C109" s="162" t="s">
        <v>296</v>
      </c>
      <c r="D109" s="162" t="s">
        <v>296</v>
      </c>
      <c r="E109" s="162" t="s">
        <v>296</v>
      </c>
      <c r="F109" s="162">
        <v>0.01</v>
      </c>
      <c r="G109" s="162" t="s">
        <v>296</v>
      </c>
      <c r="H109" s="162" t="s">
        <v>296</v>
      </c>
      <c r="I109" s="162" t="s">
        <v>296</v>
      </c>
      <c r="J109" s="162">
        <v>0.28000000000000003</v>
      </c>
      <c r="K109" s="162" t="s">
        <v>296</v>
      </c>
      <c r="L109" s="162">
        <v>0.21</v>
      </c>
      <c r="M109" s="162">
        <v>0.1</v>
      </c>
      <c r="N109" s="162">
        <v>0.06</v>
      </c>
      <c r="O109" s="162">
        <v>0.54</v>
      </c>
      <c r="P109" s="162" t="s">
        <v>296</v>
      </c>
      <c r="Q109" s="162">
        <v>0.02</v>
      </c>
    </row>
    <row r="110" spans="1:17" ht="15.75" customHeight="1">
      <c r="A110" s="158" t="s">
        <v>461</v>
      </c>
      <c r="B110" s="158" t="s">
        <v>462</v>
      </c>
      <c r="C110" s="162" t="s">
        <v>296</v>
      </c>
      <c r="D110" s="162" t="s">
        <v>296</v>
      </c>
      <c r="E110" s="162" t="s">
        <v>296</v>
      </c>
      <c r="F110" s="162">
        <v>0.19</v>
      </c>
      <c r="G110" s="162" t="s">
        <v>296</v>
      </c>
      <c r="H110" s="162">
        <v>0.16</v>
      </c>
      <c r="I110" s="162">
        <v>0.08</v>
      </c>
      <c r="J110" s="162">
        <v>0.18</v>
      </c>
      <c r="K110" s="162" t="s">
        <v>296</v>
      </c>
      <c r="L110" s="162" t="s">
        <v>296</v>
      </c>
      <c r="M110" s="162">
        <v>0.06</v>
      </c>
      <c r="N110" s="162" t="s">
        <v>296</v>
      </c>
      <c r="O110" s="162" t="s">
        <v>296</v>
      </c>
      <c r="P110" s="162" t="s">
        <v>296</v>
      </c>
      <c r="Q110" s="162" t="s">
        <v>296</v>
      </c>
    </row>
    <row r="111" spans="1:17" ht="15.75" customHeight="1">
      <c r="A111" s="158" t="s">
        <v>463</v>
      </c>
      <c r="B111" s="158" t="s">
        <v>464</v>
      </c>
      <c r="C111" s="162" t="s">
        <v>296</v>
      </c>
      <c r="D111" s="162" t="s">
        <v>296</v>
      </c>
      <c r="E111" s="162" t="s">
        <v>296</v>
      </c>
      <c r="F111" s="162" t="s">
        <v>296</v>
      </c>
      <c r="G111" s="162">
        <v>0.05</v>
      </c>
      <c r="H111" s="162" t="s">
        <v>296</v>
      </c>
      <c r="I111" s="162" t="s">
        <v>296</v>
      </c>
      <c r="J111" s="162">
        <v>-0.03</v>
      </c>
      <c r="K111" s="162" t="s">
        <v>296</v>
      </c>
      <c r="L111" s="162" t="s">
        <v>296</v>
      </c>
      <c r="M111" s="162" t="s">
        <v>296</v>
      </c>
      <c r="N111" s="162" t="s">
        <v>296</v>
      </c>
      <c r="O111" s="162">
        <v>1.05</v>
      </c>
      <c r="P111" s="162">
        <v>0.03</v>
      </c>
      <c r="Q111" s="162">
        <v>-0.01</v>
      </c>
    </row>
    <row r="112" spans="1:17" ht="15.75" customHeight="1">
      <c r="A112" s="158" t="s">
        <v>465</v>
      </c>
      <c r="B112" s="158" t="s">
        <v>466</v>
      </c>
      <c r="C112" s="162" t="s">
        <v>296</v>
      </c>
      <c r="D112" s="162" t="s">
        <v>296</v>
      </c>
      <c r="E112" s="162" t="s">
        <v>296</v>
      </c>
      <c r="F112" s="162" t="s">
        <v>296</v>
      </c>
      <c r="G112" s="162" t="s">
        <v>296</v>
      </c>
      <c r="H112" s="162" t="s">
        <v>296</v>
      </c>
      <c r="I112" s="162">
        <v>-0.14000000000000001</v>
      </c>
      <c r="J112" s="162">
        <v>-0.05</v>
      </c>
      <c r="K112" s="162">
        <v>1.54</v>
      </c>
      <c r="L112" s="162" t="s">
        <v>296</v>
      </c>
      <c r="M112" s="162">
        <v>2.99</v>
      </c>
      <c r="N112" s="162">
        <v>0.15</v>
      </c>
      <c r="O112" s="162" t="s">
        <v>296</v>
      </c>
      <c r="P112" s="162" t="s">
        <v>296</v>
      </c>
      <c r="Q112" s="162" t="s">
        <v>296</v>
      </c>
    </row>
    <row r="113" spans="1:17" ht="15.75" customHeight="1">
      <c r="A113" s="158" t="s">
        <v>467</v>
      </c>
      <c r="B113" s="158" t="s">
        <v>468</v>
      </c>
      <c r="C113" s="162" t="s">
        <v>296</v>
      </c>
      <c r="D113" s="162" t="s">
        <v>296</v>
      </c>
      <c r="E113" s="162" t="s">
        <v>296</v>
      </c>
      <c r="F113" s="162" t="s">
        <v>296</v>
      </c>
      <c r="G113" s="162" t="s">
        <v>296</v>
      </c>
      <c r="H113" s="162" t="s">
        <v>296</v>
      </c>
      <c r="I113" s="162" t="s">
        <v>296</v>
      </c>
      <c r="J113" s="162">
        <v>0.16</v>
      </c>
      <c r="K113" s="162" t="s">
        <v>296</v>
      </c>
      <c r="L113" s="162" t="s">
        <v>296</v>
      </c>
      <c r="M113" s="162" t="s">
        <v>296</v>
      </c>
      <c r="N113" s="162" t="s">
        <v>296</v>
      </c>
      <c r="O113" s="162" t="s">
        <v>296</v>
      </c>
      <c r="P113" s="162" t="s">
        <v>296</v>
      </c>
      <c r="Q113" s="162" t="s">
        <v>296</v>
      </c>
    </row>
    <row r="114" spans="1:17" ht="15.75" customHeight="1">
      <c r="A114" s="158" t="s">
        <v>469</v>
      </c>
      <c r="B114" s="158" t="s">
        <v>470</v>
      </c>
      <c r="C114" s="162">
        <v>-0.11</v>
      </c>
      <c r="D114" s="162">
        <v>0.05</v>
      </c>
      <c r="E114" s="162" t="s">
        <v>296</v>
      </c>
      <c r="F114" s="162" t="s">
        <v>296</v>
      </c>
      <c r="G114" s="162" t="s">
        <v>296</v>
      </c>
      <c r="H114" s="162">
        <v>-0.14000000000000001</v>
      </c>
      <c r="I114" s="162" t="s">
        <v>296</v>
      </c>
      <c r="J114" s="162">
        <v>-7.0000000000000007E-2</v>
      </c>
      <c r="K114" s="162">
        <v>0.16</v>
      </c>
      <c r="L114" s="162">
        <v>0.04</v>
      </c>
      <c r="M114" s="162">
        <v>-0.02</v>
      </c>
      <c r="N114" s="162" t="s">
        <v>296</v>
      </c>
      <c r="O114" s="162">
        <v>-0.06</v>
      </c>
      <c r="P114" s="162" t="s">
        <v>296</v>
      </c>
      <c r="Q114" s="162" t="s">
        <v>296</v>
      </c>
    </row>
    <row r="115" spans="1:17" ht="15.75" customHeight="1">
      <c r="A115" s="158" t="s">
        <v>471</v>
      </c>
      <c r="B115" s="158" t="s">
        <v>472</v>
      </c>
      <c r="C115" s="162" t="s">
        <v>296</v>
      </c>
      <c r="D115" s="162" t="s">
        <v>296</v>
      </c>
      <c r="E115" s="162" t="s">
        <v>296</v>
      </c>
      <c r="F115" s="162" t="s">
        <v>296</v>
      </c>
      <c r="G115" s="162">
        <v>22</v>
      </c>
      <c r="H115" s="162">
        <v>12</v>
      </c>
      <c r="I115" s="162">
        <v>15.5</v>
      </c>
      <c r="J115" s="162">
        <v>44</v>
      </c>
      <c r="K115" s="162">
        <v>40</v>
      </c>
      <c r="L115" s="162">
        <v>37</v>
      </c>
      <c r="M115" s="162">
        <v>79</v>
      </c>
      <c r="N115" s="162">
        <v>11</v>
      </c>
      <c r="O115" s="162" t="s">
        <v>296</v>
      </c>
      <c r="P115" s="162" t="s">
        <v>296</v>
      </c>
      <c r="Q115" s="162" t="s">
        <v>296</v>
      </c>
    </row>
    <row r="116" spans="1:17" ht="15.75" customHeight="1">
      <c r="A116" s="158" t="s">
        <v>473</v>
      </c>
      <c r="B116" s="158" t="s">
        <v>474</v>
      </c>
      <c r="C116" s="160">
        <v>25542</v>
      </c>
      <c r="D116" s="160">
        <v>26491</v>
      </c>
      <c r="E116" s="160">
        <v>27725</v>
      </c>
      <c r="F116" s="160">
        <v>26872</v>
      </c>
      <c r="G116" s="160">
        <v>27147</v>
      </c>
      <c r="H116" s="160">
        <v>24105</v>
      </c>
      <c r="I116" s="160">
        <v>22764</v>
      </c>
      <c r="J116" s="160">
        <v>20437</v>
      </c>
      <c r="K116" s="160">
        <v>21957</v>
      </c>
      <c r="L116" s="160">
        <v>20568</v>
      </c>
      <c r="M116" s="160">
        <v>22548</v>
      </c>
      <c r="N116" s="160">
        <v>25942</v>
      </c>
      <c r="O116" s="160">
        <v>20428</v>
      </c>
      <c r="P116" s="160">
        <v>27012</v>
      </c>
      <c r="Q116" s="160">
        <v>29348</v>
      </c>
    </row>
    <row r="117" spans="1:17" ht="15.75" customHeight="1">
      <c r="A117" s="158" t="s">
        <v>475</v>
      </c>
      <c r="B117" s="158" t="s">
        <v>476</v>
      </c>
      <c r="C117" s="162">
        <v>6.1</v>
      </c>
      <c r="D117" s="162">
        <v>6</v>
      </c>
      <c r="E117" s="162">
        <v>6</v>
      </c>
      <c r="F117" s="162">
        <v>5.7</v>
      </c>
      <c r="G117" s="162">
        <v>5.6</v>
      </c>
      <c r="H117" s="162">
        <v>5</v>
      </c>
      <c r="I117" s="162">
        <v>4.7</v>
      </c>
      <c r="J117" s="162">
        <v>4.0999999999999996</v>
      </c>
      <c r="K117" s="162">
        <v>4.3</v>
      </c>
      <c r="L117" s="162">
        <v>4</v>
      </c>
      <c r="M117" s="162">
        <v>4.0999999999999996</v>
      </c>
      <c r="N117" s="162">
        <v>4.5999999999999996</v>
      </c>
      <c r="O117" s="162">
        <v>3.4</v>
      </c>
      <c r="P117" s="162">
        <v>4.2</v>
      </c>
      <c r="Q117" s="162">
        <v>4.4000000000000004</v>
      </c>
    </row>
    <row r="118" spans="1:17" ht="15.75" customHeight="1">
      <c r="A118" s="158" t="s">
        <v>477</v>
      </c>
      <c r="B118" s="158" t="s">
        <v>478</v>
      </c>
      <c r="C118" s="162">
        <v>24.8</v>
      </c>
      <c r="D118" s="162">
        <v>24.5</v>
      </c>
      <c r="E118" s="162">
        <v>24.3</v>
      </c>
      <c r="F118" s="162">
        <v>24.3</v>
      </c>
      <c r="G118" s="162">
        <v>24.3</v>
      </c>
      <c r="H118" s="162">
        <v>24.6</v>
      </c>
      <c r="I118" s="162">
        <v>24.9</v>
      </c>
      <c r="J118" s="162">
        <v>24.7</v>
      </c>
      <c r="K118" s="162">
        <v>24.5</v>
      </c>
      <c r="L118" s="162">
        <v>24.1</v>
      </c>
      <c r="M118" s="162">
        <v>24.3</v>
      </c>
      <c r="N118" s="162">
        <v>24.4</v>
      </c>
      <c r="O118" s="162">
        <v>23.5</v>
      </c>
      <c r="P118" s="162">
        <v>23.7</v>
      </c>
      <c r="Q118" s="162">
        <v>24.1</v>
      </c>
    </row>
    <row r="119" spans="1:17" ht="15.75" customHeight="1">
      <c r="A119" s="158" t="s">
        <v>479</v>
      </c>
      <c r="B119" s="158" t="s">
        <v>480</v>
      </c>
      <c r="C119" s="162">
        <v>3.4</v>
      </c>
      <c r="D119" s="162">
        <v>6</v>
      </c>
      <c r="E119" s="162">
        <v>5</v>
      </c>
      <c r="F119" s="162">
        <v>1.6</v>
      </c>
      <c r="G119" s="162">
        <v>1.9</v>
      </c>
      <c r="H119" s="162">
        <v>-0.7</v>
      </c>
      <c r="I119" s="162">
        <v>0.8</v>
      </c>
      <c r="J119" s="162">
        <v>3</v>
      </c>
      <c r="K119" s="162">
        <v>2.8</v>
      </c>
      <c r="L119" s="162">
        <v>1.9</v>
      </c>
      <c r="M119" s="162">
        <v>6.8</v>
      </c>
      <c r="N119" s="162">
        <v>2.2999999999999998</v>
      </c>
      <c r="O119" s="162">
        <v>6.7</v>
      </c>
      <c r="P119" s="162">
        <v>6.1</v>
      </c>
      <c r="Q119" s="162">
        <v>5.0999999999999996</v>
      </c>
    </row>
    <row r="120" spans="1:17" ht="15.75" customHeight="1">
      <c r="A120" s="158" t="s">
        <v>481</v>
      </c>
      <c r="B120" s="158" t="s">
        <v>482</v>
      </c>
      <c r="C120" s="160">
        <v>12699</v>
      </c>
      <c r="D120" s="160">
        <v>13510</v>
      </c>
      <c r="E120" s="160">
        <v>12898</v>
      </c>
      <c r="F120" s="160">
        <v>13115</v>
      </c>
      <c r="G120" s="160">
        <v>12174</v>
      </c>
      <c r="H120" s="160">
        <v>11477</v>
      </c>
      <c r="I120" s="160">
        <v>10619</v>
      </c>
      <c r="J120" s="160">
        <v>10051</v>
      </c>
      <c r="K120" s="160">
        <v>21957</v>
      </c>
      <c r="L120" s="160">
        <v>20568</v>
      </c>
      <c r="M120" s="160">
        <v>10264</v>
      </c>
      <c r="N120" s="160">
        <v>13106</v>
      </c>
      <c r="O120" s="160">
        <v>16857</v>
      </c>
      <c r="P120" s="160">
        <v>20606</v>
      </c>
      <c r="Q120" s="160">
        <v>23783</v>
      </c>
    </row>
    <row r="121" spans="1:17" ht="15.75" customHeight="1">
      <c r="A121" s="158" t="s">
        <v>483</v>
      </c>
      <c r="B121" s="158" t="s">
        <v>484</v>
      </c>
      <c r="C121" s="160">
        <v>141</v>
      </c>
      <c r="D121" s="160">
        <v>134</v>
      </c>
      <c r="E121" s="160">
        <v>142</v>
      </c>
      <c r="F121" s="160">
        <v>145</v>
      </c>
      <c r="G121" s="160">
        <v>173</v>
      </c>
      <c r="H121" s="160">
        <v>151</v>
      </c>
      <c r="I121" s="160">
        <v>212</v>
      </c>
      <c r="J121" s="160">
        <v>150</v>
      </c>
      <c r="K121" s="160">
        <v>181</v>
      </c>
      <c r="L121" s="160">
        <v>202</v>
      </c>
      <c r="M121" s="160">
        <v>300</v>
      </c>
      <c r="N121" s="160">
        <v>300</v>
      </c>
      <c r="O121" s="160">
        <v>400</v>
      </c>
      <c r="P121" s="160">
        <v>500</v>
      </c>
      <c r="Q121" s="160">
        <v>700</v>
      </c>
    </row>
    <row r="122" spans="1:17" ht="15.75" customHeight="1">
      <c r="A122" s="158" t="s">
        <v>485</v>
      </c>
      <c r="B122" s="158" t="s">
        <v>486</v>
      </c>
      <c r="C122" s="160" t="s">
        <v>296</v>
      </c>
      <c r="D122" s="160" t="s">
        <v>296</v>
      </c>
      <c r="E122" s="160" t="s">
        <v>296</v>
      </c>
      <c r="F122" s="160" t="s">
        <v>296</v>
      </c>
      <c r="G122" s="160" t="s">
        <v>296</v>
      </c>
      <c r="H122" s="160" t="s">
        <v>296</v>
      </c>
      <c r="I122" s="160" t="s">
        <v>296</v>
      </c>
      <c r="J122" s="160" t="s">
        <v>296</v>
      </c>
      <c r="K122" s="160" t="s">
        <v>296</v>
      </c>
      <c r="L122" s="160" t="s">
        <v>296</v>
      </c>
      <c r="M122" s="160" t="s">
        <v>296</v>
      </c>
      <c r="N122" s="160" t="s">
        <v>296</v>
      </c>
      <c r="O122" s="160" t="s">
        <v>296</v>
      </c>
      <c r="P122" s="160" t="s">
        <v>296</v>
      </c>
      <c r="Q122" s="160">
        <v>42477</v>
      </c>
    </row>
    <row r="123" spans="1:17" ht="15.75" customHeight="1">
      <c r="A123" s="158" t="s">
        <v>487</v>
      </c>
      <c r="B123" s="158" t="s">
        <v>488</v>
      </c>
      <c r="C123" s="162" t="s">
        <v>296</v>
      </c>
      <c r="D123" s="162" t="s">
        <v>296</v>
      </c>
      <c r="E123" s="162">
        <v>5.0999999999999996</v>
      </c>
      <c r="F123" s="162">
        <v>2.5</v>
      </c>
      <c r="G123" s="162">
        <v>3.1</v>
      </c>
      <c r="H123" s="162">
        <v>2.8</v>
      </c>
      <c r="I123" s="162">
        <v>3.1</v>
      </c>
      <c r="J123" s="162">
        <v>3.1</v>
      </c>
      <c r="K123" s="162">
        <v>3</v>
      </c>
      <c r="L123" s="162">
        <v>2.7</v>
      </c>
      <c r="M123" s="162">
        <v>7.7</v>
      </c>
      <c r="N123" s="162">
        <v>1.6</v>
      </c>
      <c r="O123" s="162">
        <v>7.4</v>
      </c>
      <c r="P123" s="162">
        <v>5.5</v>
      </c>
      <c r="Q123" s="162">
        <v>5.6</v>
      </c>
    </row>
    <row r="124" spans="1:17" ht="15.75" customHeight="1">
      <c r="A124" s="158" t="s">
        <v>489</v>
      </c>
      <c r="B124" s="158" t="s">
        <v>490</v>
      </c>
      <c r="C124" s="162" t="s">
        <v>296</v>
      </c>
      <c r="D124" s="162" t="s">
        <v>296</v>
      </c>
      <c r="E124" s="162">
        <v>4.9000000000000004</v>
      </c>
      <c r="F124" s="162">
        <v>-2.4</v>
      </c>
      <c r="G124" s="162">
        <v>1.9</v>
      </c>
      <c r="H124" s="162">
        <v>-8.4</v>
      </c>
      <c r="I124" s="162">
        <v>-2.9</v>
      </c>
      <c r="J124" s="162">
        <v>-9.9</v>
      </c>
      <c r="K124" s="162">
        <v>7.4</v>
      </c>
      <c r="L124" s="162">
        <v>-5.8</v>
      </c>
      <c r="M124" s="162">
        <v>10.5</v>
      </c>
      <c r="N124" s="162">
        <v>13.9</v>
      </c>
      <c r="O124" s="162">
        <v>-21</v>
      </c>
      <c r="P124" s="162">
        <v>29.8</v>
      </c>
      <c r="Q124" s="162">
        <v>9.5</v>
      </c>
    </row>
    <row r="125" spans="1:17" ht="15.75" customHeight="1">
      <c r="A125" s="163" t="s">
        <v>491</v>
      </c>
      <c r="B125" s="163"/>
      <c r="C125" s="163" t="s">
        <v>492</v>
      </c>
      <c r="D125" s="163"/>
      <c r="E125" s="163"/>
      <c r="F125" s="163"/>
      <c r="G125" s="163"/>
      <c r="H125" s="163"/>
      <c r="I125" s="163"/>
      <c r="J125" s="163"/>
      <c r="K125" s="163"/>
      <c r="L125" s="163"/>
      <c r="M125" s="163"/>
      <c r="N125" s="163"/>
      <c r="O125" s="163"/>
      <c r="P125" s="163"/>
      <c r="Q125" s="163"/>
    </row>
    <row r="126" spans="1:17" ht="15.75" customHeight="1"/>
    <row r="127" spans="1:17" ht="15.75" customHeight="1"/>
    <row r="128" spans="1:17"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5" footer="0.5"/>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FEC4F-0835-4BC0-B552-203A9068BF2E}">
  <dimension ref="A1:Q55"/>
  <sheetViews>
    <sheetView zoomScale="85" zoomScaleNormal="85" workbookViewId="0">
      <selection activeCell="G15" sqref="G15"/>
    </sheetView>
  </sheetViews>
  <sheetFormatPr defaultColWidth="8.85546875" defaultRowHeight="15"/>
  <cols>
    <col min="1" max="1" width="35.140625" style="151" customWidth="1"/>
    <col min="2" max="2" width="0" style="151" hidden="1" customWidth="1"/>
    <col min="3" max="17" width="11.85546875" style="151" customWidth="1"/>
    <col min="18" max="16384" width="8.85546875" style="151"/>
  </cols>
  <sheetData>
    <row r="1" spans="1:17">
      <c r="A1" s="164"/>
      <c r="B1" s="164"/>
      <c r="C1" s="164"/>
      <c r="D1" s="164"/>
      <c r="E1" s="164"/>
      <c r="F1" s="164"/>
      <c r="G1" s="164"/>
      <c r="H1" s="164"/>
      <c r="I1" s="164"/>
      <c r="J1" s="164"/>
      <c r="K1" s="164"/>
      <c r="L1" s="164"/>
      <c r="M1" s="164"/>
      <c r="N1" s="164"/>
      <c r="O1" s="164"/>
      <c r="P1" s="164"/>
      <c r="Q1" s="164"/>
    </row>
    <row r="2" spans="1:17" ht="20.100000000000001">
      <c r="A2" s="165" t="s">
        <v>241</v>
      </c>
      <c r="B2" s="165"/>
      <c r="C2" s="165"/>
      <c r="D2" s="165"/>
      <c r="E2" s="165"/>
      <c r="F2" s="165"/>
      <c r="G2" s="165"/>
      <c r="H2" s="165"/>
      <c r="I2" s="165"/>
      <c r="J2" s="165"/>
      <c r="K2" s="165"/>
      <c r="L2" s="165"/>
      <c r="M2" s="165"/>
      <c r="N2" s="165"/>
      <c r="O2" s="165"/>
      <c r="P2" s="165"/>
      <c r="Q2" s="165"/>
    </row>
    <row r="3" spans="1:17">
      <c r="A3" s="166"/>
      <c r="B3" s="166"/>
      <c r="C3" s="166"/>
      <c r="D3" s="166"/>
      <c r="E3" s="166"/>
      <c r="F3" s="166"/>
      <c r="G3" s="166"/>
      <c r="H3" s="166"/>
      <c r="I3" s="166"/>
      <c r="J3" s="166"/>
      <c r="K3" s="166"/>
      <c r="L3" s="166"/>
      <c r="M3" s="166"/>
      <c r="N3" s="166"/>
      <c r="O3" s="166"/>
      <c r="P3" s="166"/>
      <c r="Q3" s="166"/>
    </row>
    <row r="4" spans="1:17">
      <c r="A4" s="167" t="s">
        <v>242</v>
      </c>
      <c r="B4" s="167"/>
      <c r="C4" s="168" t="s">
        <v>243</v>
      </c>
      <c r="D4" s="168" t="s">
        <v>244</v>
      </c>
      <c r="E4" s="168" t="s">
        <v>245</v>
      </c>
      <c r="F4" s="168" t="s">
        <v>246</v>
      </c>
      <c r="G4" s="168" t="s">
        <v>247</v>
      </c>
      <c r="H4" s="168" t="s">
        <v>248</v>
      </c>
      <c r="I4" s="168" t="s">
        <v>249</v>
      </c>
      <c r="J4" s="168" t="s">
        <v>250</v>
      </c>
      <c r="K4" s="168" t="s">
        <v>251</v>
      </c>
      <c r="L4" s="168" t="s">
        <v>252</v>
      </c>
      <c r="M4" s="168" t="s">
        <v>253</v>
      </c>
      <c r="N4" s="168" t="s">
        <v>254</v>
      </c>
      <c r="O4" s="168" t="s">
        <v>255</v>
      </c>
      <c r="P4" s="168" t="s">
        <v>256</v>
      </c>
      <c r="Q4" s="168" t="s">
        <v>257</v>
      </c>
    </row>
    <row r="5" spans="1:17">
      <c r="A5" s="169" t="s">
        <v>258</v>
      </c>
      <c r="B5" s="169"/>
      <c r="C5" s="170" t="s">
        <v>259</v>
      </c>
      <c r="D5" s="170" t="s">
        <v>260</v>
      </c>
      <c r="E5" s="170" t="s">
        <v>261</v>
      </c>
      <c r="F5" s="170" t="s">
        <v>262</v>
      </c>
      <c r="G5" s="170" t="s">
        <v>263</v>
      </c>
      <c r="H5" s="170" t="s">
        <v>264</v>
      </c>
      <c r="I5" s="170" t="s">
        <v>265</v>
      </c>
      <c r="J5" s="170" t="s">
        <v>266</v>
      </c>
      <c r="K5" s="170" t="s">
        <v>267</v>
      </c>
      <c r="L5" s="170" t="s">
        <v>268</v>
      </c>
      <c r="M5" s="170" t="s">
        <v>269</v>
      </c>
      <c r="N5" s="170" t="s">
        <v>270</v>
      </c>
      <c r="O5" s="170" t="s">
        <v>271</v>
      </c>
      <c r="P5" s="170" t="s">
        <v>272</v>
      </c>
      <c r="Q5" s="170" t="s">
        <v>273</v>
      </c>
    </row>
    <row r="6" spans="1:17">
      <c r="A6" s="171" t="s">
        <v>493</v>
      </c>
      <c r="B6" s="172"/>
      <c r="C6" s="172"/>
      <c r="D6" s="172"/>
      <c r="E6" s="172"/>
      <c r="F6" s="172"/>
      <c r="G6" s="172"/>
      <c r="H6" s="172"/>
      <c r="I6" s="172"/>
      <c r="J6" s="172"/>
      <c r="K6" s="172"/>
      <c r="L6" s="172"/>
      <c r="M6" s="172"/>
      <c r="N6" s="172"/>
      <c r="O6" s="172"/>
      <c r="P6" s="172"/>
      <c r="Q6" s="172"/>
    </row>
    <row r="7" spans="1:17">
      <c r="A7" s="173" t="s">
        <v>494</v>
      </c>
      <c r="B7" s="174"/>
      <c r="C7" s="174"/>
      <c r="D7" s="174"/>
      <c r="E7" s="174"/>
      <c r="F7" s="174"/>
      <c r="G7" s="174"/>
      <c r="H7" s="174"/>
      <c r="I7" s="174"/>
      <c r="J7" s="174"/>
      <c r="K7" s="174"/>
      <c r="L7" s="174"/>
      <c r="M7" s="174"/>
      <c r="N7" s="174"/>
      <c r="O7" s="174"/>
      <c r="P7" s="174"/>
      <c r="Q7" s="174"/>
    </row>
    <row r="8" spans="1:17">
      <c r="A8" s="173" t="s">
        <v>495</v>
      </c>
      <c r="B8" s="173" t="s">
        <v>496</v>
      </c>
      <c r="C8" s="175">
        <v>16389</v>
      </c>
      <c r="D8" s="175">
        <v>16387</v>
      </c>
      <c r="E8" s="175">
        <v>17756</v>
      </c>
      <c r="F8" s="175">
        <v>16695</v>
      </c>
      <c r="G8" s="175">
        <v>17099</v>
      </c>
      <c r="H8" s="175">
        <v>15080</v>
      </c>
      <c r="I8" s="175">
        <v>14293</v>
      </c>
      <c r="J8" s="175">
        <v>10523</v>
      </c>
      <c r="K8" s="175">
        <v>7179</v>
      </c>
      <c r="L8" s="175">
        <v>15201</v>
      </c>
      <c r="M8" s="175">
        <v>13706</v>
      </c>
      <c r="N8" s="175">
        <v>13940</v>
      </c>
      <c r="O8" s="175">
        <v>11292</v>
      </c>
      <c r="P8" s="175">
        <v>16270</v>
      </c>
      <c r="Q8" s="175">
        <v>20157</v>
      </c>
    </row>
    <row r="9" spans="1:17">
      <c r="A9" s="173" t="s">
        <v>497</v>
      </c>
      <c r="B9" s="173" t="s">
        <v>498</v>
      </c>
      <c r="C9" s="175">
        <v>7641</v>
      </c>
      <c r="D9" s="175">
        <v>8106</v>
      </c>
      <c r="E9" s="175">
        <v>8478</v>
      </c>
      <c r="F9" s="175">
        <v>8870</v>
      </c>
      <c r="G9" s="175">
        <v>9173</v>
      </c>
      <c r="H9" s="175">
        <v>9454</v>
      </c>
      <c r="I9" s="175">
        <v>10080</v>
      </c>
      <c r="J9" s="175">
        <v>10529</v>
      </c>
      <c r="K9" s="175">
        <v>10678</v>
      </c>
      <c r="L9" s="175">
        <v>10987</v>
      </c>
      <c r="M9" s="175">
        <v>11152</v>
      </c>
      <c r="N9" s="175">
        <v>10658</v>
      </c>
      <c r="O9" s="175">
        <v>10945</v>
      </c>
      <c r="P9" s="175">
        <v>11853</v>
      </c>
      <c r="Q9" s="175">
        <v>12973</v>
      </c>
    </row>
    <row r="10" spans="1:17">
      <c r="A10" s="173" t="s">
        <v>499</v>
      </c>
      <c r="B10" s="173" t="s">
        <v>500</v>
      </c>
      <c r="C10" s="175">
        <v>651</v>
      </c>
      <c r="D10" s="175">
        <v>1050</v>
      </c>
      <c r="E10" s="175">
        <v>-133</v>
      </c>
      <c r="F10" s="175">
        <v>-279</v>
      </c>
      <c r="G10" s="175">
        <v>-503</v>
      </c>
      <c r="H10" s="175">
        <v>-672</v>
      </c>
      <c r="I10" s="175">
        <v>761</v>
      </c>
      <c r="J10" s="175">
        <v>-304</v>
      </c>
      <c r="K10" s="175">
        <v>-499</v>
      </c>
      <c r="L10" s="175">
        <v>320</v>
      </c>
      <c r="M10" s="175">
        <v>1911</v>
      </c>
      <c r="N10" s="175">
        <v>-755</v>
      </c>
      <c r="O10" s="175">
        <v>449</v>
      </c>
      <c r="P10" s="175">
        <v>-175</v>
      </c>
      <c r="Q10" s="175">
        <v>-635</v>
      </c>
    </row>
    <row r="11" spans="1:17">
      <c r="A11" s="173" t="s">
        <v>501</v>
      </c>
      <c r="B11" s="173" t="s">
        <v>502</v>
      </c>
      <c r="C11" s="175" t="s">
        <v>296</v>
      </c>
      <c r="D11" s="175" t="s">
        <v>296</v>
      </c>
      <c r="E11" s="175" t="s">
        <v>296</v>
      </c>
      <c r="F11" s="175" t="s">
        <v>296</v>
      </c>
      <c r="G11" s="175" t="s">
        <v>296</v>
      </c>
      <c r="H11" s="175" t="s">
        <v>296</v>
      </c>
      <c r="I11" s="175">
        <v>0</v>
      </c>
      <c r="J11" s="175">
        <v>0</v>
      </c>
      <c r="K11" s="175" t="s">
        <v>296</v>
      </c>
      <c r="L11" s="175" t="s">
        <v>296</v>
      </c>
      <c r="M11" s="175" t="s">
        <v>296</v>
      </c>
      <c r="N11" s="175" t="s">
        <v>296</v>
      </c>
      <c r="O11" s="175" t="s">
        <v>296</v>
      </c>
      <c r="P11" s="175" t="s">
        <v>296</v>
      </c>
      <c r="Q11" s="175" t="s">
        <v>296</v>
      </c>
    </row>
    <row r="12" spans="1:17">
      <c r="A12" s="173" t="s">
        <v>503</v>
      </c>
      <c r="B12" s="173" t="s">
        <v>504</v>
      </c>
      <c r="C12" s="175">
        <v>-1034</v>
      </c>
      <c r="D12" s="175">
        <v>21</v>
      </c>
      <c r="E12" s="175">
        <v>-52</v>
      </c>
      <c r="F12" s="175">
        <v>-144</v>
      </c>
      <c r="G12" s="175">
        <v>-285</v>
      </c>
      <c r="H12" s="175" t="s">
        <v>296</v>
      </c>
      <c r="I12" s="175" t="s">
        <v>296</v>
      </c>
      <c r="J12" s="175" t="s">
        <v>296</v>
      </c>
      <c r="K12" s="175" t="s">
        <v>296</v>
      </c>
      <c r="L12" s="175" t="s">
        <v>296</v>
      </c>
      <c r="M12" s="175" t="s">
        <v>296</v>
      </c>
      <c r="N12" s="175" t="s">
        <v>296</v>
      </c>
      <c r="O12" s="175" t="s">
        <v>296</v>
      </c>
      <c r="P12" s="175" t="s">
        <v>296</v>
      </c>
      <c r="Q12" s="175" t="s">
        <v>296</v>
      </c>
    </row>
    <row r="13" spans="1:17">
      <c r="A13" s="173" t="s">
        <v>505</v>
      </c>
      <c r="B13" s="173" t="s">
        <v>506</v>
      </c>
      <c r="C13" s="175">
        <v>1691</v>
      </c>
      <c r="D13" s="175">
        <v>468</v>
      </c>
      <c r="E13" s="175">
        <v>602</v>
      </c>
      <c r="F13" s="175">
        <v>938</v>
      </c>
      <c r="G13" s="175">
        <v>785</v>
      </c>
      <c r="H13" s="175">
        <v>1410</v>
      </c>
      <c r="I13" s="175">
        <v>206</v>
      </c>
      <c r="J13" s="175">
        <v>1210</v>
      </c>
      <c r="K13" s="175">
        <v>1734</v>
      </c>
      <c r="L13" s="175">
        <v>1981</v>
      </c>
      <c r="M13" s="175">
        <v>1521</v>
      </c>
      <c r="N13" s="175">
        <v>1652</v>
      </c>
      <c r="O13" s="175">
        <v>1919</v>
      </c>
      <c r="P13" s="175">
        <v>2642</v>
      </c>
      <c r="Q13" s="175">
        <v>2889</v>
      </c>
    </row>
    <row r="14" spans="1:17">
      <c r="A14" s="173" t="s">
        <v>507</v>
      </c>
      <c r="B14" s="173" t="s">
        <v>508</v>
      </c>
      <c r="C14" s="175">
        <v>-3205</v>
      </c>
      <c r="D14" s="175">
        <v>-3727</v>
      </c>
      <c r="E14" s="175">
        <v>-2759</v>
      </c>
      <c r="F14" s="175">
        <v>-1667</v>
      </c>
      <c r="G14" s="175">
        <v>-1229</v>
      </c>
      <c r="H14" s="175">
        <v>-703</v>
      </c>
      <c r="I14" s="175">
        <v>1021</v>
      </c>
      <c r="J14" s="175">
        <v>-140</v>
      </c>
      <c r="K14" s="175">
        <v>-1311</v>
      </c>
      <c r="L14" s="175">
        <v>-300</v>
      </c>
      <c r="M14" s="175">
        <v>-2395</v>
      </c>
      <c r="N14" s="175">
        <v>-11764</v>
      </c>
      <c r="O14" s="175">
        <v>-528</v>
      </c>
      <c r="P14" s="175">
        <v>2017</v>
      </c>
      <c r="Q14" s="175">
        <v>-2755</v>
      </c>
    </row>
    <row r="15" spans="1:17">
      <c r="A15" s="173" t="s">
        <v>509</v>
      </c>
      <c r="B15" s="173" t="s">
        <v>510</v>
      </c>
      <c r="C15" s="175">
        <v>2676</v>
      </c>
      <c r="D15" s="175">
        <v>2687</v>
      </c>
      <c r="E15" s="175">
        <v>1061</v>
      </c>
      <c r="F15" s="175">
        <v>531</v>
      </c>
      <c r="G15" s="175">
        <v>2678</v>
      </c>
      <c r="H15" s="175">
        <v>2008</v>
      </c>
      <c r="I15" s="175">
        <v>3942</v>
      </c>
      <c r="J15" s="175">
        <v>4086</v>
      </c>
      <c r="K15" s="175">
        <v>1831</v>
      </c>
      <c r="L15" s="175">
        <v>-274</v>
      </c>
      <c r="M15" s="175">
        <v>6966</v>
      </c>
      <c r="N15" s="175">
        <v>5520</v>
      </c>
      <c r="O15" s="175">
        <v>-1425</v>
      </c>
      <c r="P15" s="175">
        <v>2515</v>
      </c>
      <c r="Q15" s="175">
        <v>3228</v>
      </c>
    </row>
    <row r="16" spans="1:17">
      <c r="A16" s="173" t="s">
        <v>511</v>
      </c>
      <c r="B16" s="173" t="s">
        <v>512</v>
      </c>
      <c r="C16" s="175">
        <v>-733</v>
      </c>
      <c r="D16" s="175">
        <v>-796</v>
      </c>
      <c r="E16" s="175">
        <v>-614</v>
      </c>
      <c r="F16" s="175">
        <v>-566</v>
      </c>
      <c r="G16" s="175">
        <v>-569</v>
      </c>
      <c r="H16" s="175">
        <v>-19</v>
      </c>
      <c r="I16" s="175">
        <v>-402</v>
      </c>
      <c r="J16" s="175">
        <v>-1074</v>
      </c>
      <c r="K16" s="175">
        <v>-368</v>
      </c>
      <c r="L16" s="175">
        <v>154</v>
      </c>
      <c r="M16" s="175">
        <v>-1086</v>
      </c>
      <c r="N16" s="175">
        <v>-1796</v>
      </c>
      <c r="O16" s="175">
        <v>240</v>
      </c>
      <c r="P16" s="175">
        <v>-797</v>
      </c>
      <c r="Q16" s="175">
        <v>-1106</v>
      </c>
    </row>
    <row r="17" spans="1:17">
      <c r="A17" s="173" t="s">
        <v>513</v>
      </c>
      <c r="B17" s="173" t="s">
        <v>514</v>
      </c>
      <c r="C17" s="175">
        <v>-280</v>
      </c>
      <c r="D17" s="175">
        <v>-935</v>
      </c>
      <c r="E17" s="175">
        <v>271</v>
      </c>
      <c r="F17" s="175">
        <v>103</v>
      </c>
      <c r="G17" s="175">
        <v>1249</v>
      </c>
      <c r="H17" s="175">
        <v>1466</v>
      </c>
      <c r="I17" s="175">
        <v>1280</v>
      </c>
      <c r="J17" s="175">
        <v>928</v>
      </c>
      <c r="K17" s="175">
        <v>183</v>
      </c>
      <c r="L17" s="175">
        <v>186</v>
      </c>
      <c r="M17" s="175">
        <v>4623</v>
      </c>
      <c r="N17" s="175">
        <v>1404</v>
      </c>
      <c r="O17" s="175">
        <v>4393</v>
      </c>
      <c r="P17" s="175">
        <v>-1324</v>
      </c>
      <c r="Q17" s="175">
        <v>379</v>
      </c>
    </row>
    <row r="18" spans="1:17">
      <c r="A18" s="173" t="s">
        <v>515</v>
      </c>
      <c r="B18" s="173" t="s">
        <v>516</v>
      </c>
      <c r="C18" s="175">
        <v>-153</v>
      </c>
      <c r="D18" s="175">
        <v>994</v>
      </c>
      <c r="E18" s="175">
        <v>981</v>
      </c>
      <c r="F18" s="175">
        <v>-1224</v>
      </c>
      <c r="G18" s="175">
        <v>166</v>
      </c>
      <c r="H18" s="175">
        <v>-472</v>
      </c>
      <c r="I18" s="175">
        <v>492</v>
      </c>
      <c r="J18" s="175">
        <v>-557</v>
      </c>
      <c r="K18" s="175">
        <v>-40</v>
      </c>
      <c r="L18" s="175">
        <v>-93</v>
      </c>
      <c r="M18" s="175">
        <v>-136</v>
      </c>
      <c r="N18" s="175">
        <v>39</v>
      </c>
      <c r="O18" s="175">
        <v>-127</v>
      </c>
      <c r="P18" s="175">
        <v>-468</v>
      </c>
      <c r="Q18" s="175">
        <v>435</v>
      </c>
    </row>
    <row r="19" spans="1:17">
      <c r="A19" s="173" t="s">
        <v>517</v>
      </c>
      <c r="B19" s="173" t="s">
        <v>518</v>
      </c>
      <c r="C19" s="175" t="s">
        <v>296</v>
      </c>
      <c r="D19" s="175" t="s">
        <v>296</v>
      </c>
      <c r="E19" s="175" t="s">
        <v>296</v>
      </c>
      <c r="F19" s="175" t="s">
        <v>296</v>
      </c>
      <c r="G19" s="175" t="s">
        <v>296</v>
      </c>
      <c r="H19" s="175" t="s">
        <v>296</v>
      </c>
      <c r="I19" s="175" t="s">
        <v>296</v>
      </c>
      <c r="J19" s="175" t="s">
        <v>296</v>
      </c>
      <c r="K19" s="175">
        <v>0</v>
      </c>
      <c r="L19" s="175">
        <v>-1036</v>
      </c>
      <c r="M19" s="175">
        <v>0</v>
      </c>
      <c r="N19" s="175">
        <v>0</v>
      </c>
      <c r="O19" s="175" t="s">
        <v>296</v>
      </c>
      <c r="P19" s="175" t="s">
        <v>296</v>
      </c>
      <c r="Q19" s="175" t="s">
        <v>296</v>
      </c>
    </row>
    <row r="20" spans="1:17">
      <c r="A20" s="173" t="s">
        <v>519</v>
      </c>
      <c r="B20" s="173" t="s">
        <v>520</v>
      </c>
      <c r="C20" s="175">
        <v>23643</v>
      </c>
      <c r="D20" s="175">
        <v>24255</v>
      </c>
      <c r="E20" s="175">
        <v>25591</v>
      </c>
      <c r="F20" s="175">
        <v>23257</v>
      </c>
      <c r="G20" s="175">
        <v>28564</v>
      </c>
      <c r="H20" s="175">
        <v>27552</v>
      </c>
      <c r="I20" s="175">
        <v>31673</v>
      </c>
      <c r="J20" s="175">
        <v>28337</v>
      </c>
      <c r="K20" s="175">
        <v>27753</v>
      </c>
      <c r="L20" s="175">
        <v>25255</v>
      </c>
      <c r="M20" s="175">
        <v>36074</v>
      </c>
      <c r="N20" s="175">
        <v>24181</v>
      </c>
      <c r="O20" s="175">
        <v>28841</v>
      </c>
      <c r="P20" s="175">
        <v>35726</v>
      </c>
      <c r="Q20" s="175">
        <v>36443</v>
      </c>
    </row>
    <row r="21" spans="1:17">
      <c r="A21" s="173" t="s">
        <v>521</v>
      </c>
      <c r="B21" s="173" t="s">
        <v>522</v>
      </c>
      <c r="C21" s="175">
        <v>15959</v>
      </c>
      <c r="D21" s="175">
        <v>16408</v>
      </c>
      <c r="E21" s="175">
        <v>17704</v>
      </c>
      <c r="F21" s="175">
        <v>16551</v>
      </c>
      <c r="G21" s="175">
        <v>16814</v>
      </c>
      <c r="H21" s="175" t="s">
        <v>296</v>
      </c>
      <c r="I21" s="175" t="s">
        <v>296</v>
      </c>
      <c r="J21" s="175" t="s">
        <v>296</v>
      </c>
      <c r="K21" s="175" t="s">
        <v>296</v>
      </c>
      <c r="L21" s="175" t="s">
        <v>296</v>
      </c>
      <c r="M21" s="175" t="s">
        <v>296</v>
      </c>
      <c r="N21" s="175" t="s">
        <v>296</v>
      </c>
      <c r="O21" s="175" t="s">
        <v>296</v>
      </c>
      <c r="P21" s="175" t="s">
        <v>296</v>
      </c>
      <c r="Q21" s="175" t="s">
        <v>296</v>
      </c>
    </row>
    <row r="22" spans="1:17">
      <c r="A22" s="173" t="s">
        <v>523</v>
      </c>
      <c r="B22" s="173" t="s">
        <v>524</v>
      </c>
      <c r="C22" s="175" t="s">
        <v>296</v>
      </c>
      <c r="D22" s="175" t="s">
        <v>296</v>
      </c>
      <c r="E22" s="175" t="s">
        <v>296</v>
      </c>
      <c r="F22" s="175" t="s">
        <v>296</v>
      </c>
      <c r="G22" s="175" t="s">
        <v>296</v>
      </c>
      <c r="H22" s="175">
        <v>0</v>
      </c>
      <c r="I22" s="175">
        <v>0</v>
      </c>
      <c r="J22" s="175">
        <v>3136</v>
      </c>
      <c r="K22" s="175" t="s">
        <v>296</v>
      </c>
      <c r="L22" s="175" t="s">
        <v>296</v>
      </c>
      <c r="M22" s="175" t="s">
        <v>296</v>
      </c>
      <c r="N22" s="175">
        <v>2410</v>
      </c>
      <c r="O22" s="175">
        <v>0</v>
      </c>
      <c r="P22" s="175">
        <v>0</v>
      </c>
      <c r="Q22" s="175" t="s">
        <v>296</v>
      </c>
    </row>
    <row r="23" spans="1:17">
      <c r="A23" s="173" t="s">
        <v>525</v>
      </c>
      <c r="B23" s="173" t="s">
        <v>526</v>
      </c>
      <c r="C23" s="175" t="s">
        <v>296</v>
      </c>
      <c r="D23" s="175" t="s">
        <v>296</v>
      </c>
      <c r="E23" s="175" t="s">
        <v>296</v>
      </c>
      <c r="F23" s="175" t="s">
        <v>296</v>
      </c>
      <c r="G23" s="175" t="s">
        <v>296</v>
      </c>
      <c r="H23" s="175" t="s">
        <v>296</v>
      </c>
      <c r="I23" s="175">
        <v>0</v>
      </c>
      <c r="J23" s="175">
        <v>0</v>
      </c>
      <c r="K23" s="175" t="s">
        <v>296</v>
      </c>
      <c r="L23" s="175" t="s">
        <v>296</v>
      </c>
      <c r="M23" s="175" t="s">
        <v>296</v>
      </c>
      <c r="N23" s="175" t="s">
        <v>296</v>
      </c>
      <c r="O23" s="175" t="s">
        <v>296</v>
      </c>
      <c r="P23" s="175" t="s">
        <v>296</v>
      </c>
      <c r="Q23" s="175" t="s">
        <v>296</v>
      </c>
    </row>
    <row r="24" spans="1:17">
      <c r="A24" s="173" t="s">
        <v>527</v>
      </c>
      <c r="B24" s="173" t="s">
        <v>528</v>
      </c>
      <c r="C24" s="175" t="s">
        <v>296</v>
      </c>
      <c r="D24" s="175" t="s">
        <v>296</v>
      </c>
      <c r="E24" s="175" t="s">
        <v>296</v>
      </c>
      <c r="F24" s="175" t="s">
        <v>296</v>
      </c>
      <c r="G24" s="175" t="s">
        <v>296</v>
      </c>
      <c r="H24" s="175" t="s">
        <v>296</v>
      </c>
      <c r="I24" s="175" t="s">
        <v>296</v>
      </c>
      <c r="J24" s="175" t="s">
        <v>296</v>
      </c>
      <c r="K24" s="175">
        <v>4850</v>
      </c>
      <c r="L24" s="175">
        <v>15</v>
      </c>
      <c r="M24" s="175">
        <v>8401</v>
      </c>
      <c r="N24" s="175">
        <v>433</v>
      </c>
      <c r="O24" s="175">
        <v>0</v>
      </c>
      <c r="P24" s="175">
        <v>0</v>
      </c>
      <c r="Q24" s="175" t="s">
        <v>296</v>
      </c>
    </row>
    <row r="25" spans="1:17">
      <c r="A25" s="173" t="s">
        <v>529</v>
      </c>
      <c r="B25" s="173" t="s">
        <v>530</v>
      </c>
      <c r="C25" s="175" t="s">
        <v>296</v>
      </c>
      <c r="D25" s="175" t="s">
        <v>296</v>
      </c>
      <c r="E25" s="175" t="s">
        <v>296</v>
      </c>
      <c r="F25" s="175" t="s">
        <v>296</v>
      </c>
      <c r="G25" s="175" t="s">
        <v>296</v>
      </c>
      <c r="H25" s="175" t="s">
        <v>296</v>
      </c>
      <c r="I25" s="175" t="s">
        <v>296</v>
      </c>
      <c r="J25" s="175" t="s">
        <v>296</v>
      </c>
      <c r="K25" s="175">
        <v>3516</v>
      </c>
      <c r="L25" s="175">
        <v>-1886</v>
      </c>
      <c r="M25" s="175">
        <v>-8589</v>
      </c>
      <c r="N25" s="175">
        <v>2440</v>
      </c>
      <c r="O25" s="175">
        <v>1683</v>
      </c>
      <c r="P25" s="175">
        <v>3193</v>
      </c>
      <c r="Q25" s="175">
        <v>878</v>
      </c>
    </row>
    <row r="26" spans="1:17">
      <c r="A26" s="173" t="s">
        <v>531</v>
      </c>
      <c r="B26" s="174"/>
      <c r="C26" s="174"/>
      <c r="D26" s="174"/>
      <c r="E26" s="174"/>
      <c r="F26" s="174"/>
      <c r="G26" s="174"/>
      <c r="H26" s="174"/>
      <c r="I26" s="174"/>
      <c r="J26" s="174"/>
      <c r="K26" s="174"/>
      <c r="L26" s="174"/>
      <c r="M26" s="174"/>
      <c r="N26" s="174"/>
      <c r="O26" s="174"/>
      <c r="P26" s="174"/>
      <c r="Q26" s="174"/>
    </row>
    <row r="27" spans="1:17">
      <c r="A27" s="173" t="s">
        <v>532</v>
      </c>
      <c r="B27" s="173" t="s">
        <v>533</v>
      </c>
      <c r="C27" s="175">
        <v>489</v>
      </c>
      <c r="D27" s="175">
        <v>580</v>
      </c>
      <c r="E27" s="175">
        <v>532</v>
      </c>
      <c r="F27" s="175">
        <v>727</v>
      </c>
      <c r="G27" s="175">
        <v>570</v>
      </c>
      <c r="H27" s="175">
        <v>635</v>
      </c>
      <c r="I27" s="175">
        <v>456</v>
      </c>
      <c r="J27" s="175">
        <v>378</v>
      </c>
      <c r="K27" s="175">
        <v>519</v>
      </c>
      <c r="L27" s="175">
        <v>321</v>
      </c>
      <c r="M27" s="175">
        <v>215</v>
      </c>
      <c r="N27" s="175">
        <v>394</v>
      </c>
      <c r="O27" s="175">
        <v>170</v>
      </c>
      <c r="P27" s="175">
        <v>250</v>
      </c>
      <c r="Q27" s="175">
        <v>432</v>
      </c>
    </row>
    <row r="28" spans="1:17">
      <c r="A28" s="173" t="s">
        <v>534</v>
      </c>
      <c r="B28" s="173" t="s">
        <v>535</v>
      </c>
      <c r="C28" s="175">
        <v>-12699</v>
      </c>
      <c r="D28" s="175">
        <v>-13510</v>
      </c>
      <c r="E28" s="175">
        <v>-12898</v>
      </c>
      <c r="F28" s="175">
        <v>-13115</v>
      </c>
      <c r="G28" s="175">
        <v>-12174</v>
      </c>
      <c r="H28" s="175">
        <v>-11477</v>
      </c>
      <c r="I28" s="175">
        <v>-10619</v>
      </c>
      <c r="J28" s="175">
        <v>-10051</v>
      </c>
      <c r="K28" s="175">
        <v>-10344</v>
      </c>
      <c r="L28" s="175">
        <v>-10705</v>
      </c>
      <c r="M28" s="175">
        <v>-10264</v>
      </c>
      <c r="N28" s="175">
        <v>-13106</v>
      </c>
      <c r="O28" s="175">
        <v>-16857</v>
      </c>
      <c r="P28" s="175">
        <v>-20606</v>
      </c>
      <c r="Q28" s="175">
        <v>-23783</v>
      </c>
    </row>
    <row r="29" spans="1:17">
      <c r="A29" s="173" t="s">
        <v>536</v>
      </c>
      <c r="B29" s="173" t="s">
        <v>537</v>
      </c>
      <c r="C29" s="175" t="s">
        <v>296</v>
      </c>
      <c r="D29" s="175" t="s">
        <v>296</v>
      </c>
      <c r="E29" s="175" t="s">
        <v>296</v>
      </c>
      <c r="F29" s="175" t="s">
        <v>296</v>
      </c>
      <c r="G29" s="175" t="s">
        <v>296</v>
      </c>
      <c r="H29" s="175" t="s">
        <v>296</v>
      </c>
      <c r="I29" s="175" t="s">
        <v>296</v>
      </c>
      <c r="J29" s="175" t="s">
        <v>296</v>
      </c>
      <c r="K29" s="175" t="s">
        <v>296</v>
      </c>
      <c r="L29" s="175" t="s">
        <v>296</v>
      </c>
      <c r="M29" s="175" t="s">
        <v>296</v>
      </c>
      <c r="N29" s="175" t="s">
        <v>296</v>
      </c>
      <c r="O29" s="175" t="s">
        <v>296</v>
      </c>
      <c r="P29" s="175" t="s">
        <v>296</v>
      </c>
      <c r="Q29" s="175">
        <v>4080</v>
      </c>
    </row>
    <row r="30" spans="1:17">
      <c r="A30" s="173" t="s">
        <v>538</v>
      </c>
      <c r="B30" s="173" t="s">
        <v>539</v>
      </c>
      <c r="C30" s="175" t="s">
        <v>296</v>
      </c>
      <c r="D30" s="175" t="s">
        <v>296</v>
      </c>
      <c r="E30" s="175" t="s">
        <v>296</v>
      </c>
      <c r="F30" s="175" t="s">
        <v>296</v>
      </c>
      <c r="G30" s="175">
        <v>0</v>
      </c>
      <c r="H30" s="175">
        <v>0</v>
      </c>
      <c r="I30" s="175">
        <v>-1901</v>
      </c>
      <c r="J30" s="175">
        <v>0</v>
      </c>
      <c r="K30" s="175" t="s">
        <v>296</v>
      </c>
      <c r="L30" s="175" t="s">
        <v>296</v>
      </c>
      <c r="M30" s="175" t="s">
        <v>296</v>
      </c>
      <c r="N30" s="175" t="s">
        <v>296</v>
      </c>
      <c r="O30" s="175" t="s">
        <v>296</v>
      </c>
      <c r="P30" s="175" t="s">
        <v>296</v>
      </c>
      <c r="Q30" s="175" t="s">
        <v>296</v>
      </c>
    </row>
    <row r="31" spans="1:17">
      <c r="A31" s="173" t="s">
        <v>540</v>
      </c>
      <c r="B31" s="173" t="s">
        <v>541</v>
      </c>
      <c r="C31" s="175">
        <v>-202</v>
      </c>
      <c r="D31" s="175">
        <v>-3548</v>
      </c>
      <c r="E31" s="175" t="s">
        <v>296</v>
      </c>
      <c r="F31" s="175" t="s">
        <v>296</v>
      </c>
      <c r="G31" s="175">
        <v>0</v>
      </c>
      <c r="H31" s="175">
        <v>0</v>
      </c>
      <c r="I31" s="175">
        <v>-2463</v>
      </c>
      <c r="J31" s="175">
        <v>-375</v>
      </c>
      <c r="K31" s="175">
        <v>-14656</v>
      </c>
      <c r="L31" s="175">
        <v>-56</v>
      </c>
      <c r="M31" s="175">
        <v>-180</v>
      </c>
      <c r="N31" s="175">
        <v>-359</v>
      </c>
      <c r="O31" s="175">
        <v>-740</v>
      </c>
      <c r="P31" s="175">
        <v>-9</v>
      </c>
      <c r="Q31" s="175">
        <v>-1896</v>
      </c>
    </row>
    <row r="32" spans="1:17">
      <c r="A32" s="173" t="s">
        <v>542</v>
      </c>
      <c r="B32" s="173" t="s">
        <v>543</v>
      </c>
      <c r="C32" s="175">
        <v>219</v>
      </c>
      <c r="D32" s="175">
        <v>-131</v>
      </c>
      <c r="E32" s="175">
        <v>-271</v>
      </c>
      <c r="F32" s="175">
        <v>-138</v>
      </c>
      <c r="G32" s="175">
        <v>-192</v>
      </c>
      <c r="H32" s="175">
        <v>-79</v>
      </c>
      <c r="I32" s="175">
        <v>-31</v>
      </c>
      <c r="J32" s="175">
        <v>-77</v>
      </c>
      <c r="K32" s="175">
        <v>-431</v>
      </c>
      <c r="L32" s="175">
        <v>479</v>
      </c>
      <c r="M32" s="175">
        <v>102</v>
      </c>
      <c r="N32" s="175">
        <v>-879</v>
      </c>
      <c r="O32" s="175">
        <v>-295</v>
      </c>
      <c r="P32" s="175">
        <v>-1057</v>
      </c>
      <c r="Q32" s="175">
        <v>-212</v>
      </c>
    </row>
    <row r="33" spans="1:17">
      <c r="A33" s="173" t="s">
        <v>544</v>
      </c>
      <c r="B33" s="173" t="s">
        <v>545</v>
      </c>
      <c r="C33" s="175" t="s">
        <v>296</v>
      </c>
      <c r="D33" s="175" t="s">
        <v>296</v>
      </c>
      <c r="E33" s="175">
        <v>0</v>
      </c>
      <c r="F33" s="175">
        <v>0</v>
      </c>
      <c r="G33" s="175">
        <v>671</v>
      </c>
      <c r="H33" s="175">
        <v>246</v>
      </c>
      <c r="I33" s="175">
        <v>662</v>
      </c>
      <c r="J33" s="175">
        <v>1046</v>
      </c>
      <c r="K33" s="175">
        <v>876</v>
      </c>
      <c r="L33" s="175">
        <v>833</v>
      </c>
      <c r="M33" s="175">
        <v>56</v>
      </c>
      <c r="N33" s="175">
        <v>7935</v>
      </c>
      <c r="O33" s="175">
        <v>0</v>
      </c>
      <c r="P33" s="175">
        <v>135</v>
      </c>
      <c r="Q33" s="175" t="s">
        <v>296</v>
      </c>
    </row>
    <row r="34" spans="1:17">
      <c r="A34" s="171" t="s">
        <v>546</v>
      </c>
      <c r="B34" s="171" t="s">
        <v>547</v>
      </c>
      <c r="C34" s="176">
        <v>-12193</v>
      </c>
      <c r="D34" s="176">
        <v>-16609</v>
      </c>
      <c r="E34" s="176">
        <v>-12637</v>
      </c>
      <c r="F34" s="176">
        <v>-12526</v>
      </c>
      <c r="G34" s="176">
        <v>-11125</v>
      </c>
      <c r="H34" s="176">
        <v>-10675</v>
      </c>
      <c r="I34" s="176">
        <v>-13896</v>
      </c>
      <c r="J34" s="176">
        <v>-9079</v>
      </c>
      <c r="K34" s="176">
        <v>-24036</v>
      </c>
      <c r="L34" s="176">
        <v>-9128</v>
      </c>
      <c r="M34" s="176">
        <v>-10071</v>
      </c>
      <c r="N34" s="176">
        <v>-6015</v>
      </c>
      <c r="O34" s="176">
        <v>-17722</v>
      </c>
      <c r="P34" s="176">
        <v>-21287</v>
      </c>
      <c r="Q34" s="176">
        <v>-21379</v>
      </c>
    </row>
    <row r="35" spans="1:17">
      <c r="A35" s="173" t="s">
        <v>548</v>
      </c>
      <c r="B35" s="174"/>
      <c r="C35" s="174"/>
      <c r="D35" s="174"/>
      <c r="E35" s="174"/>
      <c r="F35" s="174"/>
      <c r="G35" s="174"/>
      <c r="H35" s="174"/>
      <c r="I35" s="174"/>
      <c r="J35" s="174"/>
      <c r="K35" s="174"/>
      <c r="L35" s="174"/>
      <c r="M35" s="174"/>
      <c r="N35" s="174"/>
      <c r="O35" s="174"/>
      <c r="P35" s="174"/>
      <c r="Q35" s="174"/>
    </row>
    <row r="36" spans="1:17">
      <c r="A36" s="173" t="s">
        <v>549</v>
      </c>
      <c r="B36" s="173" t="s">
        <v>550</v>
      </c>
      <c r="C36" s="175">
        <v>-4437</v>
      </c>
      <c r="D36" s="175">
        <v>-5048</v>
      </c>
      <c r="E36" s="175">
        <v>-5361</v>
      </c>
      <c r="F36" s="175">
        <v>-6139</v>
      </c>
      <c r="G36" s="175">
        <v>-6185</v>
      </c>
      <c r="H36" s="175">
        <v>-6294</v>
      </c>
      <c r="I36" s="175">
        <v>-6216</v>
      </c>
      <c r="J36" s="175">
        <v>-6124</v>
      </c>
      <c r="K36" s="175">
        <v>-6102</v>
      </c>
      <c r="L36" s="175">
        <v>-6048</v>
      </c>
      <c r="M36" s="175">
        <v>-6116</v>
      </c>
      <c r="N36" s="175">
        <v>-6152</v>
      </c>
      <c r="O36" s="175">
        <v>-6114</v>
      </c>
      <c r="P36" s="175">
        <v>-6140</v>
      </c>
      <c r="Q36" s="175">
        <v>-6688</v>
      </c>
    </row>
    <row r="37" spans="1:17">
      <c r="A37" s="173" t="s">
        <v>551</v>
      </c>
      <c r="B37" s="173" t="s">
        <v>552</v>
      </c>
      <c r="C37" s="175">
        <v>503</v>
      </c>
      <c r="D37" s="175">
        <v>3019</v>
      </c>
      <c r="E37" s="175">
        <v>2754</v>
      </c>
      <c r="F37" s="175">
        <v>911</v>
      </c>
      <c r="G37" s="175">
        <v>-6288</v>
      </c>
      <c r="H37" s="175">
        <v>1235</v>
      </c>
      <c r="I37" s="175">
        <v>-1673</v>
      </c>
      <c r="J37" s="175">
        <v>4148</v>
      </c>
      <c r="K37" s="175">
        <v>-53</v>
      </c>
      <c r="L37" s="175">
        <v>-4656</v>
      </c>
      <c r="M37" s="175">
        <v>-324</v>
      </c>
      <c r="N37" s="175">
        <v>193</v>
      </c>
      <c r="O37" s="175">
        <v>-34</v>
      </c>
      <c r="P37" s="175">
        <v>512</v>
      </c>
      <c r="Q37" s="175">
        <v>2212</v>
      </c>
    </row>
    <row r="38" spans="1:17">
      <c r="A38" s="173" t="s">
        <v>553</v>
      </c>
      <c r="B38" s="173" t="s">
        <v>554</v>
      </c>
      <c r="C38" s="175">
        <v>11396</v>
      </c>
      <c r="D38" s="175">
        <v>5050</v>
      </c>
      <c r="E38" s="175">
        <v>211</v>
      </c>
      <c r="F38" s="175">
        <v>7072</v>
      </c>
      <c r="G38" s="175">
        <v>5174</v>
      </c>
      <c r="H38" s="175">
        <v>39</v>
      </c>
      <c r="I38" s="175">
        <v>137</v>
      </c>
      <c r="J38" s="175">
        <v>7476</v>
      </c>
      <c r="K38" s="175">
        <v>15872</v>
      </c>
      <c r="L38" s="175">
        <v>5492</v>
      </c>
      <c r="M38" s="175">
        <v>0</v>
      </c>
      <c r="N38" s="175">
        <v>6945</v>
      </c>
      <c r="O38" s="175">
        <v>5041</v>
      </c>
      <c r="P38" s="175">
        <v>4967</v>
      </c>
      <c r="Q38" s="175">
        <v>0</v>
      </c>
    </row>
    <row r="39" spans="1:17">
      <c r="A39" s="173" t="s">
        <v>555</v>
      </c>
      <c r="B39" s="173" t="s">
        <v>556</v>
      </c>
      <c r="C39" s="175">
        <v>-4080</v>
      </c>
      <c r="D39" s="175">
        <v>-4584</v>
      </c>
      <c r="E39" s="175">
        <v>-1478</v>
      </c>
      <c r="F39" s="175">
        <v>-4968</v>
      </c>
      <c r="G39" s="175">
        <v>-3904</v>
      </c>
      <c r="H39" s="175">
        <v>-4432</v>
      </c>
      <c r="I39" s="175">
        <v>-2055</v>
      </c>
      <c r="J39" s="175">
        <v>-13061</v>
      </c>
      <c r="K39" s="175">
        <v>-3784</v>
      </c>
      <c r="L39" s="175">
        <v>-1907</v>
      </c>
      <c r="M39" s="175">
        <v>-5382</v>
      </c>
      <c r="N39" s="175">
        <v>-13010</v>
      </c>
      <c r="O39" s="175">
        <v>-2689</v>
      </c>
      <c r="P39" s="175">
        <v>-4217</v>
      </c>
      <c r="Q39" s="175">
        <v>-3468</v>
      </c>
    </row>
    <row r="40" spans="1:17">
      <c r="A40" s="173" t="s">
        <v>557</v>
      </c>
      <c r="B40" s="173" t="s">
        <v>558</v>
      </c>
      <c r="C40" s="175" t="s">
        <v>296</v>
      </c>
      <c r="D40" s="175" t="s">
        <v>296</v>
      </c>
      <c r="E40" s="175" t="s">
        <v>296</v>
      </c>
      <c r="F40" s="175" t="s">
        <v>296</v>
      </c>
      <c r="G40" s="175">
        <v>-1015</v>
      </c>
      <c r="H40" s="175">
        <v>-4112</v>
      </c>
      <c r="I40" s="175">
        <v>-8298</v>
      </c>
      <c r="J40" s="175">
        <v>-8296</v>
      </c>
      <c r="K40" s="175">
        <v>-7410</v>
      </c>
      <c r="L40" s="175">
        <v>-5717</v>
      </c>
      <c r="M40" s="175">
        <v>-2625</v>
      </c>
      <c r="N40" s="175">
        <v>-9787</v>
      </c>
      <c r="O40" s="175">
        <v>-9920</v>
      </c>
      <c r="P40" s="175">
        <v>-2779</v>
      </c>
      <c r="Q40" s="175">
        <v>-4494</v>
      </c>
    </row>
    <row r="41" spans="1:17">
      <c r="A41" s="173" t="s">
        <v>559</v>
      </c>
      <c r="B41" s="173" t="s">
        <v>560</v>
      </c>
      <c r="C41" s="175">
        <v>66</v>
      </c>
      <c r="D41" s="175">
        <v>-33</v>
      </c>
      <c r="E41" s="175">
        <v>223</v>
      </c>
      <c r="F41" s="175">
        <v>-442</v>
      </c>
      <c r="G41" s="175">
        <v>-514</v>
      </c>
      <c r="H41" s="175">
        <v>-1022</v>
      </c>
      <c r="I41" s="175">
        <v>-452</v>
      </c>
      <c r="J41" s="175">
        <v>487</v>
      </c>
      <c r="K41" s="175">
        <v>-438</v>
      </c>
      <c r="L41" s="175">
        <v>-69</v>
      </c>
      <c r="M41" s="175">
        <v>235</v>
      </c>
      <c r="N41" s="175">
        <v>-140</v>
      </c>
      <c r="O41" s="175">
        <v>-73</v>
      </c>
      <c r="P41" s="175">
        <v>69</v>
      </c>
      <c r="Q41" s="175">
        <v>-641</v>
      </c>
    </row>
    <row r="42" spans="1:17">
      <c r="A42" s="173" t="s">
        <v>561</v>
      </c>
      <c r="B42" s="173" t="s">
        <v>562</v>
      </c>
      <c r="C42" s="175">
        <v>-634</v>
      </c>
      <c r="D42" s="175">
        <v>-71</v>
      </c>
      <c r="E42" s="175">
        <v>-58</v>
      </c>
      <c r="F42" s="175">
        <v>-260</v>
      </c>
      <c r="G42" s="175">
        <v>-409</v>
      </c>
      <c r="H42" s="175">
        <v>-676</v>
      </c>
      <c r="I42" s="175">
        <v>-398</v>
      </c>
      <c r="J42" s="175">
        <v>-3320</v>
      </c>
      <c r="K42" s="175">
        <v>-629</v>
      </c>
      <c r="L42" s="175">
        <v>-908</v>
      </c>
      <c r="M42" s="175">
        <v>-1236</v>
      </c>
      <c r="N42" s="175">
        <v>-593</v>
      </c>
      <c r="O42" s="175">
        <v>-2052</v>
      </c>
      <c r="P42" s="175">
        <v>-1532</v>
      </c>
      <c r="Q42" s="175">
        <v>-1808</v>
      </c>
    </row>
    <row r="43" spans="1:17">
      <c r="A43" s="173" t="s">
        <v>563</v>
      </c>
      <c r="B43" s="173" t="s">
        <v>564</v>
      </c>
      <c r="C43" s="175">
        <v>6984</v>
      </c>
      <c r="D43" s="175">
        <v>5899</v>
      </c>
      <c r="E43" s="175">
        <v>7304</v>
      </c>
      <c r="F43" s="175">
        <v>8641</v>
      </c>
      <c r="G43" s="175">
        <v>8169</v>
      </c>
      <c r="H43" s="175">
        <v>8111</v>
      </c>
      <c r="I43" s="175">
        <v>4507</v>
      </c>
      <c r="J43" s="175">
        <v>6179</v>
      </c>
      <c r="K43" s="175">
        <v>3982</v>
      </c>
      <c r="L43" s="175">
        <v>3616</v>
      </c>
      <c r="M43" s="175">
        <v>5271</v>
      </c>
      <c r="N43" s="175">
        <v>5918</v>
      </c>
      <c r="O43" s="175">
        <v>3310</v>
      </c>
      <c r="P43" s="175">
        <v>5879</v>
      </c>
      <c r="Q43" s="175">
        <v>5884</v>
      </c>
    </row>
    <row r="44" spans="1:17">
      <c r="A44" s="173" t="s">
        <v>565</v>
      </c>
      <c r="B44" s="173" t="s">
        <v>566</v>
      </c>
      <c r="C44" s="175">
        <v>2163</v>
      </c>
      <c r="D44" s="175">
        <v>2346</v>
      </c>
      <c r="E44" s="175">
        <v>2262</v>
      </c>
      <c r="F44" s="175">
        <v>2362</v>
      </c>
      <c r="G44" s="175">
        <v>2433</v>
      </c>
      <c r="H44" s="175">
        <v>2540</v>
      </c>
      <c r="I44" s="175">
        <v>2351</v>
      </c>
      <c r="J44" s="175">
        <v>2450</v>
      </c>
      <c r="K44" s="175">
        <v>2348</v>
      </c>
      <c r="L44" s="175">
        <v>2464</v>
      </c>
      <c r="M44" s="175">
        <v>2216</v>
      </c>
      <c r="N44" s="175">
        <v>2237</v>
      </c>
      <c r="O44" s="175">
        <v>2051</v>
      </c>
      <c r="P44" s="175">
        <v>2519</v>
      </c>
      <c r="Q44" s="175">
        <v>2739</v>
      </c>
    </row>
    <row r="45" spans="1:17">
      <c r="A45" s="173" t="s">
        <v>567</v>
      </c>
      <c r="B45" s="173" t="s">
        <v>568</v>
      </c>
      <c r="C45" s="175">
        <v>-512</v>
      </c>
      <c r="D45" s="175">
        <v>-845</v>
      </c>
      <c r="E45" s="175">
        <v>1231</v>
      </c>
      <c r="F45" s="175">
        <v>-500</v>
      </c>
      <c r="G45" s="175">
        <v>1854</v>
      </c>
      <c r="H45" s="175">
        <v>-430</v>
      </c>
      <c r="I45" s="175">
        <v>-1747</v>
      </c>
      <c r="J45" s="175">
        <v>-130</v>
      </c>
      <c r="K45" s="175">
        <v>742</v>
      </c>
      <c r="L45" s="175">
        <v>1759</v>
      </c>
      <c r="M45" s="175">
        <v>10121</v>
      </c>
      <c r="N45" s="175">
        <v>-4802</v>
      </c>
      <c r="O45" s="175">
        <v>-5993</v>
      </c>
      <c r="P45" s="175">
        <v>1094</v>
      </c>
      <c r="Q45" s="175">
        <v>-399</v>
      </c>
    </row>
    <row r="46" spans="1:17">
      <c r="A46" s="173" t="s">
        <v>569</v>
      </c>
      <c r="B46" s="173" t="s">
        <v>570</v>
      </c>
      <c r="C46" s="175">
        <v>-14776</v>
      </c>
      <c r="D46" s="175">
        <v>-6298</v>
      </c>
      <c r="E46" s="175">
        <v>-7600</v>
      </c>
      <c r="F46" s="175">
        <v>-6683</v>
      </c>
      <c r="G46" s="175" t="s">
        <v>296</v>
      </c>
      <c r="H46" s="175" t="s">
        <v>296</v>
      </c>
      <c r="I46" s="175" t="s">
        <v>296</v>
      </c>
      <c r="J46" s="175" t="s">
        <v>296</v>
      </c>
      <c r="K46" s="175" t="s">
        <v>296</v>
      </c>
      <c r="L46" s="175" t="s">
        <v>296</v>
      </c>
      <c r="M46" s="175" t="s">
        <v>296</v>
      </c>
      <c r="N46" s="175" t="s">
        <v>296</v>
      </c>
      <c r="O46" s="175" t="s">
        <v>296</v>
      </c>
      <c r="P46" s="175" t="s">
        <v>296</v>
      </c>
      <c r="Q46" s="175" t="s">
        <v>296</v>
      </c>
    </row>
    <row r="47" spans="1:17">
      <c r="A47" s="173" t="s">
        <v>571</v>
      </c>
      <c r="B47" s="173" t="s">
        <v>572</v>
      </c>
      <c r="C47" s="175">
        <v>7395</v>
      </c>
      <c r="D47" s="175">
        <v>6550</v>
      </c>
      <c r="E47" s="175">
        <v>7781</v>
      </c>
      <c r="F47" s="175">
        <v>7281</v>
      </c>
      <c r="G47" s="175">
        <v>9135</v>
      </c>
      <c r="H47" s="175">
        <v>8705</v>
      </c>
      <c r="I47" s="175">
        <v>7144</v>
      </c>
      <c r="J47" s="175">
        <v>7014</v>
      </c>
      <c r="K47" s="175">
        <v>7756</v>
      </c>
      <c r="L47" s="175">
        <v>9515</v>
      </c>
      <c r="M47" s="175">
        <v>17788</v>
      </c>
      <c r="N47" s="175">
        <v>14834</v>
      </c>
      <c r="O47" s="175">
        <v>8841</v>
      </c>
      <c r="P47" s="175">
        <v>9935</v>
      </c>
      <c r="Q47" s="175">
        <v>9536</v>
      </c>
    </row>
    <row r="48" spans="1:17">
      <c r="A48" s="173" t="s">
        <v>573</v>
      </c>
      <c r="B48" s="173" t="s">
        <v>574</v>
      </c>
      <c r="C48" s="175">
        <v>7907</v>
      </c>
      <c r="D48" s="175">
        <v>7395</v>
      </c>
      <c r="E48" s="175">
        <v>6550</v>
      </c>
      <c r="F48" s="175">
        <v>7781</v>
      </c>
      <c r="G48" s="175">
        <v>7281</v>
      </c>
      <c r="H48" s="175">
        <v>9135</v>
      </c>
      <c r="I48" s="175">
        <v>8891</v>
      </c>
      <c r="J48" s="175">
        <v>7144</v>
      </c>
      <c r="K48" s="175">
        <v>7014</v>
      </c>
      <c r="L48" s="175">
        <v>7756</v>
      </c>
      <c r="M48" s="175">
        <v>9515</v>
      </c>
      <c r="N48" s="175">
        <v>17788</v>
      </c>
      <c r="O48" s="175">
        <v>14834</v>
      </c>
      <c r="P48" s="175">
        <v>8841</v>
      </c>
      <c r="Q48" s="175">
        <v>9935</v>
      </c>
    </row>
    <row r="49" spans="1:17">
      <c r="A49" s="173" t="s">
        <v>575</v>
      </c>
      <c r="B49" s="173" t="s">
        <v>576</v>
      </c>
      <c r="C49" s="175" t="s">
        <v>296</v>
      </c>
      <c r="D49" s="175" t="s">
        <v>296</v>
      </c>
      <c r="E49" s="175">
        <v>-282</v>
      </c>
      <c r="F49" s="175">
        <v>-426</v>
      </c>
      <c r="G49" s="175">
        <v>-600</v>
      </c>
      <c r="H49" s="175">
        <v>-719</v>
      </c>
      <c r="I49" s="175">
        <v>-479</v>
      </c>
      <c r="J49" s="175">
        <v>-690</v>
      </c>
      <c r="K49" s="175">
        <v>-431</v>
      </c>
      <c r="L49" s="175">
        <v>-555</v>
      </c>
      <c r="M49" s="175">
        <v>-434</v>
      </c>
      <c r="N49" s="175">
        <v>-424</v>
      </c>
      <c r="O49" s="175">
        <v>-444</v>
      </c>
      <c r="P49" s="175">
        <v>-763</v>
      </c>
      <c r="Q49" s="175">
        <v>-576</v>
      </c>
    </row>
    <row r="50" spans="1:17">
      <c r="A50" s="173" t="s">
        <v>577</v>
      </c>
      <c r="B50" s="173" t="s">
        <v>578</v>
      </c>
      <c r="C50" s="175" t="s">
        <v>296</v>
      </c>
      <c r="D50" s="175">
        <v>-526</v>
      </c>
      <c r="E50" s="175">
        <v>-132</v>
      </c>
      <c r="F50" s="175">
        <v>-296</v>
      </c>
      <c r="G50" s="175">
        <v>-1844</v>
      </c>
      <c r="H50" s="175">
        <v>-1326</v>
      </c>
      <c r="I50" s="175">
        <v>-90</v>
      </c>
      <c r="J50" s="175">
        <v>-8</v>
      </c>
      <c r="K50" s="175" t="s">
        <v>296</v>
      </c>
      <c r="L50" s="175" t="s">
        <v>296</v>
      </c>
      <c r="M50" s="175" t="s">
        <v>296</v>
      </c>
      <c r="N50" s="175" t="s">
        <v>296</v>
      </c>
      <c r="O50" s="175" t="s">
        <v>296</v>
      </c>
      <c r="P50" s="175" t="s">
        <v>296</v>
      </c>
      <c r="Q50" s="175" t="s">
        <v>296</v>
      </c>
    </row>
    <row r="51" spans="1:17">
      <c r="A51" s="173" t="s">
        <v>579</v>
      </c>
      <c r="B51" s="173" t="s">
        <v>580</v>
      </c>
      <c r="C51" s="175" t="s">
        <v>296</v>
      </c>
      <c r="D51" s="175" t="s">
        <v>296</v>
      </c>
      <c r="E51" s="175" t="s">
        <v>296</v>
      </c>
      <c r="F51" s="175" t="s">
        <v>296</v>
      </c>
      <c r="G51" s="175" t="s">
        <v>296</v>
      </c>
      <c r="H51" s="175" t="s">
        <v>296</v>
      </c>
      <c r="I51" s="175" t="s">
        <v>296</v>
      </c>
      <c r="J51" s="175" t="s">
        <v>296</v>
      </c>
      <c r="K51" s="175" t="s">
        <v>296</v>
      </c>
      <c r="L51" s="175" t="s">
        <v>296</v>
      </c>
      <c r="M51" s="175" t="s">
        <v>296</v>
      </c>
      <c r="N51" s="175">
        <v>0</v>
      </c>
      <c r="O51" s="175">
        <v>-827</v>
      </c>
      <c r="P51" s="175">
        <v>-3462</v>
      </c>
      <c r="Q51" s="175">
        <v>0</v>
      </c>
    </row>
    <row r="52" spans="1:17">
      <c r="A52" s="171" t="s">
        <v>581</v>
      </c>
      <c r="B52" s="171" t="s">
        <v>582</v>
      </c>
      <c r="C52" s="176">
        <v>-12028</v>
      </c>
      <c r="D52" s="176">
        <v>-8458</v>
      </c>
      <c r="E52" s="176">
        <v>-11946</v>
      </c>
      <c r="F52" s="176">
        <v>-10789</v>
      </c>
      <c r="G52" s="176">
        <v>-15071</v>
      </c>
      <c r="H52" s="176">
        <v>-16285</v>
      </c>
      <c r="I52" s="176">
        <v>-19072</v>
      </c>
      <c r="J52" s="176">
        <v>-19875</v>
      </c>
      <c r="K52" s="176">
        <v>-2537</v>
      </c>
      <c r="L52" s="176">
        <v>-14299</v>
      </c>
      <c r="M52" s="176">
        <v>-16117</v>
      </c>
      <c r="N52" s="176">
        <v>-22828</v>
      </c>
      <c r="O52" s="176">
        <v>-17039</v>
      </c>
      <c r="P52" s="176">
        <v>-13414</v>
      </c>
      <c r="Q52" s="176">
        <v>-14822</v>
      </c>
    </row>
    <row r="53" spans="1:17">
      <c r="A53" s="173" t="s">
        <v>348</v>
      </c>
      <c r="B53" s="174"/>
      <c r="C53" s="174"/>
      <c r="D53" s="174"/>
      <c r="E53" s="174"/>
      <c r="F53" s="174"/>
      <c r="G53" s="174"/>
      <c r="H53" s="174"/>
      <c r="I53" s="174"/>
      <c r="J53" s="174"/>
      <c r="K53" s="174"/>
      <c r="L53" s="174"/>
      <c r="M53" s="174"/>
      <c r="N53" s="174"/>
      <c r="O53" s="174"/>
      <c r="P53" s="174"/>
      <c r="Q53" s="174"/>
    </row>
    <row r="54" spans="1:17">
      <c r="A54" s="173" t="s">
        <v>583</v>
      </c>
      <c r="B54" s="173" t="s">
        <v>584</v>
      </c>
      <c r="C54" s="175">
        <v>10944</v>
      </c>
      <c r="D54" s="175">
        <v>10745</v>
      </c>
      <c r="E54" s="175">
        <v>12693</v>
      </c>
      <c r="F54" s="175">
        <v>10142</v>
      </c>
      <c r="G54" s="175">
        <v>16390</v>
      </c>
      <c r="H54" s="175">
        <v>16075</v>
      </c>
      <c r="I54" s="175">
        <v>21054</v>
      </c>
      <c r="J54" s="175">
        <v>18286</v>
      </c>
      <c r="K54" s="175">
        <v>17409</v>
      </c>
      <c r="L54" s="175">
        <v>14550</v>
      </c>
      <c r="M54" s="175">
        <v>25810</v>
      </c>
      <c r="N54" s="175">
        <v>11075</v>
      </c>
      <c r="O54" s="175">
        <v>11984</v>
      </c>
      <c r="P54" s="175">
        <v>15120</v>
      </c>
      <c r="Q54" s="175">
        <v>12660</v>
      </c>
    </row>
    <row r="55" spans="1:17">
      <c r="A55" s="178" t="s">
        <v>491</v>
      </c>
      <c r="B55" s="178"/>
      <c r="C55" s="178" t="s">
        <v>492</v>
      </c>
      <c r="D55" s="178"/>
      <c r="E55" s="178"/>
      <c r="F55" s="178"/>
      <c r="G55" s="178"/>
      <c r="H55" s="178"/>
      <c r="I55" s="178"/>
      <c r="J55" s="178"/>
      <c r="K55" s="178"/>
      <c r="L55" s="178"/>
      <c r="M55" s="178"/>
      <c r="N55" s="178"/>
      <c r="O55" s="178"/>
      <c r="P55" s="178"/>
      <c r="Q55" s="17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C714-8BD9-4206-997F-DBE91B1A5905}">
  <dimension ref="A1:Q194"/>
  <sheetViews>
    <sheetView zoomScale="85" zoomScaleNormal="85" workbookViewId="0">
      <pane ySplit="4" topLeftCell="A49" activePane="bottomLeft" state="frozen"/>
      <selection pane="bottomLeft" activeCell="H71" sqref="H71"/>
    </sheetView>
  </sheetViews>
  <sheetFormatPr defaultColWidth="8.85546875" defaultRowHeight="15"/>
  <cols>
    <col min="1" max="1" width="35" style="151" customWidth="1"/>
    <col min="2" max="2" width="8.85546875" style="151" customWidth="1"/>
    <col min="3" max="6" width="11.85546875" style="151" hidden="1" customWidth="1"/>
    <col min="7" max="7" width="12.7109375" style="151" customWidth="1"/>
    <col min="8" max="17" width="11.85546875" style="151" customWidth="1"/>
    <col min="18" max="16384" width="8.85546875" style="151"/>
  </cols>
  <sheetData>
    <row r="1" spans="1:17">
      <c r="A1" s="164"/>
      <c r="B1" s="164"/>
      <c r="C1" s="164"/>
      <c r="D1" s="164"/>
      <c r="E1" s="164"/>
      <c r="F1" s="164"/>
      <c r="G1" s="164"/>
      <c r="H1" s="164"/>
      <c r="I1" s="164"/>
      <c r="J1" s="164"/>
      <c r="K1" s="164"/>
      <c r="L1" s="164"/>
      <c r="M1" s="164"/>
      <c r="N1" s="164"/>
      <c r="O1" s="164"/>
      <c r="P1" s="164"/>
      <c r="Q1" s="164"/>
    </row>
    <row r="2" spans="1:17" ht="20.100000000000001">
      <c r="A2" s="165" t="s">
        <v>241</v>
      </c>
      <c r="B2" s="165"/>
      <c r="C2" s="165"/>
      <c r="D2" s="165"/>
      <c r="E2" s="165"/>
      <c r="F2" s="165"/>
      <c r="G2" s="165"/>
      <c r="H2" s="165"/>
      <c r="I2" s="165"/>
      <c r="J2" s="165"/>
      <c r="K2" s="165"/>
      <c r="L2" s="165"/>
      <c r="M2" s="165"/>
      <c r="N2" s="165"/>
      <c r="O2" s="165"/>
      <c r="P2" s="165"/>
      <c r="Q2" s="165"/>
    </row>
    <row r="3" spans="1:17">
      <c r="A3" s="166"/>
      <c r="B3" s="166"/>
      <c r="C3" s="166"/>
      <c r="D3" s="166"/>
      <c r="E3" s="166"/>
      <c r="F3" s="166"/>
      <c r="G3" s="166"/>
      <c r="H3" s="166"/>
      <c r="I3" s="166"/>
      <c r="J3" s="166"/>
      <c r="K3" s="166"/>
      <c r="L3" s="166"/>
      <c r="M3" s="166"/>
      <c r="N3" s="166"/>
      <c r="O3" s="166"/>
      <c r="P3" s="166"/>
      <c r="Q3" s="166"/>
    </row>
    <row r="4" spans="1:17">
      <c r="A4" s="167" t="s">
        <v>242</v>
      </c>
      <c r="B4" s="167"/>
      <c r="C4" s="168" t="s">
        <v>243</v>
      </c>
      <c r="D4" s="168" t="s">
        <v>244</v>
      </c>
      <c r="E4" s="168" t="s">
        <v>245</v>
      </c>
      <c r="F4" s="168" t="s">
        <v>246</v>
      </c>
      <c r="G4" s="168" t="s">
        <v>247</v>
      </c>
      <c r="H4" s="168" t="s">
        <v>248</v>
      </c>
      <c r="I4" s="168" t="s">
        <v>249</v>
      </c>
      <c r="J4" s="168" t="s">
        <v>250</v>
      </c>
      <c r="K4" s="168" t="s">
        <v>251</v>
      </c>
      <c r="L4" s="168" t="s">
        <v>252</v>
      </c>
      <c r="M4" s="168" t="s">
        <v>253</v>
      </c>
      <c r="N4" s="168" t="s">
        <v>254</v>
      </c>
      <c r="O4" s="168" t="s">
        <v>255</v>
      </c>
      <c r="P4" s="168" t="s">
        <v>256</v>
      </c>
      <c r="Q4" s="168" t="s">
        <v>257</v>
      </c>
    </row>
    <row r="5" spans="1:17">
      <c r="A5" s="169" t="s">
        <v>258</v>
      </c>
      <c r="B5" s="169"/>
      <c r="C5" s="170" t="s">
        <v>259</v>
      </c>
      <c r="D5" s="170" t="s">
        <v>260</v>
      </c>
      <c r="E5" s="170" t="s">
        <v>261</v>
      </c>
      <c r="F5" s="170" t="s">
        <v>262</v>
      </c>
      <c r="G5" s="170" t="s">
        <v>263</v>
      </c>
      <c r="H5" s="170" t="s">
        <v>264</v>
      </c>
      <c r="I5" s="170" t="s">
        <v>265</v>
      </c>
      <c r="J5" s="170" t="s">
        <v>266</v>
      </c>
      <c r="K5" s="170" t="s">
        <v>267</v>
      </c>
      <c r="L5" s="170" t="s">
        <v>268</v>
      </c>
      <c r="M5" s="170" t="s">
        <v>269</v>
      </c>
      <c r="N5" s="170" t="s">
        <v>270</v>
      </c>
      <c r="O5" s="170" t="s">
        <v>271</v>
      </c>
      <c r="P5" s="170" t="s">
        <v>272</v>
      </c>
      <c r="Q5" s="170" t="s">
        <v>273</v>
      </c>
    </row>
    <row r="6" spans="1:17">
      <c r="A6" s="171" t="s">
        <v>585</v>
      </c>
      <c r="B6" s="172"/>
      <c r="C6" s="172"/>
      <c r="D6" s="172"/>
      <c r="E6" s="172"/>
      <c r="F6" s="172"/>
      <c r="G6" s="172"/>
      <c r="H6" s="172"/>
      <c r="I6" s="172"/>
      <c r="J6" s="172"/>
      <c r="K6" s="172"/>
      <c r="L6" s="172"/>
      <c r="M6" s="172"/>
      <c r="N6" s="172"/>
      <c r="O6" s="172"/>
      <c r="P6" s="172"/>
      <c r="Q6" s="172"/>
    </row>
    <row r="7" spans="1:17">
      <c r="A7" s="173" t="s">
        <v>586</v>
      </c>
      <c r="B7" s="174"/>
      <c r="C7" s="174"/>
      <c r="D7" s="174"/>
      <c r="E7" s="174"/>
      <c r="F7" s="174"/>
      <c r="G7" s="174"/>
      <c r="H7" s="174"/>
      <c r="I7" s="174"/>
      <c r="J7" s="174"/>
      <c r="K7" s="174"/>
      <c r="L7" s="174"/>
      <c r="M7" s="174"/>
      <c r="N7" s="174"/>
      <c r="O7" s="174"/>
      <c r="P7" s="174"/>
      <c r="Q7" s="174"/>
    </row>
    <row r="8" spans="1:17">
      <c r="A8" s="173" t="s">
        <v>587</v>
      </c>
      <c r="B8" s="173" t="s">
        <v>588</v>
      </c>
      <c r="C8" s="175">
        <v>7395</v>
      </c>
      <c r="D8" s="175">
        <v>6550</v>
      </c>
      <c r="E8" s="175">
        <v>7781</v>
      </c>
      <c r="F8" s="175">
        <v>7281</v>
      </c>
      <c r="G8" s="175">
        <v>9135</v>
      </c>
      <c r="H8" s="175">
        <v>8705</v>
      </c>
      <c r="I8" s="175">
        <v>6867</v>
      </c>
      <c r="J8" s="175">
        <v>6756</v>
      </c>
      <c r="K8" s="175">
        <v>7722</v>
      </c>
      <c r="L8" s="175">
        <v>9465</v>
      </c>
      <c r="M8" s="175">
        <v>17741</v>
      </c>
      <c r="N8" s="175">
        <v>14760</v>
      </c>
      <c r="O8" s="175">
        <v>8625</v>
      </c>
      <c r="P8" s="175">
        <v>9867</v>
      </c>
      <c r="Q8" s="175">
        <v>9037</v>
      </c>
    </row>
    <row r="9" spans="1:17">
      <c r="A9" s="173" t="s">
        <v>589</v>
      </c>
      <c r="B9" s="173" t="s">
        <v>590</v>
      </c>
      <c r="C9" s="175">
        <v>5089</v>
      </c>
      <c r="D9" s="175">
        <v>5937</v>
      </c>
      <c r="E9" s="175">
        <v>6768</v>
      </c>
      <c r="F9" s="175">
        <v>6677</v>
      </c>
      <c r="G9" s="175">
        <v>6778</v>
      </c>
      <c r="H9" s="175">
        <v>5624</v>
      </c>
      <c r="I9" s="175">
        <v>5835</v>
      </c>
      <c r="J9" s="175">
        <v>5614</v>
      </c>
      <c r="K9" s="175">
        <v>6283</v>
      </c>
      <c r="L9" s="175">
        <v>6284</v>
      </c>
      <c r="M9" s="175">
        <v>6516</v>
      </c>
      <c r="N9" s="175">
        <v>8280</v>
      </c>
      <c r="O9" s="175">
        <v>7933</v>
      </c>
      <c r="P9" s="175">
        <v>8796</v>
      </c>
      <c r="Q9" s="175">
        <v>9975</v>
      </c>
    </row>
    <row r="10" spans="1:17">
      <c r="A10" s="173" t="s">
        <v>591</v>
      </c>
      <c r="B10" s="173" t="s">
        <v>592</v>
      </c>
      <c r="C10" s="175">
        <v>36437</v>
      </c>
      <c r="D10" s="175">
        <v>40714</v>
      </c>
      <c r="E10" s="175">
        <v>43803</v>
      </c>
      <c r="F10" s="175">
        <v>44858</v>
      </c>
      <c r="G10" s="175">
        <v>45141</v>
      </c>
      <c r="H10" s="175">
        <v>44469</v>
      </c>
      <c r="I10" s="175">
        <v>43046</v>
      </c>
      <c r="J10" s="175">
        <v>43783</v>
      </c>
      <c r="K10" s="175">
        <v>44269</v>
      </c>
      <c r="L10" s="175">
        <v>44435</v>
      </c>
      <c r="M10" s="175">
        <v>44949</v>
      </c>
      <c r="N10" s="175">
        <v>56511</v>
      </c>
      <c r="O10" s="175">
        <v>56576</v>
      </c>
      <c r="P10" s="175">
        <v>54892</v>
      </c>
      <c r="Q10" s="175">
        <v>56435</v>
      </c>
    </row>
    <row r="11" spans="1:17">
      <c r="A11" s="173" t="s">
        <v>593</v>
      </c>
      <c r="B11" s="173" t="s">
        <v>594</v>
      </c>
      <c r="C11" s="175">
        <v>2960</v>
      </c>
      <c r="D11" s="175">
        <v>1774</v>
      </c>
      <c r="E11" s="175">
        <v>1551</v>
      </c>
      <c r="F11" s="175">
        <v>1909</v>
      </c>
      <c r="G11" s="175">
        <v>2224</v>
      </c>
      <c r="H11" s="175">
        <v>1441</v>
      </c>
      <c r="I11" s="175">
        <v>1941</v>
      </c>
      <c r="J11" s="175">
        <v>3511</v>
      </c>
      <c r="K11" s="175">
        <v>3623</v>
      </c>
      <c r="L11" s="175">
        <v>1622</v>
      </c>
      <c r="M11" s="175">
        <v>20861</v>
      </c>
      <c r="N11" s="175">
        <v>1519</v>
      </c>
      <c r="O11" s="175">
        <v>2521</v>
      </c>
      <c r="P11" s="175">
        <v>3322</v>
      </c>
      <c r="Q11" s="175">
        <v>4011</v>
      </c>
    </row>
    <row r="12" spans="1:17">
      <c r="A12" s="173" t="s">
        <v>595</v>
      </c>
      <c r="B12" s="173" t="s">
        <v>596</v>
      </c>
      <c r="C12" s="175">
        <v>131</v>
      </c>
      <c r="D12" s="175" t="s">
        <v>296</v>
      </c>
      <c r="E12" s="175">
        <v>37</v>
      </c>
      <c r="F12" s="175">
        <v>460</v>
      </c>
      <c r="G12" s="175" t="s">
        <v>296</v>
      </c>
      <c r="H12" s="175" t="s">
        <v>296</v>
      </c>
      <c r="I12" s="175" t="s">
        <v>296</v>
      </c>
      <c r="J12" s="175" t="s">
        <v>296</v>
      </c>
      <c r="K12" s="175" t="s">
        <v>296</v>
      </c>
      <c r="L12" s="175" t="s">
        <v>296</v>
      </c>
      <c r="M12" s="175" t="s">
        <v>296</v>
      </c>
      <c r="N12" s="175" t="s">
        <v>296</v>
      </c>
      <c r="O12" s="175" t="s">
        <v>296</v>
      </c>
      <c r="P12" s="175" t="s">
        <v>296</v>
      </c>
      <c r="Q12" s="175" t="s">
        <v>296</v>
      </c>
    </row>
    <row r="13" spans="1:17">
      <c r="A13" s="171" t="s">
        <v>597</v>
      </c>
      <c r="B13" s="171" t="s">
        <v>598</v>
      </c>
      <c r="C13" s="176">
        <v>52012</v>
      </c>
      <c r="D13" s="176">
        <v>54975</v>
      </c>
      <c r="E13" s="176">
        <v>59940</v>
      </c>
      <c r="F13" s="176">
        <v>61185</v>
      </c>
      <c r="G13" s="176">
        <v>63278</v>
      </c>
      <c r="H13" s="176">
        <v>60239</v>
      </c>
      <c r="I13" s="176">
        <v>57689</v>
      </c>
      <c r="J13" s="176">
        <v>59664</v>
      </c>
      <c r="K13" s="176">
        <v>61897</v>
      </c>
      <c r="L13" s="176">
        <v>61806</v>
      </c>
      <c r="M13" s="176">
        <v>90067</v>
      </c>
      <c r="N13" s="176">
        <v>81070</v>
      </c>
      <c r="O13" s="176">
        <v>75655</v>
      </c>
      <c r="P13" s="176">
        <v>76877</v>
      </c>
      <c r="Q13" s="176">
        <v>79458</v>
      </c>
    </row>
    <row r="14" spans="1:17">
      <c r="A14" s="173" t="s">
        <v>599</v>
      </c>
      <c r="B14" s="174"/>
      <c r="C14" s="174"/>
      <c r="D14" s="174"/>
      <c r="E14" s="174"/>
      <c r="F14" s="174"/>
      <c r="G14" s="174"/>
      <c r="H14" s="174"/>
      <c r="I14" s="174"/>
      <c r="J14" s="174"/>
      <c r="K14" s="174"/>
      <c r="L14" s="174"/>
      <c r="M14" s="174"/>
      <c r="N14" s="174"/>
      <c r="O14" s="174"/>
      <c r="P14" s="174"/>
      <c r="Q14" s="174"/>
    </row>
    <row r="15" spans="1:17">
      <c r="A15" s="173" t="s">
        <v>600</v>
      </c>
      <c r="B15" s="173" t="s">
        <v>601</v>
      </c>
      <c r="C15" s="175" t="s">
        <v>296</v>
      </c>
      <c r="D15" s="175" t="s">
        <v>296</v>
      </c>
      <c r="E15" s="175" t="s">
        <v>296</v>
      </c>
      <c r="F15" s="175" t="s">
        <v>296</v>
      </c>
      <c r="G15" s="175" t="s">
        <v>296</v>
      </c>
      <c r="H15" s="175" t="s">
        <v>296</v>
      </c>
      <c r="I15" s="175" t="s">
        <v>296</v>
      </c>
      <c r="J15" s="175" t="s">
        <v>296</v>
      </c>
      <c r="K15" s="175" t="s">
        <v>296</v>
      </c>
      <c r="L15" s="175" t="s">
        <v>296</v>
      </c>
      <c r="M15" s="175" t="s">
        <v>296</v>
      </c>
      <c r="N15" s="175" t="s">
        <v>296</v>
      </c>
      <c r="O15" s="175" t="s">
        <v>296</v>
      </c>
      <c r="P15" s="175" t="s">
        <v>296</v>
      </c>
      <c r="Q15" s="175" t="s">
        <v>296</v>
      </c>
    </row>
    <row r="16" spans="1:17">
      <c r="A16" s="173" t="s">
        <v>602</v>
      </c>
      <c r="B16" s="173" t="s">
        <v>603</v>
      </c>
      <c r="C16" s="175" t="s">
        <v>296</v>
      </c>
      <c r="D16" s="175" t="s">
        <v>296</v>
      </c>
      <c r="E16" s="175" t="s">
        <v>296</v>
      </c>
      <c r="F16" s="175" t="s">
        <v>296</v>
      </c>
      <c r="G16" s="175" t="s">
        <v>296</v>
      </c>
      <c r="H16" s="175" t="s">
        <v>296</v>
      </c>
      <c r="I16" s="175" t="s">
        <v>296</v>
      </c>
      <c r="J16" s="175" t="s">
        <v>296</v>
      </c>
      <c r="K16" s="175" t="s">
        <v>296</v>
      </c>
      <c r="L16" s="175" t="s">
        <v>296</v>
      </c>
      <c r="M16" s="175" t="s">
        <v>296</v>
      </c>
      <c r="N16" s="175" t="s">
        <v>296</v>
      </c>
      <c r="O16" s="175" t="s">
        <v>296</v>
      </c>
      <c r="P16" s="175" t="s">
        <v>296</v>
      </c>
      <c r="Q16" s="175" t="s">
        <v>296</v>
      </c>
    </row>
    <row r="17" spans="1:17">
      <c r="A17" s="173" t="s">
        <v>604</v>
      </c>
      <c r="B17" s="173" t="s">
        <v>605</v>
      </c>
      <c r="C17" s="175" t="s">
        <v>296</v>
      </c>
      <c r="D17" s="175" t="s">
        <v>296</v>
      </c>
      <c r="E17" s="175" t="s">
        <v>296</v>
      </c>
      <c r="F17" s="175" t="s">
        <v>296</v>
      </c>
      <c r="G17" s="175" t="s">
        <v>296</v>
      </c>
      <c r="H17" s="175" t="s">
        <v>296</v>
      </c>
      <c r="I17" s="175" t="s">
        <v>296</v>
      </c>
      <c r="J17" s="175" t="s">
        <v>296</v>
      </c>
      <c r="K17" s="175" t="s">
        <v>296</v>
      </c>
      <c r="L17" s="175" t="s">
        <v>296</v>
      </c>
      <c r="M17" s="175" t="s">
        <v>296</v>
      </c>
      <c r="N17" s="175" t="s">
        <v>296</v>
      </c>
      <c r="O17" s="175" t="s">
        <v>296</v>
      </c>
      <c r="P17" s="175" t="s">
        <v>296</v>
      </c>
      <c r="Q17" s="175" t="s">
        <v>296</v>
      </c>
    </row>
    <row r="18" spans="1:17">
      <c r="A18" s="173" t="s">
        <v>606</v>
      </c>
      <c r="B18" s="173" t="s">
        <v>607</v>
      </c>
      <c r="C18" s="175" t="s">
        <v>296</v>
      </c>
      <c r="D18" s="175" t="s">
        <v>296</v>
      </c>
      <c r="E18" s="175" t="s">
        <v>296</v>
      </c>
      <c r="F18" s="175" t="s">
        <v>296</v>
      </c>
      <c r="G18" s="175" t="s">
        <v>296</v>
      </c>
      <c r="H18" s="175" t="s">
        <v>296</v>
      </c>
      <c r="I18" s="175" t="s">
        <v>296</v>
      </c>
      <c r="J18" s="175" t="s">
        <v>296</v>
      </c>
      <c r="K18" s="175" t="s">
        <v>296</v>
      </c>
      <c r="L18" s="175" t="s">
        <v>296</v>
      </c>
      <c r="M18" s="175" t="s">
        <v>296</v>
      </c>
      <c r="N18" s="175" t="s">
        <v>296</v>
      </c>
      <c r="O18" s="175" t="s">
        <v>296</v>
      </c>
      <c r="P18" s="175" t="s">
        <v>296</v>
      </c>
      <c r="Q18" s="175" t="s">
        <v>296</v>
      </c>
    </row>
    <row r="19" spans="1:17">
      <c r="A19" s="173" t="s">
        <v>608</v>
      </c>
      <c r="B19" s="173" t="s">
        <v>609</v>
      </c>
      <c r="C19" s="175">
        <v>154489</v>
      </c>
      <c r="D19" s="175">
        <v>160938</v>
      </c>
      <c r="E19" s="175">
        <v>171724</v>
      </c>
      <c r="F19" s="175">
        <v>178678</v>
      </c>
      <c r="G19" s="175">
        <v>182634</v>
      </c>
      <c r="H19" s="175">
        <v>188054</v>
      </c>
      <c r="I19" s="175">
        <v>191129</v>
      </c>
      <c r="J19" s="175">
        <v>197857</v>
      </c>
      <c r="K19" s="175" t="s">
        <v>296</v>
      </c>
      <c r="L19" s="175" t="s">
        <v>296</v>
      </c>
      <c r="M19" s="175" t="s">
        <v>296</v>
      </c>
      <c r="N19" s="175" t="s">
        <v>296</v>
      </c>
      <c r="O19" s="175" t="s">
        <v>296</v>
      </c>
      <c r="P19" s="175" t="s">
        <v>296</v>
      </c>
      <c r="Q19" s="175" t="s">
        <v>296</v>
      </c>
    </row>
    <row r="20" spans="1:17">
      <c r="A20" s="173" t="s">
        <v>610</v>
      </c>
      <c r="B20" s="173" t="s">
        <v>611</v>
      </c>
      <c r="C20" s="175">
        <v>46611</v>
      </c>
      <c r="D20" s="175">
        <v>48614</v>
      </c>
      <c r="E20" s="175">
        <v>55043</v>
      </c>
      <c r="F20" s="175">
        <v>60771</v>
      </c>
      <c r="G20" s="175">
        <v>65979</v>
      </c>
      <c r="H20" s="175">
        <v>71538</v>
      </c>
      <c r="I20" s="175">
        <v>76951</v>
      </c>
      <c r="J20" s="175">
        <v>83039</v>
      </c>
      <c r="K20" s="175" t="s">
        <v>296</v>
      </c>
      <c r="L20" s="175" t="s">
        <v>296</v>
      </c>
      <c r="M20" s="175" t="s">
        <v>296</v>
      </c>
      <c r="N20" s="175" t="s">
        <v>296</v>
      </c>
      <c r="O20" s="175" t="s">
        <v>296</v>
      </c>
      <c r="P20" s="175" t="s">
        <v>296</v>
      </c>
      <c r="Q20" s="175" t="s">
        <v>296</v>
      </c>
    </row>
    <row r="21" spans="1:17">
      <c r="A21" s="173" t="s">
        <v>612</v>
      </c>
      <c r="B21" s="173" t="s">
        <v>613</v>
      </c>
      <c r="C21" s="175">
        <v>107878</v>
      </c>
      <c r="D21" s="175">
        <v>112324</v>
      </c>
      <c r="E21" s="175">
        <v>116681</v>
      </c>
      <c r="F21" s="175">
        <v>115364</v>
      </c>
      <c r="G21" s="175">
        <v>116655</v>
      </c>
      <c r="H21" s="175">
        <v>116516</v>
      </c>
      <c r="I21" s="175">
        <v>114178</v>
      </c>
      <c r="J21" s="175">
        <v>114818</v>
      </c>
      <c r="K21" s="175">
        <v>111395</v>
      </c>
      <c r="L21" s="175">
        <v>105208</v>
      </c>
      <c r="M21" s="175">
        <v>92201</v>
      </c>
      <c r="N21" s="175">
        <v>94515</v>
      </c>
      <c r="O21" s="175">
        <v>100760</v>
      </c>
      <c r="P21" s="175">
        <v>110810</v>
      </c>
      <c r="Q21" s="175">
        <v>119993</v>
      </c>
    </row>
    <row r="22" spans="1:17">
      <c r="A22" s="173" t="s">
        <v>614</v>
      </c>
      <c r="B22" s="173" t="s">
        <v>615</v>
      </c>
      <c r="C22" s="175">
        <v>16763</v>
      </c>
      <c r="D22" s="175">
        <v>20651</v>
      </c>
      <c r="E22" s="175">
        <v>20497</v>
      </c>
      <c r="F22" s="175">
        <v>19510</v>
      </c>
      <c r="G22" s="175">
        <v>18102</v>
      </c>
      <c r="H22" s="175">
        <v>16695</v>
      </c>
      <c r="I22" s="175">
        <v>17037</v>
      </c>
      <c r="J22" s="175">
        <v>18242</v>
      </c>
      <c r="K22" s="175">
        <v>31181</v>
      </c>
      <c r="L22" s="175">
        <v>31073</v>
      </c>
      <c r="M22" s="175">
        <v>28983</v>
      </c>
      <c r="N22" s="175">
        <v>29014</v>
      </c>
      <c r="O22" s="175">
        <v>28174</v>
      </c>
      <c r="P22" s="175">
        <v>28113</v>
      </c>
      <c r="Q22" s="175">
        <v>28792</v>
      </c>
    </row>
    <row r="23" spans="1:17">
      <c r="A23" s="173" t="s">
        <v>616</v>
      </c>
      <c r="B23" s="173" t="s">
        <v>617</v>
      </c>
      <c r="C23" s="175">
        <v>4129</v>
      </c>
      <c r="D23" s="175">
        <v>5456</v>
      </c>
      <c r="E23" s="175">
        <v>5987</v>
      </c>
      <c r="F23" s="175">
        <v>6149</v>
      </c>
      <c r="G23" s="175">
        <v>5455</v>
      </c>
      <c r="H23" s="175">
        <v>6131</v>
      </c>
      <c r="I23" s="175">
        <v>9921</v>
      </c>
      <c r="J23" s="175">
        <v>11798</v>
      </c>
      <c r="K23" s="175">
        <v>14822</v>
      </c>
      <c r="L23" s="175">
        <v>16567</v>
      </c>
      <c r="M23" s="175">
        <v>23598</v>
      </c>
      <c r="N23" s="175">
        <v>22152</v>
      </c>
      <c r="O23" s="175">
        <v>20134</v>
      </c>
      <c r="P23" s="175">
        <v>17071</v>
      </c>
      <c r="Q23" s="175">
        <v>12869</v>
      </c>
    </row>
    <row r="24" spans="1:17">
      <c r="A24" s="173" t="s">
        <v>618</v>
      </c>
      <c r="B24" s="173" t="s">
        <v>619</v>
      </c>
      <c r="C24" s="175" t="s">
        <v>296</v>
      </c>
      <c r="D24" s="175" t="s">
        <v>296</v>
      </c>
      <c r="E24" s="175" t="s">
        <v>296</v>
      </c>
      <c r="F24" s="175" t="s">
        <v>296</v>
      </c>
      <c r="G24" s="175" t="s">
        <v>296</v>
      </c>
      <c r="H24" s="175" t="s">
        <v>296</v>
      </c>
      <c r="I24" s="175" t="s">
        <v>296</v>
      </c>
      <c r="J24" s="175" t="s">
        <v>296</v>
      </c>
      <c r="K24" s="175" t="s">
        <v>296</v>
      </c>
      <c r="L24" s="175" t="s">
        <v>296</v>
      </c>
      <c r="M24" s="175" t="s">
        <v>296</v>
      </c>
      <c r="N24" s="175" t="s">
        <v>296</v>
      </c>
      <c r="O24" s="175" t="s">
        <v>296</v>
      </c>
      <c r="P24" s="175" t="s">
        <v>296</v>
      </c>
      <c r="Q24" s="175" t="s">
        <v>296</v>
      </c>
    </row>
    <row r="25" spans="1:17">
      <c r="A25" s="173" t="s">
        <v>620</v>
      </c>
      <c r="B25" s="173" t="s">
        <v>621</v>
      </c>
      <c r="C25" s="175" t="s">
        <v>296</v>
      </c>
      <c r="D25" s="175" t="s">
        <v>296</v>
      </c>
      <c r="E25" s="175" t="s">
        <v>296</v>
      </c>
      <c r="F25" s="175" t="s">
        <v>296</v>
      </c>
      <c r="G25" s="175" t="s">
        <v>296</v>
      </c>
      <c r="H25" s="175" t="s">
        <v>296</v>
      </c>
      <c r="I25" s="175" t="s">
        <v>296</v>
      </c>
      <c r="J25" s="175" t="s">
        <v>296</v>
      </c>
      <c r="K25" s="175">
        <v>0</v>
      </c>
      <c r="L25" s="175">
        <v>4417</v>
      </c>
      <c r="M25" s="175">
        <v>4005</v>
      </c>
      <c r="N25" s="175">
        <v>4351</v>
      </c>
      <c r="O25" s="175">
        <v>4919</v>
      </c>
      <c r="P25" s="175">
        <v>5855</v>
      </c>
      <c r="Q25" s="175">
        <v>6112</v>
      </c>
    </row>
    <row r="26" spans="1:17">
      <c r="A26" s="171" t="s">
        <v>622</v>
      </c>
      <c r="B26" s="171" t="s">
        <v>623</v>
      </c>
      <c r="C26" s="176">
        <v>180782</v>
      </c>
      <c r="D26" s="176">
        <v>193406</v>
      </c>
      <c r="E26" s="176">
        <v>203105</v>
      </c>
      <c r="F26" s="176">
        <v>204751</v>
      </c>
      <c r="G26" s="176">
        <v>203490</v>
      </c>
      <c r="H26" s="176">
        <v>199581</v>
      </c>
      <c r="I26" s="176">
        <v>198825</v>
      </c>
      <c r="J26" s="176">
        <v>204522</v>
      </c>
      <c r="K26" s="176">
        <v>219295</v>
      </c>
      <c r="L26" s="176">
        <v>236495</v>
      </c>
      <c r="M26" s="176">
        <v>252496</v>
      </c>
      <c r="N26" s="176">
        <v>244860</v>
      </c>
      <c r="O26" s="176">
        <v>243197</v>
      </c>
      <c r="P26" s="176">
        <v>252399</v>
      </c>
      <c r="Q26" s="176">
        <v>260823</v>
      </c>
    </row>
    <row r="27" spans="1:17">
      <c r="A27" s="173" t="s">
        <v>624</v>
      </c>
      <c r="B27" s="174"/>
      <c r="C27" s="174"/>
      <c r="D27" s="174"/>
      <c r="E27" s="174"/>
      <c r="F27" s="174"/>
      <c r="G27" s="174"/>
      <c r="H27" s="174"/>
      <c r="I27" s="174"/>
      <c r="J27" s="174"/>
      <c r="K27" s="174"/>
      <c r="L27" s="174"/>
      <c r="M27" s="174"/>
      <c r="N27" s="174"/>
      <c r="O27" s="174"/>
      <c r="P27" s="174"/>
      <c r="Q27" s="174"/>
    </row>
    <row r="28" spans="1:17">
      <c r="A28" s="173" t="s">
        <v>625</v>
      </c>
      <c r="B28" s="173" t="s">
        <v>626</v>
      </c>
      <c r="C28" s="175">
        <v>33676</v>
      </c>
      <c r="D28" s="175">
        <v>36608</v>
      </c>
      <c r="E28" s="175">
        <v>38080</v>
      </c>
      <c r="F28" s="175">
        <v>37415</v>
      </c>
      <c r="G28" s="175">
        <v>38410</v>
      </c>
      <c r="H28" s="175">
        <v>38487</v>
      </c>
      <c r="I28" s="175">
        <v>41433</v>
      </c>
      <c r="J28" s="175">
        <v>46092</v>
      </c>
      <c r="K28" s="175">
        <v>47060</v>
      </c>
      <c r="L28" s="175">
        <v>46973</v>
      </c>
      <c r="M28" s="175">
        <v>49141</v>
      </c>
      <c r="N28" s="175">
        <v>55261</v>
      </c>
      <c r="O28" s="175">
        <v>53742</v>
      </c>
      <c r="P28" s="175">
        <v>56812</v>
      </c>
      <c r="Q28" s="175">
        <v>58666</v>
      </c>
    </row>
    <row r="29" spans="1:17">
      <c r="A29" s="173" t="s">
        <v>627</v>
      </c>
      <c r="B29" s="173" t="s">
        <v>628</v>
      </c>
      <c r="C29" s="175">
        <v>4655</v>
      </c>
      <c r="D29" s="175">
        <v>1975</v>
      </c>
      <c r="E29" s="175">
        <v>5587</v>
      </c>
      <c r="F29" s="175">
        <v>4103</v>
      </c>
      <c r="G29" s="175">
        <v>4025</v>
      </c>
      <c r="H29" s="175">
        <v>2745</v>
      </c>
      <c r="I29" s="175">
        <v>2256</v>
      </c>
      <c r="J29" s="175">
        <v>3738</v>
      </c>
      <c r="K29" s="175">
        <v>1876</v>
      </c>
      <c r="L29" s="175">
        <v>5362</v>
      </c>
      <c r="M29" s="175">
        <v>3115</v>
      </c>
      <c r="N29" s="175">
        <v>2803</v>
      </c>
      <c r="O29" s="175">
        <v>4191</v>
      </c>
      <c r="P29" s="175">
        <v>3447</v>
      </c>
      <c r="Q29" s="175">
        <v>2598</v>
      </c>
    </row>
    <row r="30" spans="1:17">
      <c r="A30" s="173" t="s">
        <v>629</v>
      </c>
      <c r="B30" s="173" t="s">
        <v>630</v>
      </c>
      <c r="C30" s="175">
        <v>336</v>
      </c>
      <c r="D30" s="175">
        <v>326</v>
      </c>
      <c r="E30" s="175">
        <v>327</v>
      </c>
      <c r="F30" s="175">
        <v>309</v>
      </c>
      <c r="G30" s="175">
        <v>287</v>
      </c>
      <c r="H30" s="175">
        <v>551</v>
      </c>
      <c r="I30" s="175">
        <v>565</v>
      </c>
      <c r="J30" s="175">
        <v>667</v>
      </c>
      <c r="K30" s="175">
        <v>729</v>
      </c>
      <c r="L30" s="175">
        <v>511</v>
      </c>
      <c r="M30" s="175">
        <v>491</v>
      </c>
      <c r="N30" s="175">
        <v>511</v>
      </c>
      <c r="O30" s="175">
        <v>567</v>
      </c>
      <c r="P30" s="175">
        <v>725</v>
      </c>
      <c r="Q30" s="175">
        <v>800</v>
      </c>
    </row>
    <row r="31" spans="1:17">
      <c r="A31" s="173" t="s">
        <v>631</v>
      </c>
      <c r="B31" s="173" t="s">
        <v>632</v>
      </c>
      <c r="C31" s="175">
        <v>1031</v>
      </c>
      <c r="D31" s="175">
        <v>4047</v>
      </c>
      <c r="E31" s="175">
        <v>6805</v>
      </c>
      <c r="F31" s="175">
        <v>7670</v>
      </c>
      <c r="G31" s="175">
        <v>1592</v>
      </c>
      <c r="H31" s="175">
        <v>2708</v>
      </c>
      <c r="I31" s="175">
        <v>1099</v>
      </c>
      <c r="J31" s="175">
        <v>5257</v>
      </c>
      <c r="K31" s="175">
        <v>5225</v>
      </c>
      <c r="L31" s="175">
        <v>575</v>
      </c>
      <c r="M31" s="175">
        <v>224</v>
      </c>
      <c r="N31" s="175">
        <v>410</v>
      </c>
      <c r="O31" s="175">
        <v>372</v>
      </c>
      <c r="P31" s="175">
        <v>878</v>
      </c>
      <c r="Q31" s="175">
        <v>3068</v>
      </c>
    </row>
    <row r="32" spans="1:17">
      <c r="A32" s="173" t="s">
        <v>633</v>
      </c>
      <c r="B32" s="173" t="s">
        <v>634</v>
      </c>
      <c r="C32" s="175">
        <v>18701</v>
      </c>
      <c r="D32" s="175">
        <v>18180</v>
      </c>
      <c r="E32" s="175">
        <v>18808</v>
      </c>
      <c r="F32" s="175">
        <v>18793</v>
      </c>
      <c r="G32" s="175">
        <v>19096</v>
      </c>
      <c r="H32" s="175">
        <v>19607</v>
      </c>
      <c r="I32" s="175">
        <v>20654</v>
      </c>
      <c r="J32" s="175">
        <v>22122</v>
      </c>
      <c r="K32" s="175">
        <v>22159</v>
      </c>
      <c r="L32" s="175">
        <v>22296</v>
      </c>
      <c r="M32" s="175">
        <v>37966</v>
      </c>
      <c r="N32" s="175">
        <v>26060</v>
      </c>
      <c r="O32" s="175">
        <v>31126</v>
      </c>
      <c r="P32" s="175">
        <v>28759</v>
      </c>
      <c r="Q32" s="175">
        <v>29345</v>
      </c>
    </row>
    <row r="33" spans="1:17">
      <c r="A33" s="173" t="s">
        <v>635</v>
      </c>
      <c r="B33" s="173" t="s">
        <v>636</v>
      </c>
      <c r="C33" s="175">
        <v>157</v>
      </c>
      <c r="D33" s="175">
        <v>1164</v>
      </c>
      <c r="E33" s="175">
        <v>2211</v>
      </c>
      <c r="F33" s="175">
        <v>966</v>
      </c>
      <c r="G33" s="175">
        <v>1021</v>
      </c>
      <c r="H33" s="175">
        <v>521</v>
      </c>
      <c r="I33" s="175">
        <v>921</v>
      </c>
      <c r="J33" s="175">
        <v>645</v>
      </c>
      <c r="K33" s="175">
        <v>428</v>
      </c>
      <c r="L33" s="175">
        <v>280</v>
      </c>
      <c r="M33" s="175">
        <v>242</v>
      </c>
      <c r="N33" s="175">
        <v>851</v>
      </c>
      <c r="O33" s="175">
        <v>727</v>
      </c>
      <c r="P33" s="175">
        <v>307</v>
      </c>
      <c r="Q33" s="175">
        <v>608</v>
      </c>
    </row>
    <row r="34" spans="1:17">
      <c r="A34" s="173" t="s">
        <v>637</v>
      </c>
      <c r="B34" s="173" t="s">
        <v>638</v>
      </c>
      <c r="C34" s="175" t="s">
        <v>296</v>
      </c>
      <c r="D34" s="175" t="s">
        <v>296</v>
      </c>
      <c r="E34" s="175" t="s">
        <v>296</v>
      </c>
      <c r="F34" s="175" t="s">
        <v>296</v>
      </c>
      <c r="G34" s="175" t="s">
        <v>296</v>
      </c>
      <c r="H34" s="175" t="s">
        <v>296</v>
      </c>
      <c r="I34" s="175" t="s">
        <v>296</v>
      </c>
      <c r="J34" s="175" t="s">
        <v>296</v>
      </c>
      <c r="K34" s="175" t="s">
        <v>296</v>
      </c>
      <c r="L34" s="175">
        <v>1793</v>
      </c>
      <c r="M34" s="175">
        <v>1466</v>
      </c>
      <c r="N34" s="175">
        <v>1483</v>
      </c>
      <c r="O34" s="175">
        <v>1473</v>
      </c>
      <c r="P34" s="175">
        <v>1487</v>
      </c>
      <c r="Q34" s="175">
        <v>1499</v>
      </c>
    </row>
    <row r="35" spans="1:17">
      <c r="A35" s="173" t="s">
        <v>639</v>
      </c>
      <c r="B35" s="173" t="s">
        <v>640</v>
      </c>
      <c r="C35" s="175">
        <v>47</v>
      </c>
      <c r="D35" s="175" t="s">
        <v>296</v>
      </c>
      <c r="E35" s="175">
        <v>0</v>
      </c>
      <c r="F35" s="175">
        <v>89</v>
      </c>
      <c r="G35" s="175" t="s">
        <v>296</v>
      </c>
      <c r="H35" s="175" t="s">
        <v>296</v>
      </c>
      <c r="I35" s="175" t="s">
        <v>296</v>
      </c>
      <c r="J35" s="175" t="s">
        <v>296</v>
      </c>
      <c r="K35" s="175" t="s">
        <v>296</v>
      </c>
      <c r="L35" s="175" t="s">
        <v>296</v>
      </c>
      <c r="M35" s="175" t="s">
        <v>296</v>
      </c>
      <c r="N35" s="175" t="s">
        <v>296</v>
      </c>
      <c r="O35" s="175" t="s">
        <v>296</v>
      </c>
      <c r="P35" s="175" t="s">
        <v>296</v>
      </c>
      <c r="Q35" s="175" t="s">
        <v>296</v>
      </c>
    </row>
    <row r="36" spans="1:17">
      <c r="A36" s="173" t="s">
        <v>641</v>
      </c>
      <c r="B36" s="173" t="s">
        <v>642</v>
      </c>
      <c r="C36" s="175" t="s">
        <v>296</v>
      </c>
      <c r="D36" s="175" t="s">
        <v>296</v>
      </c>
      <c r="E36" s="175" t="s">
        <v>296</v>
      </c>
      <c r="F36" s="175" t="s">
        <v>296</v>
      </c>
      <c r="G36" s="175">
        <v>56</v>
      </c>
      <c r="H36" s="175" t="s">
        <v>296</v>
      </c>
      <c r="I36" s="175" t="s">
        <v>296</v>
      </c>
      <c r="J36" s="175" t="s">
        <v>296</v>
      </c>
      <c r="K36" s="175" t="s">
        <v>296</v>
      </c>
      <c r="L36" s="175" t="s">
        <v>296</v>
      </c>
      <c r="M36" s="175" t="s">
        <v>296</v>
      </c>
      <c r="N36" s="175" t="s">
        <v>296</v>
      </c>
      <c r="O36" s="175" t="s">
        <v>296</v>
      </c>
      <c r="P36" s="175" t="s">
        <v>296</v>
      </c>
      <c r="Q36" s="175" t="s">
        <v>296</v>
      </c>
    </row>
    <row r="37" spans="1:17">
      <c r="A37" s="173" t="s">
        <v>643</v>
      </c>
      <c r="B37" s="173" t="s">
        <v>644</v>
      </c>
      <c r="C37" s="175" t="s">
        <v>296</v>
      </c>
      <c r="D37" s="175" t="s">
        <v>296</v>
      </c>
      <c r="E37" s="175" t="s">
        <v>296</v>
      </c>
      <c r="F37" s="175" t="s">
        <v>296</v>
      </c>
      <c r="G37" s="175">
        <v>766</v>
      </c>
      <c r="H37" s="175" t="s">
        <v>296</v>
      </c>
      <c r="I37" s="175" t="s">
        <v>296</v>
      </c>
      <c r="J37" s="175" t="s">
        <v>296</v>
      </c>
      <c r="K37" s="175" t="s">
        <v>296</v>
      </c>
      <c r="L37" s="175" t="s">
        <v>296</v>
      </c>
      <c r="M37" s="175" t="s">
        <v>296</v>
      </c>
      <c r="N37" s="175" t="s">
        <v>296</v>
      </c>
      <c r="O37" s="175" t="s">
        <v>296</v>
      </c>
      <c r="P37" s="175" t="s">
        <v>296</v>
      </c>
      <c r="Q37" s="175" t="s">
        <v>296</v>
      </c>
    </row>
    <row r="38" spans="1:17">
      <c r="A38" s="171" t="s">
        <v>645</v>
      </c>
      <c r="B38" s="171" t="s">
        <v>646</v>
      </c>
      <c r="C38" s="176">
        <v>58603</v>
      </c>
      <c r="D38" s="176">
        <v>62300</v>
      </c>
      <c r="E38" s="176">
        <v>71818</v>
      </c>
      <c r="F38" s="176">
        <v>69345</v>
      </c>
      <c r="G38" s="176">
        <v>65253</v>
      </c>
      <c r="H38" s="176">
        <v>64619</v>
      </c>
      <c r="I38" s="176">
        <v>66928</v>
      </c>
      <c r="J38" s="176">
        <v>78521</v>
      </c>
      <c r="K38" s="176">
        <v>77477</v>
      </c>
      <c r="L38" s="176">
        <v>77790</v>
      </c>
      <c r="M38" s="176">
        <v>92645</v>
      </c>
      <c r="N38" s="176">
        <v>87379</v>
      </c>
      <c r="O38" s="176">
        <v>92198</v>
      </c>
      <c r="P38" s="176">
        <v>92415</v>
      </c>
      <c r="Q38" s="176">
        <v>96584</v>
      </c>
    </row>
    <row r="39" spans="1:17">
      <c r="A39" s="173" t="s">
        <v>647</v>
      </c>
      <c r="B39" s="174"/>
      <c r="C39" s="174"/>
      <c r="D39" s="174"/>
      <c r="E39" s="174"/>
      <c r="F39" s="174"/>
      <c r="G39" s="174"/>
      <c r="H39" s="174"/>
      <c r="I39" s="174"/>
      <c r="J39" s="174"/>
      <c r="K39" s="174"/>
      <c r="L39" s="174"/>
      <c r="M39" s="174"/>
      <c r="N39" s="174"/>
      <c r="O39" s="174"/>
      <c r="P39" s="174"/>
      <c r="Q39" s="174"/>
    </row>
    <row r="40" spans="1:17">
      <c r="A40" s="173" t="s">
        <v>648</v>
      </c>
      <c r="B40" s="173" t="s">
        <v>649</v>
      </c>
      <c r="C40" s="175">
        <v>3150</v>
      </c>
      <c r="D40" s="175">
        <v>3009</v>
      </c>
      <c r="E40" s="175">
        <v>3023</v>
      </c>
      <c r="F40" s="175">
        <v>2788</v>
      </c>
      <c r="G40" s="175">
        <v>2606</v>
      </c>
      <c r="H40" s="175">
        <v>5816</v>
      </c>
      <c r="I40" s="175">
        <v>6003</v>
      </c>
      <c r="J40" s="175">
        <v>6780</v>
      </c>
      <c r="K40" s="175">
        <v>6683</v>
      </c>
      <c r="L40" s="175">
        <v>4307</v>
      </c>
      <c r="M40" s="175">
        <v>3847</v>
      </c>
      <c r="N40" s="175">
        <v>4243</v>
      </c>
      <c r="O40" s="175">
        <v>4843</v>
      </c>
      <c r="P40" s="175">
        <v>5709</v>
      </c>
      <c r="Q40" s="175">
        <v>5923</v>
      </c>
    </row>
    <row r="41" spans="1:17">
      <c r="A41" s="173" t="s">
        <v>650</v>
      </c>
      <c r="B41" s="173" t="s">
        <v>651</v>
      </c>
      <c r="C41" s="175">
        <v>40692</v>
      </c>
      <c r="D41" s="175">
        <v>44070</v>
      </c>
      <c r="E41" s="175">
        <v>38394</v>
      </c>
      <c r="F41" s="175">
        <v>41771</v>
      </c>
      <c r="G41" s="175">
        <v>40889</v>
      </c>
      <c r="H41" s="175">
        <v>38214</v>
      </c>
      <c r="I41" s="175">
        <v>36015</v>
      </c>
      <c r="J41" s="175">
        <v>30045</v>
      </c>
      <c r="K41" s="175">
        <v>43520</v>
      </c>
      <c r="L41" s="175">
        <v>43714</v>
      </c>
      <c r="M41" s="175">
        <v>41194</v>
      </c>
      <c r="N41" s="175">
        <v>34864</v>
      </c>
      <c r="O41" s="175">
        <v>34649</v>
      </c>
      <c r="P41" s="175">
        <v>36132</v>
      </c>
      <c r="Q41" s="175">
        <v>33401</v>
      </c>
    </row>
    <row r="42" spans="1:17">
      <c r="A42" s="173" t="s">
        <v>652</v>
      </c>
      <c r="B42" s="173" t="s">
        <v>653</v>
      </c>
      <c r="C42" s="175">
        <v>6682</v>
      </c>
      <c r="D42" s="175">
        <v>7862</v>
      </c>
      <c r="E42" s="175">
        <v>7613</v>
      </c>
      <c r="F42" s="175">
        <v>8017</v>
      </c>
      <c r="G42" s="175" t="s">
        <v>296</v>
      </c>
      <c r="H42" s="175" t="s">
        <v>296</v>
      </c>
      <c r="I42" s="175" t="s">
        <v>296</v>
      </c>
      <c r="J42" s="175" t="s">
        <v>296</v>
      </c>
      <c r="K42" s="175" t="s">
        <v>296</v>
      </c>
      <c r="L42" s="175" t="s">
        <v>296</v>
      </c>
      <c r="M42" s="175" t="s">
        <v>296</v>
      </c>
      <c r="N42" s="175" t="s">
        <v>296</v>
      </c>
      <c r="O42" s="175" t="s">
        <v>296</v>
      </c>
      <c r="P42" s="175" t="s">
        <v>296</v>
      </c>
      <c r="Q42" s="175" t="s">
        <v>296</v>
      </c>
    </row>
    <row r="43" spans="1:17">
      <c r="A43" s="173" t="s">
        <v>654</v>
      </c>
      <c r="B43" s="173" t="s">
        <v>655</v>
      </c>
      <c r="C43" s="175">
        <v>408</v>
      </c>
      <c r="D43" s="175">
        <v>404</v>
      </c>
      <c r="E43" s="175">
        <v>519</v>
      </c>
      <c r="F43" s="175">
        <v>1491</v>
      </c>
      <c r="G43" s="175">
        <v>8805</v>
      </c>
      <c r="H43" s="175">
        <v>7321</v>
      </c>
      <c r="I43" s="175">
        <v>9344</v>
      </c>
      <c r="J43" s="175">
        <v>8354</v>
      </c>
      <c r="K43" s="175">
        <v>11981</v>
      </c>
      <c r="L43" s="175">
        <v>12961</v>
      </c>
      <c r="M43" s="175">
        <v>14370</v>
      </c>
      <c r="N43" s="175">
        <v>13474</v>
      </c>
      <c r="O43" s="175">
        <v>14688</v>
      </c>
      <c r="P43" s="175">
        <v>14629</v>
      </c>
      <c r="Q43" s="175">
        <v>14398</v>
      </c>
    </row>
    <row r="44" spans="1:17">
      <c r="A44" s="173" t="s">
        <v>656</v>
      </c>
      <c r="B44" s="173" t="s">
        <v>657</v>
      </c>
      <c r="C44" s="175" t="s">
        <v>296</v>
      </c>
      <c r="D44" s="175" t="s">
        <v>296</v>
      </c>
      <c r="E44" s="175" t="s">
        <v>296</v>
      </c>
      <c r="F44" s="175" t="s">
        <v>296</v>
      </c>
      <c r="G44" s="175" t="s">
        <v>296</v>
      </c>
      <c r="H44" s="175" t="s">
        <v>296</v>
      </c>
      <c r="I44" s="175" t="s">
        <v>296</v>
      </c>
      <c r="J44" s="175" t="s">
        <v>296</v>
      </c>
      <c r="K44" s="175" t="s">
        <v>296</v>
      </c>
      <c r="L44" s="175">
        <v>16171</v>
      </c>
      <c r="M44" s="175">
        <v>12909</v>
      </c>
      <c r="N44" s="175">
        <v>13009</v>
      </c>
      <c r="O44" s="175">
        <v>12828</v>
      </c>
      <c r="P44" s="175">
        <v>12943</v>
      </c>
      <c r="Q44" s="175">
        <v>12825</v>
      </c>
    </row>
    <row r="45" spans="1:17">
      <c r="A45" s="173" t="s">
        <v>658</v>
      </c>
      <c r="B45" s="174"/>
      <c r="C45" s="174"/>
      <c r="D45" s="174"/>
      <c r="E45" s="174"/>
      <c r="F45" s="174"/>
      <c r="G45" s="174"/>
      <c r="H45" s="174"/>
      <c r="I45" s="174"/>
      <c r="J45" s="174"/>
      <c r="K45" s="174"/>
      <c r="L45" s="174"/>
      <c r="M45" s="174"/>
      <c r="N45" s="174"/>
      <c r="O45" s="174"/>
      <c r="P45" s="174"/>
      <c r="Q45" s="174"/>
    </row>
    <row r="46" spans="1:17">
      <c r="A46" s="173" t="s">
        <v>659</v>
      </c>
      <c r="B46" s="173" t="s">
        <v>660</v>
      </c>
      <c r="C46" s="175">
        <v>2705</v>
      </c>
      <c r="D46" s="175">
        <v>4446</v>
      </c>
      <c r="E46" s="175">
        <v>5395</v>
      </c>
      <c r="F46" s="175">
        <v>5084</v>
      </c>
      <c r="G46" s="175">
        <v>4543</v>
      </c>
      <c r="H46" s="175">
        <v>3065</v>
      </c>
      <c r="I46" s="175">
        <v>2737</v>
      </c>
      <c r="J46" s="175">
        <v>2953</v>
      </c>
      <c r="K46" s="175">
        <v>7138</v>
      </c>
      <c r="L46" s="175">
        <v>6883</v>
      </c>
      <c r="M46" s="175">
        <v>6606</v>
      </c>
      <c r="N46" s="175">
        <v>8638</v>
      </c>
      <c r="O46" s="175">
        <v>7061</v>
      </c>
      <c r="P46" s="175">
        <v>6488</v>
      </c>
      <c r="Q46" s="175">
        <v>6408</v>
      </c>
    </row>
    <row r="47" spans="1:17">
      <c r="A47" s="173" t="s">
        <v>661</v>
      </c>
      <c r="B47" s="173" t="s">
        <v>662</v>
      </c>
      <c r="C47" s="175">
        <v>352</v>
      </c>
      <c r="D47" s="175">
        <v>342</v>
      </c>
      <c r="E47" s="175">
        <v>332</v>
      </c>
      <c r="F47" s="175">
        <v>323</v>
      </c>
      <c r="G47" s="175">
        <v>323</v>
      </c>
      <c r="H47" s="175">
        <v>317</v>
      </c>
      <c r="I47" s="175">
        <v>305</v>
      </c>
      <c r="J47" s="175">
        <v>295</v>
      </c>
      <c r="K47" s="175">
        <v>288</v>
      </c>
      <c r="L47" s="175">
        <v>284</v>
      </c>
      <c r="M47" s="175">
        <v>282</v>
      </c>
      <c r="N47" s="175">
        <v>276</v>
      </c>
      <c r="O47" s="175">
        <v>269</v>
      </c>
      <c r="P47" s="175">
        <v>805</v>
      </c>
      <c r="Q47" s="175">
        <v>802</v>
      </c>
    </row>
    <row r="48" spans="1:17">
      <c r="A48" s="173" t="s">
        <v>663</v>
      </c>
      <c r="B48" s="173" t="s">
        <v>664</v>
      </c>
      <c r="C48" s="175">
        <v>3577</v>
      </c>
      <c r="D48" s="175">
        <v>3692</v>
      </c>
      <c r="E48" s="175">
        <v>3620</v>
      </c>
      <c r="F48" s="175">
        <v>2362</v>
      </c>
      <c r="G48" s="175">
        <v>2462</v>
      </c>
      <c r="H48" s="175">
        <v>1805</v>
      </c>
      <c r="I48" s="175">
        <v>2371</v>
      </c>
      <c r="J48" s="175">
        <v>2648</v>
      </c>
      <c r="K48" s="175">
        <v>2965</v>
      </c>
      <c r="L48" s="175">
        <v>3247</v>
      </c>
      <c r="M48" s="175">
        <v>3646</v>
      </c>
      <c r="N48" s="175">
        <v>4839</v>
      </c>
      <c r="O48" s="175">
        <v>4969</v>
      </c>
      <c r="P48" s="175">
        <v>4544</v>
      </c>
      <c r="Q48" s="175">
        <v>5503</v>
      </c>
    </row>
    <row r="49" spans="1:17">
      <c r="A49" s="173" t="s">
        <v>665</v>
      </c>
      <c r="B49" s="173" t="s">
        <v>666</v>
      </c>
      <c r="C49" s="175">
        <v>646</v>
      </c>
      <c r="D49" s="175">
        <v>-1410</v>
      </c>
      <c r="E49" s="175">
        <v>-587</v>
      </c>
      <c r="F49" s="175">
        <v>-2996</v>
      </c>
      <c r="G49" s="175">
        <v>-7168</v>
      </c>
      <c r="H49" s="175">
        <v>-11597</v>
      </c>
      <c r="I49" s="175">
        <v>-14232</v>
      </c>
      <c r="J49" s="175">
        <v>-10181</v>
      </c>
      <c r="K49" s="175">
        <v>-11542</v>
      </c>
      <c r="L49" s="175">
        <v>-12805</v>
      </c>
      <c r="M49" s="175">
        <v>-11766</v>
      </c>
      <c r="N49" s="175">
        <v>-8766</v>
      </c>
      <c r="O49" s="175">
        <v>-11680</v>
      </c>
      <c r="P49" s="175">
        <v>-11302</v>
      </c>
      <c r="Q49" s="175">
        <v>-13605</v>
      </c>
    </row>
    <row r="50" spans="1:17">
      <c r="A50" s="179" t="s">
        <v>667</v>
      </c>
      <c r="B50" s="173" t="s">
        <v>668</v>
      </c>
      <c r="C50" s="175">
        <v>63967</v>
      </c>
      <c r="D50" s="175">
        <v>68691</v>
      </c>
      <c r="E50" s="175">
        <v>72978</v>
      </c>
      <c r="F50" s="175">
        <v>76566</v>
      </c>
      <c r="G50" s="175">
        <v>85777</v>
      </c>
      <c r="H50" s="175">
        <v>90021</v>
      </c>
      <c r="I50" s="175">
        <v>89354</v>
      </c>
      <c r="J50" s="175">
        <v>85107</v>
      </c>
      <c r="K50" s="175">
        <v>80785</v>
      </c>
      <c r="L50" s="175">
        <v>83943</v>
      </c>
      <c r="M50" s="175">
        <v>88763</v>
      </c>
      <c r="N50" s="175">
        <v>86904</v>
      </c>
      <c r="O50" s="175">
        <v>83135</v>
      </c>
      <c r="P50" s="175">
        <v>89814</v>
      </c>
      <c r="Q50" s="175">
        <v>98313</v>
      </c>
    </row>
    <row r="51" spans="1:17">
      <c r="A51" s="173" t="s">
        <v>669</v>
      </c>
      <c r="B51" s="173" t="s">
        <v>670</v>
      </c>
      <c r="C51" s="175">
        <v>3516</v>
      </c>
      <c r="D51" s="175" t="s">
        <v>296</v>
      </c>
      <c r="E51" s="175" t="s">
        <v>296</v>
      </c>
      <c r="F51" s="175" t="s">
        <v>296</v>
      </c>
      <c r="G51" s="175" t="s">
        <v>296</v>
      </c>
      <c r="H51" s="175" t="s">
        <v>296</v>
      </c>
      <c r="I51" s="175" t="s">
        <v>296</v>
      </c>
      <c r="J51" s="175" t="s">
        <v>296</v>
      </c>
      <c r="K51" s="175" t="s">
        <v>296</v>
      </c>
      <c r="L51" s="175" t="s">
        <v>296</v>
      </c>
      <c r="M51" s="175" t="s">
        <v>296</v>
      </c>
      <c r="N51" s="175" t="s">
        <v>296</v>
      </c>
      <c r="O51" s="175" t="s">
        <v>296</v>
      </c>
      <c r="P51" s="175" t="s">
        <v>296</v>
      </c>
      <c r="Q51" s="175" t="s">
        <v>296</v>
      </c>
    </row>
    <row r="52" spans="1:17">
      <c r="A52" s="173" t="s">
        <v>671</v>
      </c>
      <c r="B52" s="173" t="s">
        <v>672</v>
      </c>
      <c r="C52" s="177">
        <v>0.1</v>
      </c>
      <c r="D52" s="177" t="s">
        <v>296</v>
      </c>
      <c r="E52" s="177" t="s">
        <v>296</v>
      </c>
      <c r="F52" s="177" t="s">
        <v>296</v>
      </c>
      <c r="G52" s="177" t="s">
        <v>296</v>
      </c>
      <c r="H52" s="177" t="s">
        <v>296</v>
      </c>
      <c r="I52" s="177" t="s">
        <v>296</v>
      </c>
      <c r="J52" s="177" t="s">
        <v>296</v>
      </c>
      <c r="K52" s="177" t="s">
        <v>296</v>
      </c>
      <c r="L52" s="177" t="s">
        <v>296</v>
      </c>
      <c r="M52" s="177" t="s">
        <v>296</v>
      </c>
      <c r="N52" s="177" t="s">
        <v>296</v>
      </c>
      <c r="O52" s="177" t="s">
        <v>296</v>
      </c>
      <c r="P52" s="177" t="s">
        <v>296</v>
      </c>
      <c r="Q52" s="177" t="s">
        <v>296</v>
      </c>
    </row>
    <row r="53" spans="1:17">
      <c r="A53" s="173" t="s">
        <v>673</v>
      </c>
      <c r="B53" s="173" t="s">
        <v>674</v>
      </c>
      <c r="C53" s="175">
        <v>71247</v>
      </c>
      <c r="D53" s="175">
        <v>75761</v>
      </c>
      <c r="E53" s="175">
        <v>81738</v>
      </c>
      <c r="F53" s="175">
        <v>81339</v>
      </c>
      <c r="G53" s="175">
        <v>85937</v>
      </c>
      <c r="H53" s="175">
        <v>83611</v>
      </c>
      <c r="I53" s="175">
        <v>80535</v>
      </c>
      <c r="J53" s="175">
        <v>80822</v>
      </c>
      <c r="K53" s="175">
        <v>79634</v>
      </c>
      <c r="L53" s="175">
        <v>81552</v>
      </c>
      <c r="M53" s="175">
        <v>87531</v>
      </c>
      <c r="N53" s="175">
        <v>91891</v>
      </c>
      <c r="O53" s="175">
        <v>83991</v>
      </c>
      <c r="P53" s="175">
        <v>90571</v>
      </c>
      <c r="Q53" s="175">
        <v>97692</v>
      </c>
    </row>
    <row r="54" spans="1:17">
      <c r="A54" s="173" t="s">
        <v>675</v>
      </c>
      <c r="B54" s="173" t="s">
        <v>676</v>
      </c>
      <c r="C54" s="175">
        <v>11000</v>
      </c>
      <c r="D54" s="175" t="s">
        <v>296</v>
      </c>
      <c r="E54" s="175" t="s">
        <v>296</v>
      </c>
      <c r="F54" s="175" t="s">
        <v>296</v>
      </c>
      <c r="G54" s="175" t="s">
        <v>296</v>
      </c>
      <c r="H54" s="175" t="s">
        <v>296</v>
      </c>
      <c r="I54" s="175" t="s">
        <v>296</v>
      </c>
      <c r="J54" s="175" t="s">
        <v>296</v>
      </c>
      <c r="K54" s="175" t="s">
        <v>296</v>
      </c>
      <c r="L54" s="175" t="s">
        <v>296</v>
      </c>
      <c r="M54" s="175" t="s">
        <v>296</v>
      </c>
      <c r="N54" s="175" t="s">
        <v>296</v>
      </c>
      <c r="O54" s="175" t="s">
        <v>296</v>
      </c>
      <c r="P54" s="175" t="s">
        <v>296</v>
      </c>
      <c r="Q54" s="175" t="s">
        <v>296</v>
      </c>
    </row>
    <row r="55" spans="1:17">
      <c r="A55" s="173" t="s">
        <v>677</v>
      </c>
      <c r="B55" s="173" t="s">
        <v>678</v>
      </c>
      <c r="C55" s="175">
        <v>68542</v>
      </c>
      <c r="D55" s="175">
        <v>71315</v>
      </c>
      <c r="E55" s="175">
        <v>76343</v>
      </c>
      <c r="F55" s="175">
        <v>76255</v>
      </c>
      <c r="G55" s="175">
        <v>81394</v>
      </c>
      <c r="H55" s="175">
        <v>80546</v>
      </c>
      <c r="I55" s="175">
        <v>77798</v>
      </c>
      <c r="J55" s="175">
        <v>77869</v>
      </c>
      <c r="K55" s="175">
        <v>72496</v>
      </c>
      <c r="L55" s="175">
        <v>74669</v>
      </c>
      <c r="M55" s="175">
        <v>80925</v>
      </c>
      <c r="N55" s="175">
        <v>83253</v>
      </c>
      <c r="O55" s="175">
        <v>76930</v>
      </c>
      <c r="P55" s="175">
        <v>84083</v>
      </c>
      <c r="Q55" s="175">
        <v>91284</v>
      </c>
    </row>
    <row r="56" spans="1:17">
      <c r="A56" s="171" t="s">
        <v>679</v>
      </c>
      <c r="B56" s="171" t="s">
        <v>680</v>
      </c>
      <c r="C56" s="176">
        <v>180782</v>
      </c>
      <c r="D56" s="176">
        <v>193406</v>
      </c>
      <c r="E56" s="176">
        <v>203105</v>
      </c>
      <c r="F56" s="176">
        <v>204751</v>
      </c>
      <c r="G56" s="176">
        <v>203490</v>
      </c>
      <c r="H56" s="176">
        <v>199581</v>
      </c>
      <c r="I56" s="176">
        <v>198825</v>
      </c>
      <c r="J56" s="176">
        <v>204522</v>
      </c>
      <c r="K56" s="176">
        <v>219295</v>
      </c>
      <c r="L56" s="176">
        <v>236495</v>
      </c>
      <c r="M56" s="176">
        <v>252496</v>
      </c>
      <c r="N56" s="176">
        <v>244860</v>
      </c>
      <c r="O56" s="176">
        <v>243197</v>
      </c>
      <c r="P56" s="176">
        <v>252399</v>
      </c>
      <c r="Q56" s="176">
        <v>260823</v>
      </c>
    </row>
    <row r="57" spans="1:17">
      <c r="A57" s="173" t="s">
        <v>348</v>
      </c>
      <c r="B57" s="174"/>
      <c r="C57" s="174"/>
      <c r="D57" s="174"/>
      <c r="E57" s="174"/>
      <c r="F57" s="174"/>
      <c r="G57" s="174"/>
      <c r="H57" s="174"/>
      <c r="I57" s="174"/>
      <c r="J57" s="174"/>
      <c r="K57" s="174"/>
      <c r="L57" s="174"/>
      <c r="M57" s="174"/>
      <c r="N57" s="174"/>
      <c r="O57" s="174"/>
      <c r="P57" s="174"/>
      <c r="Q57" s="174"/>
    </row>
    <row r="58" spans="1:17">
      <c r="A58" s="173" t="s">
        <v>681</v>
      </c>
      <c r="B58" s="173" t="s">
        <v>682</v>
      </c>
      <c r="C58" s="175" t="s">
        <v>296</v>
      </c>
      <c r="D58" s="175" t="s">
        <v>296</v>
      </c>
      <c r="E58" s="175" t="s">
        <v>296</v>
      </c>
      <c r="F58" s="175" t="s">
        <v>296</v>
      </c>
      <c r="G58" s="175" t="s">
        <v>296</v>
      </c>
      <c r="H58" s="175" t="s">
        <v>296</v>
      </c>
      <c r="I58" s="175" t="s">
        <v>296</v>
      </c>
      <c r="J58" s="175" t="s">
        <v>296</v>
      </c>
      <c r="K58" s="175" t="s">
        <v>296</v>
      </c>
      <c r="L58" s="175" t="s">
        <v>296</v>
      </c>
      <c r="M58" s="175" t="s">
        <v>296</v>
      </c>
      <c r="N58" s="175">
        <v>19.899999999999999</v>
      </c>
      <c r="O58" s="175">
        <v>17.283000000000001</v>
      </c>
      <c r="P58" s="175">
        <v>48.66</v>
      </c>
      <c r="Q58" s="175">
        <v>49.191000000000003</v>
      </c>
    </row>
    <row r="59" spans="1:17">
      <c r="A59" s="173" t="s">
        <v>683</v>
      </c>
      <c r="B59" s="173" t="s">
        <v>684</v>
      </c>
      <c r="C59" s="175" t="s">
        <v>296</v>
      </c>
      <c r="D59" s="175" t="s">
        <v>296</v>
      </c>
      <c r="E59" s="175" t="s">
        <v>296</v>
      </c>
      <c r="F59" s="175" t="s">
        <v>296</v>
      </c>
      <c r="G59" s="175" t="s">
        <v>296</v>
      </c>
      <c r="H59" s="175" t="s">
        <v>296</v>
      </c>
      <c r="I59" s="175" t="s">
        <v>296</v>
      </c>
      <c r="J59" s="175" t="s">
        <v>296</v>
      </c>
      <c r="K59" s="175" t="s">
        <v>296</v>
      </c>
      <c r="L59" s="175" t="s">
        <v>296</v>
      </c>
      <c r="M59" s="175" t="s">
        <v>296</v>
      </c>
      <c r="N59" s="175">
        <v>8.2189999999999994</v>
      </c>
      <c r="O59" s="175">
        <v>9.3569999999999993</v>
      </c>
      <c r="P59" s="175">
        <v>35.750999999999998</v>
      </c>
      <c r="Q59" s="175">
        <v>46.054000000000002</v>
      </c>
    </row>
    <row r="60" spans="1:17">
      <c r="A60" s="173" t="s">
        <v>685</v>
      </c>
      <c r="B60" s="173" t="s">
        <v>686</v>
      </c>
      <c r="C60" s="175" t="s">
        <v>296</v>
      </c>
      <c r="D60" s="175" t="s">
        <v>296</v>
      </c>
      <c r="E60" s="175" t="s">
        <v>296</v>
      </c>
      <c r="F60" s="175" t="s">
        <v>296</v>
      </c>
      <c r="G60" s="175" t="s">
        <v>296</v>
      </c>
      <c r="H60" s="175" t="s">
        <v>296</v>
      </c>
      <c r="I60" s="175" t="s">
        <v>296</v>
      </c>
      <c r="J60" s="175" t="s">
        <v>296</v>
      </c>
      <c r="K60" s="175" t="s">
        <v>296</v>
      </c>
      <c r="L60" s="175" t="s">
        <v>296</v>
      </c>
      <c r="M60" s="175" t="s">
        <v>296</v>
      </c>
      <c r="N60" s="175">
        <v>8.0510000000000002</v>
      </c>
      <c r="O60" s="175">
        <v>8.3379999999999992</v>
      </c>
      <c r="P60" s="175">
        <v>31.794</v>
      </c>
      <c r="Q60" s="175">
        <v>36.973999999999997</v>
      </c>
    </row>
    <row r="61" spans="1:17">
      <c r="A61" s="173" t="s">
        <v>687</v>
      </c>
      <c r="B61" s="173" t="s">
        <v>688</v>
      </c>
      <c r="C61" s="175" t="s">
        <v>296</v>
      </c>
      <c r="D61" s="175" t="s">
        <v>296</v>
      </c>
      <c r="E61" s="175" t="s">
        <v>296</v>
      </c>
      <c r="F61" s="175" t="s">
        <v>296</v>
      </c>
      <c r="G61" s="175" t="s">
        <v>296</v>
      </c>
      <c r="H61" s="175" t="s">
        <v>296</v>
      </c>
      <c r="I61" s="175" t="s">
        <v>296</v>
      </c>
      <c r="J61" s="175" t="s">
        <v>296</v>
      </c>
      <c r="K61" s="175" t="s">
        <v>296</v>
      </c>
      <c r="L61" s="175" t="s">
        <v>296</v>
      </c>
      <c r="M61" s="175" t="s">
        <v>296</v>
      </c>
      <c r="N61" s="175">
        <v>2.7850000000000001</v>
      </c>
      <c r="O61" s="175">
        <v>2.0819999999999999</v>
      </c>
      <c r="P61" s="175">
        <v>3.4260000000000002</v>
      </c>
      <c r="Q61" s="175">
        <v>6.5129999999999999</v>
      </c>
    </row>
    <row r="62" spans="1:17">
      <c r="A62" s="173" t="s">
        <v>689</v>
      </c>
      <c r="B62" s="173" t="s">
        <v>690</v>
      </c>
      <c r="C62" s="175">
        <v>1636</v>
      </c>
      <c r="D62" s="175">
        <v>815</v>
      </c>
      <c r="E62" s="175">
        <v>520</v>
      </c>
      <c r="F62" s="175">
        <v>822</v>
      </c>
      <c r="G62" s="175">
        <v>728</v>
      </c>
      <c r="H62" s="175" t="s">
        <v>296</v>
      </c>
      <c r="I62" s="175" t="s">
        <v>296</v>
      </c>
      <c r="J62" s="175" t="s">
        <v>296</v>
      </c>
      <c r="K62" s="175" t="s">
        <v>296</v>
      </c>
      <c r="L62" s="175" t="s">
        <v>296</v>
      </c>
      <c r="M62" s="175" t="s">
        <v>296</v>
      </c>
      <c r="N62" s="175" t="s">
        <v>296</v>
      </c>
      <c r="O62" s="175" t="s">
        <v>296</v>
      </c>
      <c r="P62" s="175" t="s">
        <v>296</v>
      </c>
      <c r="Q62" s="175" t="s">
        <v>296</v>
      </c>
    </row>
    <row r="63" spans="1:17">
      <c r="A63" s="173" t="s">
        <v>600</v>
      </c>
      <c r="B63" s="173" t="s">
        <v>691</v>
      </c>
      <c r="C63" s="175">
        <v>24386</v>
      </c>
      <c r="D63" s="175">
        <v>23499</v>
      </c>
      <c r="E63" s="175">
        <v>25612</v>
      </c>
      <c r="F63" s="175">
        <v>26184</v>
      </c>
      <c r="G63" s="175">
        <v>26261</v>
      </c>
      <c r="H63" s="175">
        <v>25624</v>
      </c>
      <c r="I63" s="175">
        <v>24801</v>
      </c>
      <c r="J63" s="175">
        <v>25298</v>
      </c>
      <c r="K63" s="175">
        <v>24526</v>
      </c>
      <c r="L63" s="175">
        <v>24619</v>
      </c>
      <c r="M63" s="175">
        <v>19308</v>
      </c>
      <c r="N63" s="175">
        <v>19204</v>
      </c>
      <c r="O63" s="175">
        <v>19317</v>
      </c>
      <c r="P63" s="175">
        <v>19562</v>
      </c>
      <c r="Q63" s="175">
        <v>19342</v>
      </c>
    </row>
    <row r="64" spans="1:17">
      <c r="A64" s="173" t="s">
        <v>602</v>
      </c>
      <c r="B64" s="173" t="s">
        <v>692</v>
      </c>
      <c r="C64" s="175">
        <v>79051</v>
      </c>
      <c r="D64" s="175">
        <v>84275</v>
      </c>
      <c r="E64" s="175">
        <v>90686</v>
      </c>
      <c r="F64" s="175">
        <v>95488</v>
      </c>
      <c r="G64" s="175">
        <v>97496</v>
      </c>
      <c r="H64" s="175">
        <v>96845</v>
      </c>
      <c r="I64" s="175">
        <v>98547</v>
      </c>
      <c r="J64" s="175">
        <v>101155</v>
      </c>
      <c r="K64" s="175">
        <v>101006</v>
      </c>
      <c r="L64" s="175">
        <v>105674</v>
      </c>
      <c r="M64" s="175">
        <v>97582</v>
      </c>
      <c r="N64" s="175">
        <v>100376</v>
      </c>
      <c r="O64" s="175">
        <v>104554</v>
      </c>
      <c r="P64" s="175">
        <v>111767</v>
      </c>
      <c r="Q64" s="175">
        <v>117973</v>
      </c>
    </row>
    <row r="65" spans="1:17">
      <c r="A65" s="173" t="s">
        <v>604</v>
      </c>
      <c r="B65" s="173" t="s">
        <v>693</v>
      </c>
      <c r="C65" s="175">
        <v>4262</v>
      </c>
      <c r="D65" s="175">
        <v>5312</v>
      </c>
      <c r="E65" s="175">
        <v>5828</v>
      </c>
      <c r="F65" s="175">
        <v>5661</v>
      </c>
      <c r="G65" s="175">
        <v>5787</v>
      </c>
      <c r="H65" s="175">
        <v>4539</v>
      </c>
      <c r="I65" s="175">
        <v>4301</v>
      </c>
      <c r="J65" s="175">
        <v>3619</v>
      </c>
      <c r="K65" s="175">
        <v>3474</v>
      </c>
      <c r="L65" s="175">
        <v>3751</v>
      </c>
      <c r="M65" s="175">
        <v>4741</v>
      </c>
      <c r="N65" s="175">
        <v>7199</v>
      </c>
      <c r="O65" s="175">
        <v>10802</v>
      </c>
      <c r="P65" s="175">
        <v>13390</v>
      </c>
      <c r="Q65" s="175">
        <v>15403</v>
      </c>
    </row>
    <row r="66" spans="1:17">
      <c r="A66" s="173" t="s">
        <v>606</v>
      </c>
      <c r="B66" s="173" t="s">
        <v>694</v>
      </c>
      <c r="C66" s="175">
        <v>40885</v>
      </c>
      <c r="D66" s="175">
        <v>41916</v>
      </c>
      <c r="E66" s="175">
        <v>43699</v>
      </c>
      <c r="F66" s="175">
        <v>45756</v>
      </c>
      <c r="G66" s="175">
        <v>47851</v>
      </c>
      <c r="H66" s="175">
        <v>49950</v>
      </c>
      <c r="I66" s="175">
        <v>51843</v>
      </c>
      <c r="J66" s="175">
        <v>55082</v>
      </c>
      <c r="K66" s="175">
        <v>56804</v>
      </c>
      <c r="L66" s="175">
        <v>60984</v>
      </c>
      <c r="M66" s="175">
        <v>58940</v>
      </c>
      <c r="N66" s="175">
        <v>62545</v>
      </c>
      <c r="O66" s="175">
        <v>67697</v>
      </c>
      <c r="P66" s="175">
        <v>75140</v>
      </c>
      <c r="Q66" s="175">
        <v>78899</v>
      </c>
    </row>
    <row r="67" spans="1:17">
      <c r="A67" s="173" t="s">
        <v>608</v>
      </c>
      <c r="B67" s="173" t="s">
        <v>695</v>
      </c>
      <c r="C67" s="175" t="s">
        <v>296</v>
      </c>
      <c r="D67" s="175" t="s">
        <v>296</v>
      </c>
      <c r="E67" s="175" t="s">
        <v>296</v>
      </c>
      <c r="F67" s="175" t="s">
        <v>296</v>
      </c>
      <c r="G67" s="175" t="s">
        <v>296</v>
      </c>
      <c r="H67" s="175" t="s">
        <v>296</v>
      </c>
      <c r="I67" s="175" t="s">
        <v>296</v>
      </c>
      <c r="J67" s="175" t="s">
        <v>296</v>
      </c>
      <c r="K67" s="175" t="s">
        <v>296</v>
      </c>
      <c r="L67" s="175">
        <v>195028</v>
      </c>
      <c r="M67" s="175">
        <v>180571</v>
      </c>
      <c r="N67" s="175">
        <v>189324</v>
      </c>
      <c r="O67" s="175">
        <v>202370</v>
      </c>
      <c r="P67" s="175">
        <v>219859</v>
      </c>
      <c r="Q67" s="175">
        <v>231617</v>
      </c>
    </row>
    <row r="68" spans="1:17">
      <c r="A68" s="173" t="s">
        <v>610</v>
      </c>
      <c r="B68" s="173" t="s">
        <v>696</v>
      </c>
      <c r="C68" s="175">
        <v>46611</v>
      </c>
      <c r="D68" s="175">
        <v>48614</v>
      </c>
      <c r="E68" s="175">
        <v>55043</v>
      </c>
      <c r="F68" s="175">
        <v>60771</v>
      </c>
      <c r="G68" s="175">
        <v>65979</v>
      </c>
      <c r="H68" s="175">
        <v>71538</v>
      </c>
      <c r="I68" s="175">
        <v>76951</v>
      </c>
      <c r="J68" s="175">
        <v>83039</v>
      </c>
      <c r="K68" s="175">
        <v>81493</v>
      </c>
      <c r="L68" s="175">
        <v>89820</v>
      </c>
      <c r="M68" s="175">
        <v>88370</v>
      </c>
      <c r="N68" s="175">
        <v>94809</v>
      </c>
      <c r="O68" s="175">
        <v>101610</v>
      </c>
      <c r="P68" s="175">
        <v>109049</v>
      </c>
      <c r="Q68" s="175">
        <v>111624</v>
      </c>
    </row>
    <row r="69" spans="1:17">
      <c r="A69" s="173" t="s">
        <v>612</v>
      </c>
      <c r="B69" s="173" t="s">
        <v>697</v>
      </c>
      <c r="C69" s="175">
        <v>107878</v>
      </c>
      <c r="D69" s="175">
        <v>112324</v>
      </c>
      <c r="E69" s="175">
        <v>116681</v>
      </c>
      <c r="F69" s="175">
        <v>175632</v>
      </c>
      <c r="G69" s="175">
        <v>116655</v>
      </c>
      <c r="H69" s="175">
        <v>116516</v>
      </c>
      <c r="I69" s="175">
        <v>114178</v>
      </c>
      <c r="J69" s="175">
        <v>114818</v>
      </c>
      <c r="K69" s="175">
        <v>111395</v>
      </c>
      <c r="L69" s="175">
        <v>105208</v>
      </c>
      <c r="M69" s="175">
        <v>92201</v>
      </c>
      <c r="N69" s="175">
        <v>94515</v>
      </c>
      <c r="O69" s="175">
        <v>100760</v>
      </c>
      <c r="P69" s="175">
        <v>110810</v>
      </c>
      <c r="Q69" s="175">
        <v>119993</v>
      </c>
    </row>
    <row r="70" spans="1:17">
      <c r="A70" s="173" t="s">
        <v>698</v>
      </c>
      <c r="B70" s="173" t="s">
        <v>699</v>
      </c>
      <c r="C70" s="175">
        <v>7540</v>
      </c>
      <c r="D70" s="175">
        <v>4822</v>
      </c>
      <c r="E70" s="175">
        <v>5687</v>
      </c>
      <c r="F70" s="175">
        <v>6450</v>
      </c>
      <c r="G70" s="175">
        <v>6449</v>
      </c>
      <c r="H70" s="175">
        <v>7202</v>
      </c>
      <c r="I70" s="175">
        <v>7359</v>
      </c>
      <c r="J70" s="175">
        <v>4096</v>
      </c>
      <c r="K70" s="175">
        <v>4027</v>
      </c>
      <c r="L70" s="175">
        <v>8186</v>
      </c>
      <c r="M70" s="175">
        <v>8242</v>
      </c>
      <c r="N70" s="175">
        <v>8110</v>
      </c>
      <c r="O70" s="175">
        <v>8916</v>
      </c>
      <c r="P70" s="175">
        <v>8910</v>
      </c>
      <c r="Q70" s="175">
        <v>9093</v>
      </c>
    </row>
    <row r="71" spans="1:17">
      <c r="A71" s="173" t="s">
        <v>700</v>
      </c>
      <c r="B71" s="173" t="s">
        <v>701</v>
      </c>
      <c r="C71" s="175" t="s">
        <v>296</v>
      </c>
      <c r="D71" s="175" t="s">
        <v>296</v>
      </c>
      <c r="E71" s="175" t="s">
        <v>296</v>
      </c>
      <c r="F71" s="175" t="s">
        <v>296</v>
      </c>
      <c r="G71" s="175" t="s">
        <v>296</v>
      </c>
      <c r="H71" s="175" t="s">
        <v>296</v>
      </c>
      <c r="I71" s="175" t="s">
        <v>296</v>
      </c>
      <c r="J71" s="175" t="s">
        <v>296</v>
      </c>
      <c r="K71" s="175" t="s">
        <v>296</v>
      </c>
      <c r="L71" s="175" t="s">
        <v>296</v>
      </c>
      <c r="M71" s="175">
        <v>4900</v>
      </c>
      <c r="N71" s="175">
        <v>4800</v>
      </c>
      <c r="O71" s="175">
        <v>4300</v>
      </c>
      <c r="P71" s="175">
        <v>4100</v>
      </c>
      <c r="Q71" s="175">
        <v>4500</v>
      </c>
    </row>
    <row r="72" spans="1:17">
      <c r="A72" s="173" t="s">
        <v>614</v>
      </c>
      <c r="B72" s="173" t="s">
        <v>702</v>
      </c>
      <c r="C72" s="175">
        <v>16763</v>
      </c>
      <c r="D72" s="175">
        <v>20651</v>
      </c>
      <c r="E72" s="175">
        <v>20497</v>
      </c>
      <c r="F72" s="175">
        <v>19510</v>
      </c>
      <c r="G72" s="175">
        <v>18102</v>
      </c>
      <c r="H72" s="175">
        <v>16695</v>
      </c>
      <c r="I72" s="175">
        <v>17037</v>
      </c>
      <c r="J72" s="175">
        <v>18242</v>
      </c>
      <c r="K72" s="175">
        <v>31181</v>
      </c>
      <c r="L72" s="175">
        <v>31073</v>
      </c>
      <c r="M72" s="175">
        <v>28983</v>
      </c>
      <c r="N72" s="175">
        <v>29014</v>
      </c>
      <c r="O72" s="175">
        <v>28174</v>
      </c>
      <c r="P72" s="175">
        <v>28113</v>
      </c>
      <c r="Q72" s="175">
        <v>28792</v>
      </c>
    </row>
    <row r="73" spans="1:17">
      <c r="A73" s="173" t="s">
        <v>627</v>
      </c>
      <c r="B73" s="173" t="s">
        <v>703</v>
      </c>
      <c r="C73" s="175">
        <v>4655</v>
      </c>
      <c r="D73" s="175">
        <v>1975</v>
      </c>
      <c r="E73" s="175">
        <v>5587</v>
      </c>
      <c r="F73" s="175">
        <v>4103</v>
      </c>
      <c r="G73" s="175" t="s">
        <v>296</v>
      </c>
      <c r="H73" s="175">
        <v>2745</v>
      </c>
      <c r="I73" s="175">
        <v>2256</v>
      </c>
      <c r="J73" s="175">
        <v>3738</v>
      </c>
      <c r="K73" s="175">
        <v>1876</v>
      </c>
      <c r="L73" s="175">
        <v>5362</v>
      </c>
      <c r="M73" s="175">
        <v>3115</v>
      </c>
      <c r="N73" s="175">
        <v>2803</v>
      </c>
      <c r="O73" s="175">
        <v>4191</v>
      </c>
      <c r="P73" s="175">
        <v>3447</v>
      </c>
      <c r="Q73" s="175">
        <v>2598</v>
      </c>
    </row>
    <row r="74" spans="1:17">
      <c r="A74" s="173" t="s">
        <v>629</v>
      </c>
      <c r="B74" s="173" t="s">
        <v>704</v>
      </c>
      <c r="C74" s="175">
        <v>336</v>
      </c>
      <c r="D74" s="175">
        <v>326</v>
      </c>
      <c r="E74" s="175" t="s">
        <v>296</v>
      </c>
      <c r="F74" s="175" t="s">
        <v>296</v>
      </c>
      <c r="G74" s="175" t="s">
        <v>296</v>
      </c>
      <c r="H74" s="175" t="s">
        <v>296</v>
      </c>
      <c r="I74" s="175" t="s">
        <v>296</v>
      </c>
      <c r="J74" s="175" t="s">
        <v>296</v>
      </c>
      <c r="K74" s="175" t="s">
        <v>296</v>
      </c>
      <c r="L74" s="175" t="s">
        <v>296</v>
      </c>
      <c r="M74" s="175" t="s">
        <v>296</v>
      </c>
      <c r="N74" s="175" t="s">
        <v>296</v>
      </c>
      <c r="O74" s="175" t="s">
        <v>296</v>
      </c>
      <c r="P74" s="175" t="s">
        <v>296</v>
      </c>
      <c r="Q74" s="175" t="s">
        <v>296</v>
      </c>
    </row>
    <row r="75" spans="1:17">
      <c r="A75" s="173" t="s">
        <v>648</v>
      </c>
      <c r="B75" s="173" t="s">
        <v>705</v>
      </c>
      <c r="C75" s="175">
        <v>3150</v>
      </c>
      <c r="D75" s="175">
        <v>3009</v>
      </c>
      <c r="E75" s="175" t="s">
        <v>296</v>
      </c>
      <c r="F75" s="175" t="s">
        <v>296</v>
      </c>
      <c r="G75" s="175" t="s">
        <v>296</v>
      </c>
      <c r="H75" s="175" t="s">
        <v>296</v>
      </c>
      <c r="I75" s="175" t="s">
        <v>296</v>
      </c>
      <c r="J75" s="175" t="s">
        <v>296</v>
      </c>
      <c r="K75" s="175" t="s">
        <v>296</v>
      </c>
      <c r="L75" s="175" t="s">
        <v>296</v>
      </c>
      <c r="M75" s="175" t="s">
        <v>296</v>
      </c>
      <c r="N75" s="175" t="s">
        <v>296</v>
      </c>
      <c r="O75" s="175" t="s">
        <v>296</v>
      </c>
      <c r="P75" s="175" t="s">
        <v>296</v>
      </c>
      <c r="Q75" s="175" t="s">
        <v>296</v>
      </c>
    </row>
    <row r="76" spans="1:17">
      <c r="A76" s="173" t="s">
        <v>652</v>
      </c>
      <c r="B76" s="173" t="s">
        <v>706</v>
      </c>
      <c r="C76" s="175">
        <v>6336</v>
      </c>
      <c r="D76" s="175">
        <v>7927</v>
      </c>
      <c r="E76" s="175">
        <v>8899</v>
      </c>
      <c r="F76" s="175">
        <v>9763</v>
      </c>
      <c r="G76" s="175">
        <v>9415</v>
      </c>
      <c r="H76" s="175">
        <v>9055</v>
      </c>
      <c r="I76" s="175">
        <v>10127</v>
      </c>
      <c r="J76" s="175">
        <v>6048</v>
      </c>
      <c r="K76" s="175">
        <v>8527</v>
      </c>
      <c r="L76" s="175">
        <v>12476</v>
      </c>
      <c r="M76" s="175">
        <v>14851</v>
      </c>
      <c r="N76" s="175">
        <v>13554</v>
      </c>
      <c r="O76" s="175">
        <v>14682</v>
      </c>
      <c r="P76" s="175">
        <v>14495</v>
      </c>
      <c r="Q76" s="175">
        <v>14364</v>
      </c>
    </row>
    <row r="77" spans="1:17">
      <c r="A77" s="173" t="s">
        <v>707</v>
      </c>
      <c r="B77" s="173" t="s">
        <v>708</v>
      </c>
      <c r="C77" s="175">
        <v>2705</v>
      </c>
      <c r="D77" s="175">
        <v>4446</v>
      </c>
      <c r="E77" s="175">
        <v>5395</v>
      </c>
      <c r="F77" s="175">
        <v>5084</v>
      </c>
      <c r="G77" s="175">
        <v>4543</v>
      </c>
      <c r="H77" s="175">
        <v>3065</v>
      </c>
      <c r="I77" s="175">
        <v>2737</v>
      </c>
      <c r="J77" s="175">
        <v>2953</v>
      </c>
      <c r="K77" s="175">
        <v>7138</v>
      </c>
      <c r="L77" s="175">
        <v>6883</v>
      </c>
      <c r="M77" s="175">
        <v>6606</v>
      </c>
      <c r="N77" s="175">
        <v>8638</v>
      </c>
      <c r="O77" s="175">
        <v>7061</v>
      </c>
      <c r="P77" s="175">
        <v>6488</v>
      </c>
      <c r="Q77" s="175">
        <v>6408</v>
      </c>
    </row>
    <row r="78" spans="1:17">
      <c r="A78" s="173" t="s">
        <v>661</v>
      </c>
      <c r="B78" s="173" t="s">
        <v>709</v>
      </c>
      <c r="C78" s="175">
        <v>352</v>
      </c>
      <c r="D78" s="175">
        <v>342</v>
      </c>
      <c r="E78" s="175">
        <v>332</v>
      </c>
      <c r="F78" s="175">
        <v>323</v>
      </c>
      <c r="G78" s="175">
        <v>323</v>
      </c>
      <c r="H78" s="175">
        <v>317</v>
      </c>
      <c r="I78" s="175">
        <v>305</v>
      </c>
      <c r="J78" s="175">
        <v>295</v>
      </c>
      <c r="K78" s="175">
        <v>288</v>
      </c>
      <c r="L78" s="175">
        <v>284</v>
      </c>
      <c r="M78" s="175">
        <v>282</v>
      </c>
      <c r="N78" s="175">
        <v>276</v>
      </c>
      <c r="O78" s="175">
        <v>269</v>
      </c>
      <c r="P78" s="175">
        <v>805</v>
      </c>
      <c r="Q78" s="175">
        <v>802</v>
      </c>
    </row>
    <row r="79" spans="1:17">
      <c r="A79" s="173" t="s">
        <v>663</v>
      </c>
      <c r="B79" s="173" t="s">
        <v>710</v>
      </c>
      <c r="C79" s="175">
        <v>3577</v>
      </c>
      <c r="D79" s="175">
        <v>3692</v>
      </c>
      <c r="E79" s="175">
        <v>3620</v>
      </c>
      <c r="F79" s="175">
        <v>2362</v>
      </c>
      <c r="G79" s="175">
        <v>2462</v>
      </c>
      <c r="H79" s="175">
        <v>1805</v>
      </c>
      <c r="I79" s="175">
        <v>2371</v>
      </c>
      <c r="J79" s="175">
        <v>2648</v>
      </c>
      <c r="K79" s="175">
        <v>2965</v>
      </c>
      <c r="L79" s="175">
        <v>3247</v>
      </c>
      <c r="M79" s="175">
        <v>3646</v>
      </c>
      <c r="N79" s="175">
        <v>4839</v>
      </c>
      <c r="O79" s="175">
        <v>4969</v>
      </c>
      <c r="P79" s="175">
        <v>4544</v>
      </c>
      <c r="Q79" s="175">
        <v>5503</v>
      </c>
    </row>
    <row r="80" spans="1:17">
      <c r="A80" s="173" t="s">
        <v>665</v>
      </c>
      <c r="B80" s="173" t="s">
        <v>711</v>
      </c>
      <c r="C80" s="175">
        <v>646</v>
      </c>
      <c r="D80" s="175">
        <v>-1410</v>
      </c>
      <c r="E80" s="175">
        <v>-587</v>
      </c>
      <c r="F80" s="175">
        <v>-2996</v>
      </c>
      <c r="G80" s="175">
        <v>-7168</v>
      </c>
      <c r="H80" s="175">
        <v>-11597</v>
      </c>
      <c r="I80" s="175">
        <v>-14232</v>
      </c>
      <c r="J80" s="175">
        <v>-10181</v>
      </c>
      <c r="K80" s="175">
        <v>11542</v>
      </c>
      <c r="L80" s="175" t="s">
        <v>296</v>
      </c>
      <c r="M80" s="175">
        <v>-11766</v>
      </c>
      <c r="N80" s="175">
        <v>-8766</v>
      </c>
      <c r="O80" s="175">
        <v>-11680</v>
      </c>
      <c r="P80" s="175">
        <v>-11302</v>
      </c>
      <c r="Q80" s="175">
        <v>-13605</v>
      </c>
    </row>
    <row r="81" spans="1:17">
      <c r="A81" s="173" t="s">
        <v>667</v>
      </c>
      <c r="B81" s="173" t="s">
        <v>712</v>
      </c>
      <c r="C81" s="175">
        <v>63967</v>
      </c>
      <c r="D81" s="175">
        <v>68691</v>
      </c>
      <c r="E81" s="175">
        <v>72978</v>
      </c>
      <c r="F81" s="175">
        <v>76566</v>
      </c>
      <c r="G81" s="175">
        <v>85777</v>
      </c>
      <c r="H81" s="175">
        <v>90021</v>
      </c>
      <c r="I81" s="175">
        <v>89354</v>
      </c>
      <c r="J81" s="175">
        <v>85107</v>
      </c>
      <c r="K81" s="175">
        <v>80785</v>
      </c>
      <c r="L81" s="175">
        <v>83943</v>
      </c>
      <c r="M81" s="175">
        <v>88763</v>
      </c>
      <c r="N81" s="175">
        <v>86904</v>
      </c>
      <c r="O81" s="175">
        <v>83135</v>
      </c>
      <c r="P81" s="175">
        <v>83861</v>
      </c>
      <c r="Q81" s="175">
        <v>98313</v>
      </c>
    </row>
    <row r="82" spans="1:17">
      <c r="A82" s="173" t="s">
        <v>669</v>
      </c>
      <c r="B82" s="173" t="s">
        <v>713</v>
      </c>
      <c r="C82" s="175">
        <v>3516</v>
      </c>
      <c r="D82" s="175">
        <v>3418</v>
      </c>
      <c r="E82" s="175">
        <v>3314</v>
      </c>
      <c r="F82" s="175">
        <v>3233</v>
      </c>
      <c r="G82" s="175">
        <v>3228</v>
      </c>
      <c r="H82" s="175">
        <v>3162</v>
      </c>
      <c r="I82" s="175">
        <v>3048</v>
      </c>
      <c r="J82" s="175">
        <v>2952</v>
      </c>
      <c r="K82" s="175">
        <v>2878</v>
      </c>
      <c r="L82" s="175">
        <v>2832</v>
      </c>
      <c r="M82" s="175">
        <v>2821</v>
      </c>
      <c r="N82" s="175">
        <v>2761</v>
      </c>
      <c r="O82" s="175">
        <v>2693</v>
      </c>
      <c r="P82" s="175">
        <v>8054</v>
      </c>
      <c r="Q82" s="175">
        <v>8024</v>
      </c>
    </row>
    <row r="83" spans="1:17">
      <c r="A83" s="173" t="s">
        <v>671</v>
      </c>
      <c r="B83" s="173" t="s">
        <v>714</v>
      </c>
      <c r="C83" s="177">
        <v>0.1</v>
      </c>
      <c r="D83" s="177">
        <v>0.1</v>
      </c>
      <c r="E83" s="177" t="s">
        <v>296</v>
      </c>
      <c r="F83" s="177" t="s">
        <v>296</v>
      </c>
      <c r="G83" s="177">
        <v>0.1</v>
      </c>
      <c r="H83" s="177">
        <v>0.1</v>
      </c>
      <c r="I83" s="177">
        <v>0.1</v>
      </c>
      <c r="J83" s="177">
        <v>0.1</v>
      </c>
      <c r="K83" s="177">
        <v>0.1</v>
      </c>
      <c r="L83" s="177">
        <v>0.1</v>
      </c>
      <c r="M83" s="177">
        <v>0.1</v>
      </c>
      <c r="N83" s="177">
        <v>0.1</v>
      </c>
      <c r="O83" s="177">
        <v>0.1</v>
      </c>
      <c r="P83" s="177">
        <v>0.1</v>
      </c>
      <c r="Q83" s="177">
        <v>0.1</v>
      </c>
    </row>
    <row r="84" spans="1:17">
      <c r="A84" s="173" t="s">
        <v>715</v>
      </c>
      <c r="B84" s="173" t="s">
        <v>716</v>
      </c>
      <c r="C84" s="175" t="s">
        <v>296</v>
      </c>
      <c r="D84" s="175" t="s">
        <v>296</v>
      </c>
      <c r="E84" s="175" t="s">
        <v>296</v>
      </c>
      <c r="F84" s="175" t="s">
        <v>296</v>
      </c>
      <c r="G84" s="175">
        <v>56</v>
      </c>
      <c r="H84" s="175" t="s">
        <v>296</v>
      </c>
      <c r="I84" s="175" t="s">
        <v>296</v>
      </c>
      <c r="J84" s="175" t="s">
        <v>296</v>
      </c>
      <c r="K84" s="175" t="s">
        <v>296</v>
      </c>
      <c r="L84" s="175" t="s">
        <v>296</v>
      </c>
      <c r="M84" s="175" t="s">
        <v>296</v>
      </c>
      <c r="N84" s="175" t="s">
        <v>296</v>
      </c>
      <c r="O84" s="175" t="s">
        <v>296</v>
      </c>
      <c r="P84" s="175" t="s">
        <v>296</v>
      </c>
      <c r="Q84" s="175" t="s">
        <v>296</v>
      </c>
    </row>
    <row r="85" spans="1:17">
      <c r="A85" s="173" t="s">
        <v>618</v>
      </c>
      <c r="B85" s="173" t="s">
        <v>717</v>
      </c>
      <c r="C85" s="175">
        <v>5905</v>
      </c>
      <c r="D85" s="175">
        <v>5936</v>
      </c>
      <c r="E85" s="175">
        <v>5899</v>
      </c>
      <c r="F85" s="175">
        <v>5589</v>
      </c>
      <c r="G85" s="175">
        <v>5239</v>
      </c>
      <c r="H85" s="175">
        <v>11096</v>
      </c>
      <c r="I85" s="175">
        <v>11637</v>
      </c>
      <c r="J85" s="175">
        <v>12703</v>
      </c>
      <c r="K85" s="175">
        <v>7078</v>
      </c>
      <c r="L85" s="175" t="s">
        <v>296</v>
      </c>
      <c r="M85" s="175" t="s">
        <v>296</v>
      </c>
      <c r="N85" s="175" t="s">
        <v>296</v>
      </c>
      <c r="O85" s="175" t="s">
        <v>296</v>
      </c>
      <c r="P85" s="175" t="s">
        <v>296</v>
      </c>
      <c r="Q85" s="175" t="s">
        <v>296</v>
      </c>
    </row>
    <row r="86" spans="1:17">
      <c r="A86" s="173" t="s">
        <v>718</v>
      </c>
      <c r="B86" s="173" t="s">
        <v>719</v>
      </c>
      <c r="C86" s="175">
        <v>2998</v>
      </c>
      <c r="D86" s="175">
        <v>5817</v>
      </c>
      <c r="E86" s="175">
        <v>1556</v>
      </c>
      <c r="F86" s="175">
        <v>8627</v>
      </c>
      <c r="G86" s="175" t="s">
        <v>296</v>
      </c>
      <c r="H86" s="175">
        <v>3427</v>
      </c>
      <c r="I86" s="175">
        <v>1832</v>
      </c>
      <c r="J86" s="175">
        <v>6057</v>
      </c>
      <c r="K86" s="175">
        <v>7025</v>
      </c>
      <c r="L86" s="175">
        <v>2075</v>
      </c>
      <c r="M86" s="175">
        <v>974</v>
      </c>
      <c r="N86" s="175">
        <v>410</v>
      </c>
      <c r="O86" s="175">
        <v>372</v>
      </c>
      <c r="P86" s="175">
        <v>878</v>
      </c>
      <c r="Q86" s="175">
        <v>3068</v>
      </c>
    </row>
    <row r="87" spans="1:17">
      <c r="A87" s="173" t="s">
        <v>720</v>
      </c>
      <c r="B87" s="173" t="s">
        <v>721</v>
      </c>
      <c r="C87" s="175">
        <v>42082</v>
      </c>
      <c r="D87" s="175">
        <v>44092</v>
      </c>
      <c r="E87" s="175">
        <v>42425</v>
      </c>
      <c r="F87" s="175">
        <v>44116</v>
      </c>
      <c r="G87" s="175" t="s">
        <v>296</v>
      </c>
      <c r="H87" s="175">
        <v>40240</v>
      </c>
      <c r="I87" s="175">
        <v>37538</v>
      </c>
      <c r="J87" s="175">
        <v>32983</v>
      </c>
      <c r="K87" s="175">
        <v>43596</v>
      </c>
      <c r="L87" s="175">
        <v>47576</v>
      </c>
      <c r="M87" s="175">
        <v>44309</v>
      </c>
      <c r="N87" s="175">
        <v>37667</v>
      </c>
      <c r="O87" s="175">
        <v>38840</v>
      </c>
      <c r="P87" s="175">
        <v>39579</v>
      </c>
      <c r="Q87" s="175">
        <v>35999</v>
      </c>
    </row>
    <row r="88" spans="1:17">
      <c r="A88" s="173" t="s">
        <v>722</v>
      </c>
      <c r="B88" s="173" t="s">
        <v>723</v>
      </c>
      <c r="C88" s="175">
        <v>11500</v>
      </c>
      <c r="D88" s="175">
        <v>21500</v>
      </c>
      <c r="E88" s="175">
        <v>18129</v>
      </c>
      <c r="F88" s="175">
        <v>17283</v>
      </c>
      <c r="G88" s="175">
        <v>15000</v>
      </c>
      <c r="H88" s="175">
        <v>15000</v>
      </c>
      <c r="I88" s="175">
        <v>12500</v>
      </c>
      <c r="J88" s="175">
        <v>12500</v>
      </c>
      <c r="K88" s="175">
        <v>15000</v>
      </c>
      <c r="L88" s="175">
        <v>15000</v>
      </c>
      <c r="M88" s="175">
        <v>15000</v>
      </c>
      <c r="N88" s="175">
        <v>15000</v>
      </c>
      <c r="O88" s="175">
        <v>15000</v>
      </c>
      <c r="P88" s="175">
        <v>15000</v>
      </c>
      <c r="Q88" s="175">
        <v>15000</v>
      </c>
    </row>
    <row r="89" spans="1:17">
      <c r="A89" s="173" t="s">
        <v>724</v>
      </c>
      <c r="B89" s="173" t="s">
        <v>725</v>
      </c>
      <c r="C89" s="175" t="s">
        <v>296</v>
      </c>
      <c r="D89" s="175">
        <v>16300</v>
      </c>
      <c r="E89" s="175">
        <v>16261</v>
      </c>
      <c r="F89" s="175">
        <v>15447</v>
      </c>
      <c r="G89" s="175">
        <v>15000</v>
      </c>
      <c r="H89" s="175">
        <v>15000</v>
      </c>
      <c r="I89" s="175">
        <v>12500</v>
      </c>
      <c r="J89" s="175">
        <v>12500</v>
      </c>
      <c r="K89" s="175">
        <v>15000</v>
      </c>
      <c r="L89" s="175">
        <v>15000</v>
      </c>
      <c r="M89" s="175">
        <v>15000</v>
      </c>
      <c r="N89" s="175">
        <v>15000</v>
      </c>
      <c r="O89" s="175">
        <v>15000</v>
      </c>
      <c r="P89" s="175">
        <v>15000</v>
      </c>
      <c r="Q89" s="175">
        <v>15000</v>
      </c>
    </row>
    <row r="90" spans="1:17">
      <c r="A90" s="173" t="s">
        <v>726</v>
      </c>
      <c r="B90" s="173" t="s">
        <v>727</v>
      </c>
      <c r="C90" s="175">
        <v>14123</v>
      </c>
      <c r="D90" s="175">
        <v>16415</v>
      </c>
      <c r="E90" s="175">
        <v>16803</v>
      </c>
      <c r="F90" s="175">
        <v>17170</v>
      </c>
      <c r="G90" s="175">
        <v>17910</v>
      </c>
      <c r="H90" s="175">
        <v>21505</v>
      </c>
      <c r="I90" s="175">
        <v>18139</v>
      </c>
      <c r="J90" s="175">
        <v>15366</v>
      </c>
      <c r="K90" s="175">
        <v>14118</v>
      </c>
      <c r="L90" s="175">
        <v>26257</v>
      </c>
      <c r="M90" s="175">
        <v>20949</v>
      </c>
      <c r="N90" s="175">
        <v>20666</v>
      </c>
      <c r="O90" s="175">
        <v>20469</v>
      </c>
      <c r="P90" s="175">
        <v>21013</v>
      </c>
      <c r="Q90" s="175">
        <v>20603</v>
      </c>
    </row>
    <row r="91" spans="1:17">
      <c r="A91" s="173" t="s">
        <v>381</v>
      </c>
      <c r="B91" s="173" t="s">
        <v>382</v>
      </c>
      <c r="C91" s="175">
        <v>2000</v>
      </c>
      <c r="D91" s="175">
        <v>2400</v>
      </c>
      <c r="E91" s="175">
        <v>2600</v>
      </c>
      <c r="F91" s="175">
        <v>2800</v>
      </c>
      <c r="G91" s="175">
        <v>2800</v>
      </c>
      <c r="H91" s="175">
        <v>2500</v>
      </c>
      <c r="I91" s="175">
        <v>2600</v>
      </c>
      <c r="J91" s="175">
        <v>2900</v>
      </c>
      <c r="K91" s="175">
        <v>3000</v>
      </c>
      <c r="L91" s="175">
        <v>3361</v>
      </c>
      <c r="M91" s="175">
        <v>3403</v>
      </c>
      <c r="N91" s="175">
        <v>3097</v>
      </c>
      <c r="O91" s="175">
        <v>3205</v>
      </c>
      <c r="P91" s="175">
        <v>3359</v>
      </c>
      <c r="Q91" s="175">
        <v>3492</v>
      </c>
    </row>
    <row r="92" spans="1:17">
      <c r="A92" s="173" t="s">
        <v>728</v>
      </c>
      <c r="B92" s="173" t="s">
        <v>729</v>
      </c>
      <c r="C92" s="175">
        <v>1406</v>
      </c>
      <c r="D92" s="175">
        <v>1644</v>
      </c>
      <c r="E92" s="175">
        <v>1722</v>
      </c>
      <c r="F92" s="175">
        <v>1734</v>
      </c>
      <c r="G92" s="175">
        <v>1759</v>
      </c>
      <c r="H92" s="175">
        <v>2057</v>
      </c>
      <c r="I92" s="175">
        <v>2270</v>
      </c>
      <c r="J92" s="175">
        <v>1933</v>
      </c>
      <c r="K92" s="175">
        <v>1856</v>
      </c>
      <c r="L92" s="175">
        <v>2587</v>
      </c>
      <c r="M92" s="175">
        <v>2189</v>
      </c>
      <c r="N92" s="175">
        <v>2164</v>
      </c>
      <c r="O92" s="175">
        <v>2166</v>
      </c>
      <c r="P92" s="175">
        <v>2181</v>
      </c>
      <c r="Q92" s="175">
        <v>2160</v>
      </c>
    </row>
    <row r="93" spans="1:17">
      <c r="A93" s="173" t="s">
        <v>730</v>
      </c>
      <c r="B93" s="173" t="s">
        <v>731</v>
      </c>
      <c r="C93" s="175">
        <v>1336</v>
      </c>
      <c r="D93" s="175">
        <v>1590</v>
      </c>
      <c r="E93" s="175">
        <v>1598</v>
      </c>
      <c r="F93" s="175">
        <v>1632</v>
      </c>
      <c r="G93" s="175">
        <v>1615</v>
      </c>
      <c r="H93" s="175">
        <v>1989</v>
      </c>
      <c r="I93" s="175">
        <v>1787</v>
      </c>
      <c r="J93" s="175">
        <v>1718</v>
      </c>
      <c r="K93" s="175">
        <v>1655</v>
      </c>
      <c r="L93" s="175">
        <v>2358</v>
      </c>
      <c r="M93" s="175">
        <v>2017</v>
      </c>
      <c r="N93" s="175">
        <v>2040</v>
      </c>
      <c r="O93" s="175">
        <v>2077</v>
      </c>
      <c r="P93" s="175">
        <v>2107</v>
      </c>
      <c r="Q93" s="175">
        <v>2111</v>
      </c>
    </row>
    <row r="94" spans="1:17">
      <c r="A94" s="173" t="s">
        <v>732</v>
      </c>
      <c r="B94" s="173" t="s">
        <v>733</v>
      </c>
      <c r="C94" s="175">
        <v>1271</v>
      </c>
      <c r="D94" s="175">
        <v>1525</v>
      </c>
      <c r="E94" s="175">
        <v>1480</v>
      </c>
      <c r="F94" s="175">
        <v>1462</v>
      </c>
      <c r="G94" s="175">
        <v>1482</v>
      </c>
      <c r="H94" s="175">
        <v>1794</v>
      </c>
      <c r="I94" s="175">
        <v>1679</v>
      </c>
      <c r="J94" s="175">
        <v>1532</v>
      </c>
      <c r="K94" s="175">
        <v>1420</v>
      </c>
      <c r="L94" s="175">
        <v>2138</v>
      </c>
      <c r="M94" s="175">
        <v>1861</v>
      </c>
      <c r="N94" s="175">
        <v>1876</v>
      </c>
      <c r="O94" s="175">
        <v>1917</v>
      </c>
      <c r="P94" s="175">
        <v>1970</v>
      </c>
      <c r="Q94" s="175">
        <v>1986</v>
      </c>
    </row>
    <row r="95" spans="1:17">
      <c r="A95" s="173" t="s">
        <v>734</v>
      </c>
      <c r="B95" s="173" t="s">
        <v>735</v>
      </c>
      <c r="C95" s="175">
        <v>1205</v>
      </c>
      <c r="D95" s="175">
        <v>1428</v>
      </c>
      <c r="E95" s="175">
        <v>1384</v>
      </c>
      <c r="F95" s="175">
        <v>1314</v>
      </c>
      <c r="G95" s="175">
        <v>1354</v>
      </c>
      <c r="H95" s="175">
        <v>1697</v>
      </c>
      <c r="I95" s="175">
        <v>1524</v>
      </c>
      <c r="J95" s="175">
        <v>1381</v>
      </c>
      <c r="K95" s="175">
        <v>1233</v>
      </c>
      <c r="L95" s="175">
        <v>1932</v>
      </c>
      <c r="M95" s="175">
        <v>1697</v>
      </c>
      <c r="N95" s="175">
        <v>1713</v>
      </c>
      <c r="O95" s="175">
        <v>1735</v>
      </c>
      <c r="P95" s="175">
        <v>1815</v>
      </c>
      <c r="Q95" s="175">
        <v>1835</v>
      </c>
    </row>
    <row r="96" spans="1:17">
      <c r="A96" s="173" t="s">
        <v>736</v>
      </c>
      <c r="B96" s="173" t="s">
        <v>737</v>
      </c>
      <c r="C96" s="175">
        <v>1120</v>
      </c>
      <c r="D96" s="175">
        <v>1312</v>
      </c>
      <c r="E96" s="175">
        <v>1246</v>
      </c>
      <c r="F96" s="175">
        <v>1192</v>
      </c>
      <c r="G96" s="175">
        <v>1236</v>
      </c>
      <c r="H96" s="175">
        <v>1530</v>
      </c>
      <c r="I96" s="175">
        <v>1342</v>
      </c>
      <c r="J96" s="175">
        <v>1158</v>
      </c>
      <c r="K96" s="175">
        <v>1063</v>
      </c>
      <c r="L96" s="175">
        <v>1728</v>
      </c>
      <c r="M96" s="175">
        <v>1527</v>
      </c>
      <c r="N96" s="175">
        <v>1551</v>
      </c>
      <c r="O96" s="175">
        <v>1556</v>
      </c>
      <c r="P96" s="175">
        <v>1645</v>
      </c>
      <c r="Q96" s="175">
        <v>1674</v>
      </c>
    </row>
    <row r="97" spans="1:17">
      <c r="A97" s="173" t="s">
        <v>738</v>
      </c>
      <c r="B97" s="173" t="s">
        <v>739</v>
      </c>
      <c r="C97" s="175">
        <v>7785</v>
      </c>
      <c r="D97" s="175">
        <v>8916</v>
      </c>
      <c r="E97" s="175">
        <v>9373</v>
      </c>
      <c r="F97" s="175">
        <v>9836</v>
      </c>
      <c r="G97" s="175">
        <v>10464</v>
      </c>
      <c r="H97" s="175">
        <v>12438</v>
      </c>
      <c r="I97" s="175">
        <v>9537</v>
      </c>
      <c r="J97" s="175">
        <v>7644</v>
      </c>
      <c r="K97" s="175">
        <v>6891</v>
      </c>
      <c r="L97" s="175">
        <v>15514</v>
      </c>
      <c r="M97" s="175">
        <v>11658</v>
      </c>
      <c r="N97" s="175">
        <v>11322</v>
      </c>
      <c r="O97" s="175">
        <v>11018</v>
      </c>
      <c r="P97" s="175">
        <v>11295</v>
      </c>
      <c r="Q97" s="175">
        <v>10837</v>
      </c>
    </row>
    <row r="98" spans="1:17">
      <c r="A98" s="173" t="s">
        <v>740</v>
      </c>
      <c r="B98" s="173" t="s">
        <v>741</v>
      </c>
      <c r="C98" s="175">
        <v>3641</v>
      </c>
      <c r="D98" s="175">
        <v>4617</v>
      </c>
      <c r="E98" s="175">
        <v>4373</v>
      </c>
      <c r="F98" s="175">
        <v>5110</v>
      </c>
      <c r="G98" s="175">
        <v>4671</v>
      </c>
      <c r="H98" s="175">
        <v>3357</v>
      </c>
      <c r="I98" s="175">
        <v>4333</v>
      </c>
      <c r="J98" s="175">
        <v>3831</v>
      </c>
      <c r="K98" s="175">
        <v>6296</v>
      </c>
      <c r="L98" s="175">
        <v>6204</v>
      </c>
      <c r="M98" s="175">
        <v>8445</v>
      </c>
      <c r="N98" s="175">
        <v>6917</v>
      </c>
      <c r="O98" s="175">
        <v>7269</v>
      </c>
      <c r="P98" s="175">
        <v>7248</v>
      </c>
      <c r="Q98" s="175">
        <v>7019</v>
      </c>
    </row>
    <row r="99" spans="1:17">
      <c r="A99" s="173" t="s">
        <v>742</v>
      </c>
      <c r="B99" s="173" t="s">
        <v>743</v>
      </c>
      <c r="C99" s="175">
        <v>327</v>
      </c>
      <c r="D99" s="175">
        <v>738</v>
      </c>
      <c r="E99" s="175">
        <v>757</v>
      </c>
      <c r="F99" s="175">
        <v>1151</v>
      </c>
      <c r="G99" s="175">
        <v>1033</v>
      </c>
      <c r="H99" s="175">
        <v>1504</v>
      </c>
      <c r="I99" s="175">
        <v>1565</v>
      </c>
      <c r="J99" s="175">
        <v>1879</v>
      </c>
      <c r="K99" s="175">
        <v>1796</v>
      </c>
      <c r="L99" s="175">
        <v>1914</v>
      </c>
      <c r="M99" s="175">
        <v>1836</v>
      </c>
      <c r="N99" s="175">
        <v>1473</v>
      </c>
      <c r="O99" s="175">
        <v>1503</v>
      </c>
      <c r="P99" s="175">
        <v>1663</v>
      </c>
      <c r="Q99" s="175">
        <v>1748</v>
      </c>
    </row>
    <row r="100" spans="1:17">
      <c r="A100" s="173" t="s">
        <v>744</v>
      </c>
      <c r="B100" s="173" t="s">
        <v>745</v>
      </c>
      <c r="C100" s="175">
        <v>252</v>
      </c>
      <c r="D100" s="175">
        <v>323</v>
      </c>
      <c r="E100" s="175">
        <v>115</v>
      </c>
      <c r="F100" s="175">
        <v>119</v>
      </c>
      <c r="G100" s="175">
        <v>114</v>
      </c>
      <c r="H100" s="175">
        <v>70</v>
      </c>
      <c r="I100" s="175" t="s">
        <v>296</v>
      </c>
      <c r="J100" s="175" t="s">
        <v>296</v>
      </c>
      <c r="K100" s="175" t="s">
        <v>296</v>
      </c>
      <c r="L100" s="175" t="s">
        <v>296</v>
      </c>
      <c r="M100" s="175" t="s">
        <v>296</v>
      </c>
      <c r="N100" s="175" t="s">
        <v>296</v>
      </c>
      <c r="O100" s="175" t="s">
        <v>296</v>
      </c>
      <c r="P100" s="175" t="s">
        <v>296</v>
      </c>
      <c r="Q100" s="175" t="s">
        <v>296</v>
      </c>
    </row>
    <row r="101" spans="1:17">
      <c r="A101" s="173" t="s">
        <v>673</v>
      </c>
      <c r="B101" s="173" t="s">
        <v>746</v>
      </c>
      <c r="C101" s="175">
        <v>71247</v>
      </c>
      <c r="D101" s="175">
        <v>75761</v>
      </c>
      <c r="E101" s="175">
        <v>81738</v>
      </c>
      <c r="F101" s="175">
        <v>81339</v>
      </c>
      <c r="G101" s="175">
        <v>85937</v>
      </c>
      <c r="H101" s="175">
        <v>83611</v>
      </c>
      <c r="I101" s="175">
        <v>80535</v>
      </c>
      <c r="J101" s="175">
        <v>80822</v>
      </c>
      <c r="K101" s="175">
        <v>79634</v>
      </c>
      <c r="L101" s="175">
        <v>81552</v>
      </c>
      <c r="M101" s="175">
        <v>87531</v>
      </c>
      <c r="N101" s="175">
        <v>91891</v>
      </c>
      <c r="O101" s="175">
        <v>83754</v>
      </c>
      <c r="P101" s="175">
        <v>90349</v>
      </c>
      <c r="Q101" s="175">
        <v>97692</v>
      </c>
    </row>
    <row r="102" spans="1:17">
      <c r="A102" s="173" t="s">
        <v>747</v>
      </c>
      <c r="B102" s="173" t="s">
        <v>748</v>
      </c>
      <c r="C102" s="175">
        <v>3486</v>
      </c>
      <c r="D102" s="175">
        <v>3335</v>
      </c>
      <c r="E102" s="175">
        <v>3350</v>
      </c>
      <c r="F102" s="175">
        <v>3097</v>
      </c>
      <c r="G102" s="175">
        <v>2893</v>
      </c>
      <c r="H102" s="175">
        <v>6367</v>
      </c>
      <c r="I102" s="175">
        <v>6568</v>
      </c>
      <c r="J102" s="175">
        <v>7447</v>
      </c>
      <c r="K102" s="175">
        <v>7412</v>
      </c>
      <c r="L102" s="175">
        <v>4818</v>
      </c>
      <c r="M102" s="175">
        <v>4338</v>
      </c>
      <c r="N102" s="175">
        <v>4754</v>
      </c>
      <c r="O102" s="175">
        <v>5410</v>
      </c>
      <c r="P102" s="175">
        <v>6434</v>
      </c>
      <c r="Q102" s="175">
        <v>6723</v>
      </c>
    </row>
    <row r="103" spans="1:17">
      <c r="A103" s="173" t="s">
        <v>749</v>
      </c>
      <c r="B103" s="173" t="s">
        <v>750</v>
      </c>
      <c r="C103" s="175">
        <v>0</v>
      </c>
      <c r="D103" s="175">
        <v>2</v>
      </c>
      <c r="E103" s="175">
        <v>29</v>
      </c>
      <c r="F103" s="175">
        <v>5</v>
      </c>
      <c r="G103" s="175">
        <v>0</v>
      </c>
      <c r="H103" s="175" t="s">
        <v>296</v>
      </c>
      <c r="I103" s="175" t="s">
        <v>296</v>
      </c>
      <c r="J103" s="175" t="s">
        <v>296</v>
      </c>
      <c r="K103" s="175" t="s">
        <v>296</v>
      </c>
      <c r="L103" s="175" t="s">
        <v>296</v>
      </c>
      <c r="M103" s="175" t="s">
        <v>296</v>
      </c>
      <c r="N103" s="175" t="s">
        <v>296</v>
      </c>
      <c r="O103" s="175" t="s">
        <v>296</v>
      </c>
      <c r="P103" s="175" t="s">
        <v>296</v>
      </c>
      <c r="Q103" s="175" t="s">
        <v>296</v>
      </c>
    </row>
    <row r="104" spans="1:17">
      <c r="A104" s="173" t="s">
        <v>751</v>
      </c>
      <c r="B104" s="173" t="s">
        <v>752</v>
      </c>
      <c r="C104" s="175" t="s">
        <v>296</v>
      </c>
      <c r="D104" s="175" t="s">
        <v>296</v>
      </c>
      <c r="E104" s="175" t="s">
        <v>296</v>
      </c>
      <c r="F104" s="175" t="s">
        <v>296</v>
      </c>
      <c r="G104" s="175" t="s">
        <v>296</v>
      </c>
      <c r="H104" s="175" t="s">
        <v>296</v>
      </c>
      <c r="I104" s="175" t="s">
        <v>296</v>
      </c>
      <c r="J104" s="175" t="s">
        <v>296</v>
      </c>
      <c r="K104" s="175" t="s">
        <v>296</v>
      </c>
      <c r="L104" s="175" t="s">
        <v>296</v>
      </c>
      <c r="M104" s="175" t="s">
        <v>296</v>
      </c>
      <c r="N104" s="175" t="s">
        <v>296</v>
      </c>
      <c r="O104" s="175" t="s">
        <v>296</v>
      </c>
      <c r="P104" s="175" t="s">
        <v>296</v>
      </c>
      <c r="Q104" s="175" t="s">
        <v>296</v>
      </c>
    </row>
    <row r="105" spans="1:17">
      <c r="A105" s="173" t="s">
        <v>753</v>
      </c>
      <c r="B105" s="173" t="s">
        <v>754</v>
      </c>
      <c r="C105" s="175" t="s">
        <v>296</v>
      </c>
      <c r="D105" s="175" t="s">
        <v>296</v>
      </c>
      <c r="E105" s="175" t="s">
        <v>296</v>
      </c>
      <c r="F105" s="175" t="s">
        <v>296</v>
      </c>
      <c r="G105" s="175">
        <v>0</v>
      </c>
      <c r="H105" s="175" t="s">
        <v>296</v>
      </c>
      <c r="I105" s="175" t="s">
        <v>296</v>
      </c>
      <c r="J105" s="175" t="s">
        <v>296</v>
      </c>
      <c r="K105" s="175" t="s">
        <v>296</v>
      </c>
      <c r="L105" s="175" t="s">
        <v>296</v>
      </c>
      <c r="M105" s="175" t="s">
        <v>296</v>
      </c>
      <c r="N105" s="175" t="s">
        <v>296</v>
      </c>
      <c r="O105" s="175" t="s">
        <v>296</v>
      </c>
      <c r="P105" s="175" t="s">
        <v>296</v>
      </c>
      <c r="Q105" s="175" t="s">
        <v>296</v>
      </c>
    </row>
    <row r="106" spans="1:17">
      <c r="A106" s="173" t="s">
        <v>755</v>
      </c>
      <c r="B106" s="173" t="s">
        <v>756</v>
      </c>
      <c r="C106" s="175">
        <v>267</v>
      </c>
      <c r="D106" s="175">
        <v>8331</v>
      </c>
      <c r="E106" s="175">
        <v>6963</v>
      </c>
      <c r="F106" s="175">
        <v>6068</v>
      </c>
      <c r="G106" s="175">
        <v>3850</v>
      </c>
      <c r="H106" s="175">
        <v>3644</v>
      </c>
      <c r="I106" s="175">
        <v>3209</v>
      </c>
      <c r="J106" s="175">
        <v>4041</v>
      </c>
      <c r="K106" s="175">
        <v>3863</v>
      </c>
      <c r="L106" s="175" t="s">
        <v>296</v>
      </c>
      <c r="M106" s="175" t="s">
        <v>296</v>
      </c>
      <c r="N106" s="175" t="s">
        <v>296</v>
      </c>
      <c r="O106" s="175" t="s">
        <v>296</v>
      </c>
      <c r="P106" s="175" t="s">
        <v>296</v>
      </c>
      <c r="Q106" s="175" t="s">
        <v>296</v>
      </c>
    </row>
    <row r="107" spans="1:17">
      <c r="A107" s="173" t="s">
        <v>757</v>
      </c>
      <c r="B107" s="173" t="s">
        <v>758</v>
      </c>
      <c r="C107" s="175">
        <v>738</v>
      </c>
      <c r="D107" s="175">
        <v>588</v>
      </c>
      <c r="E107" s="175">
        <v>581</v>
      </c>
      <c r="F107" s="175">
        <v>716</v>
      </c>
      <c r="G107" s="175">
        <v>512</v>
      </c>
      <c r="H107" s="175">
        <v>621</v>
      </c>
      <c r="I107" s="175">
        <v>479</v>
      </c>
      <c r="J107" s="175">
        <v>508</v>
      </c>
      <c r="K107" s="175">
        <v>412</v>
      </c>
      <c r="L107" s="175">
        <v>11817</v>
      </c>
      <c r="M107" s="175">
        <v>9573</v>
      </c>
      <c r="N107" s="175">
        <v>15876</v>
      </c>
      <c r="O107" s="175">
        <v>13921</v>
      </c>
      <c r="P107" s="175">
        <v>11308</v>
      </c>
      <c r="Q107" s="175">
        <v>6621</v>
      </c>
    </row>
    <row r="108" spans="1:17">
      <c r="A108" s="173" t="s">
        <v>759</v>
      </c>
      <c r="B108" s="173" t="s">
        <v>760</v>
      </c>
      <c r="C108" s="175">
        <v>18</v>
      </c>
      <c r="D108" s="175">
        <v>110</v>
      </c>
      <c r="E108" s="175">
        <v>91</v>
      </c>
      <c r="F108" s="175">
        <v>1</v>
      </c>
      <c r="G108" s="175">
        <v>610</v>
      </c>
      <c r="H108" s="175">
        <v>738</v>
      </c>
      <c r="I108" s="175">
        <v>630</v>
      </c>
      <c r="J108" s="175">
        <v>186</v>
      </c>
      <c r="K108" s="175">
        <v>428</v>
      </c>
      <c r="L108" s="175">
        <v>144</v>
      </c>
      <c r="M108" s="175">
        <v>83</v>
      </c>
      <c r="N108" s="175">
        <v>1095</v>
      </c>
      <c r="O108" s="175">
        <v>2112</v>
      </c>
      <c r="P108" s="175">
        <v>1956</v>
      </c>
      <c r="Q108" s="175">
        <v>1999</v>
      </c>
    </row>
    <row r="109" spans="1:17">
      <c r="A109" s="173" t="s">
        <v>761</v>
      </c>
      <c r="B109" s="173" t="s">
        <v>762</v>
      </c>
      <c r="C109" s="175">
        <v>3491.1985</v>
      </c>
      <c r="D109" s="175">
        <v>3404.5385000000001</v>
      </c>
      <c r="E109" s="175">
        <v>3292.4434000000001</v>
      </c>
      <c r="F109" s="175">
        <v>3229.1754000000001</v>
      </c>
      <c r="G109" s="175">
        <v>3226.0626999999999</v>
      </c>
      <c r="H109" s="175">
        <v>3144.3350999999998</v>
      </c>
      <c r="I109" s="175">
        <v>3033.0091000000002</v>
      </c>
      <c r="J109" s="175">
        <v>2950.6968000000002</v>
      </c>
      <c r="K109" s="175">
        <v>2869.6842000000001</v>
      </c>
      <c r="L109" s="175">
        <v>2832.2772</v>
      </c>
      <c r="M109" s="175">
        <v>2817.0717</v>
      </c>
      <c r="N109" s="175">
        <v>2751.7795999999998</v>
      </c>
      <c r="O109" s="175">
        <v>2695.6559000000002</v>
      </c>
      <c r="P109" s="175">
        <v>8058.0487000000003</v>
      </c>
      <c r="Q109" s="175">
        <v>8016.8494000000001</v>
      </c>
    </row>
    <row r="110" spans="1:17">
      <c r="A110" s="173" t="s">
        <v>763</v>
      </c>
      <c r="B110" s="173" t="s">
        <v>764</v>
      </c>
      <c r="C110" s="177">
        <v>2100000</v>
      </c>
      <c r="D110" s="177">
        <v>2200000</v>
      </c>
      <c r="E110" s="177">
        <v>2200000</v>
      </c>
      <c r="F110" s="177">
        <v>2200000</v>
      </c>
      <c r="G110" s="177">
        <v>2200000</v>
      </c>
      <c r="H110" s="177">
        <v>2300000</v>
      </c>
      <c r="I110" s="177">
        <v>2300000</v>
      </c>
      <c r="J110" s="177">
        <v>2300000</v>
      </c>
      <c r="K110" s="177">
        <v>2200000</v>
      </c>
      <c r="L110" s="177">
        <v>2300000</v>
      </c>
      <c r="M110" s="177">
        <v>2300000</v>
      </c>
      <c r="N110" s="177">
        <v>2300000</v>
      </c>
      <c r="O110" s="177">
        <v>2100000</v>
      </c>
      <c r="P110" s="177">
        <v>2100000</v>
      </c>
      <c r="Q110" s="177">
        <v>2100000</v>
      </c>
    </row>
    <row r="111" spans="1:17">
      <c r="A111" s="173" t="s">
        <v>765</v>
      </c>
      <c r="B111" s="173" t="s">
        <v>766</v>
      </c>
      <c r="C111" s="175">
        <v>188</v>
      </c>
      <c r="D111" s="175">
        <v>188</v>
      </c>
      <c r="E111" s="175">
        <v>188</v>
      </c>
      <c r="F111" s="175">
        <v>188</v>
      </c>
      <c r="G111" s="175">
        <v>188</v>
      </c>
      <c r="H111" s="175">
        <v>188</v>
      </c>
      <c r="I111" s="175" t="s">
        <v>296</v>
      </c>
      <c r="J111" s="175" t="s">
        <v>296</v>
      </c>
      <c r="K111" s="175" t="s">
        <v>296</v>
      </c>
      <c r="L111" s="175" t="s">
        <v>296</v>
      </c>
      <c r="M111" s="175" t="s">
        <v>296</v>
      </c>
      <c r="N111" s="175" t="s">
        <v>296</v>
      </c>
      <c r="O111" s="175" t="s">
        <v>296</v>
      </c>
      <c r="P111" s="175" t="s">
        <v>296</v>
      </c>
      <c r="Q111" s="175" t="s">
        <v>296</v>
      </c>
    </row>
    <row r="112" spans="1:17">
      <c r="A112" s="173" t="s">
        <v>767</v>
      </c>
      <c r="B112" s="173" t="s">
        <v>768</v>
      </c>
      <c r="C112" s="175">
        <v>188</v>
      </c>
      <c r="D112" s="175">
        <v>188</v>
      </c>
      <c r="E112" s="175">
        <v>188</v>
      </c>
      <c r="F112" s="175">
        <v>188</v>
      </c>
      <c r="G112" s="175">
        <v>188</v>
      </c>
      <c r="H112" s="175">
        <v>188</v>
      </c>
      <c r="I112" s="175" t="s">
        <v>296</v>
      </c>
      <c r="J112" s="175" t="s">
        <v>296</v>
      </c>
      <c r="K112" s="175" t="s">
        <v>296</v>
      </c>
      <c r="L112" s="175" t="s">
        <v>296</v>
      </c>
      <c r="M112" s="175" t="s">
        <v>296</v>
      </c>
      <c r="N112" s="175" t="s">
        <v>296</v>
      </c>
      <c r="O112" s="175" t="s">
        <v>296</v>
      </c>
      <c r="P112" s="175" t="s">
        <v>296</v>
      </c>
      <c r="Q112" s="175" t="s">
        <v>296</v>
      </c>
    </row>
    <row r="113" spans="1:17">
      <c r="A113" s="173" t="s">
        <v>769</v>
      </c>
      <c r="B113" s="173" t="s">
        <v>770</v>
      </c>
      <c r="C113" s="175">
        <v>1.921</v>
      </c>
      <c r="D113" s="175">
        <v>2.0419999999999998</v>
      </c>
      <c r="E113" s="175">
        <v>2.0819999999999999</v>
      </c>
      <c r="F113" s="175">
        <v>1.8460000000000001</v>
      </c>
      <c r="G113" s="175" t="s">
        <v>296</v>
      </c>
      <c r="H113" s="175" t="s">
        <v>296</v>
      </c>
      <c r="I113" s="175" t="s">
        <v>296</v>
      </c>
      <c r="J113" s="175" t="s">
        <v>296</v>
      </c>
      <c r="K113" s="175" t="s">
        <v>296</v>
      </c>
      <c r="L113" s="175" t="s">
        <v>296</v>
      </c>
      <c r="M113" s="175" t="s">
        <v>296</v>
      </c>
      <c r="N113" s="175" t="s">
        <v>296</v>
      </c>
      <c r="O113" s="175" t="s">
        <v>296</v>
      </c>
      <c r="P113" s="175" t="s">
        <v>296</v>
      </c>
      <c r="Q113" s="175" t="s">
        <v>296</v>
      </c>
    </row>
    <row r="114" spans="1:17">
      <c r="A114" s="173" t="s">
        <v>771</v>
      </c>
      <c r="B114" s="173" t="s">
        <v>772</v>
      </c>
      <c r="C114" s="175">
        <v>33.386000000000003</v>
      </c>
      <c r="D114" s="175">
        <v>20.152000000000001</v>
      </c>
      <c r="E114" s="175">
        <v>10.24</v>
      </c>
      <c r="F114" s="175">
        <v>8.25</v>
      </c>
      <c r="G114" s="175">
        <v>8.25</v>
      </c>
      <c r="H114" s="175" t="s">
        <v>296</v>
      </c>
      <c r="I114" s="175" t="s">
        <v>296</v>
      </c>
      <c r="J114" s="175" t="s">
        <v>296</v>
      </c>
      <c r="K114" s="175" t="s">
        <v>296</v>
      </c>
      <c r="L114" s="175" t="s">
        <v>296</v>
      </c>
      <c r="M114" s="175" t="s">
        <v>296</v>
      </c>
      <c r="N114" s="175" t="s">
        <v>296</v>
      </c>
      <c r="O114" s="175" t="s">
        <v>296</v>
      </c>
      <c r="P114" s="175" t="s">
        <v>296</v>
      </c>
      <c r="Q114" s="175" t="s">
        <v>296</v>
      </c>
    </row>
    <row r="115" spans="1:17">
      <c r="A115" s="173" t="s">
        <v>773</v>
      </c>
      <c r="B115" s="173" t="s">
        <v>774</v>
      </c>
      <c r="C115" s="175" t="s">
        <v>296</v>
      </c>
      <c r="D115" s="175" t="s">
        <v>296</v>
      </c>
      <c r="E115" s="175" t="s">
        <v>296</v>
      </c>
      <c r="F115" s="175" t="s">
        <v>296</v>
      </c>
      <c r="G115" s="175" t="s">
        <v>296</v>
      </c>
      <c r="H115" s="175" t="s">
        <v>296</v>
      </c>
      <c r="I115" s="175" t="s">
        <v>296</v>
      </c>
      <c r="J115" s="175" t="s">
        <v>296</v>
      </c>
      <c r="K115" s="175" t="s">
        <v>296</v>
      </c>
      <c r="L115" s="175" t="s">
        <v>296</v>
      </c>
      <c r="M115" s="175" t="s">
        <v>296</v>
      </c>
      <c r="N115" s="175" t="s">
        <v>296</v>
      </c>
      <c r="O115" s="175">
        <v>237</v>
      </c>
      <c r="P115" s="175">
        <v>222</v>
      </c>
      <c r="Q115" s="175">
        <v>91013</v>
      </c>
    </row>
    <row r="116" spans="1:17">
      <c r="A116" s="173" t="s">
        <v>775</v>
      </c>
      <c r="B116" s="173" t="s">
        <v>776</v>
      </c>
      <c r="C116" s="175">
        <v>7.8680000000000003</v>
      </c>
      <c r="D116" s="175">
        <v>13.792999999999999</v>
      </c>
      <c r="E116" s="175">
        <v>10.701000000000001</v>
      </c>
      <c r="F116" s="175">
        <v>3.4209999999999998</v>
      </c>
      <c r="G116" s="175" t="s">
        <v>296</v>
      </c>
      <c r="H116" s="175" t="s">
        <v>296</v>
      </c>
      <c r="I116" s="175" t="s">
        <v>296</v>
      </c>
      <c r="J116" s="175" t="s">
        <v>296</v>
      </c>
      <c r="K116" s="175" t="s">
        <v>296</v>
      </c>
      <c r="L116" s="175" t="s">
        <v>296</v>
      </c>
      <c r="M116" s="175" t="s">
        <v>296</v>
      </c>
      <c r="N116" s="175" t="s">
        <v>296</v>
      </c>
      <c r="O116" s="175" t="s">
        <v>296</v>
      </c>
      <c r="P116" s="175" t="s">
        <v>296</v>
      </c>
      <c r="Q116" s="175" t="s">
        <v>296</v>
      </c>
    </row>
    <row r="117" spans="1:17">
      <c r="A117" s="173" t="s">
        <v>777</v>
      </c>
      <c r="B117" s="173" t="s">
        <v>778</v>
      </c>
      <c r="C117" s="175">
        <v>1695</v>
      </c>
      <c r="D117" s="175">
        <v>3105</v>
      </c>
      <c r="E117" s="175">
        <v>3212</v>
      </c>
      <c r="F117" s="175">
        <v>3313</v>
      </c>
      <c r="G117" s="175">
        <v>2966</v>
      </c>
      <c r="H117" s="175" t="s">
        <v>296</v>
      </c>
      <c r="I117" s="175" t="s">
        <v>296</v>
      </c>
      <c r="J117" s="175" t="s">
        <v>296</v>
      </c>
      <c r="K117" s="175" t="s">
        <v>296</v>
      </c>
      <c r="L117" s="175" t="s">
        <v>296</v>
      </c>
      <c r="M117" s="175" t="s">
        <v>296</v>
      </c>
      <c r="N117" s="175" t="s">
        <v>296</v>
      </c>
      <c r="O117" s="175" t="s">
        <v>296</v>
      </c>
      <c r="P117" s="175" t="s">
        <v>296</v>
      </c>
      <c r="Q117" s="175" t="s">
        <v>296</v>
      </c>
    </row>
    <row r="118" spans="1:17">
      <c r="A118" s="173" t="s">
        <v>779</v>
      </c>
      <c r="B118" s="173" t="s">
        <v>780</v>
      </c>
      <c r="C118" s="175" t="s">
        <v>296</v>
      </c>
      <c r="D118" s="175" t="s">
        <v>296</v>
      </c>
      <c r="E118" s="175">
        <v>1868</v>
      </c>
      <c r="F118" s="175">
        <v>1836</v>
      </c>
      <c r="G118" s="175">
        <v>0</v>
      </c>
      <c r="H118" s="175">
        <v>0</v>
      </c>
      <c r="I118" s="175">
        <v>0</v>
      </c>
      <c r="J118" s="175">
        <v>0</v>
      </c>
      <c r="K118" s="175">
        <v>0</v>
      </c>
      <c r="L118" s="175">
        <v>0</v>
      </c>
      <c r="M118" s="175">
        <v>0</v>
      </c>
      <c r="N118" s="175">
        <v>0</v>
      </c>
      <c r="O118" s="175">
        <v>0</v>
      </c>
      <c r="P118" s="175">
        <v>0</v>
      </c>
      <c r="Q118" s="175">
        <v>0</v>
      </c>
    </row>
    <row r="119" spans="1:17">
      <c r="A119" s="173" t="s">
        <v>781</v>
      </c>
      <c r="B119" s="173" t="s">
        <v>782</v>
      </c>
      <c r="C119" s="175">
        <v>4141</v>
      </c>
      <c r="D119" s="175">
        <v>4769</v>
      </c>
      <c r="E119" s="175">
        <v>4458</v>
      </c>
      <c r="F119" s="175">
        <v>5032</v>
      </c>
      <c r="G119" s="175">
        <v>10712</v>
      </c>
      <c r="H119" s="175">
        <v>14099</v>
      </c>
      <c r="I119" s="175">
        <v>19622</v>
      </c>
      <c r="J119" s="175">
        <v>13278</v>
      </c>
      <c r="K119" s="175">
        <v>14343</v>
      </c>
      <c r="L119" s="175">
        <v>12782</v>
      </c>
      <c r="M119" s="175">
        <v>15004</v>
      </c>
      <c r="N119" s="175">
        <v>27900</v>
      </c>
      <c r="O119" s="175">
        <v>33300</v>
      </c>
      <c r="P119" s="175">
        <v>34300</v>
      </c>
      <c r="Q119" s="175">
        <v>37200</v>
      </c>
    </row>
    <row r="120" spans="1:17">
      <c r="A120" s="173" t="s">
        <v>783</v>
      </c>
      <c r="B120" s="173" t="s">
        <v>784</v>
      </c>
      <c r="C120" s="175" t="s">
        <v>296</v>
      </c>
      <c r="D120" s="175" t="s">
        <v>296</v>
      </c>
      <c r="E120" s="175" t="s">
        <v>296</v>
      </c>
      <c r="F120" s="175" t="s">
        <v>296</v>
      </c>
      <c r="G120" s="175" t="s">
        <v>296</v>
      </c>
      <c r="H120" s="175" t="s">
        <v>296</v>
      </c>
      <c r="I120" s="175">
        <v>5900</v>
      </c>
      <c r="J120" s="175">
        <v>6800</v>
      </c>
      <c r="K120" s="175" t="s">
        <v>296</v>
      </c>
      <c r="L120" s="175" t="s">
        <v>296</v>
      </c>
      <c r="M120" s="175" t="s">
        <v>296</v>
      </c>
      <c r="N120" s="175" t="s">
        <v>296</v>
      </c>
      <c r="O120" s="175" t="s">
        <v>296</v>
      </c>
      <c r="P120" s="175" t="s">
        <v>296</v>
      </c>
      <c r="Q120" s="175" t="s">
        <v>296</v>
      </c>
    </row>
    <row r="121" spans="1:17">
      <c r="A121" s="173" t="s">
        <v>785</v>
      </c>
      <c r="B121" s="173" t="s">
        <v>786</v>
      </c>
      <c r="C121" s="175">
        <v>0.95</v>
      </c>
      <c r="D121" s="175" t="s">
        <v>296</v>
      </c>
      <c r="E121" s="175" t="s">
        <v>296</v>
      </c>
      <c r="F121" s="175" t="s">
        <v>296</v>
      </c>
      <c r="G121" s="175" t="s">
        <v>296</v>
      </c>
      <c r="H121" s="175" t="s">
        <v>296</v>
      </c>
      <c r="I121" s="175" t="s">
        <v>296</v>
      </c>
      <c r="J121" s="175" t="s">
        <v>296</v>
      </c>
      <c r="K121" s="175" t="s">
        <v>296</v>
      </c>
      <c r="L121" s="175" t="s">
        <v>296</v>
      </c>
      <c r="M121" s="175" t="s">
        <v>296</v>
      </c>
      <c r="N121" s="175" t="s">
        <v>296</v>
      </c>
      <c r="O121" s="175" t="s">
        <v>296</v>
      </c>
      <c r="P121" s="175" t="s">
        <v>296</v>
      </c>
      <c r="Q121" s="175" t="s">
        <v>296</v>
      </c>
    </row>
    <row r="122" spans="1:17">
      <c r="A122" s="173" t="s">
        <v>787</v>
      </c>
      <c r="B122" s="173" t="s">
        <v>788</v>
      </c>
      <c r="C122" s="175">
        <v>4655</v>
      </c>
      <c r="D122" s="175">
        <v>1975</v>
      </c>
      <c r="E122" s="175">
        <v>5587</v>
      </c>
      <c r="F122" s="175">
        <v>4103</v>
      </c>
      <c r="G122" s="175" t="s">
        <v>296</v>
      </c>
      <c r="H122" s="175">
        <v>2745</v>
      </c>
      <c r="I122" s="175">
        <v>2256</v>
      </c>
      <c r="J122" s="175">
        <v>3733</v>
      </c>
      <c r="K122" s="175">
        <v>1876</v>
      </c>
      <c r="L122" s="175">
        <v>5362</v>
      </c>
      <c r="M122" s="175">
        <v>3115</v>
      </c>
      <c r="N122" s="175">
        <v>2803</v>
      </c>
      <c r="O122" s="175">
        <v>4191</v>
      </c>
      <c r="P122" s="175">
        <v>3447</v>
      </c>
      <c r="Q122" s="175">
        <v>2598</v>
      </c>
    </row>
    <row r="123" spans="1:17">
      <c r="A123" s="173" t="s">
        <v>789</v>
      </c>
      <c r="B123" s="173" t="s">
        <v>790</v>
      </c>
      <c r="C123" s="175">
        <v>1744</v>
      </c>
      <c r="D123" s="175">
        <v>5168</v>
      </c>
      <c r="E123" s="175">
        <v>3753</v>
      </c>
      <c r="F123" s="175">
        <v>4480</v>
      </c>
      <c r="G123" s="175" t="s">
        <v>296</v>
      </c>
      <c r="H123" s="175">
        <v>1519</v>
      </c>
      <c r="I123" s="175">
        <v>3497</v>
      </c>
      <c r="J123" s="175">
        <v>1914</v>
      </c>
      <c r="K123" s="175">
        <v>5347</v>
      </c>
      <c r="L123" s="175">
        <v>3009</v>
      </c>
      <c r="M123" s="175">
        <v>3014</v>
      </c>
      <c r="N123" s="175">
        <v>4224</v>
      </c>
      <c r="O123" s="175">
        <v>3516</v>
      </c>
      <c r="P123" s="175">
        <v>2600</v>
      </c>
      <c r="Q123" s="175">
        <v>3451</v>
      </c>
    </row>
    <row r="124" spans="1:17">
      <c r="A124" s="173" t="s">
        <v>791</v>
      </c>
      <c r="B124" s="173" t="s">
        <v>792</v>
      </c>
      <c r="C124" s="175">
        <v>5113</v>
      </c>
      <c r="D124" s="175">
        <v>3927</v>
      </c>
      <c r="E124" s="175">
        <v>4562</v>
      </c>
      <c r="F124" s="175">
        <v>2396</v>
      </c>
      <c r="G124" s="175" t="s">
        <v>296</v>
      </c>
      <c r="H124" s="175">
        <v>3497</v>
      </c>
      <c r="I124" s="175">
        <v>542</v>
      </c>
      <c r="J124" s="175">
        <v>3336</v>
      </c>
      <c r="K124" s="175">
        <v>3080</v>
      </c>
      <c r="L124" s="175">
        <v>2830</v>
      </c>
      <c r="M124" s="175">
        <v>4721</v>
      </c>
      <c r="N124" s="175">
        <v>3565</v>
      </c>
      <c r="O124" s="175">
        <v>2604</v>
      </c>
      <c r="P124" s="175">
        <v>3483</v>
      </c>
      <c r="Q124" s="175">
        <v>1741</v>
      </c>
    </row>
    <row r="125" spans="1:17">
      <c r="A125" s="173" t="s">
        <v>793</v>
      </c>
      <c r="B125" s="173" t="s">
        <v>794</v>
      </c>
      <c r="C125" s="175">
        <v>2832</v>
      </c>
      <c r="D125" s="175">
        <v>4750</v>
      </c>
      <c r="E125" s="175">
        <v>1127</v>
      </c>
      <c r="F125" s="175">
        <v>1107</v>
      </c>
      <c r="G125" s="175" t="s">
        <v>296</v>
      </c>
      <c r="H125" s="175">
        <v>498</v>
      </c>
      <c r="I125" s="175">
        <v>3311</v>
      </c>
      <c r="J125" s="175">
        <v>607</v>
      </c>
      <c r="K125" s="175">
        <v>2844</v>
      </c>
      <c r="L125" s="175">
        <v>4652</v>
      </c>
      <c r="M125" s="175">
        <v>4360</v>
      </c>
      <c r="N125" s="175">
        <v>857</v>
      </c>
      <c r="O125" s="175">
        <v>2737</v>
      </c>
      <c r="P125" s="175">
        <v>1760</v>
      </c>
      <c r="Q125" s="175">
        <v>3340</v>
      </c>
    </row>
    <row r="126" spans="1:17">
      <c r="A126" s="173" t="s">
        <v>795</v>
      </c>
      <c r="B126" s="173" t="s">
        <v>796</v>
      </c>
      <c r="C126" s="175">
        <v>4662</v>
      </c>
      <c r="D126" s="175">
        <v>1130</v>
      </c>
      <c r="E126" s="175">
        <v>1128</v>
      </c>
      <c r="F126" s="175">
        <v>3531</v>
      </c>
      <c r="G126" s="175" t="s">
        <v>296</v>
      </c>
      <c r="H126" s="175">
        <v>3352</v>
      </c>
      <c r="I126" s="175">
        <v>1083</v>
      </c>
      <c r="J126" s="175">
        <v>2934</v>
      </c>
      <c r="K126" s="175">
        <v>4595</v>
      </c>
      <c r="L126" s="175">
        <v>4367</v>
      </c>
      <c r="M126" s="175">
        <v>1480</v>
      </c>
      <c r="N126" s="175">
        <v>2757</v>
      </c>
      <c r="O126" s="175">
        <v>1817</v>
      </c>
      <c r="P126" s="175">
        <v>3458</v>
      </c>
      <c r="Q126" s="175">
        <v>1955</v>
      </c>
    </row>
    <row r="127" spans="1:17">
      <c r="A127" s="173" t="s">
        <v>797</v>
      </c>
      <c r="B127" s="173" t="s">
        <v>798</v>
      </c>
      <c r="C127" s="175">
        <v>26074</v>
      </c>
      <c r="D127" s="175">
        <v>28912</v>
      </c>
      <c r="E127" s="175">
        <v>27824</v>
      </c>
      <c r="F127" s="175">
        <v>30257</v>
      </c>
      <c r="G127" s="175" t="s">
        <v>296</v>
      </c>
      <c r="H127" s="175">
        <v>29348</v>
      </c>
      <c r="I127" s="175">
        <v>27582</v>
      </c>
      <c r="J127" s="175">
        <v>21259</v>
      </c>
      <c r="K127" s="175">
        <v>27654</v>
      </c>
      <c r="L127" s="175">
        <v>28960</v>
      </c>
      <c r="M127" s="175">
        <v>27619</v>
      </c>
      <c r="N127" s="175">
        <v>23461</v>
      </c>
      <c r="O127" s="175">
        <v>23975</v>
      </c>
      <c r="P127" s="175">
        <v>24831</v>
      </c>
      <c r="Q127" s="175">
        <v>22914</v>
      </c>
    </row>
    <row r="128" spans="1:17">
      <c r="A128" s="173" t="s">
        <v>799</v>
      </c>
      <c r="B128" s="173" t="s">
        <v>800</v>
      </c>
      <c r="C128" s="175">
        <v>45080</v>
      </c>
      <c r="D128" s="175">
        <v>45862</v>
      </c>
      <c r="E128" s="175">
        <v>43981</v>
      </c>
      <c r="F128" s="175">
        <v>45874</v>
      </c>
      <c r="G128" s="175" t="s">
        <v>296</v>
      </c>
      <c r="H128" s="175">
        <v>40959</v>
      </c>
      <c r="I128" s="175">
        <v>38271</v>
      </c>
      <c r="J128" s="175">
        <v>33783</v>
      </c>
      <c r="K128" s="175">
        <v>45396</v>
      </c>
      <c r="L128" s="175">
        <v>49076</v>
      </c>
      <c r="M128" s="175">
        <v>44309</v>
      </c>
      <c r="N128" s="175">
        <v>37667</v>
      </c>
      <c r="O128" s="175">
        <v>38840</v>
      </c>
      <c r="P128" s="175">
        <v>39579</v>
      </c>
      <c r="Q128" s="175">
        <v>35999</v>
      </c>
    </row>
    <row r="129" spans="1:17">
      <c r="A129" s="173" t="s">
        <v>801</v>
      </c>
      <c r="B129" s="173" t="s">
        <v>802</v>
      </c>
      <c r="C129" s="175">
        <v>40692</v>
      </c>
      <c r="D129" s="175">
        <v>44070</v>
      </c>
      <c r="E129" s="175">
        <v>38394</v>
      </c>
      <c r="F129" s="175">
        <v>45874</v>
      </c>
      <c r="G129" s="175" t="s">
        <v>296</v>
      </c>
      <c r="H129" s="175">
        <v>38214</v>
      </c>
      <c r="I129" s="175">
        <v>38271</v>
      </c>
      <c r="J129" s="175">
        <v>33783</v>
      </c>
      <c r="K129" s="175">
        <v>45396</v>
      </c>
      <c r="L129" s="175">
        <v>49180</v>
      </c>
      <c r="M129" s="175">
        <v>44309</v>
      </c>
      <c r="N129" s="175">
        <v>37820</v>
      </c>
      <c r="O129" s="175">
        <v>39582</v>
      </c>
      <c r="P129" s="175">
        <v>40405</v>
      </c>
      <c r="Q129" s="175">
        <v>36846</v>
      </c>
    </row>
    <row r="130" spans="1:17">
      <c r="A130" s="173" t="s">
        <v>803</v>
      </c>
      <c r="B130" s="173" t="s">
        <v>804</v>
      </c>
      <c r="C130" s="175">
        <v>280.07080000000002</v>
      </c>
      <c r="D130" s="175">
        <v>115.34350000000001</v>
      </c>
      <c r="E130" s="175">
        <v>113.2</v>
      </c>
      <c r="F130" s="175">
        <v>89.1</v>
      </c>
      <c r="G130" s="175">
        <v>13.4</v>
      </c>
      <c r="H130" s="175">
        <v>62.4</v>
      </c>
      <c r="I130" s="175">
        <v>119.9</v>
      </c>
      <c r="J130" s="175">
        <v>104.9</v>
      </c>
      <c r="K130" s="175">
        <v>79.5</v>
      </c>
      <c r="L130" s="175">
        <v>53.9</v>
      </c>
      <c r="M130" s="175">
        <v>19.593599999999999</v>
      </c>
      <c r="N130" s="175">
        <v>69.644800000000004</v>
      </c>
      <c r="O130" s="175">
        <v>73.532399999999996</v>
      </c>
      <c r="P130" s="175">
        <v>37.8962</v>
      </c>
      <c r="Q130" s="175">
        <v>61.286799999999999</v>
      </c>
    </row>
    <row r="131" spans="1:17">
      <c r="A131" s="173" t="s">
        <v>805</v>
      </c>
      <c r="B131" s="173" t="s">
        <v>806</v>
      </c>
      <c r="C131" s="175">
        <v>14800</v>
      </c>
      <c r="D131" s="175">
        <v>6300</v>
      </c>
      <c r="E131" s="175">
        <v>7600</v>
      </c>
      <c r="F131" s="175">
        <v>6683</v>
      </c>
      <c r="G131" s="175">
        <v>1015</v>
      </c>
      <c r="H131" s="175">
        <v>4112</v>
      </c>
      <c r="I131" s="175">
        <v>8298</v>
      </c>
      <c r="J131" s="175">
        <v>8296</v>
      </c>
      <c r="K131" s="175">
        <v>7410</v>
      </c>
      <c r="L131" s="175">
        <v>5717</v>
      </c>
      <c r="M131" s="175">
        <v>2600</v>
      </c>
      <c r="N131" s="175">
        <v>9800</v>
      </c>
      <c r="O131" s="175" t="s">
        <v>296</v>
      </c>
      <c r="P131" s="175">
        <v>2779</v>
      </c>
      <c r="Q131" s="175">
        <v>4494</v>
      </c>
    </row>
    <row r="132" spans="1:17">
      <c r="A132" s="173" t="s">
        <v>807</v>
      </c>
      <c r="B132" s="173" t="s">
        <v>808</v>
      </c>
      <c r="C132" s="175" t="s">
        <v>296</v>
      </c>
      <c r="D132" s="175" t="s">
        <v>296</v>
      </c>
      <c r="E132" s="175" t="s">
        <v>296</v>
      </c>
      <c r="F132" s="175" t="s">
        <v>296</v>
      </c>
      <c r="G132" s="175" t="s">
        <v>296</v>
      </c>
      <c r="H132" s="175" t="s">
        <v>296</v>
      </c>
      <c r="I132" s="175" t="s">
        <v>296</v>
      </c>
      <c r="J132" s="175" t="s">
        <v>296</v>
      </c>
      <c r="K132" s="175" t="s">
        <v>296</v>
      </c>
      <c r="L132" s="175" t="s">
        <v>296</v>
      </c>
      <c r="M132" s="175">
        <v>14375</v>
      </c>
      <c r="N132" s="175">
        <v>14492</v>
      </c>
      <c r="O132" s="175">
        <v>14301</v>
      </c>
      <c r="P132" s="175">
        <v>14430</v>
      </c>
      <c r="Q132" s="175">
        <v>14324</v>
      </c>
    </row>
    <row r="133" spans="1:17">
      <c r="A133" s="173" t="s">
        <v>809</v>
      </c>
      <c r="B133" s="173" t="s">
        <v>810</v>
      </c>
      <c r="C133" s="177">
        <v>0.2</v>
      </c>
      <c r="D133" s="177">
        <v>0.1</v>
      </c>
      <c r="E133" s="177">
        <v>0.1</v>
      </c>
      <c r="F133" s="177" t="s">
        <v>296</v>
      </c>
      <c r="G133" s="177" t="s">
        <v>296</v>
      </c>
      <c r="H133" s="177">
        <v>1.5</v>
      </c>
      <c r="I133" s="177">
        <v>1.8</v>
      </c>
      <c r="J133" s="177">
        <v>1.3</v>
      </c>
      <c r="K133" s="177">
        <v>2.4</v>
      </c>
      <c r="L133" s="177">
        <v>2.5</v>
      </c>
      <c r="M133" s="177">
        <v>3.1</v>
      </c>
      <c r="N133" s="177">
        <v>3.7</v>
      </c>
      <c r="O133" s="177">
        <v>2.4</v>
      </c>
      <c r="P133" s="177">
        <v>5.0999999999999996</v>
      </c>
      <c r="Q133" s="177">
        <v>5.0999999999999996</v>
      </c>
    </row>
    <row r="134" spans="1:17">
      <c r="A134" s="173" t="s">
        <v>811</v>
      </c>
      <c r="B134" s="173" t="s">
        <v>812</v>
      </c>
      <c r="C134" s="175" t="s">
        <v>296</v>
      </c>
      <c r="D134" s="175" t="s">
        <v>296</v>
      </c>
      <c r="E134" s="175" t="s">
        <v>296</v>
      </c>
      <c r="F134" s="175" t="s">
        <v>296</v>
      </c>
      <c r="G134" s="175" t="s">
        <v>296</v>
      </c>
      <c r="H134" s="175" t="s">
        <v>296</v>
      </c>
      <c r="I134" s="175" t="s">
        <v>296</v>
      </c>
      <c r="J134" s="175" t="s">
        <v>296</v>
      </c>
      <c r="K134" s="175" t="s">
        <v>296</v>
      </c>
      <c r="L134" s="175" t="s">
        <v>296</v>
      </c>
      <c r="M134" s="175" t="s">
        <v>296</v>
      </c>
      <c r="N134" s="175" t="s">
        <v>296</v>
      </c>
      <c r="O134" s="175" t="s">
        <v>296</v>
      </c>
      <c r="P134" s="175" t="s">
        <v>296</v>
      </c>
      <c r="Q134" s="175">
        <v>959</v>
      </c>
    </row>
    <row r="135" spans="1:17">
      <c r="A135" s="173" t="s">
        <v>813</v>
      </c>
      <c r="B135" s="173" t="s">
        <v>814</v>
      </c>
      <c r="C135" s="175">
        <v>500</v>
      </c>
      <c r="D135" s="175">
        <v>499</v>
      </c>
      <c r="E135" s="175">
        <v>523</v>
      </c>
      <c r="F135" s="175">
        <v>721</v>
      </c>
      <c r="G135" s="175">
        <v>219</v>
      </c>
      <c r="H135" s="175">
        <v>492</v>
      </c>
      <c r="I135" s="175">
        <v>471</v>
      </c>
      <c r="J135" s="175">
        <v>413</v>
      </c>
      <c r="K135" s="175">
        <v>334</v>
      </c>
      <c r="L135" s="175" t="s">
        <v>296</v>
      </c>
      <c r="M135" s="175">
        <v>477</v>
      </c>
      <c r="N135" s="175">
        <v>-47</v>
      </c>
      <c r="O135" s="175">
        <v>-689</v>
      </c>
      <c r="P135" s="175">
        <v>-654</v>
      </c>
      <c r="Q135" s="175">
        <v>2082</v>
      </c>
    </row>
    <row r="136" spans="1:17">
      <c r="A136" s="173" t="s">
        <v>815</v>
      </c>
      <c r="B136" s="173" t="s">
        <v>816</v>
      </c>
      <c r="C136" s="175">
        <v>500</v>
      </c>
      <c r="D136" s="175">
        <v>499</v>
      </c>
      <c r="E136" s="175">
        <v>523</v>
      </c>
      <c r="F136" s="175">
        <v>721</v>
      </c>
      <c r="G136" s="175">
        <v>219</v>
      </c>
      <c r="H136" s="175">
        <v>492</v>
      </c>
      <c r="I136" s="175">
        <v>471</v>
      </c>
      <c r="J136" s="175">
        <v>413</v>
      </c>
      <c r="K136" s="175">
        <v>334</v>
      </c>
      <c r="L136" s="175">
        <v>455</v>
      </c>
      <c r="M136" s="175">
        <v>477</v>
      </c>
      <c r="N136" s="175">
        <v>-47</v>
      </c>
      <c r="O136" s="175">
        <v>-689</v>
      </c>
      <c r="P136" s="175">
        <v>-654</v>
      </c>
      <c r="Q136" s="175">
        <v>3041</v>
      </c>
    </row>
    <row r="137" spans="1:17">
      <c r="A137" s="173" t="s">
        <v>817</v>
      </c>
      <c r="B137" s="173" t="s">
        <v>818</v>
      </c>
      <c r="C137" s="175">
        <v>18</v>
      </c>
      <c r="D137" s="175">
        <v>19</v>
      </c>
      <c r="E137" s="175">
        <v>8</v>
      </c>
      <c r="F137" s="175">
        <v>2</v>
      </c>
      <c r="G137" s="175">
        <v>318</v>
      </c>
      <c r="H137" s="175">
        <v>609</v>
      </c>
      <c r="I137" s="175">
        <v>622</v>
      </c>
      <c r="J137" s="175">
        <v>91</v>
      </c>
      <c r="K137" s="175">
        <v>350</v>
      </c>
      <c r="L137" s="175">
        <v>793</v>
      </c>
      <c r="M137" s="175">
        <v>394</v>
      </c>
      <c r="N137" s="175">
        <v>1048</v>
      </c>
      <c r="O137" s="175">
        <v>1423</v>
      </c>
      <c r="P137" s="175">
        <v>1302</v>
      </c>
      <c r="Q137" s="175">
        <v>1999</v>
      </c>
    </row>
    <row r="138" spans="1:17">
      <c r="A138" s="173" t="s">
        <v>819</v>
      </c>
      <c r="B138" s="173" t="s">
        <v>820</v>
      </c>
      <c r="C138" s="175">
        <v>18</v>
      </c>
      <c r="D138" s="175">
        <v>19</v>
      </c>
      <c r="E138" s="175">
        <v>8</v>
      </c>
      <c r="F138" s="175">
        <v>2</v>
      </c>
      <c r="G138" s="175">
        <v>318</v>
      </c>
      <c r="H138" s="175">
        <v>609</v>
      </c>
      <c r="I138" s="175">
        <v>622</v>
      </c>
      <c r="J138" s="175">
        <v>91</v>
      </c>
      <c r="K138" s="175">
        <v>350</v>
      </c>
      <c r="L138" s="175">
        <v>793</v>
      </c>
      <c r="M138" s="175">
        <v>394</v>
      </c>
      <c r="N138" s="175">
        <v>1048</v>
      </c>
      <c r="O138" s="175">
        <v>1423</v>
      </c>
      <c r="P138" s="175">
        <v>1302</v>
      </c>
      <c r="Q138" s="175">
        <v>1999</v>
      </c>
    </row>
    <row r="139" spans="1:17">
      <c r="A139" s="173" t="s">
        <v>821</v>
      </c>
      <c r="B139" s="173" t="s">
        <v>822</v>
      </c>
      <c r="C139" s="175">
        <v>2.6259999999999999</v>
      </c>
      <c r="D139" s="175">
        <v>1.4830000000000001</v>
      </c>
      <c r="E139" s="175">
        <v>1.2929999999999999</v>
      </c>
      <c r="F139" s="175" t="s">
        <v>296</v>
      </c>
      <c r="G139" s="175" t="s">
        <v>296</v>
      </c>
      <c r="H139" s="175" t="s">
        <v>296</v>
      </c>
      <c r="I139" s="175" t="s">
        <v>296</v>
      </c>
      <c r="J139" s="175" t="s">
        <v>296</v>
      </c>
      <c r="K139" s="175" t="s">
        <v>296</v>
      </c>
      <c r="L139" s="175" t="s">
        <v>296</v>
      </c>
      <c r="M139" s="175" t="s">
        <v>296</v>
      </c>
      <c r="N139" s="175" t="s">
        <v>296</v>
      </c>
      <c r="O139" s="175" t="s">
        <v>296</v>
      </c>
      <c r="P139" s="175" t="s">
        <v>296</v>
      </c>
      <c r="Q139" s="175" t="s">
        <v>296</v>
      </c>
    </row>
    <row r="140" spans="1:17">
      <c r="A140" s="173" t="s">
        <v>823</v>
      </c>
      <c r="B140" s="173" t="s">
        <v>824</v>
      </c>
      <c r="C140" s="175">
        <v>15411</v>
      </c>
      <c r="D140" s="175">
        <v>16536</v>
      </c>
      <c r="E140" s="175">
        <v>22707</v>
      </c>
      <c r="F140" s="175">
        <v>23240</v>
      </c>
      <c r="G140" s="175" t="s">
        <v>296</v>
      </c>
      <c r="H140" s="175">
        <v>21483</v>
      </c>
      <c r="I140" s="175">
        <v>20898</v>
      </c>
      <c r="J140" s="175">
        <v>22000</v>
      </c>
      <c r="K140" s="175">
        <v>21124</v>
      </c>
      <c r="L140" s="175">
        <v>19203</v>
      </c>
      <c r="M140" s="175">
        <v>18281</v>
      </c>
      <c r="N140" s="175" t="s">
        <v>296</v>
      </c>
      <c r="O140" s="175" t="s">
        <v>296</v>
      </c>
      <c r="P140" s="175" t="s">
        <v>296</v>
      </c>
      <c r="Q140" s="175" t="s">
        <v>296</v>
      </c>
    </row>
    <row r="141" spans="1:17">
      <c r="A141" s="173" t="s">
        <v>825</v>
      </c>
      <c r="B141" s="173" t="s">
        <v>826</v>
      </c>
      <c r="C141" s="175">
        <v>14778</v>
      </c>
      <c r="D141" s="175">
        <v>18058</v>
      </c>
      <c r="E141" s="175">
        <v>16904</v>
      </c>
      <c r="F141" s="175">
        <v>15360</v>
      </c>
      <c r="G141" s="175" t="s">
        <v>296</v>
      </c>
      <c r="H141" s="175">
        <v>19239</v>
      </c>
      <c r="I141" s="175">
        <v>20703</v>
      </c>
      <c r="J141" s="175">
        <v>17842</v>
      </c>
      <c r="K141" s="175">
        <v>20620</v>
      </c>
      <c r="L141" s="175">
        <v>19650</v>
      </c>
      <c r="M141" s="175">
        <v>22952</v>
      </c>
      <c r="N141" s="175" t="s">
        <v>296</v>
      </c>
      <c r="O141" s="175" t="s">
        <v>296</v>
      </c>
      <c r="P141" s="175" t="s">
        <v>296</v>
      </c>
      <c r="Q141" s="175" t="s">
        <v>296</v>
      </c>
    </row>
    <row r="142" spans="1:17">
      <c r="A142" s="173" t="s">
        <v>827</v>
      </c>
      <c r="B142" s="173" t="s">
        <v>828</v>
      </c>
      <c r="C142" s="175">
        <v>14022</v>
      </c>
      <c r="D142" s="175">
        <v>13004</v>
      </c>
      <c r="E142" s="175">
        <v>8981</v>
      </c>
      <c r="F142" s="175">
        <v>11540</v>
      </c>
      <c r="G142" s="175" t="s">
        <v>296</v>
      </c>
      <c r="H142" s="175">
        <v>13034</v>
      </c>
      <c r="I142" s="175">
        <v>12674</v>
      </c>
      <c r="J142" s="175">
        <v>10878</v>
      </c>
      <c r="K142" s="175">
        <v>15287</v>
      </c>
      <c r="L142" s="175">
        <v>18329</v>
      </c>
      <c r="M142" s="175">
        <v>15379</v>
      </c>
      <c r="N142" s="175" t="s">
        <v>296</v>
      </c>
      <c r="O142" s="175" t="s">
        <v>296</v>
      </c>
      <c r="P142" s="175" t="s">
        <v>296</v>
      </c>
      <c r="Q142" s="175" t="s">
        <v>296</v>
      </c>
    </row>
    <row r="143" spans="1:17">
      <c r="A143" s="173" t="s">
        <v>829</v>
      </c>
      <c r="B143" s="173" t="s">
        <v>830</v>
      </c>
      <c r="C143" s="175">
        <v>60499</v>
      </c>
      <c r="D143" s="175">
        <v>65849</v>
      </c>
      <c r="E143" s="175">
        <v>64081</v>
      </c>
      <c r="F143" s="175">
        <v>68774</v>
      </c>
      <c r="G143" s="175" t="s">
        <v>296</v>
      </c>
      <c r="H143" s="175">
        <v>69083</v>
      </c>
      <c r="I143" s="175">
        <v>63720</v>
      </c>
      <c r="J143" s="175">
        <v>47121</v>
      </c>
      <c r="K143" s="175">
        <v>57166</v>
      </c>
      <c r="L143" s="175">
        <v>66810</v>
      </c>
      <c r="M143" s="175">
        <v>64789</v>
      </c>
      <c r="N143" s="175" t="s">
        <v>296</v>
      </c>
      <c r="O143" s="175" t="s">
        <v>296</v>
      </c>
      <c r="P143" s="175" t="s">
        <v>296</v>
      </c>
      <c r="Q143" s="175" t="s">
        <v>296</v>
      </c>
    </row>
    <row r="144" spans="1:17">
      <c r="A144" s="173" t="s">
        <v>831</v>
      </c>
      <c r="B144" s="173" t="s">
        <v>832</v>
      </c>
      <c r="C144" s="175">
        <v>104710</v>
      </c>
      <c r="D144" s="175">
        <v>113447</v>
      </c>
      <c r="E144" s="175">
        <v>112673</v>
      </c>
      <c r="F144" s="175">
        <v>118914</v>
      </c>
      <c r="G144" s="175" t="s">
        <v>296</v>
      </c>
      <c r="H144" s="175">
        <v>122839</v>
      </c>
      <c r="I144" s="175">
        <v>117995</v>
      </c>
      <c r="J144" s="175">
        <v>97841</v>
      </c>
      <c r="K144" s="175">
        <v>114197</v>
      </c>
      <c r="L144" s="175">
        <v>123992</v>
      </c>
      <c r="M144" s="175">
        <v>121401</v>
      </c>
      <c r="N144" s="175" t="s">
        <v>296</v>
      </c>
      <c r="O144" s="175" t="s">
        <v>296</v>
      </c>
      <c r="P144" s="175" t="s">
        <v>296</v>
      </c>
      <c r="Q144" s="175" t="s">
        <v>296</v>
      </c>
    </row>
    <row r="145" spans="1:17">
      <c r="A145" s="173" t="s">
        <v>833</v>
      </c>
      <c r="B145" s="173" t="s">
        <v>834</v>
      </c>
      <c r="C145" s="175">
        <v>609</v>
      </c>
      <c r="D145" s="175">
        <v>608</v>
      </c>
      <c r="E145" s="175">
        <v>620</v>
      </c>
      <c r="F145" s="175">
        <v>586</v>
      </c>
      <c r="G145" s="175">
        <v>504</v>
      </c>
      <c r="H145" s="175">
        <v>815</v>
      </c>
      <c r="I145" s="175">
        <v>894</v>
      </c>
      <c r="J145" s="175">
        <v>1039</v>
      </c>
      <c r="K145" s="175">
        <v>917</v>
      </c>
      <c r="L145" s="175">
        <v>797</v>
      </c>
      <c r="M145" s="175">
        <v>717</v>
      </c>
      <c r="N145" s="175">
        <v>736</v>
      </c>
      <c r="O145" s="175">
        <v>834</v>
      </c>
      <c r="P145" s="175">
        <v>1071</v>
      </c>
      <c r="Q145" s="175">
        <v>1153</v>
      </c>
    </row>
    <row r="146" spans="1:17">
      <c r="A146" s="173" t="s">
        <v>835</v>
      </c>
      <c r="B146" s="173" t="s">
        <v>836</v>
      </c>
      <c r="C146" s="175">
        <v>574</v>
      </c>
      <c r="D146" s="175">
        <v>580</v>
      </c>
      <c r="E146" s="175">
        <v>584</v>
      </c>
      <c r="F146" s="175">
        <v>558</v>
      </c>
      <c r="G146" s="175">
        <v>476</v>
      </c>
      <c r="H146" s="175">
        <v>758</v>
      </c>
      <c r="I146" s="175">
        <v>838</v>
      </c>
      <c r="J146" s="175">
        <v>987</v>
      </c>
      <c r="K146" s="175">
        <v>856</v>
      </c>
      <c r="L146" s="175">
        <v>757</v>
      </c>
      <c r="M146" s="175">
        <v>613</v>
      </c>
      <c r="N146" s="175">
        <v>675</v>
      </c>
      <c r="O146" s="175">
        <v>774</v>
      </c>
      <c r="P146" s="175">
        <v>1000</v>
      </c>
      <c r="Q146" s="175">
        <v>1086</v>
      </c>
    </row>
    <row r="147" spans="1:17">
      <c r="A147" s="173" t="s">
        <v>837</v>
      </c>
      <c r="B147" s="173" t="s">
        <v>838</v>
      </c>
      <c r="C147" s="175">
        <v>545</v>
      </c>
      <c r="D147" s="175">
        <v>532</v>
      </c>
      <c r="E147" s="175">
        <v>535</v>
      </c>
      <c r="F147" s="175">
        <v>519</v>
      </c>
      <c r="G147" s="175">
        <v>444</v>
      </c>
      <c r="H147" s="175">
        <v>710</v>
      </c>
      <c r="I147" s="175">
        <v>786</v>
      </c>
      <c r="J147" s="175">
        <v>942</v>
      </c>
      <c r="K147" s="175">
        <v>794</v>
      </c>
      <c r="L147" s="175">
        <v>640</v>
      </c>
      <c r="M147" s="175">
        <v>551</v>
      </c>
      <c r="N147" s="175">
        <v>611</v>
      </c>
      <c r="O147" s="175">
        <v>712</v>
      </c>
      <c r="P147" s="175">
        <v>926</v>
      </c>
      <c r="Q147" s="175">
        <v>987</v>
      </c>
    </row>
    <row r="148" spans="1:17">
      <c r="A148" s="173" t="s">
        <v>839</v>
      </c>
      <c r="B148" s="173" t="s">
        <v>840</v>
      </c>
      <c r="C148" s="175">
        <v>496</v>
      </c>
      <c r="D148" s="175">
        <v>497</v>
      </c>
      <c r="E148" s="175">
        <v>490</v>
      </c>
      <c r="F148" s="175">
        <v>479</v>
      </c>
      <c r="G148" s="175">
        <v>408</v>
      </c>
      <c r="H148" s="175">
        <v>655</v>
      </c>
      <c r="I148" s="175">
        <v>743</v>
      </c>
      <c r="J148" s="175">
        <v>843</v>
      </c>
      <c r="K148" s="175">
        <v>667</v>
      </c>
      <c r="L148" s="175">
        <v>552</v>
      </c>
      <c r="M148" s="175">
        <v>496</v>
      </c>
      <c r="N148" s="175">
        <v>555</v>
      </c>
      <c r="O148" s="175">
        <v>638</v>
      </c>
      <c r="P148" s="175">
        <v>823</v>
      </c>
      <c r="Q148" s="175">
        <v>808</v>
      </c>
    </row>
    <row r="149" spans="1:17">
      <c r="A149" s="173" t="s">
        <v>841</v>
      </c>
      <c r="B149" s="173" t="s">
        <v>842</v>
      </c>
      <c r="C149" s="175">
        <v>462</v>
      </c>
      <c r="D149" s="175">
        <v>457</v>
      </c>
      <c r="E149" s="175">
        <v>449</v>
      </c>
      <c r="F149" s="175">
        <v>438</v>
      </c>
      <c r="G149" s="175">
        <v>370</v>
      </c>
      <c r="H149" s="175">
        <v>624</v>
      </c>
      <c r="I149" s="175">
        <v>652</v>
      </c>
      <c r="J149" s="175">
        <v>696</v>
      </c>
      <c r="K149" s="175">
        <v>593</v>
      </c>
      <c r="L149" s="175">
        <v>492</v>
      </c>
      <c r="M149" s="175">
        <v>449</v>
      </c>
      <c r="N149" s="175">
        <v>482</v>
      </c>
      <c r="O149" s="175">
        <v>545</v>
      </c>
      <c r="P149" s="175">
        <v>636</v>
      </c>
      <c r="Q149" s="175">
        <v>661</v>
      </c>
    </row>
    <row r="150" spans="1:17">
      <c r="A150" s="173" t="s">
        <v>843</v>
      </c>
      <c r="B150" s="173" t="s">
        <v>844</v>
      </c>
      <c r="C150" s="175">
        <v>3230</v>
      </c>
      <c r="D150" s="175">
        <v>3261</v>
      </c>
      <c r="E150" s="175">
        <v>3590</v>
      </c>
      <c r="F150" s="175">
        <v>3651</v>
      </c>
      <c r="G150" s="175">
        <v>3301</v>
      </c>
      <c r="H150" s="175">
        <v>5132</v>
      </c>
      <c r="I150" s="175">
        <v>5026</v>
      </c>
      <c r="J150" s="175">
        <v>5450</v>
      </c>
      <c r="K150" s="175">
        <v>6092</v>
      </c>
      <c r="L150" s="175">
        <v>5612</v>
      </c>
      <c r="M150" s="175">
        <v>4746</v>
      </c>
      <c r="N150" s="175">
        <v>4987</v>
      </c>
      <c r="O150" s="175">
        <v>5438</v>
      </c>
      <c r="P150" s="175">
        <v>5850</v>
      </c>
      <c r="Q150" s="175">
        <v>5843</v>
      </c>
    </row>
    <row r="151" spans="1:17">
      <c r="A151" s="173" t="s">
        <v>845</v>
      </c>
      <c r="B151" s="173" t="s">
        <v>846</v>
      </c>
      <c r="C151" s="175">
        <v>5865</v>
      </c>
      <c r="D151" s="175">
        <v>5885</v>
      </c>
      <c r="E151" s="175">
        <v>6213</v>
      </c>
      <c r="F151" s="175">
        <v>6231</v>
      </c>
      <c r="G151" s="175">
        <v>5405</v>
      </c>
      <c r="H151" s="175">
        <v>8616</v>
      </c>
      <c r="I151" s="175">
        <v>8879</v>
      </c>
      <c r="J151" s="175">
        <v>9903</v>
      </c>
      <c r="K151" s="175">
        <v>9873</v>
      </c>
      <c r="L151" s="175">
        <v>8850</v>
      </c>
      <c r="M151" s="175">
        <v>7572</v>
      </c>
      <c r="N151" s="175">
        <v>8046</v>
      </c>
      <c r="O151" s="175">
        <v>8941</v>
      </c>
      <c r="P151" s="175">
        <v>10306</v>
      </c>
      <c r="Q151" s="175">
        <v>10538</v>
      </c>
    </row>
    <row r="152" spans="1:17">
      <c r="A152" s="173" t="s">
        <v>847</v>
      </c>
      <c r="B152" s="173" t="s">
        <v>848</v>
      </c>
      <c r="C152" s="177">
        <v>8.8000000000000007</v>
      </c>
      <c r="D152" s="177">
        <v>8.5</v>
      </c>
      <c r="E152" s="177">
        <v>8.8000000000000007</v>
      </c>
      <c r="F152" s="177">
        <v>8.1</v>
      </c>
      <c r="G152" s="177">
        <v>8</v>
      </c>
      <c r="H152" s="177">
        <v>7.2</v>
      </c>
      <c r="I152" s="177">
        <v>7.1</v>
      </c>
      <c r="J152" s="177" t="s">
        <v>296</v>
      </c>
      <c r="K152" s="177" t="s">
        <v>296</v>
      </c>
      <c r="L152" s="177" t="s">
        <v>296</v>
      </c>
      <c r="M152" s="177" t="s">
        <v>296</v>
      </c>
      <c r="N152" s="177" t="s">
        <v>296</v>
      </c>
      <c r="O152" s="177" t="s">
        <v>296</v>
      </c>
      <c r="P152" s="177" t="s">
        <v>296</v>
      </c>
      <c r="Q152" s="177" t="s">
        <v>296</v>
      </c>
    </row>
    <row r="153" spans="1:17">
      <c r="A153" s="173" t="s">
        <v>849</v>
      </c>
      <c r="B153" s="173" t="s">
        <v>850</v>
      </c>
      <c r="C153" s="175" t="s">
        <v>296</v>
      </c>
      <c r="D153" s="175" t="s">
        <v>296</v>
      </c>
      <c r="E153" s="175" t="s">
        <v>296</v>
      </c>
      <c r="F153" s="175" t="s">
        <v>296</v>
      </c>
      <c r="G153" s="175" t="s">
        <v>296</v>
      </c>
      <c r="H153" s="175" t="s">
        <v>296</v>
      </c>
      <c r="I153" s="175" t="s">
        <v>296</v>
      </c>
      <c r="J153" s="175" t="s">
        <v>296</v>
      </c>
      <c r="K153" s="175" t="s">
        <v>296</v>
      </c>
      <c r="L153" s="175">
        <v>17964</v>
      </c>
      <c r="M153" s="175">
        <v>14375</v>
      </c>
      <c r="N153" s="175">
        <v>14492</v>
      </c>
      <c r="O153" s="175">
        <v>14301</v>
      </c>
      <c r="P153" s="175">
        <v>14430</v>
      </c>
      <c r="Q153" s="175">
        <v>14324</v>
      </c>
    </row>
    <row r="154" spans="1:17">
      <c r="A154" s="173" t="s">
        <v>851</v>
      </c>
      <c r="B154" s="173" t="s">
        <v>852</v>
      </c>
      <c r="C154" s="177">
        <v>12.53</v>
      </c>
      <c r="D154" s="177">
        <v>9.61</v>
      </c>
      <c r="E154" s="177">
        <v>10.57</v>
      </c>
      <c r="F154" s="177">
        <v>15.27</v>
      </c>
      <c r="G154" s="177" t="s">
        <v>296</v>
      </c>
      <c r="H154" s="177" t="s">
        <v>296</v>
      </c>
      <c r="I154" s="177" t="s">
        <v>296</v>
      </c>
      <c r="J154" s="177" t="s">
        <v>296</v>
      </c>
      <c r="K154" s="177" t="s">
        <v>296</v>
      </c>
      <c r="L154" s="177" t="s">
        <v>296</v>
      </c>
      <c r="M154" s="177" t="s">
        <v>296</v>
      </c>
      <c r="N154" s="177" t="s">
        <v>296</v>
      </c>
      <c r="O154" s="177" t="s">
        <v>296</v>
      </c>
      <c r="P154" s="177" t="s">
        <v>296</v>
      </c>
      <c r="Q154" s="177" t="s">
        <v>296</v>
      </c>
    </row>
    <row r="155" spans="1:17">
      <c r="A155" s="173" t="s">
        <v>853</v>
      </c>
      <c r="B155" s="173" t="s">
        <v>854</v>
      </c>
      <c r="C155" s="177">
        <v>1.8</v>
      </c>
      <c r="D155" s="177">
        <v>1.3</v>
      </c>
      <c r="E155" s="177">
        <v>0.6</v>
      </c>
      <c r="F155" s="177">
        <v>0.4</v>
      </c>
      <c r="G155" s="177" t="s">
        <v>296</v>
      </c>
      <c r="H155" s="177" t="s">
        <v>296</v>
      </c>
      <c r="I155" s="177" t="s">
        <v>296</v>
      </c>
      <c r="J155" s="177" t="s">
        <v>296</v>
      </c>
      <c r="K155" s="177" t="s">
        <v>296</v>
      </c>
      <c r="L155" s="177" t="s">
        <v>296</v>
      </c>
      <c r="M155" s="177" t="s">
        <v>296</v>
      </c>
      <c r="N155" s="177" t="s">
        <v>296</v>
      </c>
      <c r="O155" s="177" t="s">
        <v>296</v>
      </c>
      <c r="P155" s="177" t="s">
        <v>296</v>
      </c>
      <c r="Q155" s="177" t="s">
        <v>296</v>
      </c>
    </row>
    <row r="156" spans="1:17">
      <c r="A156" s="173" t="s">
        <v>855</v>
      </c>
      <c r="B156" s="173" t="s">
        <v>856</v>
      </c>
      <c r="C156" s="177">
        <v>3.1</v>
      </c>
      <c r="D156" s="177">
        <v>3</v>
      </c>
      <c r="E156" s="177">
        <v>3</v>
      </c>
      <c r="F156" s="177">
        <v>3.3</v>
      </c>
      <c r="G156" s="177" t="s">
        <v>296</v>
      </c>
      <c r="H156" s="177" t="s">
        <v>296</v>
      </c>
      <c r="I156" s="177" t="s">
        <v>296</v>
      </c>
      <c r="J156" s="177" t="s">
        <v>296</v>
      </c>
      <c r="K156" s="177" t="s">
        <v>296</v>
      </c>
      <c r="L156" s="177" t="s">
        <v>296</v>
      </c>
      <c r="M156" s="177" t="s">
        <v>296</v>
      </c>
      <c r="N156" s="177" t="s">
        <v>296</v>
      </c>
      <c r="O156" s="177" t="s">
        <v>296</v>
      </c>
      <c r="P156" s="177" t="s">
        <v>296</v>
      </c>
      <c r="Q156" s="177" t="s">
        <v>296</v>
      </c>
    </row>
    <row r="157" spans="1:17">
      <c r="A157" s="173" t="s">
        <v>857</v>
      </c>
      <c r="B157" s="173" t="s">
        <v>858</v>
      </c>
      <c r="C157" s="177">
        <v>17.100000000000001</v>
      </c>
      <c r="D157" s="177">
        <v>17.600000000000001</v>
      </c>
      <c r="E157" s="177">
        <v>16.2</v>
      </c>
      <c r="F157" s="177">
        <v>15.2</v>
      </c>
      <c r="G157" s="177" t="s">
        <v>296</v>
      </c>
      <c r="H157" s="177" t="s">
        <v>296</v>
      </c>
      <c r="I157" s="177" t="s">
        <v>296</v>
      </c>
      <c r="J157" s="177" t="s">
        <v>296</v>
      </c>
      <c r="K157" s="177" t="s">
        <v>296</v>
      </c>
      <c r="L157" s="177" t="s">
        <v>296</v>
      </c>
      <c r="M157" s="177" t="s">
        <v>296</v>
      </c>
      <c r="N157" s="177" t="s">
        <v>296</v>
      </c>
      <c r="O157" s="177" t="s">
        <v>296</v>
      </c>
      <c r="P157" s="177" t="s">
        <v>296</v>
      </c>
      <c r="Q157" s="177" t="s">
        <v>296</v>
      </c>
    </row>
    <row r="158" spans="1:17">
      <c r="A158" s="173" t="s">
        <v>859</v>
      </c>
      <c r="B158" s="173" t="s">
        <v>860</v>
      </c>
      <c r="C158" s="177">
        <v>2.2999999999999998</v>
      </c>
      <c r="D158" s="177">
        <v>2.9</v>
      </c>
      <c r="E158" s="177">
        <v>2.8</v>
      </c>
      <c r="F158" s="177">
        <v>2.5</v>
      </c>
      <c r="G158" s="177">
        <v>7.1</v>
      </c>
      <c r="H158" s="177">
        <v>7.4</v>
      </c>
      <c r="I158" s="177">
        <v>8.3000000000000007</v>
      </c>
      <c r="J158" s="177">
        <v>7.2</v>
      </c>
      <c r="K158" s="177">
        <v>6.2</v>
      </c>
      <c r="L158" s="177">
        <v>5.0999999999999996</v>
      </c>
      <c r="M158" s="177">
        <v>4.5</v>
      </c>
      <c r="N158" s="177">
        <v>4.2</v>
      </c>
      <c r="O158" s="177">
        <v>3.3</v>
      </c>
      <c r="P158" s="177">
        <v>3.3</v>
      </c>
      <c r="Q158" s="177">
        <v>3.2</v>
      </c>
    </row>
    <row r="159" spans="1:17">
      <c r="A159" s="173" t="s">
        <v>861</v>
      </c>
      <c r="B159" s="173" t="s">
        <v>862</v>
      </c>
      <c r="C159" s="177">
        <v>51.31</v>
      </c>
      <c r="D159" s="177">
        <v>50.49</v>
      </c>
      <c r="E159" s="177">
        <v>50</v>
      </c>
      <c r="F159" s="177">
        <v>48.45</v>
      </c>
      <c r="G159" s="177" t="s">
        <v>296</v>
      </c>
      <c r="H159" s="177" t="s">
        <v>296</v>
      </c>
      <c r="I159" s="177" t="s">
        <v>296</v>
      </c>
      <c r="J159" s="177" t="s">
        <v>296</v>
      </c>
      <c r="K159" s="177" t="s">
        <v>296</v>
      </c>
      <c r="L159" s="177" t="s">
        <v>296</v>
      </c>
      <c r="M159" s="177" t="s">
        <v>296</v>
      </c>
      <c r="N159" s="177" t="s">
        <v>296</v>
      </c>
      <c r="O159" s="177" t="s">
        <v>296</v>
      </c>
      <c r="P159" s="177" t="s">
        <v>296</v>
      </c>
      <c r="Q159" s="177" t="s">
        <v>296</v>
      </c>
    </row>
    <row r="160" spans="1:17">
      <c r="A160" s="173" t="s">
        <v>863</v>
      </c>
      <c r="B160" s="173" t="s">
        <v>864</v>
      </c>
      <c r="C160" s="177">
        <v>49.35</v>
      </c>
      <c r="D160" s="177">
        <v>48.21</v>
      </c>
      <c r="E160" s="177">
        <v>47.58</v>
      </c>
      <c r="F160" s="177">
        <v>48.47</v>
      </c>
      <c r="G160" s="177" t="s">
        <v>296</v>
      </c>
      <c r="H160" s="177" t="s">
        <v>296</v>
      </c>
      <c r="I160" s="177" t="s">
        <v>296</v>
      </c>
      <c r="J160" s="177" t="s">
        <v>296</v>
      </c>
      <c r="K160" s="177" t="s">
        <v>296</v>
      </c>
      <c r="L160" s="177" t="s">
        <v>296</v>
      </c>
      <c r="M160" s="177" t="s">
        <v>296</v>
      </c>
      <c r="N160" s="177" t="s">
        <v>296</v>
      </c>
      <c r="O160" s="177" t="s">
        <v>296</v>
      </c>
      <c r="P160" s="177" t="s">
        <v>296</v>
      </c>
      <c r="Q160" s="177" t="s">
        <v>296</v>
      </c>
    </row>
    <row r="161" spans="1:17">
      <c r="A161" s="173" t="s">
        <v>865</v>
      </c>
      <c r="B161" s="173" t="s">
        <v>866</v>
      </c>
      <c r="C161" s="175">
        <v>23.792999999999999</v>
      </c>
      <c r="D161" s="175">
        <v>13.596</v>
      </c>
      <c r="E161" s="175">
        <v>5.3259999999999996</v>
      </c>
      <c r="F161" s="175">
        <v>3.1190000000000002</v>
      </c>
      <c r="G161" s="175">
        <v>8.25</v>
      </c>
      <c r="H161" s="175" t="s">
        <v>296</v>
      </c>
      <c r="I161" s="175" t="s">
        <v>296</v>
      </c>
      <c r="J161" s="175" t="s">
        <v>296</v>
      </c>
      <c r="K161" s="175" t="s">
        <v>296</v>
      </c>
      <c r="L161" s="175" t="s">
        <v>296</v>
      </c>
      <c r="M161" s="175" t="s">
        <v>296</v>
      </c>
      <c r="N161" s="175" t="s">
        <v>296</v>
      </c>
      <c r="O161" s="175" t="s">
        <v>296</v>
      </c>
      <c r="P161" s="175" t="s">
        <v>296</v>
      </c>
      <c r="Q161" s="175" t="s">
        <v>296</v>
      </c>
    </row>
    <row r="162" spans="1:17">
      <c r="A162" s="173" t="s">
        <v>867</v>
      </c>
      <c r="B162" s="173" t="s">
        <v>868</v>
      </c>
      <c r="C162" s="175" t="s">
        <v>296</v>
      </c>
      <c r="D162" s="175" t="s">
        <v>296</v>
      </c>
      <c r="E162" s="175" t="s">
        <v>296</v>
      </c>
      <c r="F162" s="175" t="s">
        <v>296</v>
      </c>
      <c r="G162" s="175" t="s">
        <v>296</v>
      </c>
      <c r="H162" s="175" t="s">
        <v>296</v>
      </c>
      <c r="I162" s="175" t="s">
        <v>296</v>
      </c>
      <c r="J162" s="175">
        <v>6700</v>
      </c>
      <c r="K162" s="175">
        <v>12.2</v>
      </c>
      <c r="L162" s="175">
        <v>37.799999999999997</v>
      </c>
      <c r="M162" s="175">
        <v>38400</v>
      </c>
      <c r="N162" s="175">
        <v>39300</v>
      </c>
      <c r="O162" s="175">
        <v>32300</v>
      </c>
      <c r="P162" s="175">
        <v>30300</v>
      </c>
      <c r="Q162" s="175">
        <v>32400</v>
      </c>
    </row>
    <row r="163" spans="1:17">
      <c r="A163" s="173" t="s">
        <v>869</v>
      </c>
      <c r="B163" s="173" t="s">
        <v>870</v>
      </c>
      <c r="C163" s="175">
        <v>2379</v>
      </c>
      <c r="D163" s="175">
        <v>2550</v>
      </c>
      <c r="E163" s="175">
        <v>2863</v>
      </c>
      <c r="F163" s="175">
        <v>3134</v>
      </c>
      <c r="G163" s="175">
        <v>2512</v>
      </c>
      <c r="H163" s="175">
        <v>2249</v>
      </c>
      <c r="I163" s="175">
        <v>2311</v>
      </c>
      <c r="J163" s="175">
        <v>2456</v>
      </c>
      <c r="K163" s="175">
        <v>2461</v>
      </c>
      <c r="L163" s="175">
        <v>4032</v>
      </c>
      <c r="M163" s="175">
        <v>3234</v>
      </c>
      <c r="N163" s="175">
        <v>3292</v>
      </c>
      <c r="O163" s="175">
        <v>3531</v>
      </c>
      <c r="P163" s="175">
        <v>3872</v>
      </c>
      <c r="Q163" s="175">
        <v>3815</v>
      </c>
    </row>
    <row r="164" spans="1:17">
      <c r="A164" s="173" t="s">
        <v>871</v>
      </c>
      <c r="B164" s="173" t="s">
        <v>872</v>
      </c>
      <c r="C164" s="175">
        <v>2899</v>
      </c>
      <c r="D164" s="175">
        <v>2528</v>
      </c>
      <c r="E164" s="175">
        <v>2225</v>
      </c>
      <c r="F164" s="175">
        <v>1801</v>
      </c>
      <c r="G164" s="175">
        <v>1504</v>
      </c>
      <c r="H164" s="175">
        <v>1456</v>
      </c>
      <c r="I164" s="175">
        <v>1494</v>
      </c>
      <c r="J164" s="175">
        <v>1843</v>
      </c>
      <c r="K164" s="175">
        <v>2448</v>
      </c>
      <c r="L164" s="175">
        <v>8588</v>
      </c>
      <c r="M164" s="175">
        <v>8782</v>
      </c>
      <c r="N164" s="175">
        <v>9542</v>
      </c>
      <c r="O164" s="175">
        <v>7815</v>
      </c>
      <c r="P164" s="175">
        <v>7485</v>
      </c>
      <c r="Q164" s="175">
        <v>7405</v>
      </c>
    </row>
    <row r="165" spans="1:17">
      <c r="A165" s="173" t="s">
        <v>873</v>
      </c>
      <c r="B165" s="173" t="s">
        <v>874</v>
      </c>
      <c r="C165" s="175">
        <v>15000</v>
      </c>
      <c r="D165" s="175">
        <v>15000</v>
      </c>
      <c r="E165" s="175">
        <v>15000</v>
      </c>
      <c r="F165" s="175">
        <v>15000</v>
      </c>
      <c r="G165" s="175">
        <v>15000</v>
      </c>
      <c r="H165" s="175">
        <v>20000</v>
      </c>
      <c r="I165" s="175">
        <v>20000</v>
      </c>
      <c r="J165" s="175">
        <v>20000</v>
      </c>
      <c r="K165" s="175">
        <v>20000</v>
      </c>
      <c r="L165" s="175">
        <v>20000</v>
      </c>
      <c r="M165" s="175">
        <v>20000</v>
      </c>
      <c r="N165" s="175">
        <v>20000</v>
      </c>
      <c r="O165" s="175">
        <v>20000</v>
      </c>
      <c r="P165" s="175">
        <v>20000</v>
      </c>
      <c r="Q165" s="175">
        <v>20000</v>
      </c>
    </row>
    <row r="166" spans="1:17">
      <c r="A166" s="173" t="s">
        <v>875</v>
      </c>
      <c r="B166" s="173" t="s">
        <v>876</v>
      </c>
      <c r="C166" s="175">
        <v>4800</v>
      </c>
      <c r="D166" s="175">
        <v>11300</v>
      </c>
      <c r="E166" s="175">
        <v>3700</v>
      </c>
      <c r="F166" s="175">
        <v>11300</v>
      </c>
      <c r="G166" s="175">
        <v>10300</v>
      </c>
      <c r="H166" s="175">
        <v>17500</v>
      </c>
      <c r="I166" s="175">
        <v>9200</v>
      </c>
      <c r="J166" s="175">
        <v>18800</v>
      </c>
      <c r="K166" s="175">
        <v>11300</v>
      </c>
      <c r="L166" s="175">
        <v>5700</v>
      </c>
      <c r="M166" s="175">
        <v>3000</v>
      </c>
      <c r="N166" s="175">
        <v>10600</v>
      </c>
      <c r="O166" s="175">
        <v>19300</v>
      </c>
      <c r="P166" s="175">
        <v>16500</v>
      </c>
      <c r="Q166" s="175">
        <v>12000</v>
      </c>
    </row>
    <row r="167" spans="1:17">
      <c r="A167" s="173" t="s">
        <v>877</v>
      </c>
      <c r="B167" s="173" t="s">
        <v>878</v>
      </c>
      <c r="C167" s="175" t="s">
        <v>296</v>
      </c>
      <c r="D167" s="175" t="s">
        <v>296</v>
      </c>
      <c r="E167" s="175" t="s">
        <v>296</v>
      </c>
      <c r="F167" s="175" t="s">
        <v>296</v>
      </c>
      <c r="G167" s="175" t="s">
        <v>296</v>
      </c>
      <c r="H167" s="175" t="s">
        <v>296</v>
      </c>
      <c r="I167" s="175" t="s">
        <v>296</v>
      </c>
      <c r="J167" s="175" t="s">
        <v>296</v>
      </c>
      <c r="K167" s="175" t="s">
        <v>296</v>
      </c>
      <c r="L167" s="175" t="s">
        <v>296</v>
      </c>
      <c r="M167" s="175" t="s">
        <v>296</v>
      </c>
      <c r="N167" s="175" t="s">
        <v>296</v>
      </c>
      <c r="O167" s="175" t="s">
        <v>296</v>
      </c>
      <c r="P167" s="175" t="s">
        <v>296</v>
      </c>
      <c r="Q167" s="175">
        <v>959</v>
      </c>
    </row>
    <row r="168" spans="1:17">
      <c r="A168" s="173" t="s">
        <v>879</v>
      </c>
      <c r="B168" s="173" t="s">
        <v>880</v>
      </c>
      <c r="C168" s="175">
        <v>500</v>
      </c>
      <c r="D168" s="175">
        <v>499</v>
      </c>
      <c r="E168" s="175">
        <v>523</v>
      </c>
      <c r="F168" s="175">
        <v>721</v>
      </c>
      <c r="G168" s="175">
        <v>219</v>
      </c>
      <c r="H168" s="175">
        <v>492</v>
      </c>
      <c r="I168" s="175">
        <v>471</v>
      </c>
      <c r="J168" s="175">
        <v>413</v>
      </c>
      <c r="K168" s="175">
        <v>334</v>
      </c>
      <c r="L168" s="175">
        <v>455</v>
      </c>
      <c r="M168" s="175">
        <v>477</v>
      </c>
      <c r="N168" s="175">
        <v>-47</v>
      </c>
      <c r="O168" s="175">
        <v>-689</v>
      </c>
      <c r="P168" s="175">
        <v>-654</v>
      </c>
      <c r="Q168" s="175" t="s">
        <v>296</v>
      </c>
    </row>
    <row r="169" spans="1:17">
      <c r="A169" s="173" t="s">
        <v>881</v>
      </c>
      <c r="B169" s="173" t="s">
        <v>882</v>
      </c>
      <c r="C169" s="175" t="s">
        <v>296</v>
      </c>
      <c r="D169" s="175" t="s">
        <v>296</v>
      </c>
      <c r="E169" s="175" t="s">
        <v>296</v>
      </c>
      <c r="F169" s="175" t="s">
        <v>296</v>
      </c>
      <c r="G169" s="175" t="s">
        <v>296</v>
      </c>
      <c r="H169" s="175" t="s">
        <v>296</v>
      </c>
      <c r="I169" s="175" t="s">
        <v>296</v>
      </c>
      <c r="J169" s="175" t="s">
        <v>296</v>
      </c>
      <c r="K169" s="175" t="s">
        <v>296</v>
      </c>
      <c r="L169" s="175" t="s">
        <v>296</v>
      </c>
      <c r="M169" s="175" t="s">
        <v>296</v>
      </c>
      <c r="N169" s="175" t="s">
        <v>296</v>
      </c>
      <c r="O169" s="175" t="s">
        <v>296</v>
      </c>
      <c r="P169" s="175" t="s">
        <v>296</v>
      </c>
      <c r="Q169" s="175">
        <v>2082</v>
      </c>
    </row>
    <row r="170" spans="1:17">
      <c r="A170" s="173" t="s">
        <v>883</v>
      </c>
      <c r="B170" s="173" t="s">
        <v>884</v>
      </c>
      <c r="C170" s="175">
        <v>500</v>
      </c>
      <c r="D170" s="175">
        <v>499</v>
      </c>
      <c r="E170" s="175">
        <v>721</v>
      </c>
      <c r="F170" s="175">
        <v>721</v>
      </c>
      <c r="G170" s="175">
        <v>219</v>
      </c>
      <c r="H170" s="175">
        <v>492</v>
      </c>
      <c r="I170" s="175">
        <v>471</v>
      </c>
      <c r="J170" s="175">
        <v>413</v>
      </c>
      <c r="K170" s="175">
        <v>334</v>
      </c>
      <c r="L170" s="175">
        <v>455</v>
      </c>
      <c r="M170" s="175">
        <v>477</v>
      </c>
      <c r="N170" s="175">
        <v>-47</v>
      </c>
      <c r="O170" s="175">
        <v>-689</v>
      </c>
      <c r="P170" s="175">
        <v>-654</v>
      </c>
      <c r="Q170" s="175" t="s">
        <v>296</v>
      </c>
    </row>
    <row r="171" spans="1:17">
      <c r="A171" s="173" t="s">
        <v>885</v>
      </c>
      <c r="B171" s="173" t="s">
        <v>886</v>
      </c>
      <c r="C171" s="175" t="s">
        <v>296</v>
      </c>
      <c r="D171" s="175" t="s">
        <v>296</v>
      </c>
      <c r="E171" s="175" t="s">
        <v>296</v>
      </c>
      <c r="F171" s="175" t="s">
        <v>296</v>
      </c>
      <c r="G171" s="175" t="s">
        <v>296</v>
      </c>
      <c r="H171" s="175" t="s">
        <v>296</v>
      </c>
      <c r="I171" s="175" t="s">
        <v>296</v>
      </c>
      <c r="J171" s="175" t="s">
        <v>296</v>
      </c>
      <c r="K171" s="175" t="s">
        <v>296</v>
      </c>
      <c r="L171" s="175" t="s">
        <v>296</v>
      </c>
      <c r="M171" s="175" t="s">
        <v>296</v>
      </c>
      <c r="N171" s="175" t="s">
        <v>296</v>
      </c>
      <c r="O171" s="175" t="s">
        <v>296</v>
      </c>
      <c r="P171" s="175" t="s">
        <v>296</v>
      </c>
      <c r="Q171" s="175">
        <v>3041</v>
      </c>
    </row>
    <row r="172" spans="1:17">
      <c r="A172" s="173" t="s">
        <v>887</v>
      </c>
      <c r="B172" s="173" t="s">
        <v>888</v>
      </c>
      <c r="C172" s="175">
        <v>18</v>
      </c>
      <c r="D172" s="175">
        <v>19</v>
      </c>
      <c r="E172" s="175">
        <v>8</v>
      </c>
      <c r="F172" s="175">
        <v>2</v>
      </c>
      <c r="G172" s="175">
        <v>318</v>
      </c>
      <c r="H172" s="175">
        <v>609</v>
      </c>
      <c r="I172" s="175">
        <v>622</v>
      </c>
      <c r="J172" s="175">
        <v>91</v>
      </c>
      <c r="K172" s="175">
        <v>350</v>
      </c>
      <c r="L172" s="175">
        <v>793</v>
      </c>
      <c r="M172" s="175">
        <v>394</v>
      </c>
      <c r="N172" s="175">
        <v>1048</v>
      </c>
      <c r="O172" s="175">
        <v>1423</v>
      </c>
      <c r="P172" s="175">
        <v>1302</v>
      </c>
      <c r="Q172" s="175">
        <v>1999</v>
      </c>
    </row>
    <row r="173" spans="1:17">
      <c r="A173" s="173" t="s">
        <v>889</v>
      </c>
      <c r="B173" s="173" t="s">
        <v>890</v>
      </c>
      <c r="C173" s="175">
        <v>18</v>
      </c>
      <c r="D173" s="175">
        <v>19</v>
      </c>
      <c r="E173" s="175">
        <v>8</v>
      </c>
      <c r="F173" s="175">
        <v>2</v>
      </c>
      <c r="G173" s="175">
        <v>318</v>
      </c>
      <c r="H173" s="175">
        <v>609</v>
      </c>
      <c r="I173" s="175">
        <v>622</v>
      </c>
      <c r="J173" s="175">
        <v>91</v>
      </c>
      <c r="K173" s="175">
        <v>350</v>
      </c>
      <c r="L173" s="175">
        <v>793</v>
      </c>
      <c r="M173" s="175">
        <v>394</v>
      </c>
      <c r="N173" s="175">
        <v>1048</v>
      </c>
      <c r="O173" s="175">
        <v>1423</v>
      </c>
      <c r="P173" s="175">
        <v>1302</v>
      </c>
      <c r="Q173" s="175">
        <v>1999</v>
      </c>
    </row>
    <row r="174" spans="1:17">
      <c r="A174" s="173" t="s">
        <v>891</v>
      </c>
      <c r="B174" s="173" t="s">
        <v>892</v>
      </c>
      <c r="C174" s="175" t="s">
        <v>296</v>
      </c>
      <c r="D174" s="175" t="s">
        <v>296</v>
      </c>
      <c r="E174" s="175" t="s">
        <v>296</v>
      </c>
      <c r="F174" s="175" t="s">
        <v>296</v>
      </c>
      <c r="G174" s="175" t="s">
        <v>296</v>
      </c>
      <c r="H174" s="175">
        <v>1853</v>
      </c>
      <c r="I174" s="175">
        <v>2768</v>
      </c>
      <c r="J174" s="175">
        <v>1952</v>
      </c>
      <c r="K174" s="175">
        <v>4500</v>
      </c>
      <c r="L174" s="175">
        <v>4290</v>
      </c>
      <c r="M174" s="175">
        <v>6609</v>
      </c>
      <c r="N174" s="175">
        <v>5444</v>
      </c>
      <c r="O174" s="175">
        <v>5766</v>
      </c>
      <c r="P174" s="175">
        <v>5585</v>
      </c>
      <c r="Q174" s="175">
        <v>5271</v>
      </c>
    </row>
    <row r="175" spans="1:17">
      <c r="A175" s="173" t="s">
        <v>893</v>
      </c>
      <c r="B175" s="173" t="s">
        <v>894</v>
      </c>
      <c r="C175" s="175" t="s">
        <v>296</v>
      </c>
      <c r="D175" s="175">
        <v>2996</v>
      </c>
      <c r="E175" s="175">
        <v>3525</v>
      </c>
      <c r="F175" s="175">
        <v>3566</v>
      </c>
      <c r="G175" s="175">
        <v>3255</v>
      </c>
      <c r="H175" s="175" t="s">
        <v>296</v>
      </c>
      <c r="I175" s="175" t="s">
        <v>296</v>
      </c>
      <c r="J175" s="175" t="s">
        <v>296</v>
      </c>
      <c r="K175" s="175" t="s">
        <v>296</v>
      </c>
      <c r="L175" s="175" t="s">
        <v>296</v>
      </c>
      <c r="M175" s="175" t="s">
        <v>296</v>
      </c>
      <c r="N175" s="175" t="s">
        <v>296</v>
      </c>
      <c r="O175" s="175" t="s">
        <v>296</v>
      </c>
      <c r="P175" s="175" t="s">
        <v>296</v>
      </c>
      <c r="Q175" s="175" t="s">
        <v>296</v>
      </c>
    </row>
    <row r="176" spans="1:17">
      <c r="A176" s="173" t="s">
        <v>895</v>
      </c>
      <c r="B176" s="173" t="s">
        <v>896</v>
      </c>
      <c r="C176" s="175">
        <v>125.877</v>
      </c>
      <c r="D176" s="175">
        <v>100.158</v>
      </c>
      <c r="E176" s="175">
        <v>60.456000000000003</v>
      </c>
      <c r="F176" s="175">
        <v>30.72</v>
      </c>
      <c r="G176" s="175">
        <v>24.75</v>
      </c>
      <c r="H176" s="175" t="s">
        <v>296</v>
      </c>
      <c r="I176" s="175" t="s">
        <v>296</v>
      </c>
      <c r="J176" s="175" t="s">
        <v>296</v>
      </c>
      <c r="K176" s="175" t="s">
        <v>296</v>
      </c>
      <c r="L176" s="175" t="s">
        <v>296</v>
      </c>
      <c r="M176" s="175" t="s">
        <v>296</v>
      </c>
      <c r="N176" s="175" t="s">
        <v>296</v>
      </c>
      <c r="O176" s="175" t="s">
        <v>296</v>
      </c>
      <c r="P176" s="175" t="s">
        <v>296</v>
      </c>
      <c r="Q176" s="175" t="s">
        <v>296</v>
      </c>
    </row>
    <row r="177" spans="1:17">
      <c r="A177" s="173" t="s">
        <v>897</v>
      </c>
      <c r="B177" s="173" t="s">
        <v>898</v>
      </c>
      <c r="C177" s="175" t="s">
        <v>296</v>
      </c>
      <c r="D177" s="175" t="s">
        <v>296</v>
      </c>
      <c r="E177" s="175" t="s">
        <v>296</v>
      </c>
      <c r="F177" s="175">
        <v>1.2450000000000001</v>
      </c>
      <c r="G177" s="175" t="s">
        <v>296</v>
      </c>
      <c r="H177" s="175" t="s">
        <v>296</v>
      </c>
      <c r="I177" s="175" t="s">
        <v>296</v>
      </c>
      <c r="J177" s="175" t="s">
        <v>296</v>
      </c>
      <c r="K177" s="175" t="s">
        <v>296</v>
      </c>
      <c r="L177" s="175" t="s">
        <v>296</v>
      </c>
      <c r="M177" s="175" t="s">
        <v>296</v>
      </c>
      <c r="N177" s="175" t="s">
        <v>296</v>
      </c>
      <c r="O177" s="175" t="s">
        <v>296</v>
      </c>
      <c r="P177" s="175" t="s">
        <v>296</v>
      </c>
      <c r="Q177" s="175" t="s">
        <v>296</v>
      </c>
    </row>
    <row r="178" spans="1:17">
      <c r="A178" s="173" t="s">
        <v>899</v>
      </c>
      <c r="B178" s="173" t="s">
        <v>900</v>
      </c>
      <c r="C178" s="177" t="s">
        <v>296</v>
      </c>
      <c r="D178" s="177">
        <v>54.64</v>
      </c>
      <c r="E178" s="177">
        <v>67.14</v>
      </c>
      <c r="F178" s="177">
        <v>74.989999999999995</v>
      </c>
      <c r="G178" s="177">
        <v>75.819999999999993</v>
      </c>
      <c r="H178" s="177">
        <v>65.900000000000006</v>
      </c>
      <c r="I178" s="177">
        <v>69.180000000000007</v>
      </c>
      <c r="J178" s="177">
        <v>79.11</v>
      </c>
      <c r="K178" s="177">
        <v>93.18</v>
      </c>
      <c r="L178" s="177">
        <v>105.98</v>
      </c>
      <c r="M178" s="177">
        <v>134.44</v>
      </c>
      <c r="N178" s="177">
        <v>139.59</v>
      </c>
      <c r="O178" s="177">
        <v>134.16999999999999</v>
      </c>
      <c r="P178" s="177">
        <v>51.28</v>
      </c>
      <c r="Q178" s="177">
        <v>73.052000000000007</v>
      </c>
    </row>
    <row r="179" spans="1:17">
      <c r="A179" s="173" t="s">
        <v>901</v>
      </c>
      <c r="B179" s="173" t="s">
        <v>902</v>
      </c>
      <c r="C179" s="175">
        <v>1019</v>
      </c>
      <c r="D179" s="175">
        <v>795</v>
      </c>
      <c r="E179" s="175">
        <v>611</v>
      </c>
      <c r="F179" s="175">
        <v>818</v>
      </c>
      <c r="G179" s="175">
        <v>763</v>
      </c>
      <c r="H179" s="175">
        <v>838</v>
      </c>
      <c r="I179" s="175">
        <v>607</v>
      </c>
      <c r="J179" s="175">
        <v>1050</v>
      </c>
      <c r="K179" s="175">
        <v>1010</v>
      </c>
      <c r="L179" s="175">
        <v>1305</v>
      </c>
      <c r="M179" s="175">
        <v>1817</v>
      </c>
      <c r="N179" s="175">
        <v>3135</v>
      </c>
      <c r="O179" s="175">
        <v>3245</v>
      </c>
      <c r="P179" s="175">
        <v>3307</v>
      </c>
      <c r="Q179" s="175">
        <v>3540</v>
      </c>
    </row>
    <row r="180" spans="1:17">
      <c r="A180" s="173" t="s">
        <v>903</v>
      </c>
      <c r="B180" s="173" t="s">
        <v>904</v>
      </c>
      <c r="C180" s="175">
        <v>795</v>
      </c>
      <c r="D180" s="175">
        <v>611</v>
      </c>
      <c r="E180" s="175">
        <v>818</v>
      </c>
      <c r="F180" s="175">
        <v>763</v>
      </c>
      <c r="G180" s="175">
        <v>838</v>
      </c>
      <c r="H180" s="175">
        <v>607</v>
      </c>
      <c r="I180" s="175">
        <v>1050</v>
      </c>
      <c r="J180" s="175">
        <v>1010</v>
      </c>
      <c r="K180" s="175">
        <v>1305</v>
      </c>
      <c r="L180" s="175">
        <v>1817</v>
      </c>
      <c r="M180" s="175">
        <v>3135</v>
      </c>
      <c r="N180" s="175">
        <v>3245</v>
      </c>
      <c r="O180" s="175">
        <v>3307</v>
      </c>
      <c r="P180" s="175">
        <v>3540</v>
      </c>
      <c r="Q180" s="175">
        <v>3757</v>
      </c>
    </row>
    <row r="181" spans="1:17">
      <c r="A181" s="173" t="s">
        <v>905</v>
      </c>
      <c r="B181" s="173" t="s">
        <v>906</v>
      </c>
      <c r="C181" s="175">
        <v>199</v>
      </c>
      <c r="D181" s="175">
        <v>56</v>
      </c>
      <c r="E181" s="175">
        <v>431</v>
      </c>
      <c r="F181" s="175">
        <v>133</v>
      </c>
      <c r="G181" s="175">
        <v>174</v>
      </c>
      <c r="H181" s="175">
        <v>119</v>
      </c>
      <c r="I181" s="175">
        <v>145</v>
      </c>
      <c r="J181" s="175">
        <v>122</v>
      </c>
      <c r="K181" s="175">
        <v>203</v>
      </c>
      <c r="L181" s="175">
        <v>66</v>
      </c>
      <c r="M181" s="175">
        <v>1582</v>
      </c>
      <c r="N181" s="175">
        <v>75</v>
      </c>
      <c r="O181" s="175">
        <v>357</v>
      </c>
      <c r="P181" s="175">
        <v>102</v>
      </c>
      <c r="Q181" s="175">
        <v>93</v>
      </c>
    </row>
    <row r="182" spans="1:17">
      <c r="A182" s="173" t="s">
        <v>907</v>
      </c>
      <c r="B182" s="173" t="s">
        <v>908</v>
      </c>
      <c r="C182" s="175">
        <v>101</v>
      </c>
      <c r="D182" s="175">
        <v>87</v>
      </c>
      <c r="E182" s="175">
        <v>88</v>
      </c>
      <c r="F182" s="175">
        <v>41</v>
      </c>
      <c r="G182" s="175">
        <v>7</v>
      </c>
      <c r="H182" s="175">
        <v>164</v>
      </c>
      <c r="I182" s="175">
        <v>388</v>
      </c>
      <c r="J182" s="175">
        <v>130</v>
      </c>
      <c r="K182" s="175">
        <v>620</v>
      </c>
      <c r="L182" s="175">
        <v>516</v>
      </c>
      <c r="M182" s="175">
        <v>92</v>
      </c>
      <c r="N182" s="175">
        <v>170</v>
      </c>
      <c r="O182" s="175">
        <v>79</v>
      </c>
      <c r="P182" s="175">
        <v>336</v>
      </c>
      <c r="Q182" s="175">
        <v>445</v>
      </c>
    </row>
    <row r="183" spans="1:17">
      <c r="A183" s="173" t="s">
        <v>909</v>
      </c>
      <c r="B183" s="173" t="s">
        <v>910</v>
      </c>
      <c r="C183" s="175">
        <v>-61</v>
      </c>
      <c r="D183" s="175">
        <v>-162</v>
      </c>
      <c r="E183" s="175">
        <v>-232</v>
      </c>
      <c r="F183" s="175">
        <v>-112</v>
      </c>
      <c r="G183" s="175">
        <v>-17</v>
      </c>
      <c r="H183" s="175">
        <v>-446</v>
      </c>
      <c r="I183" s="175">
        <v>-32</v>
      </c>
      <c r="J183" s="175">
        <v>-254</v>
      </c>
      <c r="K183" s="175">
        <v>-107</v>
      </c>
      <c r="L183" s="175" t="s">
        <v>296</v>
      </c>
      <c r="M183" s="175">
        <v>-264</v>
      </c>
      <c r="N183" s="175">
        <v>-97</v>
      </c>
      <c r="O183" s="175">
        <v>-248</v>
      </c>
      <c r="P183" s="175">
        <v>-74</v>
      </c>
      <c r="Q183" s="175">
        <v>-228</v>
      </c>
    </row>
    <row r="184" spans="1:17">
      <c r="A184" s="173" t="s">
        <v>911</v>
      </c>
      <c r="B184" s="173" t="s">
        <v>912</v>
      </c>
      <c r="C184" s="175">
        <v>-453</v>
      </c>
      <c r="D184" s="175">
        <v>-161</v>
      </c>
      <c r="E184" s="175">
        <v>-80</v>
      </c>
      <c r="F184" s="175">
        <v>-117</v>
      </c>
      <c r="G184" s="175">
        <v>-89</v>
      </c>
      <c r="H184" s="175">
        <v>-25</v>
      </c>
      <c r="I184" s="175">
        <v>-46</v>
      </c>
      <c r="J184" s="175">
        <v>-23</v>
      </c>
      <c r="K184" s="175">
        <v>-390</v>
      </c>
      <c r="L184" s="175" t="s">
        <v>296</v>
      </c>
      <c r="M184" s="175">
        <v>-64</v>
      </c>
      <c r="N184" s="175">
        <v>-5</v>
      </c>
      <c r="O184" s="175">
        <v>-89</v>
      </c>
      <c r="P184" s="175">
        <v>-102</v>
      </c>
      <c r="Q184" s="175">
        <v>-77</v>
      </c>
    </row>
    <row r="185" spans="1:17">
      <c r="A185" s="173" t="s">
        <v>913</v>
      </c>
      <c r="B185" s="173" t="s">
        <v>914</v>
      </c>
      <c r="C185" s="175">
        <v>-10</v>
      </c>
      <c r="D185" s="175">
        <v>-4</v>
      </c>
      <c r="E185" s="175">
        <v>0</v>
      </c>
      <c r="F185" s="175">
        <v>0</v>
      </c>
      <c r="G185" s="175">
        <v>0</v>
      </c>
      <c r="H185" s="175">
        <v>-43</v>
      </c>
      <c r="I185" s="175">
        <v>-12</v>
      </c>
      <c r="J185" s="175">
        <v>-15</v>
      </c>
      <c r="K185" s="175">
        <v>-31</v>
      </c>
      <c r="L185" s="175" t="s">
        <v>296</v>
      </c>
      <c r="M185" s="175">
        <v>-28</v>
      </c>
      <c r="N185" s="175">
        <v>-33</v>
      </c>
      <c r="O185" s="175">
        <v>-37</v>
      </c>
      <c r="P185" s="175">
        <v>-29</v>
      </c>
      <c r="Q185" s="175">
        <v>-16</v>
      </c>
    </row>
    <row r="186" spans="1:17">
      <c r="A186" s="173" t="s">
        <v>915</v>
      </c>
      <c r="B186" s="173" t="s">
        <v>916</v>
      </c>
      <c r="C186" s="175">
        <v>17000</v>
      </c>
      <c r="D186" s="175">
        <v>19700</v>
      </c>
      <c r="E186" s="175">
        <v>19200</v>
      </c>
      <c r="F186" s="175">
        <v>21400</v>
      </c>
      <c r="G186" s="175">
        <v>23300</v>
      </c>
      <c r="H186" s="175">
        <v>26100</v>
      </c>
      <c r="I186" s="175" t="s">
        <v>296</v>
      </c>
      <c r="J186" s="175" t="s">
        <v>296</v>
      </c>
      <c r="K186" s="175" t="s">
        <v>296</v>
      </c>
      <c r="L186" s="175" t="s">
        <v>296</v>
      </c>
      <c r="M186" s="175" t="s">
        <v>296</v>
      </c>
      <c r="N186" s="175" t="s">
        <v>296</v>
      </c>
      <c r="O186" s="175" t="s">
        <v>296</v>
      </c>
      <c r="P186" s="175" t="s">
        <v>296</v>
      </c>
      <c r="Q186" s="175" t="s">
        <v>296</v>
      </c>
    </row>
    <row r="187" spans="1:17">
      <c r="A187" s="173" t="s">
        <v>917</v>
      </c>
      <c r="B187" s="173" t="s">
        <v>918</v>
      </c>
      <c r="C187" s="177" t="s">
        <v>296</v>
      </c>
      <c r="D187" s="177" t="s">
        <v>296</v>
      </c>
      <c r="E187" s="177" t="s">
        <v>296</v>
      </c>
      <c r="F187" s="177" t="s">
        <v>296</v>
      </c>
      <c r="G187" s="177" t="s">
        <v>296</v>
      </c>
      <c r="H187" s="177" t="s">
        <v>296</v>
      </c>
      <c r="I187" s="177" t="s">
        <v>296</v>
      </c>
      <c r="J187" s="177" t="s">
        <v>296</v>
      </c>
      <c r="K187" s="177" t="s">
        <v>296</v>
      </c>
      <c r="L187" s="177" t="s">
        <v>296</v>
      </c>
      <c r="M187" s="177" t="s">
        <v>296</v>
      </c>
      <c r="N187" s="177" t="s">
        <v>296</v>
      </c>
      <c r="O187" s="177" t="s">
        <v>296</v>
      </c>
      <c r="P187" s="177">
        <v>3</v>
      </c>
      <c r="Q187" s="177" t="s">
        <v>296</v>
      </c>
    </row>
    <row r="188" spans="1:17">
      <c r="A188" s="173" t="s">
        <v>919</v>
      </c>
      <c r="B188" s="173" t="s">
        <v>920</v>
      </c>
      <c r="C188" s="175" t="s">
        <v>296</v>
      </c>
      <c r="D188" s="175" t="s">
        <v>296</v>
      </c>
      <c r="E188" s="175" t="s">
        <v>296</v>
      </c>
      <c r="F188" s="175" t="s">
        <v>296</v>
      </c>
      <c r="G188" s="175" t="s">
        <v>296</v>
      </c>
      <c r="H188" s="175" t="s">
        <v>296</v>
      </c>
      <c r="I188" s="175" t="s">
        <v>296</v>
      </c>
      <c r="J188" s="175" t="s">
        <v>296</v>
      </c>
      <c r="K188" s="175" t="s">
        <v>296</v>
      </c>
      <c r="L188" s="175" t="s">
        <v>296</v>
      </c>
      <c r="M188" s="175">
        <v>9573</v>
      </c>
      <c r="N188" s="175">
        <v>15876</v>
      </c>
      <c r="O188" s="175">
        <v>13921</v>
      </c>
      <c r="P188" s="175">
        <v>11308</v>
      </c>
      <c r="Q188" s="175">
        <v>6621</v>
      </c>
    </row>
    <row r="189" spans="1:17">
      <c r="A189" s="173" t="s">
        <v>921</v>
      </c>
      <c r="B189" s="173" t="s">
        <v>922</v>
      </c>
      <c r="C189" s="175">
        <v>16.838000000000001</v>
      </c>
      <c r="D189" s="175">
        <v>17.620999999999999</v>
      </c>
      <c r="E189" s="175">
        <v>17.838999999999999</v>
      </c>
      <c r="F189" s="175">
        <v>17.785</v>
      </c>
      <c r="G189" s="175">
        <v>17.568000000000001</v>
      </c>
      <c r="H189" s="175">
        <v>8.7230000000000008</v>
      </c>
      <c r="I189" s="175">
        <v>9.077</v>
      </c>
      <c r="J189" s="175">
        <v>8.5579999999999998</v>
      </c>
      <c r="K189" s="175">
        <v>8.7989999999999995</v>
      </c>
      <c r="L189" s="175" t="s">
        <v>296</v>
      </c>
      <c r="M189" s="175">
        <v>19.899999999999999</v>
      </c>
      <c r="N189" s="175">
        <v>17.283000000000001</v>
      </c>
      <c r="O189" s="175">
        <v>16.22</v>
      </c>
      <c r="P189" s="175">
        <v>49.191000000000003</v>
      </c>
      <c r="Q189" s="175">
        <v>51.758000000000003</v>
      </c>
    </row>
    <row r="190" spans="1:17">
      <c r="A190" s="173" t="s">
        <v>923</v>
      </c>
      <c r="B190" s="173" t="s">
        <v>924</v>
      </c>
      <c r="C190" s="177">
        <v>47.71</v>
      </c>
      <c r="D190" s="177">
        <v>47.76</v>
      </c>
      <c r="E190" s="177">
        <v>49.79</v>
      </c>
      <c r="F190" s="177">
        <v>55.87</v>
      </c>
      <c r="G190" s="177">
        <v>61</v>
      </c>
      <c r="H190" s="177">
        <v>68.89</v>
      </c>
      <c r="I190" s="177">
        <v>68.61</v>
      </c>
      <c r="J190" s="177">
        <v>70.47</v>
      </c>
      <c r="K190" s="177">
        <v>75.39</v>
      </c>
      <c r="L190" s="177">
        <v>93.04</v>
      </c>
      <c r="M190" s="177">
        <v>92.13</v>
      </c>
      <c r="N190" s="177">
        <v>111.42</v>
      </c>
      <c r="O190" s="177">
        <v>128.01</v>
      </c>
      <c r="P190" s="177">
        <v>46.79</v>
      </c>
      <c r="Q190" s="177">
        <v>55.72</v>
      </c>
    </row>
    <row r="191" spans="1:17">
      <c r="A191" s="173" t="s">
        <v>925</v>
      </c>
      <c r="B191" s="173" t="s">
        <v>926</v>
      </c>
      <c r="C191" s="175" t="s">
        <v>296</v>
      </c>
      <c r="D191" s="175">
        <v>5600</v>
      </c>
      <c r="E191" s="175">
        <v>5200</v>
      </c>
      <c r="F191" s="175">
        <v>5800</v>
      </c>
      <c r="G191" s="175">
        <v>6300</v>
      </c>
      <c r="H191" s="175">
        <v>4500</v>
      </c>
      <c r="I191" s="175">
        <v>5635</v>
      </c>
      <c r="J191" s="175">
        <v>6500</v>
      </c>
      <c r="K191" s="175">
        <v>7666</v>
      </c>
      <c r="L191" s="175" t="s">
        <v>296</v>
      </c>
      <c r="M191" s="175" t="s">
        <v>296</v>
      </c>
      <c r="N191" s="175" t="s">
        <v>296</v>
      </c>
      <c r="O191" s="175" t="s">
        <v>296</v>
      </c>
      <c r="P191" s="175" t="s">
        <v>296</v>
      </c>
      <c r="Q191" s="175" t="s">
        <v>296</v>
      </c>
    </row>
    <row r="192" spans="1:17">
      <c r="A192" s="173" t="s">
        <v>927</v>
      </c>
      <c r="B192" s="173" t="s">
        <v>928</v>
      </c>
      <c r="C192" s="175" t="s">
        <v>296</v>
      </c>
      <c r="D192" s="175" t="s">
        <v>296</v>
      </c>
      <c r="E192" s="175" t="s">
        <v>296</v>
      </c>
      <c r="F192" s="175" t="s">
        <v>296</v>
      </c>
      <c r="G192" s="175" t="s">
        <v>296</v>
      </c>
      <c r="H192" s="175">
        <v>4112</v>
      </c>
      <c r="I192" s="175">
        <v>8298</v>
      </c>
      <c r="J192" s="175">
        <v>8296</v>
      </c>
      <c r="K192" s="175">
        <v>7410</v>
      </c>
      <c r="L192" s="175">
        <v>5717</v>
      </c>
      <c r="M192" s="175" t="s">
        <v>296</v>
      </c>
      <c r="N192" s="175" t="s">
        <v>296</v>
      </c>
      <c r="O192" s="175" t="s">
        <v>296</v>
      </c>
      <c r="P192" s="175" t="s">
        <v>296</v>
      </c>
      <c r="Q192" s="175" t="s">
        <v>296</v>
      </c>
    </row>
    <row r="193" spans="1:17">
      <c r="A193" s="173" t="s">
        <v>929</v>
      </c>
      <c r="B193" s="173" t="s">
        <v>930</v>
      </c>
      <c r="C193" s="175">
        <v>280.07080000000002</v>
      </c>
      <c r="D193" s="175">
        <v>115.34350000000001</v>
      </c>
      <c r="E193" s="175">
        <v>113.2</v>
      </c>
      <c r="F193" s="175">
        <v>89.1</v>
      </c>
      <c r="G193" s="175">
        <v>13.4</v>
      </c>
      <c r="H193" s="175">
        <v>62.4</v>
      </c>
      <c r="I193" s="175">
        <v>119.9</v>
      </c>
      <c r="J193" s="175">
        <v>104.9</v>
      </c>
      <c r="K193" s="175">
        <v>79.5</v>
      </c>
      <c r="L193" s="175">
        <v>53.9</v>
      </c>
      <c r="M193" s="175">
        <v>19.593599999999999</v>
      </c>
      <c r="N193" s="175">
        <v>69.644800000000004</v>
      </c>
      <c r="O193" s="175">
        <v>73.532399999999996</v>
      </c>
      <c r="P193" s="175">
        <v>37.8962</v>
      </c>
      <c r="Q193" s="175">
        <v>61.286799999999999</v>
      </c>
    </row>
    <row r="194" spans="1:17">
      <c r="A194" s="178" t="s">
        <v>491</v>
      </c>
      <c r="B194" s="178"/>
      <c r="C194" s="178" t="s">
        <v>492</v>
      </c>
      <c r="D194" s="178"/>
      <c r="E194" s="178"/>
      <c r="F194" s="178"/>
      <c r="G194" s="178"/>
      <c r="H194" s="178"/>
      <c r="I194" s="178"/>
      <c r="J194" s="178"/>
      <c r="K194" s="178"/>
      <c r="L194" s="178"/>
      <c r="M194" s="178"/>
      <c r="N194" s="178"/>
      <c r="O194" s="178"/>
      <c r="P194" s="178"/>
      <c r="Q194" s="1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BBEEF-1470-4D14-BFAD-FE83A4810378}">
  <dimension ref="A1:V70"/>
  <sheetViews>
    <sheetView topLeftCell="A37" workbookViewId="0">
      <selection activeCell="A67" sqref="A67"/>
    </sheetView>
  </sheetViews>
  <sheetFormatPr defaultColWidth="9.140625" defaultRowHeight="15"/>
  <cols>
    <col min="1" max="1" width="36.42578125" bestFit="1" customWidth="1"/>
    <col min="2" max="3" width="36.42578125" hidden="1" customWidth="1"/>
    <col min="4" max="10" width="10.140625" hidden="1" customWidth="1"/>
    <col min="11" max="21" width="10.140625" bestFit="1" customWidth="1"/>
    <col min="22" max="22" width="12" hidden="1" customWidth="1"/>
  </cols>
  <sheetData>
    <row r="1" spans="1:22" ht="15.95">
      <c r="A1" s="204" t="s">
        <v>931</v>
      </c>
      <c r="B1" s="270"/>
      <c r="C1" s="270"/>
      <c r="D1" s="270"/>
      <c r="E1" s="270"/>
      <c r="F1" s="270"/>
      <c r="G1" s="270"/>
      <c r="H1" s="270"/>
      <c r="I1" s="270"/>
      <c r="J1" s="270"/>
      <c r="K1" s="270"/>
      <c r="L1" s="270"/>
      <c r="M1" s="270"/>
      <c r="N1" s="270"/>
      <c r="O1" s="270"/>
      <c r="P1" s="270"/>
      <c r="Q1" s="270"/>
      <c r="R1" s="270"/>
      <c r="S1" s="270"/>
      <c r="T1" s="270"/>
      <c r="U1" s="270"/>
      <c r="V1" s="271"/>
    </row>
    <row r="2" spans="1:22" ht="42">
      <c r="A2" s="272" t="s">
        <v>932</v>
      </c>
      <c r="B2" s="273"/>
      <c r="C2" s="273"/>
      <c r="D2" s="273"/>
      <c r="E2" s="273"/>
      <c r="F2" s="273"/>
      <c r="G2" s="273"/>
      <c r="H2" s="273"/>
      <c r="I2" s="273"/>
      <c r="J2" s="273"/>
      <c r="K2" s="273"/>
      <c r="L2" s="273"/>
      <c r="M2" s="273"/>
      <c r="N2" s="273"/>
      <c r="O2" s="273"/>
      <c r="P2" s="273"/>
      <c r="Q2" s="273"/>
      <c r="R2" s="273"/>
      <c r="S2" s="273"/>
      <c r="T2" s="273"/>
      <c r="U2" s="273"/>
      <c r="V2" s="274"/>
    </row>
    <row r="3" spans="1:22">
      <c r="A3" s="275"/>
      <c r="B3" s="276"/>
      <c r="C3" s="276"/>
      <c r="D3" s="276"/>
      <c r="E3" s="276"/>
      <c r="F3" s="276"/>
      <c r="G3" s="276"/>
      <c r="H3" s="276"/>
      <c r="I3" s="276"/>
      <c r="J3" s="276"/>
      <c r="K3" s="276"/>
      <c r="L3" s="276"/>
      <c r="M3" s="276"/>
      <c r="N3" s="276"/>
      <c r="O3" s="276"/>
      <c r="P3" s="276"/>
      <c r="Q3" s="276"/>
      <c r="R3" s="276"/>
      <c r="S3" s="276"/>
      <c r="T3" s="276"/>
      <c r="U3" s="276"/>
      <c r="V3" s="277"/>
    </row>
    <row r="4" spans="1:22">
      <c r="A4" s="278" t="s">
        <v>242</v>
      </c>
      <c r="B4" s="279"/>
      <c r="C4" s="280" t="s">
        <v>933</v>
      </c>
      <c r="D4" s="280" t="s">
        <v>934</v>
      </c>
      <c r="E4" s="280" t="s">
        <v>935</v>
      </c>
      <c r="F4" s="280" t="s">
        <v>936</v>
      </c>
      <c r="G4" s="280" t="s">
        <v>243</v>
      </c>
      <c r="H4" s="280" t="s">
        <v>244</v>
      </c>
      <c r="I4" s="280" t="s">
        <v>245</v>
      </c>
      <c r="J4" s="280" t="s">
        <v>246</v>
      </c>
      <c r="K4" s="280" t="s">
        <v>247</v>
      </c>
      <c r="L4" s="280" t="s">
        <v>248</v>
      </c>
      <c r="M4" s="280" t="s">
        <v>249</v>
      </c>
      <c r="N4" s="280" t="s">
        <v>250</v>
      </c>
      <c r="O4" s="280" t="s">
        <v>251</v>
      </c>
      <c r="P4" s="280" t="s">
        <v>252</v>
      </c>
      <c r="Q4" s="280" t="s">
        <v>253</v>
      </c>
      <c r="R4" s="280" t="s">
        <v>254</v>
      </c>
      <c r="S4" s="280" t="s">
        <v>255</v>
      </c>
      <c r="T4" s="280" t="s">
        <v>256</v>
      </c>
      <c r="U4" s="280" t="s">
        <v>257</v>
      </c>
      <c r="V4" s="280" t="s">
        <v>937</v>
      </c>
    </row>
    <row r="5" spans="1:22">
      <c r="A5" s="281" t="s">
        <v>258</v>
      </c>
      <c r="B5" s="274"/>
      <c r="C5" s="282">
        <v>39113</v>
      </c>
      <c r="D5" s="282">
        <v>39478</v>
      </c>
      <c r="E5" s="282">
        <v>39844</v>
      </c>
      <c r="F5" s="282">
        <v>40209</v>
      </c>
      <c r="G5" s="282">
        <v>40574</v>
      </c>
      <c r="H5" s="282">
        <v>40939</v>
      </c>
      <c r="I5" s="282">
        <v>41305</v>
      </c>
      <c r="J5" s="282">
        <v>41670</v>
      </c>
      <c r="K5" s="282">
        <v>42035</v>
      </c>
      <c r="L5" s="282">
        <v>42400</v>
      </c>
      <c r="M5" s="282">
        <v>42766</v>
      </c>
      <c r="N5" s="282">
        <v>43131</v>
      </c>
      <c r="O5" s="282">
        <v>43496</v>
      </c>
      <c r="P5" s="282">
        <v>43861</v>
      </c>
      <c r="Q5" s="282">
        <v>44227</v>
      </c>
      <c r="R5" s="282">
        <v>44592</v>
      </c>
      <c r="S5" s="282">
        <v>44957</v>
      </c>
      <c r="T5" s="282">
        <v>45322</v>
      </c>
      <c r="U5" s="282">
        <v>45688</v>
      </c>
      <c r="V5" s="282">
        <v>45869</v>
      </c>
    </row>
    <row r="6" spans="1:22">
      <c r="A6" s="184" t="s">
        <v>938</v>
      </c>
      <c r="B6" s="283"/>
      <c r="C6" s="283"/>
      <c r="D6" s="284"/>
      <c r="E6" s="284"/>
      <c r="F6" s="284"/>
      <c r="G6" s="284"/>
      <c r="H6" s="284"/>
      <c r="I6" s="284"/>
      <c r="J6" s="284"/>
      <c r="K6" s="284"/>
      <c r="L6" s="284"/>
      <c r="M6" s="284"/>
      <c r="N6" s="284"/>
      <c r="O6" s="284"/>
      <c r="P6" s="284"/>
      <c r="Q6" s="284"/>
      <c r="R6" s="284"/>
      <c r="S6" s="284"/>
      <c r="T6" s="284"/>
      <c r="U6" s="284"/>
      <c r="V6" s="285"/>
    </row>
    <row r="7" spans="1:22" ht="15.95">
      <c r="A7" s="286" t="s">
        <v>939</v>
      </c>
      <c r="B7" s="287" t="s">
        <v>940</v>
      </c>
      <c r="C7" s="288">
        <v>11284</v>
      </c>
      <c r="D7" s="220">
        <v>12731</v>
      </c>
      <c r="E7" s="220">
        <v>13381</v>
      </c>
      <c r="F7" s="220">
        <v>14370</v>
      </c>
      <c r="G7" s="220">
        <v>16389</v>
      </c>
      <c r="H7" s="220">
        <v>15699</v>
      </c>
      <c r="I7" s="220">
        <v>16999</v>
      </c>
      <c r="J7" s="220">
        <v>16022</v>
      </c>
      <c r="K7" s="220">
        <v>16363</v>
      </c>
      <c r="L7" s="220">
        <v>14694</v>
      </c>
      <c r="M7" s="220">
        <v>13643</v>
      </c>
      <c r="N7" s="220">
        <v>9862</v>
      </c>
      <c r="O7" s="220">
        <v>6670</v>
      </c>
      <c r="P7" s="220">
        <v>14881</v>
      </c>
      <c r="Q7" s="220">
        <v>13510</v>
      </c>
      <c r="R7" s="220">
        <v>13673</v>
      </c>
      <c r="S7" s="220">
        <v>11680</v>
      </c>
      <c r="T7" s="220">
        <v>15511</v>
      </c>
      <c r="U7" s="220">
        <v>19436</v>
      </c>
      <c r="V7" s="289">
        <v>21344</v>
      </c>
    </row>
    <row r="8" spans="1:22" ht="15.95">
      <c r="A8" s="286" t="s">
        <v>941</v>
      </c>
      <c r="B8" s="287" t="s">
        <v>942</v>
      </c>
      <c r="C8" s="288">
        <v>5459</v>
      </c>
      <c r="D8" s="220">
        <v>6317</v>
      </c>
      <c r="E8" s="220">
        <v>6739</v>
      </c>
      <c r="F8" s="220">
        <v>7157</v>
      </c>
      <c r="G8" s="220">
        <v>7641</v>
      </c>
      <c r="H8" s="220">
        <v>8106</v>
      </c>
      <c r="I8" s="220">
        <v>8478</v>
      </c>
      <c r="J8" s="220">
        <v>8870</v>
      </c>
      <c r="K8" s="220">
        <v>9173</v>
      </c>
      <c r="L8" s="220">
        <v>9454</v>
      </c>
      <c r="M8" s="220">
        <v>10080</v>
      </c>
      <c r="N8" s="220">
        <v>10529</v>
      </c>
      <c r="O8" s="220">
        <v>10678</v>
      </c>
      <c r="P8" s="220">
        <v>10987</v>
      </c>
      <c r="Q8" s="220">
        <v>11152</v>
      </c>
      <c r="R8" s="220">
        <v>10658</v>
      </c>
      <c r="S8" s="220">
        <v>10945</v>
      </c>
      <c r="T8" s="220">
        <v>11853</v>
      </c>
      <c r="U8" s="220">
        <v>12973</v>
      </c>
      <c r="V8" s="289">
        <v>13490</v>
      </c>
    </row>
    <row r="9" spans="1:22" ht="15.95">
      <c r="A9" s="286" t="s">
        <v>943</v>
      </c>
      <c r="B9" s="287" t="s">
        <v>944</v>
      </c>
      <c r="C9" s="288">
        <v>1977</v>
      </c>
      <c r="D9" s="220">
        <v>1034</v>
      </c>
      <c r="E9" s="220">
        <v>1832</v>
      </c>
      <c r="F9" s="290">
        <v>327</v>
      </c>
      <c r="G9" s="220">
        <v>2342</v>
      </c>
      <c r="H9" s="220">
        <v>2206</v>
      </c>
      <c r="I9" s="220">
        <v>1226</v>
      </c>
      <c r="J9" s="220">
        <v>1332</v>
      </c>
      <c r="K9" s="220">
        <v>1018</v>
      </c>
      <c r="L9" s="220">
        <v>1124</v>
      </c>
      <c r="M9" s="220">
        <v>1617</v>
      </c>
      <c r="N9" s="220">
        <v>4703</v>
      </c>
      <c r="O9" s="220">
        <v>10110</v>
      </c>
      <c r="P9" s="290">
        <v>-286</v>
      </c>
      <c r="Q9" s="220">
        <v>3440</v>
      </c>
      <c r="R9" s="220">
        <v>6447</v>
      </c>
      <c r="S9" s="220">
        <v>3663</v>
      </c>
      <c r="T9" s="220">
        <v>6419</v>
      </c>
      <c r="U9" s="220">
        <v>3853</v>
      </c>
      <c r="V9" s="289">
        <v>3431</v>
      </c>
    </row>
    <row r="10" spans="1:22" ht="15.95">
      <c r="A10" s="286" t="s">
        <v>945</v>
      </c>
      <c r="B10" s="287" t="s">
        <v>946</v>
      </c>
      <c r="C10" s="287">
        <v>89</v>
      </c>
      <c r="D10" s="290">
        <v>-8</v>
      </c>
      <c r="E10" s="290">
        <v>581</v>
      </c>
      <c r="F10" s="290">
        <v>-504</v>
      </c>
      <c r="G10" s="290">
        <v>651</v>
      </c>
      <c r="H10" s="220">
        <v>1050</v>
      </c>
      <c r="I10" s="290">
        <v>-133</v>
      </c>
      <c r="J10" s="290">
        <v>-279</v>
      </c>
      <c r="K10" s="290">
        <v>-503</v>
      </c>
      <c r="L10" s="290">
        <v>-672</v>
      </c>
      <c r="M10" s="290">
        <v>761</v>
      </c>
      <c r="N10" s="290">
        <v>-304</v>
      </c>
      <c r="O10" s="290">
        <v>-499</v>
      </c>
      <c r="P10" s="290">
        <v>320</v>
      </c>
      <c r="Q10" s="220">
        <v>1911</v>
      </c>
      <c r="R10" s="290">
        <v>-755</v>
      </c>
      <c r="S10" s="290">
        <v>449</v>
      </c>
      <c r="T10" s="290">
        <v>-175</v>
      </c>
      <c r="U10" s="290">
        <v>-635</v>
      </c>
      <c r="V10" s="289">
        <v>1160</v>
      </c>
    </row>
    <row r="11" spans="1:22" ht="15.95">
      <c r="A11" s="286" t="s">
        <v>947</v>
      </c>
      <c r="B11" s="287" t="s">
        <v>948</v>
      </c>
      <c r="C11" s="288">
        <v>1888</v>
      </c>
      <c r="D11" s="220">
        <v>1042</v>
      </c>
      <c r="E11" s="220">
        <v>1251</v>
      </c>
      <c r="F11" s="290">
        <v>831</v>
      </c>
      <c r="G11" s="220">
        <v>1691</v>
      </c>
      <c r="H11" s="220">
        <v>1156</v>
      </c>
      <c r="I11" s="220">
        <v>1359</v>
      </c>
      <c r="J11" s="220">
        <v>1611</v>
      </c>
      <c r="K11" s="220">
        <v>1521</v>
      </c>
      <c r="L11" s="220">
        <v>1796</v>
      </c>
      <c r="M11" s="290">
        <v>856</v>
      </c>
      <c r="N11" s="220">
        <v>5007</v>
      </c>
      <c r="O11" s="220">
        <v>10609</v>
      </c>
      <c r="P11" s="290">
        <v>-606</v>
      </c>
      <c r="Q11" s="220">
        <v>1529</v>
      </c>
      <c r="R11" s="220">
        <v>7202</v>
      </c>
      <c r="S11" s="220">
        <v>3214</v>
      </c>
      <c r="T11" s="220">
        <v>6594</v>
      </c>
      <c r="U11" s="220">
        <v>4488</v>
      </c>
      <c r="V11" s="289">
        <v>2271</v>
      </c>
    </row>
    <row r="12" spans="1:22" ht="15.95">
      <c r="A12" s="286" t="s">
        <v>949</v>
      </c>
      <c r="B12" s="287" t="s">
        <v>950</v>
      </c>
      <c r="C12" s="288">
        <v>1232</v>
      </c>
      <c r="D12" s="290">
        <v>560</v>
      </c>
      <c r="E12" s="220">
        <v>1341</v>
      </c>
      <c r="F12" s="220">
        <v>4316</v>
      </c>
      <c r="G12" s="220">
        <v>-1695</v>
      </c>
      <c r="H12" s="220">
        <v>-1777</v>
      </c>
      <c r="I12" s="220">
        <v>-1060</v>
      </c>
      <c r="J12" s="220">
        <v>-2823</v>
      </c>
      <c r="K12" s="220">
        <v>2295</v>
      </c>
      <c r="L12" s="220">
        <v>2280</v>
      </c>
      <c r="M12" s="220">
        <v>6333</v>
      </c>
      <c r="N12" s="220">
        <v>3243</v>
      </c>
      <c r="O12" s="290">
        <v>295</v>
      </c>
      <c r="P12" s="290">
        <v>-327</v>
      </c>
      <c r="Q12" s="220">
        <v>7972</v>
      </c>
      <c r="R12" s="220">
        <v>-6597</v>
      </c>
      <c r="S12" s="220">
        <v>2553</v>
      </c>
      <c r="T12" s="220">
        <v>1943</v>
      </c>
      <c r="U12" s="290">
        <v>181</v>
      </c>
      <c r="V12" s="291">
        <v>173</v>
      </c>
    </row>
    <row r="13" spans="1:22" ht="15.95">
      <c r="A13" s="286" t="s">
        <v>951</v>
      </c>
      <c r="B13" s="287" t="s">
        <v>952</v>
      </c>
      <c r="C13" s="287">
        <v>-214</v>
      </c>
      <c r="D13" s="290">
        <v>-564</v>
      </c>
      <c r="E13" s="290">
        <v>-101</v>
      </c>
      <c r="F13" s="290">
        <v>-297</v>
      </c>
      <c r="G13" s="290">
        <v>-733</v>
      </c>
      <c r="H13" s="290">
        <v>-796</v>
      </c>
      <c r="I13" s="290">
        <v>-614</v>
      </c>
      <c r="J13" s="290">
        <v>-566</v>
      </c>
      <c r="K13" s="290">
        <v>-569</v>
      </c>
      <c r="L13" s="290">
        <v>-19</v>
      </c>
      <c r="M13" s="290">
        <v>-402</v>
      </c>
      <c r="N13" s="220">
        <v>-1074</v>
      </c>
      <c r="O13" s="290">
        <v>-368</v>
      </c>
      <c r="P13" s="290">
        <v>154</v>
      </c>
      <c r="Q13" s="220">
        <v>-1086</v>
      </c>
      <c r="R13" s="220">
        <v>-1796</v>
      </c>
      <c r="S13" s="290">
        <v>240</v>
      </c>
      <c r="T13" s="290">
        <v>-797</v>
      </c>
      <c r="U13" s="220">
        <v>-1106</v>
      </c>
      <c r="V13" s="289">
        <v>-1591</v>
      </c>
    </row>
    <row r="14" spans="1:22" ht="15.95">
      <c r="A14" s="286" t="s">
        <v>953</v>
      </c>
      <c r="B14" s="287" t="s">
        <v>954</v>
      </c>
      <c r="C14" s="288">
        <v>-1274</v>
      </c>
      <c r="D14" s="290">
        <v>-775</v>
      </c>
      <c r="E14" s="290">
        <v>-184</v>
      </c>
      <c r="F14" s="220">
        <v>2213</v>
      </c>
      <c r="G14" s="220">
        <v>-3205</v>
      </c>
      <c r="H14" s="220">
        <v>-3727</v>
      </c>
      <c r="I14" s="220">
        <v>-2759</v>
      </c>
      <c r="J14" s="220">
        <v>-1667</v>
      </c>
      <c r="K14" s="220">
        <v>-1229</v>
      </c>
      <c r="L14" s="290">
        <v>-703</v>
      </c>
      <c r="M14" s="220">
        <v>1021</v>
      </c>
      <c r="N14" s="290">
        <v>-140</v>
      </c>
      <c r="O14" s="220">
        <v>-1311</v>
      </c>
      <c r="P14" s="290">
        <v>-300</v>
      </c>
      <c r="Q14" s="220">
        <v>-2395</v>
      </c>
      <c r="R14" s="220">
        <v>-11764</v>
      </c>
      <c r="S14" s="290">
        <v>-528</v>
      </c>
      <c r="T14" s="220">
        <v>2017</v>
      </c>
      <c r="U14" s="220">
        <v>-2755</v>
      </c>
      <c r="V14" s="289">
        <v>-2180</v>
      </c>
    </row>
    <row r="15" spans="1:22" ht="15.95">
      <c r="A15" s="286" t="s">
        <v>955</v>
      </c>
      <c r="B15" s="287" t="s">
        <v>956</v>
      </c>
      <c r="C15" s="288">
        <v>2132</v>
      </c>
      <c r="D15" s="290">
        <v>865</v>
      </c>
      <c r="E15" s="290">
        <v>-410</v>
      </c>
      <c r="F15" s="220">
        <v>1052</v>
      </c>
      <c r="G15" s="220">
        <v>2676</v>
      </c>
      <c r="H15" s="220">
        <v>2687</v>
      </c>
      <c r="I15" s="220">
        <v>1061</v>
      </c>
      <c r="J15" s="290">
        <v>531</v>
      </c>
      <c r="K15" s="220">
        <v>2678</v>
      </c>
      <c r="L15" s="220">
        <v>2008</v>
      </c>
      <c r="M15" s="220">
        <v>3942</v>
      </c>
      <c r="N15" s="220">
        <v>4086</v>
      </c>
      <c r="O15" s="220">
        <v>1831</v>
      </c>
      <c r="P15" s="290">
        <v>-274</v>
      </c>
      <c r="Q15" s="220">
        <v>6966</v>
      </c>
      <c r="R15" s="220">
        <v>5520</v>
      </c>
      <c r="S15" s="220">
        <v>-1425</v>
      </c>
      <c r="T15" s="220">
        <v>2515</v>
      </c>
      <c r="U15" s="220">
        <v>3228</v>
      </c>
      <c r="V15" s="289">
        <v>3364</v>
      </c>
    </row>
    <row r="16" spans="1:22" ht="15.95">
      <c r="A16" s="286" t="s">
        <v>957</v>
      </c>
      <c r="B16" s="287" t="s">
        <v>958</v>
      </c>
      <c r="C16" s="287">
        <v>588</v>
      </c>
      <c r="D16" s="220">
        <v>1034</v>
      </c>
      <c r="E16" s="220">
        <v>2036</v>
      </c>
      <c r="F16" s="220">
        <v>1348</v>
      </c>
      <c r="G16" s="290">
        <v>-433</v>
      </c>
      <c r="H16" s="290">
        <v>59</v>
      </c>
      <c r="I16" s="220">
        <v>1252</v>
      </c>
      <c r="J16" s="220">
        <v>-1121</v>
      </c>
      <c r="K16" s="220">
        <v>1415</v>
      </c>
      <c r="L16" s="290">
        <v>994</v>
      </c>
      <c r="M16" s="220">
        <v>1772</v>
      </c>
      <c r="N16" s="290">
        <v>371</v>
      </c>
      <c r="O16" s="290">
        <v>143</v>
      </c>
      <c r="P16" s="290">
        <v>93</v>
      </c>
      <c r="Q16" s="220">
        <v>4487</v>
      </c>
      <c r="R16" s="220">
        <v>1443</v>
      </c>
      <c r="S16" s="220">
        <v>4266</v>
      </c>
      <c r="T16" s="220">
        <v>-1792</v>
      </c>
      <c r="U16" s="290">
        <v>814</v>
      </c>
      <c r="V16" s="291">
        <v>580</v>
      </c>
    </row>
    <row r="17" spans="1:22" ht="15.95">
      <c r="A17" s="286" t="s">
        <v>959</v>
      </c>
      <c r="B17" s="287" t="s">
        <v>960</v>
      </c>
      <c r="C17" s="287" t="s">
        <v>296</v>
      </c>
      <c r="D17" s="290" t="s">
        <v>296</v>
      </c>
      <c r="E17" s="290">
        <v>-146</v>
      </c>
      <c r="F17" s="290">
        <v>79</v>
      </c>
      <c r="G17" s="220">
        <v>-1034</v>
      </c>
      <c r="H17" s="290">
        <v>21</v>
      </c>
      <c r="I17" s="290">
        <v>-52</v>
      </c>
      <c r="J17" s="290">
        <v>-144</v>
      </c>
      <c r="K17" s="290">
        <v>-285</v>
      </c>
      <c r="L17" s="292" t="s">
        <v>961</v>
      </c>
      <c r="M17" s="292" t="s">
        <v>961</v>
      </c>
      <c r="N17" s="292" t="s">
        <v>961</v>
      </c>
      <c r="O17" s="292" t="s">
        <v>961</v>
      </c>
      <c r="P17" s="292" t="s">
        <v>961</v>
      </c>
      <c r="Q17" s="292" t="s">
        <v>961</v>
      </c>
      <c r="R17" s="292" t="s">
        <v>961</v>
      </c>
      <c r="S17" s="292" t="s">
        <v>961</v>
      </c>
      <c r="T17" s="292" t="s">
        <v>961</v>
      </c>
      <c r="U17" s="292" t="s">
        <v>961</v>
      </c>
      <c r="V17" s="293" t="s">
        <v>961</v>
      </c>
    </row>
    <row r="18" spans="1:22" ht="15.95">
      <c r="A18" s="185" t="s">
        <v>938</v>
      </c>
      <c r="B18" s="287" t="s">
        <v>962</v>
      </c>
      <c r="C18" s="288">
        <v>19952</v>
      </c>
      <c r="D18" s="220">
        <v>20642</v>
      </c>
      <c r="E18" s="220">
        <v>23147</v>
      </c>
      <c r="F18" s="220">
        <v>26249</v>
      </c>
      <c r="G18" s="220">
        <v>23643</v>
      </c>
      <c r="H18" s="220">
        <v>24255</v>
      </c>
      <c r="I18" s="220">
        <v>25591</v>
      </c>
      <c r="J18" s="220">
        <v>23257</v>
      </c>
      <c r="K18" s="220">
        <v>28564</v>
      </c>
      <c r="L18" s="220">
        <v>27552</v>
      </c>
      <c r="M18" s="220">
        <v>31673</v>
      </c>
      <c r="N18" s="220">
        <v>28337</v>
      </c>
      <c r="O18" s="220">
        <v>27753</v>
      </c>
      <c r="P18" s="220">
        <v>25255</v>
      </c>
      <c r="Q18" s="220">
        <v>36074</v>
      </c>
      <c r="R18" s="220">
        <v>24181</v>
      </c>
      <c r="S18" s="220">
        <v>28841</v>
      </c>
      <c r="T18" s="220">
        <v>35726</v>
      </c>
      <c r="U18" s="220">
        <v>36443</v>
      </c>
      <c r="V18" s="289">
        <v>38438</v>
      </c>
    </row>
    <row r="19" spans="1:22">
      <c r="A19" s="294"/>
      <c r="B19" s="287"/>
      <c r="C19" s="287"/>
      <c r="D19" s="290"/>
      <c r="E19" s="290"/>
      <c r="F19" s="290"/>
      <c r="G19" s="290"/>
      <c r="H19" s="290"/>
      <c r="I19" s="290"/>
      <c r="J19" s="290"/>
      <c r="K19" s="290"/>
      <c r="L19" s="290"/>
      <c r="M19" s="290"/>
      <c r="N19" s="290"/>
      <c r="O19" s="290"/>
      <c r="P19" s="290"/>
      <c r="Q19" s="290"/>
      <c r="R19" s="290"/>
      <c r="S19" s="290"/>
      <c r="T19" s="290"/>
      <c r="U19" s="290"/>
      <c r="V19" s="291"/>
    </row>
    <row r="20" spans="1:22">
      <c r="A20" s="185" t="s">
        <v>963</v>
      </c>
      <c r="B20" s="287"/>
      <c r="C20" s="287"/>
      <c r="D20" s="290"/>
      <c r="E20" s="290"/>
      <c r="F20" s="290"/>
      <c r="G20" s="290"/>
      <c r="H20" s="290"/>
      <c r="I20" s="290"/>
      <c r="J20" s="290"/>
      <c r="K20" s="290"/>
      <c r="L20" s="290"/>
      <c r="M20" s="290"/>
      <c r="N20" s="290"/>
      <c r="O20" s="290"/>
      <c r="P20" s="290"/>
      <c r="Q20" s="290"/>
      <c r="R20" s="290"/>
      <c r="S20" s="290"/>
      <c r="T20" s="290"/>
      <c r="U20" s="290"/>
      <c r="V20" s="291"/>
    </row>
    <row r="21" spans="1:22" ht="15.95">
      <c r="A21" s="286" t="s">
        <v>964</v>
      </c>
      <c r="B21" s="287" t="s">
        <v>965</v>
      </c>
      <c r="C21" s="288">
        <v>-15272</v>
      </c>
      <c r="D21" s="220">
        <v>-13980</v>
      </c>
      <c r="E21" s="220">
        <v>-10785</v>
      </c>
      <c r="F21" s="220">
        <v>-11182</v>
      </c>
      <c r="G21" s="220">
        <v>-12210</v>
      </c>
      <c r="H21" s="220">
        <v>-12930</v>
      </c>
      <c r="I21" s="220">
        <v>-12366</v>
      </c>
      <c r="J21" s="220">
        <v>-12388</v>
      </c>
      <c r="K21" s="220">
        <v>-11604</v>
      </c>
      <c r="L21" s="220">
        <v>-10842</v>
      </c>
      <c r="M21" s="220">
        <v>-10163</v>
      </c>
      <c r="N21" s="220">
        <v>-9673</v>
      </c>
      <c r="O21" s="220">
        <v>-9825</v>
      </c>
      <c r="P21" s="220">
        <v>-10384</v>
      </c>
      <c r="Q21" s="220">
        <v>-10049</v>
      </c>
      <c r="R21" s="220">
        <v>-12712</v>
      </c>
      <c r="S21" s="220">
        <v>-16687</v>
      </c>
      <c r="T21" s="220">
        <v>-20356</v>
      </c>
      <c r="U21" s="220">
        <v>-23351</v>
      </c>
      <c r="V21" s="289">
        <v>-24504</v>
      </c>
    </row>
    <row r="22" spans="1:22" ht="15.95">
      <c r="A22" s="286" t="s">
        <v>966</v>
      </c>
      <c r="B22" s="287" t="s">
        <v>967</v>
      </c>
      <c r="C22" s="287">
        <v>394</v>
      </c>
      <c r="D22" s="290">
        <v>957</v>
      </c>
      <c r="E22" s="290">
        <v>714</v>
      </c>
      <c r="F22" s="220">
        <v>1002</v>
      </c>
      <c r="G22" s="290">
        <v>489</v>
      </c>
      <c r="H22" s="290">
        <v>580</v>
      </c>
      <c r="I22" s="290">
        <v>532</v>
      </c>
      <c r="J22" s="290">
        <v>727</v>
      </c>
      <c r="K22" s="290">
        <v>570</v>
      </c>
      <c r="L22" s="290">
        <v>635</v>
      </c>
      <c r="M22" s="290">
        <v>456</v>
      </c>
      <c r="N22" s="290">
        <v>378</v>
      </c>
      <c r="O22" s="290">
        <v>519</v>
      </c>
      <c r="P22" s="290">
        <v>321</v>
      </c>
      <c r="Q22" s="290">
        <v>215</v>
      </c>
      <c r="R22" s="290">
        <v>394</v>
      </c>
      <c r="S22" s="290">
        <v>170</v>
      </c>
      <c r="T22" s="290">
        <v>250</v>
      </c>
      <c r="U22" s="290">
        <v>432</v>
      </c>
      <c r="V22" s="291">
        <v>181</v>
      </c>
    </row>
    <row r="23" spans="1:22" ht="15.95">
      <c r="A23" s="286" t="s">
        <v>968</v>
      </c>
      <c r="B23" s="287" t="s">
        <v>969</v>
      </c>
      <c r="C23" s="287" t="s">
        <v>296</v>
      </c>
      <c r="D23" s="290" t="s">
        <v>296</v>
      </c>
      <c r="E23" s="290">
        <v>714</v>
      </c>
      <c r="F23" s="220">
        <v>1002</v>
      </c>
      <c r="G23" s="290">
        <v>489</v>
      </c>
      <c r="H23" s="290">
        <v>580</v>
      </c>
      <c r="I23" s="290">
        <v>532</v>
      </c>
      <c r="J23" s="290">
        <v>727</v>
      </c>
      <c r="K23" s="290">
        <v>570</v>
      </c>
      <c r="L23" s="290">
        <v>635</v>
      </c>
      <c r="M23" s="290">
        <v>456</v>
      </c>
      <c r="N23" s="290">
        <v>378</v>
      </c>
      <c r="O23" s="290">
        <v>519</v>
      </c>
      <c r="P23" s="290">
        <v>321</v>
      </c>
      <c r="Q23" s="290">
        <v>215</v>
      </c>
      <c r="R23" s="290">
        <v>394</v>
      </c>
      <c r="S23" s="290">
        <v>170</v>
      </c>
      <c r="T23" s="290">
        <v>250</v>
      </c>
      <c r="U23" s="290">
        <v>432</v>
      </c>
      <c r="V23" s="291">
        <v>181</v>
      </c>
    </row>
    <row r="24" spans="1:22" ht="15.95">
      <c r="A24" s="286" t="s">
        <v>970</v>
      </c>
      <c r="B24" s="287" t="s">
        <v>971</v>
      </c>
      <c r="C24" s="287" t="s">
        <v>296</v>
      </c>
      <c r="D24" s="290" t="s">
        <v>296</v>
      </c>
      <c r="E24" s="292" t="s">
        <v>961</v>
      </c>
      <c r="F24" s="292" t="s">
        <v>961</v>
      </c>
      <c r="G24" s="292" t="s">
        <v>961</v>
      </c>
      <c r="H24" s="292" t="s">
        <v>961</v>
      </c>
      <c r="I24" s="292" t="s">
        <v>961</v>
      </c>
      <c r="J24" s="292" t="s">
        <v>961</v>
      </c>
      <c r="K24" s="292" t="s">
        <v>961</v>
      </c>
      <c r="L24" s="292" t="s">
        <v>961</v>
      </c>
      <c r="M24" s="292" t="s">
        <v>961</v>
      </c>
      <c r="N24" s="292" t="s">
        <v>961</v>
      </c>
      <c r="O24" s="292" t="s">
        <v>961</v>
      </c>
      <c r="P24" s="292" t="s">
        <v>961</v>
      </c>
      <c r="Q24" s="292" t="s">
        <v>961</v>
      </c>
      <c r="R24" s="292" t="s">
        <v>961</v>
      </c>
      <c r="S24" s="292" t="s">
        <v>961</v>
      </c>
      <c r="T24" s="292" t="s">
        <v>961</v>
      </c>
      <c r="U24" s="292" t="s">
        <v>961</v>
      </c>
      <c r="V24" s="293" t="s">
        <v>961</v>
      </c>
    </row>
    <row r="25" spans="1:22" ht="15.95">
      <c r="A25" s="286" t="s">
        <v>972</v>
      </c>
      <c r="B25" s="287" t="s">
        <v>973</v>
      </c>
      <c r="C25" s="288">
        <v>-15666</v>
      </c>
      <c r="D25" s="220">
        <v>-14937</v>
      </c>
      <c r="E25" s="220">
        <v>-11499</v>
      </c>
      <c r="F25" s="220">
        <v>-12184</v>
      </c>
      <c r="G25" s="220">
        <v>-12699</v>
      </c>
      <c r="H25" s="220">
        <v>-13510</v>
      </c>
      <c r="I25" s="220">
        <v>-12898</v>
      </c>
      <c r="J25" s="220">
        <v>-13115</v>
      </c>
      <c r="K25" s="220">
        <v>-12174</v>
      </c>
      <c r="L25" s="220">
        <v>-11477</v>
      </c>
      <c r="M25" s="220">
        <v>-10619</v>
      </c>
      <c r="N25" s="220">
        <v>-10051</v>
      </c>
      <c r="O25" s="220">
        <v>-10344</v>
      </c>
      <c r="P25" s="220">
        <v>-10705</v>
      </c>
      <c r="Q25" s="220">
        <v>-10264</v>
      </c>
      <c r="R25" s="220">
        <v>-13106</v>
      </c>
      <c r="S25" s="220">
        <v>-16857</v>
      </c>
      <c r="T25" s="220">
        <v>-20606</v>
      </c>
      <c r="U25" s="220">
        <v>-23783</v>
      </c>
      <c r="V25" s="289">
        <v>-24685</v>
      </c>
    </row>
    <row r="26" spans="1:22" ht="15.95">
      <c r="A26" s="286" t="s">
        <v>974</v>
      </c>
      <c r="B26" s="287" t="s">
        <v>975</v>
      </c>
      <c r="C26" s="287" t="s">
        <v>296</v>
      </c>
      <c r="D26" s="290" t="s">
        <v>296</v>
      </c>
      <c r="E26" s="220">
        <v>-11499</v>
      </c>
      <c r="F26" s="220">
        <v>-12184</v>
      </c>
      <c r="G26" s="220">
        <v>-12699</v>
      </c>
      <c r="H26" s="220">
        <v>-13510</v>
      </c>
      <c r="I26" s="220">
        <v>-12898</v>
      </c>
      <c r="J26" s="220">
        <v>-13115</v>
      </c>
      <c r="K26" s="220">
        <v>-12174</v>
      </c>
      <c r="L26" s="220">
        <v>-11477</v>
      </c>
      <c r="M26" s="220">
        <v>-10619</v>
      </c>
      <c r="N26" s="220">
        <v>-10051</v>
      </c>
      <c r="O26" s="220">
        <v>-10344</v>
      </c>
      <c r="P26" s="220">
        <v>-10705</v>
      </c>
      <c r="Q26" s="220">
        <v>-10264</v>
      </c>
      <c r="R26" s="220">
        <v>-13106</v>
      </c>
      <c r="S26" s="220">
        <v>-16857</v>
      </c>
      <c r="T26" s="220">
        <v>-20606</v>
      </c>
      <c r="U26" s="220">
        <v>-23783</v>
      </c>
      <c r="V26" s="289">
        <v>-24685</v>
      </c>
    </row>
    <row r="27" spans="1:22" ht="15.95">
      <c r="A27" s="286" t="s">
        <v>976</v>
      </c>
      <c r="B27" s="287" t="s">
        <v>977</v>
      </c>
      <c r="C27" s="287" t="s">
        <v>296</v>
      </c>
      <c r="D27" s="290" t="s">
        <v>296</v>
      </c>
      <c r="E27" s="292" t="s">
        <v>961</v>
      </c>
      <c r="F27" s="292" t="s">
        <v>961</v>
      </c>
      <c r="G27" s="292" t="s">
        <v>961</v>
      </c>
      <c r="H27" s="292" t="s">
        <v>961</v>
      </c>
      <c r="I27" s="292" t="s">
        <v>961</v>
      </c>
      <c r="J27" s="292" t="s">
        <v>961</v>
      </c>
      <c r="K27" s="292" t="s">
        <v>961</v>
      </c>
      <c r="L27" s="292" t="s">
        <v>961</v>
      </c>
      <c r="M27" s="292" t="s">
        <v>961</v>
      </c>
      <c r="N27" s="292" t="s">
        <v>961</v>
      </c>
      <c r="O27" s="292" t="s">
        <v>961</v>
      </c>
      <c r="P27" s="292" t="s">
        <v>961</v>
      </c>
      <c r="Q27" s="292" t="s">
        <v>961</v>
      </c>
      <c r="R27" s="292" t="s">
        <v>961</v>
      </c>
      <c r="S27" s="292" t="s">
        <v>961</v>
      </c>
      <c r="T27" s="292" t="s">
        <v>961</v>
      </c>
      <c r="U27" s="292" t="s">
        <v>961</v>
      </c>
      <c r="V27" s="293" t="s">
        <v>961</v>
      </c>
    </row>
    <row r="28" spans="1:22" ht="15.95">
      <c r="A28" s="286" t="s">
        <v>978</v>
      </c>
      <c r="B28" s="287" t="s">
        <v>979</v>
      </c>
      <c r="C28" s="295" t="s">
        <v>961</v>
      </c>
      <c r="D28" s="292" t="s">
        <v>961</v>
      </c>
      <c r="E28" s="292" t="s">
        <v>961</v>
      </c>
      <c r="F28" s="292" t="s">
        <v>961</v>
      </c>
      <c r="G28" s="292" t="s">
        <v>961</v>
      </c>
      <c r="H28" s="292" t="s">
        <v>961</v>
      </c>
      <c r="I28" s="292" t="s">
        <v>961</v>
      </c>
      <c r="J28" s="292" t="s">
        <v>961</v>
      </c>
      <c r="K28" s="292" t="s">
        <v>961</v>
      </c>
      <c r="L28" s="292" t="s">
        <v>961</v>
      </c>
      <c r="M28" s="292" t="s">
        <v>961</v>
      </c>
      <c r="N28" s="292" t="s">
        <v>961</v>
      </c>
      <c r="O28" s="292" t="s">
        <v>961</v>
      </c>
      <c r="P28" s="292" t="s">
        <v>961</v>
      </c>
      <c r="Q28" s="292" t="s">
        <v>961</v>
      </c>
      <c r="R28" s="292" t="s">
        <v>961</v>
      </c>
      <c r="S28" s="292" t="s">
        <v>961</v>
      </c>
      <c r="T28" s="292" t="s">
        <v>961</v>
      </c>
      <c r="U28" s="292" t="s">
        <v>961</v>
      </c>
      <c r="V28" s="293" t="s">
        <v>961</v>
      </c>
    </row>
    <row r="29" spans="1:22" ht="15.95">
      <c r="A29" s="286" t="s">
        <v>980</v>
      </c>
      <c r="B29" s="287" t="s">
        <v>981</v>
      </c>
      <c r="C29" s="295" t="s">
        <v>961</v>
      </c>
      <c r="D29" s="292" t="s">
        <v>961</v>
      </c>
      <c r="E29" s="292" t="s">
        <v>961</v>
      </c>
      <c r="F29" s="292" t="s">
        <v>961</v>
      </c>
      <c r="G29" s="292" t="s">
        <v>961</v>
      </c>
      <c r="H29" s="292" t="s">
        <v>961</v>
      </c>
      <c r="I29" s="292" t="s">
        <v>961</v>
      </c>
      <c r="J29" s="292" t="s">
        <v>961</v>
      </c>
      <c r="K29" s="292" t="s">
        <v>961</v>
      </c>
      <c r="L29" s="292" t="s">
        <v>961</v>
      </c>
      <c r="M29" s="292" t="s">
        <v>961</v>
      </c>
      <c r="N29" s="292" t="s">
        <v>961</v>
      </c>
      <c r="O29" s="292" t="s">
        <v>961</v>
      </c>
      <c r="P29" s="292" t="s">
        <v>961</v>
      </c>
      <c r="Q29" s="292" t="s">
        <v>961</v>
      </c>
      <c r="R29" s="292" t="s">
        <v>961</v>
      </c>
      <c r="S29" s="292" t="s">
        <v>961</v>
      </c>
      <c r="T29" s="292" t="s">
        <v>961</v>
      </c>
      <c r="U29" s="292" t="s">
        <v>961</v>
      </c>
      <c r="V29" s="293" t="s">
        <v>961</v>
      </c>
    </row>
    <row r="30" spans="1:22" ht="15.95">
      <c r="A30" s="286" t="s">
        <v>982</v>
      </c>
      <c r="B30" s="287" t="s">
        <v>983</v>
      </c>
      <c r="C30" s="295" t="s">
        <v>961</v>
      </c>
      <c r="D30" s="292" t="s">
        <v>961</v>
      </c>
      <c r="E30" s="292" t="s">
        <v>961</v>
      </c>
      <c r="F30" s="292" t="s">
        <v>961</v>
      </c>
      <c r="G30" s="292" t="s">
        <v>961</v>
      </c>
      <c r="H30" s="292" t="s">
        <v>961</v>
      </c>
      <c r="I30" s="292" t="s">
        <v>961</v>
      </c>
      <c r="J30" s="292" t="s">
        <v>961</v>
      </c>
      <c r="K30" s="292" t="s">
        <v>961</v>
      </c>
      <c r="L30" s="292" t="s">
        <v>961</v>
      </c>
      <c r="M30" s="292" t="s">
        <v>961</v>
      </c>
      <c r="N30" s="292" t="s">
        <v>961</v>
      </c>
      <c r="O30" s="292" t="s">
        <v>961</v>
      </c>
      <c r="P30" s="292" t="s">
        <v>961</v>
      </c>
      <c r="Q30" s="292" t="s">
        <v>961</v>
      </c>
      <c r="R30" s="292" t="s">
        <v>961</v>
      </c>
      <c r="S30" s="292" t="s">
        <v>961</v>
      </c>
      <c r="T30" s="292" t="s">
        <v>961</v>
      </c>
      <c r="U30" s="292" t="s">
        <v>961</v>
      </c>
      <c r="V30" s="293" t="s">
        <v>961</v>
      </c>
    </row>
    <row r="31" spans="1:22" ht="15.95">
      <c r="A31" s="286" t="s">
        <v>984</v>
      </c>
      <c r="B31" s="287" t="s">
        <v>985</v>
      </c>
      <c r="C31" s="287" t="s">
        <v>296</v>
      </c>
      <c r="D31" s="290" t="s">
        <v>296</v>
      </c>
      <c r="E31" s="290">
        <v>-738</v>
      </c>
      <c r="F31" s="292" t="s">
        <v>961</v>
      </c>
      <c r="G31" s="290">
        <v>-202</v>
      </c>
      <c r="H31" s="220">
        <v>-3548</v>
      </c>
      <c r="I31" s="292" t="s">
        <v>961</v>
      </c>
      <c r="J31" s="292" t="s">
        <v>961</v>
      </c>
      <c r="K31" s="290">
        <v>671</v>
      </c>
      <c r="L31" s="290">
        <v>246</v>
      </c>
      <c r="M31" s="220">
        <v>-1801</v>
      </c>
      <c r="N31" s="290">
        <v>671</v>
      </c>
      <c r="O31" s="220">
        <v>-13780</v>
      </c>
      <c r="P31" s="290">
        <v>777</v>
      </c>
      <c r="Q31" s="290">
        <v>-124</v>
      </c>
      <c r="R31" s="220">
        <v>7576</v>
      </c>
      <c r="S31" s="290">
        <v>-740</v>
      </c>
      <c r="T31" s="290">
        <v>126</v>
      </c>
      <c r="U31" s="220">
        <v>-1896</v>
      </c>
      <c r="V31" s="289">
        <v>-1124</v>
      </c>
    </row>
    <row r="32" spans="1:22" ht="15.95">
      <c r="A32" s="286" t="s">
        <v>986</v>
      </c>
      <c r="B32" s="287" t="s">
        <v>987</v>
      </c>
      <c r="C32" s="287" t="s">
        <v>296</v>
      </c>
      <c r="D32" s="290" t="s">
        <v>296</v>
      </c>
      <c r="E32" s="292" t="s">
        <v>961</v>
      </c>
      <c r="F32" s="292" t="s">
        <v>961</v>
      </c>
      <c r="G32" s="292" t="s">
        <v>961</v>
      </c>
      <c r="H32" s="292" t="s">
        <v>961</v>
      </c>
      <c r="I32" s="292" t="s">
        <v>961</v>
      </c>
      <c r="J32" s="292" t="s">
        <v>961</v>
      </c>
      <c r="K32" s="290">
        <v>671</v>
      </c>
      <c r="L32" s="290">
        <v>246</v>
      </c>
      <c r="M32" s="290">
        <v>662</v>
      </c>
      <c r="N32" s="220">
        <v>1046</v>
      </c>
      <c r="O32" s="290">
        <v>876</v>
      </c>
      <c r="P32" s="290">
        <v>833</v>
      </c>
      <c r="Q32" s="290">
        <v>56</v>
      </c>
      <c r="R32" s="220">
        <v>7935</v>
      </c>
      <c r="S32" s="292" t="s">
        <v>961</v>
      </c>
      <c r="T32" s="290">
        <v>135</v>
      </c>
      <c r="U32" s="292" t="s">
        <v>961</v>
      </c>
      <c r="V32" s="291">
        <v>772</v>
      </c>
    </row>
    <row r="33" spans="1:22" ht="15.95">
      <c r="A33" s="286" t="s">
        <v>988</v>
      </c>
      <c r="B33" s="287" t="s">
        <v>989</v>
      </c>
      <c r="C33" s="287" t="s">
        <v>296</v>
      </c>
      <c r="D33" s="290" t="s">
        <v>296</v>
      </c>
      <c r="E33" s="290">
        <v>-738</v>
      </c>
      <c r="F33" s="292" t="s">
        <v>961</v>
      </c>
      <c r="G33" s="290">
        <v>-202</v>
      </c>
      <c r="H33" s="220">
        <v>-3548</v>
      </c>
      <c r="I33" s="292" t="s">
        <v>961</v>
      </c>
      <c r="J33" s="292" t="s">
        <v>961</v>
      </c>
      <c r="K33" s="292" t="s">
        <v>961</v>
      </c>
      <c r="L33" s="292" t="s">
        <v>961</v>
      </c>
      <c r="M33" s="220">
        <v>-2463</v>
      </c>
      <c r="N33" s="290">
        <v>-375</v>
      </c>
      <c r="O33" s="220">
        <v>-14656</v>
      </c>
      <c r="P33" s="290">
        <v>-56</v>
      </c>
      <c r="Q33" s="290">
        <v>-180</v>
      </c>
      <c r="R33" s="290">
        <v>-359</v>
      </c>
      <c r="S33" s="290">
        <v>-740</v>
      </c>
      <c r="T33" s="290">
        <v>-9</v>
      </c>
      <c r="U33" s="220">
        <v>-1896</v>
      </c>
      <c r="V33" s="289">
        <v>-1896</v>
      </c>
    </row>
    <row r="34" spans="1:22" ht="15.95">
      <c r="A34" s="286" t="s">
        <v>990</v>
      </c>
      <c r="B34" s="287" t="s">
        <v>991</v>
      </c>
      <c r="C34" s="287" t="s">
        <v>296</v>
      </c>
      <c r="D34" s="290" t="s">
        <v>296</v>
      </c>
      <c r="E34" s="292" t="s">
        <v>961</v>
      </c>
      <c r="F34" s="292" t="s">
        <v>961</v>
      </c>
      <c r="G34" s="292" t="s">
        <v>961</v>
      </c>
      <c r="H34" s="292" t="s">
        <v>961</v>
      </c>
      <c r="I34" s="292" t="s">
        <v>961</v>
      </c>
      <c r="J34" s="292" t="s">
        <v>961</v>
      </c>
      <c r="K34" s="292" t="s">
        <v>961</v>
      </c>
      <c r="L34" s="292" t="s">
        <v>961</v>
      </c>
      <c r="M34" s="292" t="s">
        <v>961</v>
      </c>
      <c r="N34" s="292" t="s">
        <v>961</v>
      </c>
      <c r="O34" s="292" t="s">
        <v>961</v>
      </c>
      <c r="P34" s="292" t="s">
        <v>961</v>
      </c>
      <c r="Q34" s="292" t="s">
        <v>961</v>
      </c>
      <c r="R34" s="292" t="s">
        <v>961</v>
      </c>
      <c r="S34" s="292" t="s">
        <v>961</v>
      </c>
      <c r="T34" s="292" t="s">
        <v>961</v>
      </c>
      <c r="U34" s="292" t="s">
        <v>961</v>
      </c>
      <c r="V34" s="293" t="s">
        <v>961</v>
      </c>
    </row>
    <row r="35" spans="1:22" ht="15.95">
      <c r="A35" s="286" t="s">
        <v>992</v>
      </c>
      <c r="B35" s="287" t="s">
        <v>993</v>
      </c>
      <c r="C35" s="287">
        <v>809</v>
      </c>
      <c r="D35" s="220">
        <v>-1690</v>
      </c>
      <c r="E35" s="290">
        <v>781</v>
      </c>
      <c r="F35" s="290">
        <v>-438</v>
      </c>
      <c r="G35" s="290">
        <v>219</v>
      </c>
      <c r="H35" s="290">
        <v>-131</v>
      </c>
      <c r="I35" s="290">
        <v>-271</v>
      </c>
      <c r="J35" s="290">
        <v>-138</v>
      </c>
      <c r="K35" s="290">
        <v>-192</v>
      </c>
      <c r="L35" s="290">
        <v>-79</v>
      </c>
      <c r="M35" s="220">
        <v>-1932</v>
      </c>
      <c r="N35" s="290">
        <v>-77</v>
      </c>
      <c r="O35" s="290">
        <v>-431</v>
      </c>
      <c r="P35" s="290">
        <v>479</v>
      </c>
      <c r="Q35" s="290">
        <v>102</v>
      </c>
      <c r="R35" s="290">
        <v>-879</v>
      </c>
      <c r="S35" s="290">
        <v>-295</v>
      </c>
      <c r="T35" s="220">
        <v>-1057</v>
      </c>
      <c r="U35" s="220">
        <v>3868</v>
      </c>
      <c r="V35" s="289">
        <v>3178</v>
      </c>
    </row>
    <row r="36" spans="1:22" ht="15.95">
      <c r="A36" s="286" t="s">
        <v>959</v>
      </c>
      <c r="B36" s="287" t="s">
        <v>994</v>
      </c>
      <c r="C36" s="287" t="s">
        <v>296</v>
      </c>
      <c r="D36" s="290" t="s">
        <v>296</v>
      </c>
      <c r="E36" s="290" t="s">
        <v>296</v>
      </c>
      <c r="F36" s="290" t="s">
        <v>296</v>
      </c>
      <c r="G36" s="290" t="s">
        <v>296</v>
      </c>
      <c r="H36" s="290" t="s">
        <v>296</v>
      </c>
      <c r="I36" s="290" t="s">
        <v>296</v>
      </c>
      <c r="J36" s="290" t="s">
        <v>296</v>
      </c>
      <c r="K36" s="290" t="s">
        <v>296</v>
      </c>
      <c r="L36" s="292" t="s">
        <v>961</v>
      </c>
      <c r="M36" s="292" t="s">
        <v>961</v>
      </c>
      <c r="N36" s="292" t="s">
        <v>961</v>
      </c>
      <c r="O36" s="292" t="s">
        <v>961</v>
      </c>
      <c r="P36" s="292" t="s">
        <v>961</v>
      </c>
      <c r="Q36" s="292" t="s">
        <v>961</v>
      </c>
      <c r="R36" s="292" t="s">
        <v>961</v>
      </c>
      <c r="S36" s="292" t="s">
        <v>961</v>
      </c>
      <c r="T36" s="292" t="s">
        <v>961</v>
      </c>
      <c r="U36" s="292" t="s">
        <v>961</v>
      </c>
      <c r="V36" s="293" t="s">
        <v>961</v>
      </c>
    </row>
    <row r="37" spans="1:22" ht="15.95">
      <c r="A37" s="185" t="s">
        <v>963</v>
      </c>
      <c r="B37" s="287" t="s">
        <v>995</v>
      </c>
      <c r="C37" s="288">
        <v>-14463</v>
      </c>
      <c r="D37" s="220">
        <v>-15670</v>
      </c>
      <c r="E37" s="220">
        <v>-10742</v>
      </c>
      <c r="F37" s="220">
        <v>-11620</v>
      </c>
      <c r="G37" s="220">
        <v>-12193</v>
      </c>
      <c r="H37" s="220">
        <v>-16609</v>
      </c>
      <c r="I37" s="220">
        <v>-12637</v>
      </c>
      <c r="J37" s="220">
        <v>-12526</v>
      </c>
      <c r="K37" s="220">
        <v>-11125</v>
      </c>
      <c r="L37" s="220">
        <v>-10675</v>
      </c>
      <c r="M37" s="220">
        <v>-13896</v>
      </c>
      <c r="N37" s="220">
        <v>-9079</v>
      </c>
      <c r="O37" s="220">
        <v>-24036</v>
      </c>
      <c r="P37" s="220">
        <v>-9128</v>
      </c>
      <c r="Q37" s="220">
        <v>-10071</v>
      </c>
      <c r="R37" s="220">
        <v>-6015</v>
      </c>
      <c r="S37" s="220">
        <v>-17722</v>
      </c>
      <c r="T37" s="220">
        <v>-21287</v>
      </c>
      <c r="U37" s="220">
        <v>-21379</v>
      </c>
      <c r="V37" s="289">
        <v>-22450</v>
      </c>
    </row>
    <row r="38" spans="1:22">
      <c r="A38" s="294"/>
      <c r="B38" s="287"/>
      <c r="C38" s="287"/>
      <c r="D38" s="290"/>
      <c r="E38" s="290"/>
      <c r="F38" s="290"/>
      <c r="G38" s="290"/>
      <c r="H38" s="290"/>
      <c r="I38" s="290"/>
      <c r="J38" s="290"/>
      <c r="K38" s="290"/>
      <c r="L38" s="290"/>
      <c r="M38" s="290"/>
      <c r="N38" s="290"/>
      <c r="O38" s="290"/>
      <c r="P38" s="290"/>
      <c r="Q38" s="290"/>
      <c r="R38" s="290"/>
      <c r="S38" s="290"/>
      <c r="T38" s="290"/>
      <c r="U38" s="290"/>
      <c r="V38" s="291"/>
    </row>
    <row r="39" spans="1:22">
      <c r="A39" s="185" t="s">
        <v>996</v>
      </c>
      <c r="B39" s="287"/>
      <c r="C39" s="287"/>
      <c r="D39" s="290"/>
      <c r="E39" s="290"/>
      <c r="F39" s="290"/>
      <c r="G39" s="290"/>
      <c r="H39" s="290"/>
      <c r="I39" s="290"/>
      <c r="J39" s="290"/>
      <c r="K39" s="290"/>
      <c r="L39" s="290"/>
      <c r="M39" s="290"/>
      <c r="N39" s="290"/>
      <c r="O39" s="290"/>
      <c r="P39" s="290"/>
      <c r="Q39" s="290"/>
      <c r="R39" s="290"/>
      <c r="S39" s="290"/>
      <c r="T39" s="290"/>
      <c r="U39" s="290"/>
      <c r="V39" s="291"/>
    </row>
    <row r="40" spans="1:22" ht="15.95">
      <c r="A40" s="286" t="s">
        <v>997</v>
      </c>
      <c r="B40" s="287" t="s">
        <v>998</v>
      </c>
      <c r="C40" s="288">
        <v>-2802</v>
      </c>
      <c r="D40" s="220">
        <v>-3586</v>
      </c>
      <c r="E40" s="220">
        <v>-3746</v>
      </c>
      <c r="F40" s="220">
        <v>-4217</v>
      </c>
      <c r="G40" s="220">
        <v>-4437</v>
      </c>
      <c r="H40" s="220">
        <v>-5048</v>
      </c>
      <c r="I40" s="220">
        <v>-5361</v>
      </c>
      <c r="J40" s="220">
        <v>-6139</v>
      </c>
      <c r="K40" s="220">
        <v>-6185</v>
      </c>
      <c r="L40" s="220">
        <v>-6294</v>
      </c>
      <c r="M40" s="220">
        <v>-6216</v>
      </c>
      <c r="N40" s="220">
        <v>-6124</v>
      </c>
      <c r="O40" s="220">
        <v>-6102</v>
      </c>
      <c r="P40" s="220">
        <v>-6048</v>
      </c>
      <c r="Q40" s="220">
        <v>-6116</v>
      </c>
      <c r="R40" s="220">
        <v>-6152</v>
      </c>
      <c r="S40" s="220">
        <v>-6114</v>
      </c>
      <c r="T40" s="220">
        <v>-6140</v>
      </c>
      <c r="U40" s="220">
        <v>-6688</v>
      </c>
      <c r="V40" s="289">
        <v>-7107</v>
      </c>
    </row>
    <row r="41" spans="1:22" ht="15.95">
      <c r="A41" s="286" t="s">
        <v>999</v>
      </c>
      <c r="B41" s="287" t="s">
        <v>1000</v>
      </c>
      <c r="C41" s="287">
        <v>-92</v>
      </c>
      <c r="D41" s="220">
        <v>4477</v>
      </c>
      <c r="E41" s="220">
        <v>-2918</v>
      </c>
      <c r="F41" s="220">
        <v>-1866</v>
      </c>
      <c r="G41" s="220">
        <v>7819</v>
      </c>
      <c r="H41" s="220">
        <v>3485</v>
      </c>
      <c r="I41" s="220">
        <v>1487</v>
      </c>
      <c r="J41" s="220">
        <v>3015</v>
      </c>
      <c r="K41" s="220">
        <v>-5018</v>
      </c>
      <c r="L41" s="220">
        <v>-3158</v>
      </c>
      <c r="M41" s="220">
        <v>-3591</v>
      </c>
      <c r="N41" s="220">
        <v>-1437</v>
      </c>
      <c r="O41" s="220">
        <v>12035</v>
      </c>
      <c r="P41" s="220">
        <v>-1071</v>
      </c>
      <c r="Q41" s="220">
        <v>-5706</v>
      </c>
      <c r="R41" s="220">
        <v>-5872</v>
      </c>
      <c r="S41" s="220">
        <v>2318</v>
      </c>
      <c r="T41" s="220">
        <v>1262</v>
      </c>
      <c r="U41" s="220">
        <v>-1256</v>
      </c>
      <c r="V41" s="289">
        <v>3113</v>
      </c>
    </row>
    <row r="42" spans="1:22" ht="15.95">
      <c r="A42" s="286" t="s">
        <v>1001</v>
      </c>
      <c r="B42" s="287" t="s">
        <v>1002</v>
      </c>
      <c r="C42" s="287" t="s">
        <v>296</v>
      </c>
      <c r="D42" s="290" t="s">
        <v>296</v>
      </c>
      <c r="E42" s="220">
        <v>-3745</v>
      </c>
      <c r="F42" s="220">
        <v>-1033</v>
      </c>
      <c r="G42" s="290">
        <v>503</v>
      </c>
      <c r="H42" s="220">
        <v>3019</v>
      </c>
      <c r="I42" s="220">
        <v>2754</v>
      </c>
      <c r="J42" s="290">
        <v>911</v>
      </c>
      <c r="K42" s="220">
        <v>-6288</v>
      </c>
      <c r="L42" s="220">
        <v>1235</v>
      </c>
      <c r="M42" s="220">
        <v>-1673</v>
      </c>
      <c r="N42" s="220">
        <v>4148</v>
      </c>
      <c r="O42" s="290">
        <v>-53</v>
      </c>
      <c r="P42" s="220">
        <v>-4656</v>
      </c>
      <c r="Q42" s="290">
        <v>-324</v>
      </c>
      <c r="R42" s="290">
        <v>193</v>
      </c>
      <c r="S42" s="290">
        <v>-34</v>
      </c>
      <c r="T42" s="290">
        <v>512</v>
      </c>
      <c r="U42" s="220">
        <v>2212</v>
      </c>
      <c r="V42" s="291">
        <v>656</v>
      </c>
    </row>
    <row r="43" spans="1:22" ht="15.95">
      <c r="A43" s="286" t="s">
        <v>1003</v>
      </c>
      <c r="B43" s="287" t="s">
        <v>1004</v>
      </c>
      <c r="C43" s="287" t="s">
        <v>296</v>
      </c>
      <c r="D43" s="290" t="s">
        <v>296</v>
      </c>
      <c r="E43" s="220">
        <v>6566</v>
      </c>
      <c r="F43" s="220">
        <v>5546</v>
      </c>
      <c r="G43" s="220">
        <v>11396</v>
      </c>
      <c r="H43" s="220">
        <v>5050</v>
      </c>
      <c r="I43" s="290">
        <v>211</v>
      </c>
      <c r="J43" s="220">
        <v>7072</v>
      </c>
      <c r="K43" s="220">
        <v>5174</v>
      </c>
      <c r="L43" s="290">
        <v>39</v>
      </c>
      <c r="M43" s="290">
        <v>137</v>
      </c>
      <c r="N43" s="220">
        <v>7476</v>
      </c>
      <c r="O43" s="220">
        <v>15872</v>
      </c>
      <c r="P43" s="220">
        <v>5492</v>
      </c>
      <c r="Q43" s="292" t="s">
        <v>961</v>
      </c>
      <c r="R43" s="220">
        <v>6945</v>
      </c>
      <c r="S43" s="220">
        <v>5041</v>
      </c>
      <c r="T43" s="220">
        <v>4967</v>
      </c>
      <c r="U43" s="292" t="s">
        <v>961</v>
      </c>
      <c r="V43" s="289">
        <v>3983</v>
      </c>
    </row>
    <row r="44" spans="1:22" ht="15.95">
      <c r="A44" s="286" t="s">
        <v>1005</v>
      </c>
      <c r="B44" s="287" t="s">
        <v>1006</v>
      </c>
      <c r="C44" s="287" t="s">
        <v>296</v>
      </c>
      <c r="D44" s="290" t="s">
        <v>296</v>
      </c>
      <c r="E44" s="220">
        <v>-5739</v>
      </c>
      <c r="F44" s="220">
        <v>-6379</v>
      </c>
      <c r="G44" s="220">
        <v>-4080</v>
      </c>
      <c r="H44" s="220">
        <v>-4584</v>
      </c>
      <c r="I44" s="220">
        <v>-1478</v>
      </c>
      <c r="J44" s="220">
        <v>-4968</v>
      </c>
      <c r="K44" s="220">
        <v>-3904</v>
      </c>
      <c r="L44" s="220">
        <v>-4432</v>
      </c>
      <c r="M44" s="220">
        <v>-2055</v>
      </c>
      <c r="N44" s="220">
        <v>-13061</v>
      </c>
      <c r="O44" s="220">
        <v>-3784</v>
      </c>
      <c r="P44" s="220">
        <v>-1907</v>
      </c>
      <c r="Q44" s="220">
        <v>-5382</v>
      </c>
      <c r="R44" s="220">
        <v>-13010</v>
      </c>
      <c r="S44" s="220">
        <v>-2689</v>
      </c>
      <c r="T44" s="220">
        <v>-4217</v>
      </c>
      <c r="U44" s="220">
        <v>-3468</v>
      </c>
      <c r="V44" s="289">
        <v>-1526</v>
      </c>
    </row>
    <row r="45" spans="1:22" ht="15.95">
      <c r="A45" s="286" t="s">
        <v>1007</v>
      </c>
      <c r="B45" s="287" t="s">
        <v>1008</v>
      </c>
      <c r="C45" s="288">
        <v>-1718</v>
      </c>
      <c r="D45" s="220">
        <v>-7691</v>
      </c>
      <c r="E45" s="220">
        <v>-3521</v>
      </c>
      <c r="F45" s="220">
        <v>-7276</v>
      </c>
      <c r="G45" s="220">
        <v>-14776</v>
      </c>
      <c r="H45" s="220">
        <v>-6298</v>
      </c>
      <c r="I45" s="220">
        <v>-7600</v>
      </c>
      <c r="J45" s="220">
        <v>-6683</v>
      </c>
      <c r="K45" s="220">
        <v>-1015</v>
      </c>
      <c r="L45" s="220">
        <v>-4112</v>
      </c>
      <c r="M45" s="220">
        <v>-8298</v>
      </c>
      <c r="N45" s="220">
        <v>-8296</v>
      </c>
      <c r="O45" s="220">
        <v>-7410</v>
      </c>
      <c r="P45" s="220">
        <v>-5717</v>
      </c>
      <c r="Q45" s="220">
        <v>-2625</v>
      </c>
      <c r="R45" s="220">
        <v>-9787</v>
      </c>
      <c r="S45" s="220">
        <v>-9920</v>
      </c>
      <c r="T45" s="220">
        <v>-2779</v>
      </c>
      <c r="U45" s="220">
        <v>-4494</v>
      </c>
      <c r="V45" s="289">
        <v>-8622</v>
      </c>
    </row>
    <row r="46" spans="1:22" ht="15.95">
      <c r="A46" s="286" t="s">
        <v>1009</v>
      </c>
      <c r="B46" s="287" t="s">
        <v>1010</v>
      </c>
      <c r="C46" s="295" t="s">
        <v>961</v>
      </c>
      <c r="D46" s="292" t="s">
        <v>961</v>
      </c>
      <c r="E46" s="292" t="s">
        <v>961</v>
      </c>
      <c r="F46" s="292" t="s">
        <v>961</v>
      </c>
      <c r="G46" s="292" t="s">
        <v>961</v>
      </c>
      <c r="H46" s="292" t="s">
        <v>961</v>
      </c>
      <c r="I46" s="292" t="s">
        <v>961</v>
      </c>
      <c r="J46" s="292" t="s">
        <v>961</v>
      </c>
      <c r="K46" s="292" t="s">
        <v>961</v>
      </c>
      <c r="L46" s="292" t="s">
        <v>961</v>
      </c>
      <c r="M46" s="292" t="s">
        <v>961</v>
      </c>
      <c r="N46" s="292" t="s">
        <v>961</v>
      </c>
      <c r="O46" s="292" t="s">
        <v>961</v>
      </c>
      <c r="P46" s="292" t="s">
        <v>961</v>
      </c>
      <c r="Q46" s="292" t="s">
        <v>961</v>
      </c>
      <c r="R46" s="292" t="s">
        <v>961</v>
      </c>
      <c r="S46" s="292" t="s">
        <v>961</v>
      </c>
      <c r="T46" s="292" t="s">
        <v>961</v>
      </c>
      <c r="U46" s="292" t="s">
        <v>961</v>
      </c>
      <c r="V46" s="293" t="s">
        <v>961</v>
      </c>
    </row>
    <row r="47" spans="1:22" ht="15.95">
      <c r="A47" s="286" t="s">
        <v>1011</v>
      </c>
      <c r="B47" s="287" t="s">
        <v>1012</v>
      </c>
      <c r="C47" s="288">
        <v>-1718</v>
      </c>
      <c r="D47" s="220">
        <v>-7691</v>
      </c>
      <c r="E47" s="220">
        <v>-3521</v>
      </c>
      <c r="F47" s="220">
        <v>-7276</v>
      </c>
      <c r="G47" s="220">
        <v>-14776</v>
      </c>
      <c r="H47" s="220">
        <v>-6298</v>
      </c>
      <c r="I47" s="220">
        <v>-7600</v>
      </c>
      <c r="J47" s="220">
        <v>-6683</v>
      </c>
      <c r="K47" s="220">
        <v>-1015</v>
      </c>
      <c r="L47" s="220">
        <v>-4112</v>
      </c>
      <c r="M47" s="220">
        <v>-8298</v>
      </c>
      <c r="N47" s="220">
        <v>-8296</v>
      </c>
      <c r="O47" s="220">
        <v>-7410</v>
      </c>
      <c r="P47" s="220">
        <v>-5717</v>
      </c>
      <c r="Q47" s="220">
        <v>-2625</v>
      </c>
      <c r="R47" s="220">
        <v>-9787</v>
      </c>
      <c r="S47" s="220">
        <v>-9920</v>
      </c>
      <c r="T47" s="220">
        <v>-2779</v>
      </c>
      <c r="U47" s="220">
        <v>-4494</v>
      </c>
      <c r="V47" s="289">
        <v>-8622</v>
      </c>
    </row>
    <row r="48" spans="1:22" ht="15.95">
      <c r="A48" s="286" t="s">
        <v>1013</v>
      </c>
      <c r="B48" s="287" t="s">
        <v>1014</v>
      </c>
      <c r="C48" s="287">
        <v>-130</v>
      </c>
      <c r="D48" s="290">
        <v>-370</v>
      </c>
      <c r="E48" s="290">
        <v>267</v>
      </c>
      <c r="F48" s="290">
        <v>-832</v>
      </c>
      <c r="G48" s="290">
        <v>-634</v>
      </c>
      <c r="H48" s="290">
        <v>-597</v>
      </c>
      <c r="I48" s="290">
        <v>-472</v>
      </c>
      <c r="J48" s="290">
        <v>-982</v>
      </c>
      <c r="K48" s="220">
        <v>-2853</v>
      </c>
      <c r="L48" s="220">
        <v>-2721</v>
      </c>
      <c r="M48" s="290">
        <v>-967</v>
      </c>
      <c r="N48" s="220">
        <v>-4018</v>
      </c>
      <c r="O48" s="220">
        <v>-1060</v>
      </c>
      <c r="P48" s="220">
        <v>-1463</v>
      </c>
      <c r="Q48" s="220">
        <v>-1670</v>
      </c>
      <c r="R48" s="220">
        <v>-1017</v>
      </c>
      <c r="S48" s="220">
        <v>-3323</v>
      </c>
      <c r="T48" s="220">
        <v>-5757</v>
      </c>
      <c r="U48" s="220">
        <v>-2384</v>
      </c>
      <c r="V48" s="289">
        <v>-2254</v>
      </c>
    </row>
    <row r="49" spans="1:22" ht="15.95">
      <c r="A49" s="286" t="s">
        <v>959</v>
      </c>
      <c r="B49" s="287" t="s">
        <v>1015</v>
      </c>
      <c r="C49" s="287" t="s">
        <v>296</v>
      </c>
      <c r="D49" s="290" t="s">
        <v>296</v>
      </c>
      <c r="E49" s="290" t="s">
        <v>296</v>
      </c>
      <c r="F49" s="290" t="s">
        <v>296</v>
      </c>
      <c r="G49" s="290" t="s">
        <v>296</v>
      </c>
      <c r="H49" s="290" t="s">
        <v>296</v>
      </c>
      <c r="I49" s="290" t="s">
        <v>296</v>
      </c>
      <c r="J49" s="290" t="s">
        <v>296</v>
      </c>
      <c r="K49" s="290" t="s">
        <v>296</v>
      </c>
      <c r="L49" s="292" t="s">
        <v>961</v>
      </c>
      <c r="M49" s="292" t="s">
        <v>961</v>
      </c>
      <c r="N49" s="292" t="s">
        <v>961</v>
      </c>
      <c r="O49" s="292" t="s">
        <v>961</v>
      </c>
      <c r="P49" s="292" t="s">
        <v>961</v>
      </c>
      <c r="Q49" s="292" t="s">
        <v>961</v>
      </c>
      <c r="R49" s="292" t="s">
        <v>961</v>
      </c>
      <c r="S49" s="292" t="s">
        <v>961</v>
      </c>
      <c r="T49" s="292" t="s">
        <v>961</v>
      </c>
      <c r="U49" s="292" t="s">
        <v>961</v>
      </c>
      <c r="V49" s="293" t="s">
        <v>961</v>
      </c>
    </row>
    <row r="50" spans="1:22" ht="15.95">
      <c r="A50" s="185" t="s">
        <v>996</v>
      </c>
      <c r="B50" s="287" t="s">
        <v>1016</v>
      </c>
      <c r="C50" s="288">
        <v>-4742</v>
      </c>
      <c r="D50" s="220">
        <v>-7170</v>
      </c>
      <c r="E50" s="220">
        <v>-9918</v>
      </c>
      <c r="F50" s="220">
        <v>-14191</v>
      </c>
      <c r="G50" s="220">
        <v>-12028</v>
      </c>
      <c r="H50" s="220">
        <v>-8458</v>
      </c>
      <c r="I50" s="220">
        <v>-11946</v>
      </c>
      <c r="J50" s="220">
        <v>-10789</v>
      </c>
      <c r="K50" s="220">
        <v>-15071</v>
      </c>
      <c r="L50" s="220">
        <v>-16285</v>
      </c>
      <c r="M50" s="220">
        <v>-19072</v>
      </c>
      <c r="N50" s="220">
        <v>-19875</v>
      </c>
      <c r="O50" s="220">
        <v>-2537</v>
      </c>
      <c r="P50" s="220">
        <v>-14299</v>
      </c>
      <c r="Q50" s="220">
        <v>-16117</v>
      </c>
      <c r="R50" s="220">
        <v>-22828</v>
      </c>
      <c r="S50" s="220">
        <v>-17039</v>
      </c>
      <c r="T50" s="220">
        <v>-13414</v>
      </c>
      <c r="U50" s="220">
        <v>-14822</v>
      </c>
      <c r="V50" s="289">
        <v>-14870</v>
      </c>
    </row>
    <row r="51" spans="1:22">
      <c r="A51" s="294"/>
      <c r="B51" s="287"/>
      <c r="C51" s="287"/>
      <c r="D51" s="290"/>
      <c r="E51" s="290"/>
      <c r="F51" s="290"/>
      <c r="G51" s="290"/>
      <c r="H51" s="290"/>
      <c r="I51" s="290"/>
      <c r="J51" s="290"/>
      <c r="K51" s="290"/>
      <c r="L51" s="290"/>
      <c r="M51" s="290"/>
      <c r="N51" s="290"/>
      <c r="O51" s="290"/>
      <c r="P51" s="290"/>
      <c r="Q51" s="290"/>
      <c r="R51" s="290"/>
      <c r="S51" s="290"/>
      <c r="T51" s="290"/>
      <c r="U51" s="290"/>
      <c r="V51" s="291"/>
    </row>
    <row r="52" spans="1:22" ht="15.95">
      <c r="A52" s="294" t="s">
        <v>1017</v>
      </c>
      <c r="B52" s="287" t="s">
        <v>1018</v>
      </c>
      <c r="C52" s="287" t="s">
        <v>296</v>
      </c>
      <c r="D52" s="290" t="s">
        <v>296</v>
      </c>
      <c r="E52" s="290">
        <v>-781</v>
      </c>
      <c r="F52" s="290">
        <v>194</v>
      </c>
      <c r="G52" s="290">
        <v>66</v>
      </c>
      <c r="H52" s="290">
        <v>-33</v>
      </c>
      <c r="I52" s="290">
        <v>223</v>
      </c>
      <c r="J52" s="290">
        <v>-442</v>
      </c>
      <c r="K52" s="290">
        <v>-514</v>
      </c>
      <c r="L52" s="220">
        <v>-1022</v>
      </c>
      <c r="M52" s="290">
        <v>-452</v>
      </c>
      <c r="N52" s="290">
        <v>487</v>
      </c>
      <c r="O52" s="290">
        <v>-438</v>
      </c>
      <c r="P52" s="290">
        <v>-69</v>
      </c>
      <c r="Q52" s="290">
        <v>235</v>
      </c>
      <c r="R52" s="290">
        <v>-140</v>
      </c>
      <c r="S52" s="290">
        <v>-73</v>
      </c>
      <c r="T52" s="290">
        <v>69</v>
      </c>
      <c r="U52" s="290">
        <v>-641</v>
      </c>
      <c r="V52" s="291">
        <v>-120</v>
      </c>
    </row>
    <row r="53" spans="1:22">
      <c r="A53" s="294"/>
      <c r="B53" s="287"/>
      <c r="C53" s="287"/>
      <c r="D53" s="290"/>
      <c r="E53" s="290"/>
      <c r="F53" s="290"/>
      <c r="G53" s="290"/>
      <c r="H53" s="290"/>
      <c r="I53" s="290"/>
      <c r="J53" s="290"/>
      <c r="K53" s="290"/>
      <c r="L53" s="290"/>
      <c r="M53" s="290"/>
      <c r="N53" s="290"/>
      <c r="O53" s="290"/>
      <c r="P53" s="290"/>
      <c r="Q53" s="290"/>
      <c r="R53" s="290"/>
      <c r="S53" s="290"/>
      <c r="T53" s="290"/>
      <c r="U53" s="290"/>
      <c r="V53" s="291"/>
    </row>
    <row r="54" spans="1:22" ht="15.95">
      <c r="A54" s="185" t="s">
        <v>1019</v>
      </c>
      <c r="B54" s="287" t="s">
        <v>1020</v>
      </c>
      <c r="C54" s="287">
        <v>747</v>
      </c>
      <c r="D54" s="220">
        <v>-2198</v>
      </c>
      <c r="E54" s="220">
        <v>1706</v>
      </c>
      <c r="F54" s="290">
        <v>632</v>
      </c>
      <c r="G54" s="290">
        <v>-512</v>
      </c>
      <c r="H54" s="290">
        <v>-845</v>
      </c>
      <c r="I54" s="220">
        <v>1231</v>
      </c>
      <c r="J54" s="290">
        <v>-500</v>
      </c>
      <c r="K54" s="220">
        <v>1854</v>
      </c>
      <c r="L54" s="290">
        <v>-430</v>
      </c>
      <c r="M54" s="220">
        <v>-1747</v>
      </c>
      <c r="N54" s="290">
        <v>-130</v>
      </c>
      <c r="O54" s="290">
        <v>742</v>
      </c>
      <c r="P54" s="220">
        <v>1759</v>
      </c>
      <c r="Q54" s="220">
        <v>10121</v>
      </c>
      <c r="R54" s="220">
        <v>-4802</v>
      </c>
      <c r="S54" s="220">
        <v>-5993</v>
      </c>
      <c r="T54" s="220">
        <v>1094</v>
      </c>
      <c r="U54" s="290">
        <v>-399</v>
      </c>
      <c r="V54" s="291">
        <v>998</v>
      </c>
    </row>
    <row r="55" spans="1:22">
      <c r="A55" s="294"/>
      <c r="B55" s="287"/>
      <c r="C55" s="287"/>
      <c r="D55" s="290"/>
      <c r="E55" s="290"/>
      <c r="F55" s="290"/>
      <c r="G55" s="290"/>
      <c r="H55" s="290"/>
      <c r="I55" s="290"/>
      <c r="J55" s="290"/>
      <c r="K55" s="290"/>
      <c r="L55" s="290"/>
      <c r="M55" s="290"/>
      <c r="N55" s="290"/>
      <c r="O55" s="290"/>
      <c r="P55" s="290"/>
      <c r="Q55" s="290"/>
      <c r="R55" s="290"/>
      <c r="S55" s="290"/>
      <c r="T55" s="290"/>
      <c r="U55" s="290"/>
      <c r="V55" s="291"/>
    </row>
    <row r="56" spans="1:22" ht="15.95">
      <c r="A56" s="185" t="s">
        <v>1021</v>
      </c>
      <c r="B56" s="287" t="s">
        <v>1022</v>
      </c>
      <c r="C56" s="288">
        <v>6665</v>
      </c>
      <c r="D56" s="220">
        <v>6299</v>
      </c>
      <c r="E56" s="220">
        <v>6596</v>
      </c>
      <c r="F56" s="220">
        <v>7389</v>
      </c>
      <c r="G56" s="220">
        <v>6984</v>
      </c>
      <c r="H56" s="220">
        <v>5899</v>
      </c>
      <c r="I56" s="220">
        <v>7304</v>
      </c>
      <c r="J56" s="220">
        <v>8641</v>
      </c>
      <c r="K56" s="220">
        <v>8169</v>
      </c>
      <c r="L56" s="220">
        <v>8111</v>
      </c>
      <c r="M56" s="220">
        <v>4507</v>
      </c>
      <c r="N56" s="220">
        <v>6179</v>
      </c>
      <c r="O56" s="220">
        <v>3982</v>
      </c>
      <c r="P56" s="220">
        <v>3616</v>
      </c>
      <c r="Q56" s="220">
        <v>5271</v>
      </c>
      <c r="R56" s="220">
        <v>5918</v>
      </c>
      <c r="S56" s="220">
        <v>3310</v>
      </c>
      <c r="T56" s="220">
        <v>5879</v>
      </c>
      <c r="U56" s="220">
        <v>5884</v>
      </c>
      <c r="V56" s="291"/>
    </row>
    <row r="57" spans="1:22" ht="15.95">
      <c r="A57" s="185" t="s">
        <v>1023</v>
      </c>
      <c r="B57" s="287" t="s">
        <v>1024</v>
      </c>
      <c r="C57" s="288">
        <v>1553</v>
      </c>
      <c r="D57" s="220">
        <v>1622</v>
      </c>
      <c r="E57" s="220">
        <v>1787</v>
      </c>
      <c r="F57" s="220">
        <v>2141</v>
      </c>
      <c r="G57" s="220">
        <v>2163</v>
      </c>
      <c r="H57" s="220">
        <v>2346</v>
      </c>
      <c r="I57" s="220">
        <v>2262</v>
      </c>
      <c r="J57" s="220">
        <v>2362</v>
      </c>
      <c r="K57" s="220">
        <v>2433</v>
      </c>
      <c r="L57" s="220">
        <v>2540</v>
      </c>
      <c r="M57" s="220">
        <v>2351</v>
      </c>
      <c r="N57" s="220">
        <v>2450</v>
      </c>
      <c r="O57" s="220">
        <v>2348</v>
      </c>
      <c r="P57" s="220">
        <v>2464</v>
      </c>
      <c r="Q57" s="220">
        <v>2216</v>
      </c>
      <c r="R57" s="220">
        <v>2237</v>
      </c>
      <c r="S57" s="220">
        <v>2051</v>
      </c>
      <c r="T57" s="220">
        <v>2519</v>
      </c>
      <c r="U57" s="220">
        <v>2739</v>
      </c>
      <c r="V57" s="291"/>
    </row>
    <row r="58" spans="1:22">
      <c r="A58" s="294"/>
      <c r="B58" s="287"/>
      <c r="C58" s="287"/>
      <c r="D58" s="290"/>
      <c r="E58" s="290"/>
      <c r="F58" s="290"/>
      <c r="G58" s="290"/>
      <c r="H58" s="290"/>
      <c r="I58" s="290"/>
      <c r="J58" s="290"/>
      <c r="K58" s="290"/>
      <c r="L58" s="290"/>
      <c r="M58" s="290"/>
      <c r="N58" s="290"/>
      <c r="O58" s="290"/>
      <c r="P58" s="290"/>
      <c r="Q58" s="290"/>
      <c r="R58" s="290"/>
      <c r="S58" s="290"/>
      <c r="T58" s="290"/>
      <c r="U58" s="290"/>
      <c r="V58" s="291"/>
    </row>
    <row r="59" spans="1:22">
      <c r="A59" s="185" t="s">
        <v>1025</v>
      </c>
      <c r="B59" s="287"/>
      <c r="C59" s="287"/>
      <c r="D59" s="290"/>
      <c r="E59" s="290"/>
      <c r="F59" s="290"/>
      <c r="G59" s="290"/>
      <c r="H59" s="290"/>
      <c r="I59" s="290"/>
      <c r="J59" s="290"/>
      <c r="K59" s="290"/>
      <c r="L59" s="290"/>
      <c r="M59" s="290"/>
      <c r="N59" s="290"/>
      <c r="O59" s="290"/>
      <c r="P59" s="290"/>
      <c r="Q59" s="290"/>
      <c r="R59" s="290"/>
      <c r="S59" s="290"/>
      <c r="T59" s="290"/>
      <c r="U59" s="290"/>
      <c r="V59" s="291"/>
    </row>
    <row r="60" spans="1:22" ht="15.95">
      <c r="A60" s="294" t="s">
        <v>1026</v>
      </c>
      <c r="B60" s="287" t="s">
        <v>1026</v>
      </c>
      <c r="C60" s="288">
        <v>25956</v>
      </c>
      <c r="D60" s="220">
        <v>28269</v>
      </c>
      <c r="E60" s="220">
        <v>29506</v>
      </c>
      <c r="F60" s="220">
        <v>31159</v>
      </c>
      <c r="G60" s="220">
        <v>33183</v>
      </c>
      <c r="H60" s="220">
        <v>34597</v>
      </c>
      <c r="I60" s="220">
        <v>36203</v>
      </c>
      <c r="J60" s="220">
        <v>35742</v>
      </c>
      <c r="K60" s="220">
        <v>36320</v>
      </c>
      <c r="L60" s="220">
        <v>33559</v>
      </c>
      <c r="M60" s="220">
        <v>32844</v>
      </c>
      <c r="N60" s="220">
        <v>30966</v>
      </c>
      <c r="O60" s="220">
        <v>32635</v>
      </c>
      <c r="P60" s="220">
        <v>34225</v>
      </c>
      <c r="Q60" s="220">
        <v>36326</v>
      </c>
      <c r="R60" s="220">
        <v>38874</v>
      </c>
      <c r="S60" s="220">
        <v>33679</v>
      </c>
      <c r="T60" s="220">
        <v>41142</v>
      </c>
      <c r="U60" s="220">
        <v>44668</v>
      </c>
      <c r="V60" s="289">
        <v>42478</v>
      </c>
    </row>
    <row r="61" spans="1:22" ht="15.95">
      <c r="A61" s="294" t="s">
        <v>1027</v>
      </c>
      <c r="B61" s="287" t="s">
        <v>1028</v>
      </c>
      <c r="C61" s="287">
        <v>7.44</v>
      </c>
      <c r="D61" s="290">
        <v>7.47</v>
      </c>
      <c r="E61" s="290">
        <v>7.3</v>
      </c>
      <c r="F61" s="290">
        <v>7.64</v>
      </c>
      <c r="G61" s="290">
        <v>7.87</v>
      </c>
      <c r="H61" s="290">
        <v>7.75</v>
      </c>
      <c r="I61" s="290">
        <v>7.72</v>
      </c>
      <c r="J61" s="290">
        <v>7.5</v>
      </c>
      <c r="K61" s="290">
        <v>7.48</v>
      </c>
      <c r="L61" s="290">
        <v>6.96</v>
      </c>
      <c r="M61" s="290">
        <v>6.76</v>
      </c>
      <c r="N61" s="290">
        <v>6.19</v>
      </c>
      <c r="O61" s="290">
        <v>6.34</v>
      </c>
      <c r="P61" s="290">
        <v>6.53</v>
      </c>
      <c r="Q61" s="290">
        <v>6.5</v>
      </c>
      <c r="R61" s="290">
        <v>6.79</v>
      </c>
      <c r="S61" s="290">
        <v>5.51</v>
      </c>
      <c r="T61" s="290">
        <v>6.35</v>
      </c>
      <c r="U61" s="290">
        <v>6.56</v>
      </c>
      <c r="V61" s="291">
        <v>6.13</v>
      </c>
    </row>
    <row r="62" spans="1:22" ht="15.95">
      <c r="A62" s="294" t="s">
        <v>1029</v>
      </c>
      <c r="B62" s="287" t="s">
        <v>1030</v>
      </c>
      <c r="C62" s="287">
        <v>68</v>
      </c>
      <c r="D62" s="220">
        <v>1595</v>
      </c>
      <c r="E62" s="290">
        <v>738</v>
      </c>
      <c r="F62" s="292" t="s">
        <v>961</v>
      </c>
      <c r="G62" s="290">
        <v>202</v>
      </c>
      <c r="H62" s="220">
        <v>3548</v>
      </c>
      <c r="I62" s="292" t="s">
        <v>961</v>
      </c>
      <c r="J62" s="292" t="s">
        <v>961</v>
      </c>
      <c r="K62" s="292" t="s">
        <v>961</v>
      </c>
      <c r="L62" s="292" t="s">
        <v>961</v>
      </c>
      <c r="M62" s="220">
        <v>2463</v>
      </c>
      <c r="N62" s="290">
        <v>375</v>
      </c>
      <c r="O62" s="220">
        <v>14656</v>
      </c>
      <c r="P62" s="290">
        <v>56</v>
      </c>
      <c r="Q62" s="290">
        <v>180</v>
      </c>
      <c r="R62" s="290">
        <v>359</v>
      </c>
      <c r="S62" s="290">
        <v>740</v>
      </c>
      <c r="T62" s="290">
        <v>9</v>
      </c>
      <c r="U62" s="220">
        <v>1896</v>
      </c>
      <c r="V62" s="291"/>
    </row>
    <row r="63" spans="1:22" ht="15.95">
      <c r="A63" s="294" t="s">
        <v>1031</v>
      </c>
      <c r="B63" s="287" t="s">
        <v>1032</v>
      </c>
      <c r="C63" s="287" t="s">
        <v>296</v>
      </c>
      <c r="D63" s="290" t="s">
        <v>296</v>
      </c>
      <c r="E63" s="292" t="s">
        <v>961</v>
      </c>
      <c r="F63" s="292" t="s">
        <v>961</v>
      </c>
      <c r="G63" s="290" t="s">
        <v>296</v>
      </c>
      <c r="H63" s="290" t="s">
        <v>296</v>
      </c>
      <c r="I63" s="290" t="s">
        <v>296</v>
      </c>
      <c r="J63" s="290" t="s">
        <v>296</v>
      </c>
      <c r="K63" s="290" t="s">
        <v>296</v>
      </c>
      <c r="L63" s="290" t="s">
        <v>296</v>
      </c>
      <c r="M63" s="290" t="s">
        <v>296</v>
      </c>
      <c r="N63" s="290" t="s">
        <v>296</v>
      </c>
      <c r="O63" s="290" t="s">
        <v>296</v>
      </c>
      <c r="P63" s="290" t="s">
        <v>296</v>
      </c>
      <c r="Q63" s="290" t="s">
        <v>296</v>
      </c>
      <c r="R63" s="290" t="s">
        <v>296</v>
      </c>
      <c r="S63" s="290" t="s">
        <v>296</v>
      </c>
      <c r="T63" s="290" t="s">
        <v>296</v>
      </c>
      <c r="U63" s="290" t="s">
        <v>296</v>
      </c>
      <c r="V63" s="291"/>
    </row>
    <row r="64" spans="1:22" ht="15.95">
      <c r="A64" s="294" t="s">
        <v>1033</v>
      </c>
      <c r="B64" s="287" t="s">
        <v>1034</v>
      </c>
      <c r="C64" s="288">
        <v>4286</v>
      </c>
      <c r="D64" s="220">
        <v>5705</v>
      </c>
      <c r="E64" s="220">
        <v>11648</v>
      </c>
      <c r="F64" s="220">
        <v>14065</v>
      </c>
      <c r="G64" s="220">
        <v>10944</v>
      </c>
      <c r="H64" s="220">
        <v>10745</v>
      </c>
      <c r="I64" s="220">
        <v>12693</v>
      </c>
      <c r="J64" s="220">
        <v>10142</v>
      </c>
      <c r="K64" s="220">
        <v>16390</v>
      </c>
      <c r="L64" s="220">
        <v>16075</v>
      </c>
      <c r="M64" s="220">
        <v>21054</v>
      </c>
      <c r="N64" s="220">
        <v>18286</v>
      </c>
      <c r="O64" s="220">
        <v>17409</v>
      </c>
      <c r="P64" s="220">
        <v>14550</v>
      </c>
      <c r="Q64" s="220">
        <v>25810</v>
      </c>
      <c r="R64" s="220">
        <v>11075</v>
      </c>
      <c r="S64" s="220">
        <v>11984</v>
      </c>
      <c r="T64" s="220">
        <v>15120</v>
      </c>
      <c r="U64" s="220">
        <v>12660</v>
      </c>
      <c r="V64" s="289">
        <v>13753</v>
      </c>
    </row>
    <row r="65" spans="1:22" ht="15.95">
      <c r="A65" s="294" t="s">
        <v>1035</v>
      </c>
      <c r="B65" s="287" t="s">
        <v>1036</v>
      </c>
      <c r="C65" s="288">
        <v>5487.96</v>
      </c>
      <c r="D65" s="220">
        <v>7089.3</v>
      </c>
      <c r="E65" s="220">
        <v>13085.44</v>
      </c>
      <c r="F65" s="220">
        <v>15461.9</v>
      </c>
      <c r="G65" s="220">
        <v>12439.01</v>
      </c>
      <c r="H65" s="220">
        <v>12309.46</v>
      </c>
      <c r="I65" s="220">
        <v>14056.92</v>
      </c>
      <c r="J65" s="220">
        <v>11532.89</v>
      </c>
      <c r="K65" s="220">
        <v>17855.18</v>
      </c>
      <c r="L65" s="220">
        <v>17487.66</v>
      </c>
      <c r="M65" s="220">
        <v>22479.33</v>
      </c>
      <c r="N65" s="220">
        <v>19662.349999999999</v>
      </c>
      <c r="O65" s="220">
        <v>18646.22</v>
      </c>
      <c r="P65" s="220">
        <v>16259.32</v>
      </c>
      <c r="Q65" s="220">
        <v>27127.01</v>
      </c>
      <c r="R65" s="220">
        <v>12323.16</v>
      </c>
      <c r="S65" s="220">
        <v>13169.87</v>
      </c>
      <c r="T65" s="220">
        <v>16802.259999999998</v>
      </c>
      <c r="U65" s="220">
        <v>14383.1</v>
      </c>
      <c r="V65" s="289">
        <v>15504.34</v>
      </c>
    </row>
    <row r="66" spans="1:22" ht="15.95">
      <c r="A66" s="294" t="s">
        <v>1037</v>
      </c>
      <c r="B66" s="287" t="s">
        <v>1038</v>
      </c>
      <c r="C66" s="288">
        <v>4588</v>
      </c>
      <c r="D66" s="220">
        <v>11139</v>
      </c>
      <c r="E66" s="220">
        <v>9444</v>
      </c>
      <c r="F66" s="220">
        <v>13201</v>
      </c>
      <c r="G66" s="220">
        <v>19252</v>
      </c>
      <c r="H66" s="220">
        <v>14810</v>
      </c>
      <c r="I66" s="220">
        <v>14712</v>
      </c>
      <c r="J66" s="220">
        <v>13884</v>
      </c>
      <c r="K66" s="220">
        <v>11942</v>
      </c>
      <c r="L66" s="220">
        <v>13552</v>
      </c>
      <c r="M66" s="220">
        <v>17919</v>
      </c>
      <c r="N66" s="220">
        <v>17227</v>
      </c>
      <c r="O66" s="220">
        <v>29963</v>
      </c>
      <c r="P66" s="220">
        <v>13800</v>
      </c>
      <c r="Q66" s="220">
        <v>20319</v>
      </c>
      <c r="R66" s="220">
        <v>5597</v>
      </c>
      <c r="S66" s="220">
        <v>14472</v>
      </c>
      <c r="T66" s="220">
        <v>16632</v>
      </c>
      <c r="U66" s="220">
        <v>11836</v>
      </c>
      <c r="V66" s="289">
        <v>17047</v>
      </c>
    </row>
    <row r="67" spans="1:22" ht="15.95">
      <c r="A67" s="294" t="s">
        <v>1039</v>
      </c>
      <c r="B67" s="287" t="s">
        <v>1040</v>
      </c>
      <c r="C67" s="287">
        <v>0.34</v>
      </c>
      <c r="D67" s="290">
        <v>0.47</v>
      </c>
      <c r="E67" s="290">
        <v>0.99</v>
      </c>
      <c r="F67" s="290">
        <v>1.21</v>
      </c>
      <c r="G67" s="290">
        <v>1</v>
      </c>
      <c r="H67" s="290">
        <v>1.04</v>
      </c>
      <c r="I67" s="290">
        <v>1.25</v>
      </c>
      <c r="J67" s="290">
        <v>1.03</v>
      </c>
      <c r="K67" s="290">
        <v>1.69</v>
      </c>
      <c r="L67" s="290">
        <v>1.67</v>
      </c>
      <c r="M67" s="290">
        <v>2.2599999999999998</v>
      </c>
      <c r="N67" s="290">
        <v>2.04</v>
      </c>
      <c r="O67" s="290">
        <v>1.98</v>
      </c>
      <c r="P67" s="290">
        <v>1.7</v>
      </c>
      <c r="Q67" s="290">
        <v>3.04</v>
      </c>
      <c r="R67" s="290">
        <v>1.32</v>
      </c>
      <c r="S67" s="290">
        <v>1.47</v>
      </c>
      <c r="T67" s="290">
        <v>1.87</v>
      </c>
      <c r="U67" s="290">
        <v>1.57</v>
      </c>
      <c r="V67" s="291">
        <v>1.72</v>
      </c>
    </row>
    <row r="68" spans="1:22" ht="15.95">
      <c r="A68" s="294" t="s">
        <v>1041</v>
      </c>
      <c r="B68" s="287" t="s">
        <v>1042</v>
      </c>
      <c r="C68" s="287">
        <v>46.33</v>
      </c>
      <c r="D68" s="290">
        <v>36.159999999999997</v>
      </c>
      <c r="E68" s="290">
        <v>15.93</v>
      </c>
      <c r="F68" s="290">
        <v>14.69</v>
      </c>
      <c r="G68" s="290">
        <v>18.73</v>
      </c>
      <c r="H68" s="290">
        <v>19.760000000000002</v>
      </c>
      <c r="I68" s="290">
        <v>18.59</v>
      </c>
      <c r="J68" s="290">
        <v>24.07</v>
      </c>
      <c r="K68" s="290">
        <v>16.75</v>
      </c>
      <c r="L68" s="290">
        <v>13.24</v>
      </c>
      <c r="M68" s="290">
        <v>9.83</v>
      </c>
      <c r="N68" s="290">
        <v>17.46</v>
      </c>
      <c r="O68" s="290">
        <v>16.12</v>
      </c>
      <c r="P68" s="290">
        <v>22.43</v>
      </c>
      <c r="Q68" s="290">
        <v>15.41</v>
      </c>
      <c r="R68" s="290">
        <v>35.25</v>
      </c>
      <c r="S68" s="290">
        <v>32.700000000000003</v>
      </c>
      <c r="T68" s="290">
        <v>29.43</v>
      </c>
      <c r="U68" s="290">
        <v>62.35</v>
      </c>
      <c r="V68" s="291">
        <v>60.69</v>
      </c>
    </row>
    <row r="69" spans="1:22" ht="15.95">
      <c r="A69" s="294" t="s">
        <v>1043</v>
      </c>
      <c r="B69" s="287" t="s">
        <v>1044</v>
      </c>
      <c r="C69" s="287">
        <v>1.77</v>
      </c>
      <c r="D69" s="290">
        <v>1.62</v>
      </c>
      <c r="E69" s="290">
        <v>1.73</v>
      </c>
      <c r="F69" s="290">
        <v>1.83</v>
      </c>
      <c r="G69" s="290">
        <v>1.44</v>
      </c>
      <c r="H69" s="290">
        <v>1.55</v>
      </c>
      <c r="I69" s="290">
        <v>1.51</v>
      </c>
      <c r="J69" s="290">
        <v>1.45</v>
      </c>
      <c r="K69" s="290">
        <v>1.75</v>
      </c>
      <c r="L69" s="290">
        <v>1.88</v>
      </c>
      <c r="M69" s="290">
        <v>2.3199999999999998</v>
      </c>
      <c r="N69" s="290">
        <v>2.87</v>
      </c>
      <c r="O69" s="290">
        <v>4.16</v>
      </c>
      <c r="P69" s="290">
        <v>1.7</v>
      </c>
      <c r="Q69" s="290">
        <v>2.67</v>
      </c>
      <c r="R69" s="290">
        <v>1.77</v>
      </c>
      <c r="S69" s="290">
        <v>2.4700000000000002</v>
      </c>
      <c r="T69" s="290">
        <v>2.2999999999999998</v>
      </c>
      <c r="U69" s="290">
        <v>1.88</v>
      </c>
      <c r="V69" s="291">
        <v>1.84</v>
      </c>
    </row>
    <row r="70" spans="1:22" ht="32.1">
      <c r="A70" s="296" t="s">
        <v>491</v>
      </c>
      <c r="B70" s="297"/>
      <c r="C70" s="297" t="s">
        <v>492</v>
      </c>
      <c r="D70" s="298"/>
      <c r="E70" s="298"/>
      <c r="F70" s="298"/>
      <c r="G70" s="298"/>
      <c r="H70" s="298"/>
      <c r="I70" s="298"/>
      <c r="J70" s="298"/>
      <c r="K70" s="298"/>
      <c r="L70" s="298"/>
      <c r="M70" s="298"/>
      <c r="N70" s="298"/>
      <c r="O70" s="298"/>
      <c r="P70" s="298"/>
      <c r="Q70" s="298"/>
      <c r="R70" s="298"/>
      <c r="S70" s="298"/>
      <c r="T70" s="298"/>
      <c r="U70" s="298"/>
      <c r="V70" s="29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234E-EE85-4960-9741-059B246E4E3A}">
  <dimension ref="A1:T84"/>
  <sheetViews>
    <sheetView workbookViewId="0">
      <selection activeCell="B18" sqref="B18"/>
    </sheetView>
  </sheetViews>
  <sheetFormatPr defaultColWidth="8.85546875" defaultRowHeight="15"/>
  <cols>
    <col min="1" max="1" width="36.42578125" bestFit="1" customWidth="1"/>
    <col min="2" max="2" width="36.42578125" customWidth="1"/>
    <col min="3" max="4" width="9.140625" customWidth="1"/>
    <col min="5" max="7" width="10.42578125" customWidth="1"/>
    <col min="8" max="18" width="10.42578125" bestFit="1" customWidth="1"/>
    <col min="19" max="19" width="11.140625" customWidth="1"/>
    <col min="20" max="20" width="20" hidden="1" customWidth="1"/>
  </cols>
  <sheetData>
    <row r="1" spans="1:20" ht="42">
      <c r="A1" s="300" t="s">
        <v>1045</v>
      </c>
      <c r="B1" s="270"/>
      <c r="C1" s="270"/>
      <c r="D1" s="270"/>
      <c r="E1" s="270"/>
      <c r="F1" s="270"/>
      <c r="G1" s="270"/>
      <c r="H1" s="270"/>
      <c r="I1" s="270"/>
      <c r="J1" s="270"/>
      <c r="K1" s="270"/>
      <c r="L1" s="270"/>
      <c r="M1" s="270"/>
      <c r="N1" s="270"/>
      <c r="O1" s="270"/>
      <c r="P1" s="270"/>
      <c r="Q1" s="270"/>
      <c r="R1" s="270"/>
      <c r="S1" s="270"/>
      <c r="T1" s="271"/>
    </row>
    <row r="2" spans="1:20">
      <c r="A2" s="275"/>
      <c r="B2" s="276"/>
      <c r="C2" s="276"/>
      <c r="D2" s="276"/>
      <c r="E2" s="276"/>
      <c r="F2" s="276"/>
      <c r="G2" s="276"/>
      <c r="H2" s="276"/>
      <c r="I2" s="276"/>
      <c r="J2" s="276"/>
      <c r="K2" s="276"/>
      <c r="L2" s="276"/>
      <c r="M2" s="276"/>
      <c r="N2" s="276"/>
      <c r="O2" s="276"/>
      <c r="P2" s="276"/>
      <c r="Q2" s="276"/>
      <c r="R2" s="276"/>
      <c r="S2" s="276"/>
      <c r="T2" s="277"/>
    </row>
    <row r="3" spans="1:20">
      <c r="A3" s="278" t="s">
        <v>242</v>
      </c>
      <c r="B3" s="279"/>
      <c r="C3" s="280" t="s">
        <v>935</v>
      </c>
      <c r="D3" s="280" t="s">
        <v>936</v>
      </c>
      <c r="E3" s="280" t="s">
        <v>243</v>
      </c>
      <c r="F3" s="280" t="s">
        <v>244</v>
      </c>
      <c r="G3" s="280" t="s">
        <v>245</v>
      </c>
      <c r="H3" s="280" t="s">
        <v>246</v>
      </c>
      <c r="I3" s="280" t="s">
        <v>247</v>
      </c>
      <c r="J3" s="280" t="s">
        <v>248</v>
      </c>
      <c r="K3" s="280" t="s">
        <v>249</v>
      </c>
      <c r="L3" s="280" t="s">
        <v>250</v>
      </c>
      <c r="M3" s="280" t="s">
        <v>251</v>
      </c>
      <c r="N3" s="280" t="s">
        <v>252</v>
      </c>
      <c r="O3" s="280" t="s">
        <v>253</v>
      </c>
      <c r="P3" s="280" t="s">
        <v>254</v>
      </c>
      <c r="Q3" s="280" t="s">
        <v>255</v>
      </c>
      <c r="R3" s="280" t="s">
        <v>256</v>
      </c>
      <c r="S3" s="280" t="s">
        <v>257</v>
      </c>
      <c r="T3" s="280" t="s">
        <v>937</v>
      </c>
    </row>
    <row r="4" spans="1:20">
      <c r="A4" s="281" t="s">
        <v>258</v>
      </c>
      <c r="B4" s="274"/>
      <c r="C4" s="282">
        <v>39844</v>
      </c>
      <c r="D4" s="282">
        <v>40209</v>
      </c>
      <c r="E4" s="282">
        <v>40574</v>
      </c>
      <c r="F4" s="282">
        <v>40939</v>
      </c>
      <c r="G4" s="282">
        <v>41305</v>
      </c>
      <c r="H4" s="282">
        <v>41670</v>
      </c>
      <c r="I4" s="282">
        <v>42035</v>
      </c>
      <c r="J4" s="282">
        <v>42400</v>
      </c>
      <c r="K4" s="282">
        <v>42766</v>
      </c>
      <c r="L4" s="282">
        <v>43131</v>
      </c>
      <c r="M4" s="282">
        <v>43496</v>
      </c>
      <c r="N4" s="282">
        <v>43861</v>
      </c>
      <c r="O4" s="282">
        <v>44227</v>
      </c>
      <c r="P4" s="282">
        <v>44592</v>
      </c>
      <c r="Q4" s="282">
        <v>44957</v>
      </c>
      <c r="R4" s="282">
        <v>45322</v>
      </c>
      <c r="S4" s="282">
        <v>45688</v>
      </c>
      <c r="T4" s="282">
        <v>45869</v>
      </c>
    </row>
    <row r="5" spans="1:20" ht="15.95">
      <c r="A5" s="186" t="s">
        <v>170</v>
      </c>
      <c r="B5" s="283" t="s">
        <v>1046</v>
      </c>
      <c r="C5" s="301">
        <v>404254</v>
      </c>
      <c r="D5" s="301">
        <v>408085</v>
      </c>
      <c r="E5" s="301">
        <v>421849</v>
      </c>
      <c r="F5" s="301">
        <v>446509</v>
      </c>
      <c r="G5" s="301">
        <v>468651</v>
      </c>
      <c r="H5" s="301">
        <v>476294</v>
      </c>
      <c r="I5" s="301">
        <v>485651</v>
      </c>
      <c r="J5" s="301">
        <v>482130</v>
      </c>
      <c r="K5" s="301">
        <v>485873</v>
      </c>
      <c r="L5" s="301">
        <v>500343</v>
      </c>
      <c r="M5" s="301">
        <v>514405</v>
      </c>
      <c r="N5" s="301">
        <v>523964</v>
      </c>
      <c r="O5" s="301">
        <v>559151</v>
      </c>
      <c r="P5" s="301">
        <v>572754</v>
      </c>
      <c r="Q5" s="301">
        <v>611289</v>
      </c>
      <c r="R5" s="302">
        <v>648125</v>
      </c>
      <c r="S5" s="303">
        <v>680985</v>
      </c>
    </row>
    <row r="6" spans="1:20" ht="15.95">
      <c r="A6" s="304" t="s">
        <v>1047</v>
      </c>
      <c r="B6" s="287" t="s">
        <v>1048</v>
      </c>
      <c r="C6" s="220">
        <v>401087</v>
      </c>
      <c r="D6" s="220">
        <v>405132</v>
      </c>
      <c r="E6" s="220">
        <v>418952</v>
      </c>
      <c r="F6" s="220">
        <v>443416</v>
      </c>
      <c r="G6" s="220">
        <v>465604</v>
      </c>
      <c r="H6" s="220">
        <v>473076</v>
      </c>
      <c r="I6" s="220">
        <v>482229</v>
      </c>
      <c r="J6" s="220">
        <v>478614</v>
      </c>
      <c r="K6" s="220">
        <v>481317</v>
      </c>
      <c r="L6" s="220">
        <v>495761</v>
      </c>
      <c r="M6" s="220">
        <v>510329</v>
      </c>
      <c r="N6" s="220">
        <v>519926</v>
      </c>
      <c r="O6" s="220">
        <v>555233</v>
      </c>
      <c r="P6" s="220">
        <v>567762</v>
      </c>
      <c r="Q6" s="220">
        <v>605881</v>
      </c>
      <c r="R6" s="289">
        <v>642637</v>
      </c>
      <c r="S6" s="305">
        <v>674538</v>
      </c>
    </row>
    <row r="7" spans="1:20" ht="15.95">
      <c r="A7" s="304" t="s">
        <v>1049</v>
      </c>
      <c r="B7" s="287" t="s">
        <v>1050</v>
      </c>
      <c r="C7" s="220">
        <v>3167</v>
      </c>
      <c r="D7" s="220">
        <v>2953</v>
      </c>
      <c r="E7" s="220">
        <v>2897</v>
      </c>
      <c r="F7" s="220">
        <v>3093</v>
      </c>
      <c r="G7" s="220">
        <v>3047</v>
      </c>
      <c r="H7" s="220">
        <v>3218</v>
      </c>
      <c r="I7" s="220">
        <v>3422</v>
      </c>
      <c r="J7" s="220">
        <v>3516</v>
      </c>
      <c r="K7" s="220">
        <v>4556</v>
      </c>
      <c r="L7" s="220">
        <v>4582</v>
      </c>
      <c r="M7" s="220">
        <v>4076</v>
      </c>
      <c r="N7" s="220">
        <v>4038</v>
      </c>
      <c r="O7" s="220">
        <v>3918</v>
      </c>
      <c r="P7" s="220">
        <v>4992</v>
      </c>
      <c r="Q7" s="220">
        <v>5408</v>
      </c>
      <c r="R7" s="289">
        <v>5488</v>
      </c>
      <c r="S7" s="305">
        <v>6447</v>
      </c>
    </row>
    <row r="8" spans="1:20" ht="15.95">
      <c r="A8" s="304" t="s">
        <v>1051</v>
      </c>
      <c r="B8" s="287" t="s">
        <v>1052</v>
      </c>
      <c r="C8" s="220">
        <v>303941</v>
      </c>
      <c r="D8" s="220">
        <v>304106</v>
      </c>
      <c r="E8" s="220">
        <v>314946</v>
      </c>
      <c r="F8" s="220">
        <v>334993</v>
      </c>
      <c r="G8" s="220">
        <v>352297</v>
      </c>
      <c r="H8" s="220">
        <v>358069</v>
      </c>
      <c r="I8" s="220">
        <v>365086</v>
      </c>
      <c r="J8" s="220">
        <v>360984</v>
      </c>
      <c r="K8" s="220">
        <v>361256</v>
      </c>
      <c r="L8" s="220">
        <v>373396</v>
      </c>
      <c r="M8" s="220">
        <v>385301</v>
      </c>
      <c r="N8" s="220">
        <v>394605</v>
      </c>
      <c r="O8" s="220">
        <v>420315</v>
      </c>
      <c r="P8" s="220">
        <v>429000</v>
      </c>
      <c r="Q8" s="220">
        <v>463721</v>
      </c>
      <c r="R8" s="289">
        <v>490142</v>
      </c>
      <c r="S8" s="305">
        <v>511753</v>
      </c>
    </row>
    <row r="9" spans="1:20" ht="15.95">
      <c r="A9" s="304" t="s">
        <v>1053</v>
      </c>
      <c r="B9" s="287" t="s">
        <v>1054</v>
      </c>
      <c r="C9" s="220">
        <v>303941</v>
      </c>
      <c r="D9" s="220">
        <v>304106</v>
      </c>
      <c r="E9" s="220">
        <v>314946</v>
      </c>
      <c r="F9" s="220">
        <v>334993</v>
      </c>
      <c r="G9" s="220">
        <v>352297</v>
      </c>
      <c r="H9" s="220">
        <v>358069</v>
      </c>
      <c r="I9" s="220">
        <v>365086</v>
      </c>
      <c r="J9" s="220">
        <v>360984</v>
      </c>
      <c r="K9" s="220">
        <v>361256</v>
      </c>
      <c r="L9" s="220">
        <v>373396</v>
      </c>
      <c r="M9" s="220">
        <v>385301</v>
      </c>
      <c r="N9" s="220">
        <v>394605</v>
      </c>
      <c r="O9" s="220">
        <v>420315</v>
      </c>
      <c r="P9" s="220">
        <v>429000</v>
      </c>
      <c r="Q9" s="220">
        <v>463721</v>
      </c>
      <c r="R9" s="289">
        <v>490142</v>
      </c>
      <c r="S9" s="305">
        <v>511753</v>
      </c>
    </row>
    <row r="10" spans="1:20" ht="15.95">
      <c r="A10" s="187" t="s">
        <v>173</v>
      </c>
      <c r="B10" s="287" t="s">
        <v>1055</v>
      </c>
      <c r="C10" s="220">
        <v>100313</v>
      </c>
      <c r="D10" s="220">
        <v>103979</v>
      </c>
      <c r="E10" s="220">
        <v>106903</v>
      </c>
      <c r="F10" s="220">
        <v>111516</v>
      </c>
      <c r="G10" s="220">
        <v>116354</v>
      </c>
      <c r="H10" s="220">
        <v>118225</v>
      </c>
      <c r="I10" s="220">
        <v>120565</v>
      </c>
      <c r="J10" s="220">
        <v>121146</v>
      </c>
      <c r="K10" s="220">
        <v>124617</v>
      </c>
      <c r="L10" s="220">
        <v>126947</v>
      </c>
      <c r="M10" s="220">
        <v>129104</v>
      </c>
      <c r="N10" s="220">
        <v>129359</v>
      </c>
      <c r="O10" s="220">
        <v>138836</v>
      </c>
      <c r="P10" s="220">
        <v>143754</v>
      </c>
      <c r="Q10" s="220">
        <v>147568</v>
      </c>
      <c r="R10" s="289">
        <v>157983</v>
      </c>
      <c r="S10" s="305">
        <v>169232</v>
      </c>
    </row>
    <row r="11" spans="1:20" ht="15.95">
      <c r="A11" s="304" t="s">
        <v>1056</v>
      </c>
      <c r="B11" s="287" t="s">
        <v>1057</v>
      </c>
      <c r="C11" s="292" t="s">
        <v>961</v>
      </c>
      <c r="D11" s="292" t="s">
        <v>961</v>
      </c>
      <c r="E11" s="292" t="s">
        <v>961</v>
      </c>
      <c r="F11" s="292" t="s">
        <v>961</v>
      </c>
      <c r="G11" s="292" t="s">
        <v>961</v>
      </c>
      <c r="H11" s="292" t="s">
        <v>961</v>
      </c>
      <c r="I11" s="292" t="s">
        <v>961</v>
      </c>
      <c r="J11" s="292" t="s">
        <v>961</v>
      </c>
      <c r="K11" s="292" t="s">
        <v>961</v>
      </c>
      <c r="L11" s="292" t="s">
        <v>961</v>
      </c>
      <c r="M11" s="292" t="s">
        <v>961</v>
      </c>
      <c r="N11" s="292" t="s">
        <v>961</v>
      </c>
      <c r="O11" s="292" t="s">
        <v>961</v>
      </c>
      <c r="P11" s="292" t="s">
        <v>961</v>
      </c>
      <c r="Q11" s="292" t="s">
        <v>961</v>
      </c>
      <c r="R11" s="293" t="s">
        <v>961</v>
      </c>
      <c r="S11" s="306" t="s">
        <v>961</v>
      </c>
    </row>
    <row r="12" spans="1:20" ht="15.95">
      <c r="A12" s="304" t="s">
        <v>1058</v>
      </c>
      <c r="B12" s="287" t="s">
        <v>1059</v>
      </c>
      <c r="C12" s="220">
        <v>76777.850000000006</v>
      </c>
      <c r="D12" s="220">
        <v>79717</v>
      </c>
      <c r="E12" s="220">
        <v>81361</v>
      </c>
      <c r="F12" s="220">
        <v>84841</v>
      </c>
      <c r="G12" s="220">
        <v>88629</v>
      </c>
      <c r="H12" s="220">
        <v>90342.85</v>
      </c>
      <c r="I12" s="220">
        <v>93168.54</v>
      </c>
      <c r="J12" s="220">
        <v>96249.12</v>
      </c>
      <c r="K12" s="220">
        <v>102140.26</v>
      </c>
      <c r="L12" s="220">
        <v>104054.71</v>
      </c>
      <c r="M12" s="220">
        <v>107147</v>
      </c>
      <c r="N12" s="220">
        <v>108028.62</v>
      </c>
      <c r="O12" s="220">
        <v>107332</v>
      </c>
      <c r="P12" s="220">
        <v>117271</v>
      </c>
      <c r="Q12" s="220">
        <v>122966</v>
      </c>
      <c r="R12" s="289">
        <v>130878</v>
      </c>
      <c r="S12" s="305">
        <v>139728</v>
      </c>
    </row>
    <row r="13" spans="1:20" ht="15.95">
      <c r="A13" s="304" t="s">
        <v>1060</v>
      </c>
      <c r="B13" s="287" t="s">
        <v>1061</v>
      </c>
      <c r="C13" s="220">
        <v>77546</v>
      </c>
      <c r="D13" s="220">
        <v>79977</v>
      </c>
      <c r="E13" s="220">
        <v>81361</v>
      </c>
      <c r="F13" s="220">
        <v>85025</v>
      </c>
      <c r="G13" s="220">
        <v>88629</v>
      </c>
      <c r="H13" s="220">
        <v>91353</v>
      </c>
      <c r="I13" s="220">
        <v>93418</v>
      </c>
      <c r="J13" s="220">
        <v>97041</v>
      </c>
      <c r="K13" s="220">
        <v>101853</v>
      </c>
      <c r="L13" s="220">
        <v>106510</v>
      </c>
      <c r="M13" s="220">
        <v>107147</v>
      </c>
      <c r="N13" s="220">
        <v>108791</v>
      </c>
      <c r="O13" s="220">
        <v>116288</v>
      </c>
      <c r="P13" s="220">
        <v>117812</v>
      </c>
      <c r="Q13" s="220">
        <v>127140</v>
      </c>
      <c r="R13" s="289">
        <v>130878</v>
      </c>
      <c r="S13" s="305">
        <v>139884</v>
      </c>
    </row>
    <row r="14" spans="1:20" ht="15.95">
      <c r="A14" s="304" t="s">
        <v>1062</v>
      </c>
      <c r="B14" s="287" t="s">
        <v>1063</v>
      </c>
      <c r="C14" s="292" t="s">
        <v>961</v>
      </c>
      <c r="D14" s="292" t="s">
        <v>961</v>
      </c>
      <c r="E14" s="292" t="s">
        <v>961</v>
      </c>
      <c r="F14" s="292" t="s">
        <v>961</v>
      </c>
      <c r="G14" s="292" t="s">
        <v>961</v>
      </c>
      <c r="H14" s="292" t="s">
        <v>961</v>
      </c>
      <c r="I14" s="292" t="s">
        <v>961</v>
      </c>
      <c r="J14" s="292" t="s">
        <v>961</v>
      </c>
      <c r="K14" s="292" t="s">
        <v>961</v>
      </c>
      <c r="L14" s="292" t="s">
        <v>961</v>
      </c>
      <c r="M14" s="292" t="s">
        <v>961</v>
      </c>
      <c r="N14" s="292" t="s">
        <v>961</v>
      </c>
      <c r="O14" s="292" t="s">
        <v>961</v>
      </c>
      <c r="P14" s="292" t="s">
        <v>961</v>
      </c>
      <c r="Q14" s="290" t="s">
        <v>296</v>
      </c>
      <c r="R14" s="291" t="s">
        <v>296</v>
      </c>
      <c r="S14" s="307" t="s">
        <v>296</v>
      </c>
    </row>
    <row r="15" spans="1:20" ht="15.95">
      <c r="A15" s="304" t="s">
        <v>1064</v>
      </c>
      <c r="B15" s="287" t="s">
        <v>1065</v>
      </c>
      <c r="C15" s="290">
        <v>-768.15</v>
      </c>
      <c r="D15" s="290">
        <v>-260</v>
      </c>
      <c r="E15" s="292" t="s">
        <v>961</v>
      </c>
      <c r="F15" s="290">
        <v>-184</v>
      </c>
      <c r="G15" s="292" t="s">
        <v>961</v>
      </c>
      <c r="H15" s="220">
        <v>-1010.15</v>
      </c>
      <c r="I15" s="290">
        <v>-249.46</v>
      </c>
      <c r="J15" s="290">
        <v>-791.88</v>
      </c>
      <c r="K15" s="290">
        <v>287.26</v>
      </c>
      <c r="L15" s="220">
        <v>-2455.29</v>
      </c>
      <c r="M15" s="292" t="s">
        <v>961</v>
      </c>
      <c r="N15" s="290">
        <v>-762.38</v>
      </c>
      <c r="O15" s="220">
        <v>-8956</v>
      </c>
      <c r="P15" s="290">
        <v>-541</v>
      </c>
      <c r="Q15" s="220">
        <v>-4174</v>
      </c>
      <c r="R15" s="293" t="s">
        <v>961</v>
      </c>
      <c r="S15" s="307">
        <v>-156</v>
      </c>
    </row>
    <row r="16" spans="1:20" ht="15.95">
      <c r="A16" s="187" t="s">
        <v>1066</v>
      </c>
      <c r="B16" s="287" t="s">
        <v>1067</v>
      </c>
      <c r="C16" s="220">
        <v>23535.15</v>
      </c>
      <c r="D16" s="220">
        <v>24262</v>
      </c>
      <c r="E16" s="220">
        <v>25542</v>
      </c>
      <c r="F16" s="220">
        <v>26675</v>
      </c>
      <c r="G16" s="220">
        <v>27725</v>
      </c>
      <c r="H16" s="220">
        <v>27882.15</v>
      </c>
      <c r="I16" s="220">
        <v>27396.46</v>
      </c>
      <c r="J16" s="220">
        <v>24896.880000000001</v>
      </c>
      <c r="K16" s="220">
        <v>22476.74</v>
      </c>
      <c r="L16" s="220">
        <v>22892.29</v>
      </c>
      <c r="M16" s="220">
        <v>21957</v>
      </c>
      <c r="N16" s="220">
        <v>21330.38</v>
      </c>
      <c r="O16" s="220">
        <v>31504</v>
      </c>
      <c r="P16" s="220">
        <v>26483</v>
      </c>
      <c r="Q16" s="220">
        <v>24602</v>
      </c>
      <c r="R16" s="289">
        <v>27105</v>
      </c>
      <c r="S16" s="305">
        <v>29504</v>
      </c>
    </row>
    <row r="17" spans="1:19" ht="15.95">
      <c r="A17" s="304" t="s">
        <v>1068</v>
      </c>
      <c r="B17" s="287" t="s">
        <v>1069</v>
      </c>
      <c r="C17" s="220">
        <v>1900</v>
      </c>
      <c r="D17" s="220">
        <v>1884</v>
      </c>
      <c r="E17" s="220">
        <v>2004</v>
      </c>
      <c r="F17" s="220">
        <v>2278</v>
      </c>
      <c r="G17" s="220">
        <v>2063</v>
      </c>
      <c r="H17" s="220">
        <v>2216</v>
      </c>
      <c r="I17" s="220">
        <v>2348</v>
      </c>
      <c r="J17" s="220">
        <v>2467</v>
      </c>
      <c r="K17" s="220">
        <v>2267</v>
      </c>
      <c r="L17" s="220">
        <v>2178</v>
      </c>
      <c r="M17" s="220">
        <v>2155.54</v>
      </c>
      <c r="N17" s="220">
        <v>2303.4899999999998</v>
      </c>
      <c r="O17" s="220">
        <v>10573</v>
      </c>
      <c r="P17" s="220">
        <v>2396</v>
      </c>
      <c r="Q17" s="220">
        <v>1729</v>
      </c>
      <c r="R17" s="289">
        <v>1971</v>
      </c>
      <c r="S17" s="305">
        <v>2161</v>
      </c>
    </row>
    <row r="18" spans="1:19" ht="15.95">
      <c r="A18" s="304" t="s">
        <v>1070</v>
      </c>
      <c r="B18" s="287" t="s">
        <v>1071</v>
      </c>
      <c r="C18" s="220">
        <v>1900</v>
      </c>
      <c r="D18" s="220">
        <v>1884</v>
      </c>
      <c r="E18" s="220">
        <v>2004</v>
      </c>
      <c r="F18" s="220">
        <v>2159</v>
      </c>
      <c r="G18" s="220">
        <v>1791</v>
      </c>
      <c r="H18" s="220">
        <v>1953</v>
      </c>
      <c r="I18" s="220">
        <v>2048</v>
      </c>
      <c r="J18" s="220">
        <v>1946</v>
      </c>
      <c r="K18" s="220">
        <v>1944</v>
      </c>
      <c r="L18" s="220">
        <v>1826</v>
      </c>
      <c r="M18" s="220">
        <v>1758</v>
      </c>
      <c r="N18" s="220">
        <v>2073</v>
      </c>
      <c r="O18" s="220">
        <v>1855</v>
      </c>
      <c r="P18" s="220">
        <v>1516</v>
      </c>
      <c r="Q18" s="220">
        <v>1533</v>
      </c>
      <c r="R18" s="289">
        <v>1713</v>
      </c>
      <c r="S18" s="305">
        <v>1766</v>
      </c>
    </row>
    <row r="19" spans="1:19" ht="15.95">
      <c r="A19" s="304" t="s">
        <v>1072</v>
      </c>
      <c r="B19" s="287" t="s">
        <v>1073</v>
      </c>
      <c r="C19" s="220">
        <v>2184</v>
      </c>
      <c r="D19" s="220">
        <v>2065</v>
      </c>
      <c r="E19" s="220">
        <v>2205</v>
      </c>
      <c r="F19" s="220">
        <v>2320</v>
      </c>
      <c r="G19" s="220">
        <v>1977</v>
      </c>
      <c r="H19" s="220">
        <v>2072</v>
      </c>
      <c r="I19" s="220">
        <v>2161</v>
      </c>
      <c r="J19" s="220">
        <v>2027</v>
      </c>
      <c r="K19" s="220">
        <v>2044</v>
      </c>
      <c r="L19" s="220">
        <v>1978</v>
      </c>
      <c r="M19" s="220">
        <v>1975</v>
      </c>
      <c r="N19" s="220">
        <v>2262</v>
      </c>
      <c r="O19" s="220">
        <v>1976</v>
      </c>
      <c r="P19" s="220">
        <v>1674</v>
      </c>
      <c r="Q19" s="220">
        <v>1787</v>
      </c>
      <c r="R19" s="289">
        <v>2259</v>
      </c>
      <c r="S19" s="305">
        <v>2249</v>
      </c>
    </row>
    <row r="20" spans="1:19" ht="15.95">
      <c r="A20" s="304" t="s">
        <v>1074</v>
      </c>
      <c r="B20" s="287" t="s">
        <v>1075</v>
      </c>
      <c r="C20" s="290">
        <v>284</v>
      </c>
      <c r="D20" s="290">
        <v>181</v>
      </c>
      <c r="E20" s="290">
        <v>201</v>
      </c>
      <c r="F20" s="290">
        <v>161</v>
      </c>
      <c r="G20" s="290">
        <v>186</v>
      </c>
      <c r="H20" s="290">
        <v>119</v>
      </c>
      <c r="I20" s="290">
        <v>113</v>
      </c>
      <c r="J20" s="290">
        <v>81</v>
      </c>
      <c r="K20" s="290">
        <v>100</v>
      </c>
      <c r="L20" s="290">
        <v>152</v>
      </c>
      <c r="M20" s="290">
        <v>217</v>
      </c>
      <c r="N20" s="290">
        <v>189</v>
      </c>
      <c r="O20" s="290">
        <v>121</v>
      </c>
      <c r="P20" s="290">
        <v>158</v>
      </c>
      <c r="Q20" s="290">
        <v>254</v>
      </c>
      <c r="R20" s="291">
        <v>546</v>
      </c>
      <c r="S20" s="307">
        <v>483</v>
      </c>
    </row>
    <row r="21" spans="1:19" ht="15.95">
      <c r="A21" s="304" t="s">
        <v>1076</v>
      </c>
      <c r="B21" s="287" t="s">
        <v>1077</v>
      </c>
      <c r="C21" s="292" t="s">
        <v>961</v>
      </c>
      <c r="D21" s="292" t="s">
        <v>961</v>
      </c>
      <c r="E21" s="292" t="s">
        <v>961</v>
      </c>
      <c r="F21" s="292" t="s">
        <v>961</v>
      </c>
      <c r="G21" s="292" t="s">
        <v>961</v>
      </c>
      <c r="H21" s="292" t="s">
        <v>961</v>
      </c>
      <c r="I21" s="292" t="s">
        <v>961</v>
      </c>
      <c r="J21" s="292" t="s">
        <v>961</v>
      </c>
      <c r="K21" s="292" t="s">
        <v>961</v>
      </c>
      <c r="L21" s="292" t="s">
        <v>961</v>
      </c>
      <c r="M21" s="292" t="s">
        <v>961</v>
      </c>
      <c r="N21" s="292" t="s">
        <v>961</v>
      </c>
      <c r="O21" s="292" t="s">
        <v>961</v>
      </c>
      <c r="P21" s="292" t="s">
        <v>961</v>
      </c>
      <c r="Q21" s="292" t="s">
        <v>961</v>
      </c>
      <c r="R21" s="293" t="s">
        <v>961</v>
      </c>
      <c r="S21" s="306" t="s">
        <v>961</v>
      </c>
    </row>
    <row r="22" spans="1:19" ht="15.95">
      <c r="A22" s="304" t="s">
        <v>1078</v>
      </c>
      <c r="B22" s="287" t="s">
        <v>1079</v>
      </c>
      <c r="C22" s="292" t="s">
        <v>961</v>
      </c>
      <c r="D22" s="292" t="s">
        <v>961</v>
      </c>
      <c r="E22" s="292" t="s">
        <v>961</v>
      </c>
      <c r="F22" s="290">
        <v>119</v>
      </c>
      <c r="G22" s="290">
        <v>272</v>
      </c>
      <c r="H22" s="290">
        <v>263</v>
      </c>
      <c r="I22" s="290">
        <v>300</v>
      </c>
      <c r="J22" s="290">
        <v>521</v>
      </c>
      <c r="K22" s="290">
        <v>323</v>
      </c>
      <c r="L22" s="290">
        <v>352</v>
      </c>
      <c r="M22" s="290">
        <v>397.54</v>
      </c>
      <c r="N22" s="290">
        <v>230.49</v>
      </c>
      <c r="O22" s="220">
        <v>8718</v>
      </c>
      <c r="P22" s="290">
        <v>880</v>
      </c>
      <c r="Q22" s="290">
        <v>196</v>
      </c>
      <c r="R22" s="291">
        <v>258</v>
      </c>
      <c r="S22" s="307">
        <v>395</v>
      </c>
    </row>
    <row r="23" spans="1:19" ht="15.95">
      <c r="A23" s="187" t="s">
        <v>1080</v>
      </c>
      <c r="B23" s="287" t="s">
        <v>948</v>
      </c>
      <c r="C23" s="220">
        <v>21635.15</v>
      </c>
      <c r="D23" s="220">
        <v>22378</v>
      </c>
      <c r="E23" s="220">
        <v>23538</v>
      </c>
      <c r="F23" s="220">
        <v>24397</v>
      </c>
      <c r="G23" s="220">
        <v>25662</v>
      </c>
      <c r="H23" s="220">
        <v>25666.15</v>
      </c>
      <c r="I23" s="220">
        <v>25048.46</v>
      </c>
      <c r="J23" s="220">
        <v>22429.88</v>
      </c>
      <c r="K23" s="220">
        <v>20209.740000000002</v>
      </c>
      <c r="L23" s="220">
        <v>20714.29</v>
      </c>
      <c r="M23" s="220">
        <v>19801.46</v>
      </c>
      <c r="N23" s="220">
        <v>19026.89</v>
      </c>
      <c r="O23" s="220">
        <v>20931</v>
      </c>
      <c r="P23" s="220">
        <v>24087</v>
      </c>
      <c r="Q23" s="220">
        <v>22873</v>
      </c>
      <c r="R23" s="289">
        <v>25134</v>
      </c>
      <c r="S23" s="305">
        <v>27343</v>
      </c>
    </row>
    <row r="24" spans="1:19" ht="15.95">
      <c r="A24" s="304" t="s">
        <v>1081</v>
      </c>
      <c r="B24" s="287" t="s">
        <v>1082</v>
      </c>
      <c r="C24" s="290">
        <v>768.15</v>
      </c>
      <c r="D24" s="290">
        <v>260</v>
      </c>
      <c r="E24" s="292" t="s">
        <v>961</v>
      </c>
      <c r="F24" s="290">
        <v>65</v>
      </c>
      <c r="G24" s="292" t="s">
        <v>961</v>
      </c>
      <c r="H24" s="220">
        <v>1010.15</v>
      </c>
      <c r="I24" s="290">
        <v>249.46</v>
      </c>
      <c r="J24" s="290">
        <v>791.88</v>
      </c>
      <c r="K24" s="290">
        <v>-287.26</v>
      </c>
      <c r="L24" s="220">
        <v>5591.29</v>
      </c>
      <c r="M24" s="220">
        <v>8341.4599999999991</v>
      </c>
      <c r="N24" s="220">
        <v>-1089.1099999999999</v>
      </c>
      <c r="O24" s="290">
        <v>367</v>
      </c>
      <c r="P24" s="220">
        <v>5391</v>
      </c>
      <c r="Q24" s="220">
        <v>5857</v>
      </c>
      <c r="R24" s="289">
        <v>3286</v>
      </c>
      <c r="S24" s="305">
        <v>1034</v>
      </c>
    </row>
    <row r="25" spans="1:19" ht="15.95">
      <c r="A25" s="304" t="s">
        <v>1083</v>
      </c>
      <c r="B25" s="287" t="s">
        <v>1084</v>
      </c>
      <c r="C25" s="290" t="s">
        <v>296</v>
      </c>
      <c r="D25" s="290" t="s">
        <v>296</v>
      </c>
      <c r="E25" s="290" t="s">
        <v>296</v>
      </c>
      <c r="F25" s="290">
        <v>36</v>
      </c>
      <c r="G25" s="290" t="s">
        <v>296</v>
      </c>
      <c r="H25" s="290" t="s">
        <v>296</v>
      </c>
      <c r="I25" s="290" t="s">
        <v>296</v>
      </c>
      <c r="J25" s="290" t="s">
        <v>296</v>
      </c>
      <c r="K25" s="290" t="s">
        <v>296</v>
      </c>
      <c r="L25" s="290" t="s">
        <v>296</v>
      </c>
      <c r="M25" s="290" t="s">
        <v>296</v>
      </c>
      <c r="N25" s="290" t="s">
        <v>296</v>
      </c>
      <c r="O25" s="290" t="s">
        <v>296</v>
      </c>
      <c r="P25" s="290" t="s">
        <v>296</v>
      </c>
      <c r="Q25" s="290" t="s">
        <v>296</v>
      </c>
      <c r="R25" s="291" t="s">
        <v>296</v>
      </c>
      <c r="S25" s="307" t="s">
        <v>296</v>
      </c>
    </row>
    <row r="26" spans="1:19" ht="15.95">
      <c r="A26" s="304" t="s">
        <v>1085</v>
      </c>
      <c r="B26" s="287" t="s">
        <v>1086</v>
      </c>
      <c r="C26" s="290" t="s">
        <v>296</v>
      </c>
      <c r="D26" s="290" t="s">
        <v>296</v>
      </c>
      <c r="E26" s="290" t="s">
        <v>296</v>
      </c>
      <c r="F26" s="290">
        <v>-68</v>
      </c>
      <c r="G26" s="290" t="s">
        <v>296</v>
      </c>
      <c r="H26" s="290" t="s">
        <v>296</v>
      </c>
      <c r="I26" s="290" t="s">
        <v>296</v>
      </c>
      <c r="J26" s="290" t="s">
        <v>296</v>
      </c>
      <c r="K26" s="290" t="s">
        <v>296</v>
      </c>
      <c r="L26" s="290" t="s">
        <v>296</v>
      </c>
      <c r="M26" s="290" t="s">
        <v>296</v>
      </c>
      <c r="N26" s="290" t="s">
        <v>296</v>
      </c>
      <c r="O26" s="290" t="s">
        <v>296</v>
      </c>
      <c r="P26" s="290" t="s">
        <v>296</v>
      </c>
      <c r="Q26" s="290" t="s">
        <v>296</v>
      </c>
      <c r="R26" s="291" t="s">
        <v>296</v>
      </c>
      <c r="S26" s="307" t="s">
        <v>296</v>
      </c>
    </row>
    <row r="27" spans="1:19" ht="15.95">
      <c r="A27" s="304" t="s">
        <v>1087</v>
      </c>
      <c r="B27" s="287" t="s">
        <v>1088</v>
      </c>
      <c r="C27" s="290" t="s">
        <v>296</v>
      </c>
      <c r="D27" s="290" t="s">
        <v>296</v>
      </c>
      <c r="E27" s="290" t="s">
        <v>296</v>
      </c>
      <c r="F27" s="290" t="s">
        <v>296</v>
      </c>
      <c r="G27" s="290" t="s">
        <v>296</v>
      </c>
      <c r="H27" s="290" t="s">
        <v>296</v>
      </c>
      <c r="I27" s="290" t="s">
        <v>296</v>
      </c>
      <c r="J27" s="290" t="s">
        <v>296</v>
      </c>
      <c r="K27" s="290" t="s">
        <v>296</v>
      </c>
      <c r="L27" s="220">
        <v>3136</v>
      </c>
      <c r="M27" s="290" t="s">
        <v>296</v>
      </c>
      <c r="N27" s="290" t="s">
        <v>296</v>
      </c>
      <c r="O27" s="290" t="s">
        <v>296</v>
      </c>
      <c r="P27" s="220">
        <v>2410</v>
      </c>
      <c r="Q27" s="290" t="s">
        <v>296</v>
      </c>
      <c r="R27" s="291" t="s">
        <v>296</v>
      </c>
      <c r="S27" s="307" t="s">
        <v>296</v>
      </c>
    </row>
    <row r="28" spans="1:19" ht="15.95">
      <c r="A28" s="304" t="s">
        <v>1089</v>
      </c>
      <c r="B28" s="287" t="s">
        <v>1090</v>
      </c>
      <c r="C28" s="290" t="s">
        <v>296</v>
      </c>
      <c r="D28" s="290" t="s">
        <v>296</v>
      </c>
      <c r="E28" s="290" t="s">
        <v>296</v>
      </c>
      <c r="F28" s="290" t="s">
        <v>296</v>
      </c>
      <c r="G28" s="290" t="s">
        <v>296</v>
      </c>
      <c r="H28" s="290" t="s">
        <v>296</v>
      </c>
      <c r="I28" s="290" t="s">
        <v>296</v>
      </c>
      <c r="J28" s="290" t="s">
        <v>296</v>
      </c>
      <c r="K28" s="290" t="s">
        <v>296</v>
      </c>
      <c r="L28" s="290">
        <v>727.49</v>
      </c>
      <c r="M28" s="290" t="s">
        <v>296</v>
      </c>
      <c r="N28" s="290" t="s">
        <v>296</v>
      </c>
      <c r="O28" s="290" t="s">
        <v>296</v>
      </c>
      <c r="P28" s="290" t="s">
        <v>296</v>
      </c>
      <c r="Q28" s="290" t="s">
        <v>296</v>
      </c>
      <c r="R28" s="291" t="s">
        <v>296</v>
      </c>
      <c r="S28" s="307" t="s">
        <v>296</v>
      </c>
    </row>
    <row r="29" spans="1:19" ht="15.95">
      <c r="A29" s="304" t="s">
        <v>1091</v>
      </c>
      <c r="B29" s="287" t="s">
        <v>1092</v>
      </c>
      <c r="C29" s="290" t="s">
        <v>296</v>
      </c>
      <c r="D29" s="290" t="s">
        <v>296</v>
      </c>
      <c r="E29" s="290" t="s">
        <v>296</v>
      </c>
      <c r="F29" s="290" t="s">
        <v>296</v>
      </c>
      <c r="G29" s="290" t="s">
        <v>296</v>
      </c>
      <c r="H29" s="290" t="s">
        <v>296</v>
      </c>
      <c r="I29" s="290" t="s">
        <v>296</v>
      </c>
      <c r="J29" s="290" t="s">
        <v>296</v>
      </c>
      <c r="K29" s="290" t="s">
        <v>296</v>
      </c>
      <c r="L29" s="290" t="s">
        <v>296</v>
      </c>
      <c r="M29" s="290" t="s">
        <v>296</v>
      </c>
      <c r="N29" s="290" t="s">
        <v>296</v>
      </c>
      <c r="O29" s="290" t="s">
        <v>296</v>
      </c>
      <c r="P29" s="290" t="s">
        <v>296</v>
      </c>
      <c r="Q29" s="290" t="s">
        <v>296</v>
      </c>
      <c r="R29" s="291" t="s">
        <v>296</v>
      </c>
      <c r="S29" s="307" t="s">
        <v>296</v>
      </c>
    </row>
    <row r="30" spans="1:19" ht="15.95">
      <c r="A30" s="304" t="s">
        <v>1093</v>
      </c>
      <c r="B30" s="287" t="s">
        <v>1094</v>
      </c>
      <c r="C30" s="290" t="s">
        <v>296</v>
      </c>
      <c r="D30" s="290" t="s">
        <v>296</v>
      </c>
      <c r="E30" s="290" t="s">
        <v>296</v>
      </c>
      <c r="F30" s="290" t="s">
        <v>296</v>
      </c>
      <c r="G30" s="290" t="s">
        <v>296</v>
      </c>
      <c r="H30" s="290" t="s">
        <v>296</v>
      </c>
      <c r="I30" s="290" t="s">
        <v>296</v>
      </c>
      <c r="J30" s="290" t="s">
        <v>296</v>
      </c>
      <c r="K30" s="290">
        <v>-670.28</v>
      </c>
      <c r="L30" s="290">
        <v>-227.34</v>
      </c>
      <c r="M30" s="220">
        <v>4800</v>
      </c>
      <c r="N30" s="290" t="s">
        <v>296</v>
      </c>
      <c r="O30" s="220">
        <v>8401</v>
      </c>
      <c r="P30" s="290">
        <v>433</v>
      </c>
      <c r="Q30" s="290" t="s">
        <v>296</v>
      </c>
      <c r="R30" s="291" t="s">
        <v>296</v>
      </c>
      <c r="S30" s="307" t="s">
        <v>296</v>
      </c>
    </row>
    <row r="31" spans="1:19" ht="15.95">
      <c r="A31" s="304" t="s">
        <v>1095</v>
      </c>
      <c r="B31" s="287" t="s">
        <v>1096</v>
      </c>
      <c r="C31" s="290">
        <v>386.15</v>
      </c>
      <c r="D31" s="290" t="s">
        <v>296</v>
      </c>
      <c r="E31" s="290" t="s">
        <v>296</v>
      </c>
      <c r="F31" s="290" t="s">
        <v>296</v>
      </c>
      <c r="G31" s="290" t="s">
        <v>296</v>
      </c>
      <c r="H31" s="290" t="s">
        <v>296</v>
      </c>
      <c r="I31" s="290">
        <v>249.46</v>
      </c>
      <c r="J31" s="290" t="s">
        <v>296</v>
      </c>
      <c r="K31" s="290" t="s">
        <v>296</v>
      </c>
      <c r="L31" s="290">
        <v>-136.4</v>
      </c>
      <c r="M31" s="290" t="s">
        <v>296</v>
      </c>
      <c r="N31" s="290" t="s">
        <v>296</v>
      </c>
      <c r="O31" s="290" t="s">
        <v>296</v>
      </c>
      <c r="P31" s="290" t="s">
        <v>296</v>
      </c>
      <c r="Q31" s="220">
        <v>3325</v>
      </c>
      <c r="R31" s="291">
        <v>93</v>
      </c>
      <c r="S31" s="307">
        <v>-99</v>
      </c>
    </row>
    <row r="32" spans="1:19" ht="15.95">
      <c r="A32" s="304" t="s">
        <v>1097</v>
      </c>
      <c r="B32" s="287" t="s">
        <v>1098</v>
      </c>
      <c r="C32" s="290">
        <v>382</v>
      </c>
      <c r="D32" s="290">
        <v>260</v>
      </c>
      <c r="E32" s="290" t="s">
        <v>296</v>
      </c>
      <c r="F32" s="290" t="s">
        <v>296</v>
      </c>
      <c r="G32" s="290" t="s">
        <v>296</v>
      </c>
      <c r="H32" s="290">
        <v>50.51</v>
      </c>
      <c r="I32" s="290" t="s">
        <v>296</v>
      </c>
      <c r="J32" s="290" t="s">
        <v>296</v>
      </c>
      <c r="K32" s="290" t="s">
        <v>296</v>
      </c>
      <c r="L32" s="220">
        <v>1273.1099999999999</v>
      </c>
      <c r="M32" s="290" t="s">
        <v>296</v>
      </c>
      <c r="N32" s="290">
        <v>762.38</v>
      </c>
      <c r="O32" s="290">
        <v>380</v>
      </c>
      <c r="P32" s="290">
        <v>108</v>
      </c>
      <c r="Q32" s="290">
        <v>849</v>
      </c>
      <c r="R32" s="291" t="s">
        <v>296</v>
      </c>
      <c r="S32" s="307">
        <v>255</v>
      </c>
    </row>
    <row r="33" spans="1:19" ht="15.95">
      <c r="A33" s="304" t="s">
        <v>1099</v>
      </c>
      <c r="B33" s="287" t="s">
        <v>1100</v>
      </c>
      <c r="C33" s="290" t="s">
        <v>296</v>
      </c>
      <c r="D33" s="290" t="s">
        <v>296</v>
      </c>
      <c r="E33" s="290" t="s">
        <v>296</v>
      </c>
      <c r="F33" s="290">
        <v>-51</v>
      </c>
      <c r="G33" s="290" t="s">
        <v>296</v>
      </c>
      <c r="H33" s="290" t="s">
        <v>296</v>
      </c>
      <c r="I33" s="290" t="s">
        <v>296</v>
      </c>
      <c r="J33" s="290" t="s">
        <v>296</v>
      </c>
      <c r="K33" s="290" t="s">
        <v>296</v>
      </c>
      <c r="L33" s="290" t="s">
        <v>296</v>
      </c>
      <c r="M33" s="290" t="s">
        <v>296</v>
      </c>
      <c r="N33" s="290" t="s">
        <v>296</v>
      </c>
      <c r="O33" s="290" t="s">
        <v>296</v>
      </c>
      <c r="P33" s="290" t="s">
        <v>296</v>
      </c>
      <c r="Q33" s="290" t="s">
        <v>296</v>
      </c>
      <c r="R33" s="291" t="s">
        <v>296</v>
      </c>
      <c r="S33" s="307" t="s">
        <v>296</v>
      </c>
    </row>
    <row r="34" spans="1:19" ht="15.95">
      <c r="A34" s="304" t="s">
        <v>1101</v>
      </c>
      <c r="B34" s="287" t="s">
        <v>1102</v>
      </c>
      <c r="C34" s="290" t="s">
        <v>296</v>
      </c>
      <c r="D34" s="290" t="s">
        <v>296</v>
      </c>
      <c r="E34" s="290" t="s">
        <v>296</v>
      </c>
      <c r="F34" s="290" t="s">
        <v>296</v>
      </c>
      <c r="G34" s="290" t="s">
        <v>296</v>
      </c>
      <c r="H34" s="290" t="s">
        <v>296</v>
      </c>
      <c r="I34" s="290" t="s">
        <v>296</v>
      </c>
      <c r="J34" s="290" t="s">
        <v>296</v>
      </c>
      <c r="K34" s="290" t="s">
        <v>296</v>
      </c>
      <c r="L34" s="290" t="s">
        <v>296</v>
      </c>
      <c r="M34" s="220">
        <v>3541.46</v>
      </c>
      <c r="N34" s="220">
        <v>-1851.49</v>
      </c>
      <c r="O34" s="220">
        <v>-8589</v>
      </c>
      <c r="P34" s="220">
        <v>2440</v>
      </c>
      <c r="Q34" s="220">
        <v>1683</v>
      </c>
      <c r="R34" s="289">
        <v>3193</v>
      </c>
      <c r="S34" s="307">
        <v>878</v>
      </c>
    </row>
    <row r="35" spans="1:19" ht="15.95">
      <c r="A35" s="304" t="s">
        <v>1103</v>
      </c>
      <c r="B35" s="287" t="s">
        <v>1104</v>
      </c>
      <c r="C35" s="290" t="s">
        <v>296</v>
      </c>
      <c r="D35" s="290" t="s">
        <v>296</v>
      </c>
      <c r="E35" s="290" t="s">
        <v>296</v>
      </c>
      <c r="F35" s="290">
        <v>148</v>
      </c>
      <c r="G35" s="290" t="s">
        <v>296</v>
      </c>
      <c r="H35" s="290">
        <v>959.65</v>
      </c>
      <c r="I35" s="290" t="s">
        <v>296</v>
      </c>
      <c r="J35" s="290">
        <v>791.88</v>
      </c>
      <c r="K35" s="290">
        <v>383.02</v>
      </c>
      <c r="L35" s="290">
        <v>818.43</v>
      </c>
      <c r="M35" s="290" t="s">
        <v>296</v>
      </c>
      <c r="N35" s="290" t="s">
        <v>296</v>
      </c>
      <c r="O35" s="290">
        <v>175</v>
      </c>
      <c r="P35" s="290" t="s">
        <v>296</v>
      </c>
      <c r="Q35" s="290" t="s">
        <v>296</v>
      </c>
      <c r="R35" s="291" t="s">
        <v>296</v>
      </c>
      <c r="S35" s="307" t="s">
        <v>296</v>
      </c>
    </row>
    <row r="36" spans="1:19" ht="15.95">
      <c r="A36" s="187" t="s">
        <v>1105</v>
      </c>
      <c r="B36" s="287" t="s">
        <v>1106</v>
      </c>
      <c r="C36" s="220">
        <v>20867</v>
      </c>
      <c r="D36" s="220">
        <v>22118</v>
      </c>
      <c r="E36" s="220">
        <v>23538</v>
      </c>
      <c r="F36" s="220">
        <v>24332</v>
      </c>
      <c r="G36" s="220">
        <v>25662</v>
      </c>
      <c r="H36" s="220">
        <v>24656</v>
      </c>
      <c r="I36" s="220">
        <v>24799</v>
      </c>
      <c r="J36" s="220">
        <v>21638</v>
      </c>
      <c r="K36" s="220">
        <v>20497</v>
      </c>
      <c r="L36" s="220">
        <v>15123</v>
      </c>
      <c r="M36" s="220">
        <v>11460</v>
      </c>
      <c r="N36" s="220">
        <v>20116</v>
      </c>
      <c r="O36" s="220">
        <v>20564</v>
      </c>
      <c r="P36" s="220">
        <v>18696</v>
      </c>
      <c r="Q36" s="220">
        <v>17016</v>
      </c>
      <c r="R36" s="289">
        <v>21848</v>
      </c>
      <c r="S36" s="305">
        <v>26309</v>
      </c>
    </row>
    <row r="37" spans="1:19" ht="15.95">
      <c r="A37" s="304" t="s">
        <v>1107</v>
      </c>
      <c r="B37" s="287" t="s">
        <v>1108</v>
      </c>
      <c r="C37" s="220">
        <v>7133</v>
      </c>
      <c r="D37" s="220">
        <v>7156</v>
      </c>
      <c r="E37" s="220">
        <v>7579</v>
      </c>
      <c r="F37" s="220">
        <v>7924</v>
      </c>
      <c r="G37" s="220">
        <v>7958</v>
      </c>
      <c r="H37" s="220">
        <v>8105</v>
      </c>
      <c r="I37" s="220">
        <v>7985</v>
      </c>
      <c r="J37" s="220">
        <v>6558</v>
      </c>
      <c r="K37" s="220">
        <v>6204</v>
      </c>
      <c r="L37" s="220">
        <v>4600</v>
      </c>
      <c r="M37" s="220">
        <v>4281</v>
      </c>
      <c r="N37" s="220">
        <v>4915</v>
      </c>
      <c r="O37" s="220">
        <v>6858</v>
      </c>
      <c r="P37" s="220">
        <v>4756</v>
      </c>
      <c r="Q37" s="220">
        <v>5724</v>
      </c>
      <c r="R37" s="289">
        <v>5578</v>
      </c>
      <c r="S37" s="305">
        <v>6152</v>
      </c>
    </row>
    <row r="38" spans="1:19" ht="15.95">
      <c r="A38" s="304" t="s">
        <v>1109</v>
      </c>
      <c r="B38" s="287" t="s">
        <v>1110</v>
      </c>
      <c r="C38" s="220">
        <v>6564</v>
      </c>
      <c r="D38" s="220">
        <v>7643</v>
      </c>
      <c r="E38" s="220">
        <v>6703</v>
      </c>
      <c r="F38" s="220">
        <v>6722</v>
      </c>
      <c r="G38" s="220">
        <v>7976</v>
      </c>
      <c r="H38" s="220">
        <v>8619</v>
      </c>
      <c r="I38" s="220">
        <v>8504</v>
      </c>
      <c r="J38" s="220">
        <v>7584</v>
      </c>
      <c r="K38" s="220">
        <v>5459</v>
      </c>
      <c r="L38" s="220">
        <v>4780</v>
      </c>
      <c r="M38" s="220">
        <v>4751</v>
      </c>
      <c r="N38" s="220">
        <v>4586</v>
      </c>
      <c r="O38" s="220">
        <v>4860</v>
      </c>
      <c r="P38" s="220">
        <v>5515</v>
      </c>
      <c r="Q38" s="220">
        <v>5294</v>
      </c>
      <c r="R38" s="289">
        <v>5749</v>
      </c>
      <c r="S38" s="305">
        <v>6815</v>
      </c>
    </row>
    <row r="39" spans="1:19" ht="15.95">
      <c r="A39" s="304" t="s">
        <v>1111</v>
      </c>
      <c r="B39" s="287" t="s">
        <v>1112</v>
      </c>
      <c r="C39" s="290">
        <v>569</v>
      </c>
      <c r="D39" s="290">
        <v>-487</v>
      </c>
      <c r="E39" s="290">
        <v>876</v>
      </c>
      <c r="F39" s="220">
        <v>1202</v>
      </c>
      <c r="G39" s="290">
        <v>-18</v>
      </c>
      <c r="H39" s="290">
        <v>-514</v>
      </c>
      <c r="I39" s="290">
        <v>-519</v>
      </c>
      <c r="J39" s="220">
        <v>-1026</v>
      </c>
      <c r="K39" s="290">
        <v>745</v>
      </c>
      <c r="L39" s="290">
        <v>-180</v>
      </c>
      <c r="M39" s="290">
        <v>-470</v>
      </c>
      <c r="N39" s="290">
        <v>329</v>
      </c>
      <c r="O39" s="220">
        <v>1998</v>
      </c>
      <c r="P39" s="290">
        <v>-759</v>
      </c>
      <c r="Q39" s="290">
        <v>430</v>
      </c>
      <c r="R39" s="291">
        <v>-171</v>
      </c>
      <c r="S39" s="307">
        <v>-663</v>
      </c>
    </row>
    <row r="40" spans="1:19" ht="15.95">
      <c r="A40" s="187" t="s">
        <v>1113</v>
      </c>
      <c r="B40" s="287" t="s">
        <v>1114</v>
      </c>
      <c r="C40" s="220">
        <v>13734</v>
      </c>
      <c r="D40" s="220">
        <v>14962</v>
      </c>
      <c r="E40" s="220">
        <v>15959</v>
      </c>
      <c r="F40" s="220">
        <v>16408</v>
      </c>
      <c r="G40" s="220">
        <v>17704</v>
      </c>
      <c r="H40" s="220">
        <v>16551</v>
      </c>
      <c r="I40" s="220">
        <v>16814</v>
      </c>
      <c r="J40" s="220">
        <v>15080</v>
      </c>
      <c r="K40" s="220">
        <v>14293</v>
      </c>
      <c r="L40" s="220">
        <v>10523</v>
      </c>
      <c r="M40" s="220">
        <v>7179</v>
      </c>
      <c r="N40" s="220">
        <v>15201</v>
      </c>
      <c r="O40" s="220">
        <v>13706</v>
      </c>
      <c r="P40" s="220">
        <v>13940</v>
      </c>
      <c r="Q40" s="220">
        <v>11292</v>
      </c>
      <c r="R40" s="289">
        <v>16270</v>
      </c>
      <c r="S40" s="305">
        <v>20157</v>
      </c>
    </row>
    <row r="41" spans="1:19" ht="15.95">
      <c r="A41" s="304" t="s">
        <v>1115</v>
      </c>
      <c r="B41" s="287" t="s">
        <v>1116</v>
      </c>
      <c r="C41" s="290">
        <v>-146</v>
      </c>
      <c r="D41" s="290">
        <v>79</v>
      </c>
      <c r="E41" s="220">
        <v>-1034</v>
      </c>
      <c r="F41" s="290">
        <v>21</v>
      </c>
      <c r="G41" s="290">
        <v>-52</v>
      </c>
      <c r="H41" s="290">
        <v>-144</v>
      </c>
      <c r="I41" s="290">
        <v>-285</v>
      </c>
      <c r="J41" s="292" t="s">
        <v>961</v>
      </c>
      <c r="K41" s="292" t="s">
        <v>961</v>
      </c>
      <c r="L41" s="292" t="s">
        <v>961</v>
      </c>
      <c r="M41" s="292" t="s">
        <v>961</v>
      </c>
      <c r="N41" s="292" t="s">
        <v>961</v>
      </c>
      <c r="O41" s="292" t="s">
        <v>961</v>
      </c>
      <c r="P41" s="292" t="s">
        <v>961</v>
      </c>
      <c r="Q41" s="292" t="s">
        <v>961</v>
      </c>
      <c r="R41" s="293" t="s">
        <v>961</v>
      </c>
      <c r="S41" s="306" t="s">
        <v>961</v>
      </c>
    </row>
    <row r="42" spans="1:19" ht="15.95">
      <c r="A42" s="304" t="s">
        <v>1117</v>
      </c>
      <c r="B42" s="287" t="s">
        <v>1118</v>
      </c>
      <c r="C42" s="290">
        <v>-146</v>
      </c>
      <c r="D42" s="290">
        <v>79</v>
      </c>
      <c r="E42" s="220">
        <v>-1034</v>
      </c>
      <c r="F42" s="290">
        <v>21</v>
      </c>
      <c r="G42" s="290">
        <v>-52</v>
      </c>
      <c r="H42" s="290">
        <v>-144</v>
      </c>
      <c r="I42" s="290">
        <v>-285</v>
      </c>
      <c r="J42" s="292" t="s">
        <v>961</v>
      </c>
      <c r="K42" s="292" t="s">
        <v>961</v>
      </c>
      <c r="L42" s="292" t="s">
        <v>961</v>
      </c>
      <c r="M42" s="292" t="s">
        <v>961</v>
      </c>
      <c r="N42" s="292" t="s">
        <v>961</v>
      </c>
      <c r="O42" s="292" t="s">
        <v>961</v>
      </c>
      <c r="P42" s="292" t="s">
        <v>961</v>
      </c>
      <c r="Q42" s="292" t="s">
        <v>961</v>
      </c>
      <c r="R42" s="293" t="s">
        <v>961</v>
      </c>
      <c r="S42" s="306" t="s">
        <v>961</v>
      </c>
    </row>
    <row r="43" spans="1:19" ht="15.95">
      <c r="A43" s="304" t="s">
        <v>1119</v>
      </c>
      <c r="B43" s="287" t="s">
        <v>1120</v>
      </c>
      <c r="C43" s="292" t="s">
        <v>961</v>
      </c>
      <c r="D43" s="292" t="s">
        <v>961</v>
      </c>
      <c r="E43" s="292" t="s">
        <v>961</v>
      </c>
      <c r="F43" s="292" t="s">
        <v>961</v>
      </c>
      <c r="G43" s="292" t="s">
        <v>961</v>
      </c>
      <c r="H43" s="292" t="s">
        <v>961</v>
      </c>
      <c r="I43" s="292" t="s">
        <v>961</v>
      </c>
      <c r="J43" s="292" t="s">
        <v>961</v>
      </c>
      <c r="K43" s="292" t="s">
        <v>961</v>
      </c>
      <c r="L43" s="292" t="s">
        <v>961</v>
      </c>
      <c r="M43" s="292" t="s">
        <v>961</v>
      </c>
      <c r="N43" s="292" t="s">
        <v>961</v>
      </c>
      <c r="O43" s="292" t="s">
        <v>961</v>
      </c>
      <c r="P43" s="292" t="s">
        <v>961</v>
      </c>
      <c r="Q43" s="292" t="s">
        <v>961</v>
      </c>
      <c r="R43" s="293" t="s">
        <v>961</v>
      </c>
      <c r="S43" s="306" t="s">
        <v>961</v>
      </c>
    </row>
    <row r="44" spans="1:19" ht="15.95">
      <c r="A44" s="187" t="s">
        <v>1121</v>
      </c>
      <c r="B44" s="287" t="s">
        <v>1122</v>
      </c>
      <c r="C44" s="220">
        <v>13880</v>
      </c>
      <c r="D44" s="220">
        <v>14883</v>
      </c>
      <c r="E44" s="220">
        <v>16993</v>
      </c>
      <c r="F44" s="220">
        <v>16387</v>
      </c>
      <c r="G44" s="220">
        <v>17756</v>
      </c>
      <c r="H44" s="220">
        <v>16695</v>
      </c>
      <c r="I44" s="220">
        <v>17099</v>
      </c>
      <c r="J44" s="220">
        <v>15080</v>
      </c>
      <c r="K44" s="220">
        <v>14293</v>
      </c>
      <c r="L44" s="220">
        <v>10523</v>
      </c>
      <c r="M44" s="220">
        <v>7179</v>
      </c>
      <c r="N44" s="220">
        <v>15201</v>
      </c>
      <c r="O44" s="220">
        <v>13706</v>
      </c>
      <c r="P44" s="220">
        <v>13940</v>
      </c>
      <c r="Q44" s="220">
        <v>11292</v>
      </c>
      <c r="R44" s="289">
        <v>16270</v>
      </c>
      <c r="S44" s="305">
        <v>20157</v>
      </c>
    </row>
    <row r="45" spans="1:19" ht="15.95">
      <c r="A45" s="304" t="s">
        <v>1123</v>
      </c>
      <c r="B45" s="287" t="s">
        <v>1124</v>
      </c>
      <c r="C45" s="290">
        <v>499</v>
      </c>
      <c r="D45" s="290">
        <v>513</v>
      </c>
      <c r="E45" s="290">
        <v>604</v>
      </c>
      <c r="F45" s="290">
        <v>688</v>
      </c>
      <c r="G45" s="290">
        <v>757</v>
      </c>
      <c r="H45" s="290">
        <v>673</v>
      </c>
      <c r="I45" s="290">
        <v>736</v>
      </c>
      <c r="J45" s="290">
        <v>386</v>
      </c>
      <c r="K45" s="290">
        <v>650</v>
      </c>
      <c r="L45" s="290">
        <v>661</v>
      </c>
      <c r="M45" s="290">
        <v>509</v>
      </c>
      <c r="N45" s="290">
        <v>320</v>
      </c>
      <c r="O45" s="290">
        <v>196</v>
      </c>
      <c r="P45" s="290">
        <v>267</v>
      </c>
      <c r="Q45" s="290">
        <v>-388</v>
      </c>
      <c r="R45" s="291">
        <v>759</v>
      </c>
      <c r="S45" s="307">
        <v>721</v>
      </c>
    </row>
    <row r="46" spans="1:19" ht="15.95">
      <c r="A46" s="187" t="s">
        <v>1125</v>
      </c>
      <c r="B46" s="287" t="s">
        <v>1126</v>
      </c>
      <c r="C46" s="220">
        <v>13381</v>
      </c>
      <c r="D46" s="220">
        <v>14370</v>
      </c>
      <c r="E46" s="220">
        <v>16389</v>
      </c>
      <c r="F46" s="220">
        <v>15699</v>
      </c>
      <c r="G46" s="220">
        <v>16999</v>
      </c>
      <c r="H46" s="220">
        <v>16022</v>
      </c>
      <c r="I46" s="220">
        <v>16363</v>
      </c>
      <c r="J46" s="220">
        <v>14694</v>
      </c>
      <c r="K46" s="220">
        <v>13643</v>
      </c>
      <c r="L46" s="220">
        <v>9862</v>
      </c>
      <c r="M46" s="220">
        <v>6670</v>
      </c>
      <c r="N46" s="220">
        <v>14881</v>
      </c>
      <c r="O46" s="220">
        <v>13510</v>
      </c>
      <c r="P46" s="220">
        <v>13673</v>
      </c>
      <c r="Q46" s="220">
        <v>11680</v>
      </c>
      <c r="R46" s="289">
        <v>15511</v>
      </c>
      <c r="S46" s="305">
        <v>19436</v>
      </c>
    </row>
    <row r="47" spans="1:19" ht="15.95">
      <c r="A47" s="304" t="s">
        <v>1127</v>
      </c>
      <c r="B47" s="287" t="s">
        <v>1128</v>
      </c>
      <c r="C47" s="292" t="s">
        <v>961</v>
      </c>
      <c r="D47" s="292" t="s">
        <v>961</v>
      </c>
      <c r="E47" s="292" t="s">
        <v>961</v>
      </c>
      <c r="F47" s="292" t="s">
        <v>961</v>
      </c>
      <c r="G47" s="292" t="s">
        <v>961</v>
      </c>
      <c r="H47" s="292" t="s">
        <v>961</v>
      </c>
      <c r="I47" s="292" t="s">
        <v>961</v>
      </c>
      <c r="J47" s="292" t="s">
        <v>961</v>
      </c>
      <c r="K47" s="292" t="s">
        <v>961</v>
      </c>
      <c r="L47" s="292" t="s">
        <v>961</v>
      </c>
      <c r="M47" s="292" t="s">
        <v>961</v>
      </c>
      <c r="N47" s="292" t="s">
        <v>961</v>
      </c>
      <c r="O47" s="292" t="s">
        <v>961</v>
      </c>
      <c r="P47" s="292" t="s">
        <v>961</v>
      </c>
      <c r="Q47" s="292" t="s">
        <v>961</v>
      </c>
      <c r="R47" s="293" t="s">
        <v>961</v>
      </c>
      <c r="S47" s="306" t="s">
        <v>961</v>
      </c>
    </row>
    <row r="48" spans="1:19" ht="15.95">
      <c r="A48" s="304" t="s">
        <v>1129</v>
      </c>
      <c r="B48" s="287" t="s">
        <v>1130</v>
      </c>
      <c r="C48" s="292" t="s">
        <v>961</v>
      </c>
      <c r="D48" s="292" t="s">
        <v>961</v>
      </c>
      <c r="E48" s="292" t="s">
        <v>961</v>
      </c>
      <c r="F48" s="292" t="s">
        <v>961</v>
      </c>
      <c r="G48" s="292" t="s">
        <v>961</v>
      </c>
      <c r="H48" s="292" t="s">
        <v>961</v>
      </c>
      <c r="I48" s="292" t="s">
        <v>961</v>
      </c>
      <c r="J48" s="292" t="s">
        <v>961</v>
      </c>
      <c r="K48" s="292" t="s">
        <v>961</v>
      </c>
      <c r="L48" s="292" t="s">
        <v>961</v>
      </c>
      <c r="M48" s="292" t="s">
        <v>961</v>
      </c>
      <c r="N48" s="292" t="s">
        <v>961</v>
      </c>
      <c r="O48" s="292" t="s">
        <v>961</v>
      </c>
      <c r="P48" s="292" t="s">
        <v>961</v>
      </c>
      <c r="Q48" s="292" t="s">
        <v>961</v>
      </c>
      <c r="R48" s="293" t="s">
        <v>961</v>
      </c>
      <c r="S48" s="306" t="s">
        <v>961</v>
      </c>
    </row>
    <row r="49" spans="1:20" ht="15.95">
      <c r="A49" s="308" t="s">
        <v>1131</v>
      </c>
      <c r="B49" s="297" t="s">
        <v>1132</v>
      </c>
      <c r="C49" s="309">
        <v>13381</v>
      </c>
      <c r="D49" s="309">
        <v>14370</v>
      </c>
      <c r="E49" s="309">
        <v>16389</v>
      </c>
      <c r="F49" s="309">
        <v>15699</v>
      </c>
      <c r="G49" s="309">
        <v>16999</v>
      </c>
      <c r="H49" s="309">
        <v>16022</v>
      </c>
      <c r="I49" s="309">
        <v>16363</v>
      </c>
      <c r="J49" s="309">
        <v>14694</v>
      </c>
      <c r="K49" s="309">
        <v>13643</v>
      </c>
      <c r="L49" s="309">
        <v>9862</v>
      </c>
      <c r="M49" s="309">
        <v>6670</v>
      </c>
      <c r="N49" s="309">
        <v>14881</v>
      </c>
      <c r="O49" s="309">
        <v>13510</v>
      </c>
      <c r="P49" s="309">
        <v>13673</v>
      </c>
      <c r="Q49" s="309">
        <v>11680</v>
      </c>
      <c r="R49" s="310">
        <v>15511</v>
      </c>
      <c r="S49" s="311">
        <v>19436</v>
      </c>
    </row>
    <row r="51" spans="1:20">
      <c r="A51" s="191" t="s">
        <v>1133</v>
      </c>
      <c r="I51" s="195">
        <v>16534.599999999999</v>
      </c>
      <c r="J51" s="197">
        <v>16240.2</v>
      </c>
      <c r="K51" s="197">
        <v>14758.3</v>
      </c>
      <c r="L51" s="197">
        <v>13456.3</v>
      </c>
      <c r="M51" s="197">
        <v>13293.4</v>
      </c>
      <c r="N51" s="197">
        <v>14474.3</v>
      </c>
      <c r="O51" s="197">
        <v>14135.3</v>
      </c>
      <c r="P51" s="197">
        <v>15722.3</v>
      </c>
      <c r="Q51" s="197">
        <v>18133</v>
      </c>
      <c r="R51" s="197">
        <v>17640.099999999999</v>
      </c>
      <c r="S51" s="197">
        <v>17970.400000000001</v>
      </c>
      <c r="T51" s="197">
        <v>20244.099999999999</v>
      </c>
    </row>
    <row r="52" spans="1:20">
      <c r="A52" s="312" t="s">
        <v>1134</v>
      </c>
      <c r="I52" s="198">
        <v>656.6</v>
      </c>
      <c r="J52" s="199">
        <v>162.19999999999999</v>
      </c>
      <c r="K52" s="199">
        <v>64.3</v>
      </c>
      <c r="L52" s="199">
        <v>-186.7</v>
      </c>
      <c r="M52" s="200">
        <v>3431.4</v>
      </c>
      <c r="N52" s="200">
        <v>7804.3</v>
      </c>
      <c r="O52" s="199">
        <v>-745.7</v>
      </c>
      <c r="P52" s="200">
        <v>2212.3000000000002</v>
      </c>
      <c r="Q52" s="200">
        <v>4460</v>
      </c>
      <c r="R52" s="200">
        <v>5960.1</v>
      </c>
      <c r="S52" s="200">
        <v>2459.4</v>
      </c>
      <c r="T52" s="199">
        <v>808.1</v>
      </c>
    </row>
    <row r="53" spans="1:20">
      <c r="A53" s="312" t="s">
        <v>1135</v>
      </c>
      <c r="I53" s="198">
        <v>-144</v>
      </c>
      <c r="J53" s="199">
        <v>-285</v>
      </c>
      <c r="K53" s="199">
        <v>0</v>
      </c>
      <c r="L53" s="199">
        <v>0</v>
      </c>
      <c r="M53" s="199">
        <v>0</v>
      </c>
      <c r="N53" s="199">
        <v>0</v>
      </c>
      <c r="O53" s="199">
        <v>0</v>
      </c>
      <c r="P53" s="199">
        <v>0</v>
      </c>
      <c r="Q53" s="199">
        <v>0</v>
      </c>
      <c r="R53" s="199">
        <v>0</v>
      </c>
      <c r="S53" s="199">
        <v>0</v>
      </c>
      <c r="T53" s="199">
        <v>0</v>
      </c>
    </row>
    <row r="54" spans="1:20">
      <c r="A54" s="313"/>
      <c r="I54" s="194" t="s">
        <v>1136</v>
      </c>
      <c r="J54" s="196" t="s">
        <v>1136</v>
      </c>
      <c r="K54" s="196" t="s">
        <v>1136</v>
      </c>
      <c r="L54" s="196" t="s">
        <v>1136</v>
      </c>
      <c r="M54" s="196" t="s">
        <v>1136</v>
      </c>
      <c r="N54" s="196" t="s">
        <v>1136</v>
      </c>
      <c r="O54" s="196" t="s">
        <v>1136</v>
      </c>
      <c r="P54" s="196" t="s">
        <v>1136</v>
      </c>
      <c r="Q54" s="196" t="s">
        <v>1136</v>
      </c>
      <c r="R54" s="196" t="s">
        <v>1136</v>
      </c>
      <c r="S54" s="196" t="s">
        <v>1136</v>
      </c>
      <c r="T54" s="196" t="s">
        <v>1136</v>
      </c>
    </row>
    <row r="55" spans="1:20">
      <c r="A55" s="312" t="s">
        <v>1137</v>
      </c>
      <c r="I55" s="201">
        <v>9807</v>
      </c>
      <c r="J55" s="200">
        <v>9690</v>
      </c>
      <c r="K55" s="200">
        <v>9621</v>
      </c>
      <c r="L55" s="200">
        <v>9303</v>
      </c>
      <c r="M55" s="200">
        <v>8985</v>
      </c>
      <c r="N55" s="200">
        <v>8787</v>
      </c>
      <c r="O55" s="200">
        <v>8550</v>
      </c>
      <c r="P55" s="200">
        <v>8493</v>
      </c>
      <c r="Q55" s="200">
        <v>8376</v>
      </c>
      <c r="R55" s="200">
        <v>8172</v>
      </c>
      <c r="S55" s="200">
        <v>8077</v>
      </c>
      <c r="T55" s="200">
        <v>8041</v>
      </c>
    </row>
    <row r="56" spans="1:20">
      <c r="A56" s="192" t="s">
        <v>1138</v>
      </c>
      <c r="I56" s="194">
        <v>1.63</v>
      </c>
      <c r="J56" s="196">
        <v>1.69</v>
      </c>
      <c r="K56" s="196">
        <v>1.53</v>
      </c>
      <c r="L56" s="196">
        <v>1.47</v>
      </c>
      <c r="M56" s="196">
        <v>1.1000000000000001</v>
      </c>
      <c r="N56" s="196">
        <v>0.76</v>
      </c>
      <c r="O56" s="196">
        <v>1.74</v>
      </c>
      <c r="P56" s="196">
        <v>1.59</v>
      </c>
      <c r="Q56" s="196">
        <v>1.63</v>
      </c>
      <c r="R56" s="196">
        <v>1.43</v>
      </c>
      <c r="S56" s="196">
        <v>1.92</v>
      </c>
      <c r="T56" s="196">
        <v>2.42</v>
      </c>
    </row>
    <row r="57" spans="1:20">
      <c r="A57" s="192" t="s">
        <v>1139</v>
      </c>
      <c r="I57" s="194">
        <v>1.62</v>
      </c>
      <c r="J57" s="196">
        <v>1.66</v>
      </c>
      <c r="K57" s="196">
        <v>1.53</v>
      </c>
      <c r="L57" s="196">
        <v>1.47</v>
      </c>
      <c r="M57" s="196">
        <v>1.1000000000000001</v>
      </c>
      <c r="N57" s="196">
        <v>0.76</v>
      </c>
      <c r="O57" s="196">
        <v>1.74</v>
      </c>
      <c r="P57" s="196">
        <v>1.59</v>
      </c>
      <c r="Q57" s="196">
        <v>1.63</v>
      </c>
      <c r="R57" s="196">
        <v>1.43</v>
      </c>
      <c r="S57" s="196">
        <v>1.92</v>
      </c>
      <c r="T57" s="196">
        <v>2.42</v>
      </c>
    </row>
    <row r="58" spans="1:20">
      <c r="A58" s="192" t="s">
        <v>1140</v>
      </c>
      <c r="I58" s="194">
        <v>1.69</v>
      </c>
      <c r="J58" s="196">
        <v>1.68</v>
      </c>
      <c r="K58" s="196">
        <v>1.53</v>
      </c>
      <c r="L58" s="196">
        <v>1.45</v>
      </c>
      <c r="M58" s="196">
        <v>1.48</v>
      </c>
      <c r="N58" s="196">
        <v>1.65</v>
      </c>
      <c r="O58" s="196">
        <v>1.65</v>
      </c>
      <c r="P58" s="196">
        <v>1.85</v>
      </c>
      <c r="Q58" s="196">
        <v>2.16</v>
      </c>
      <c r="R58" s="196">
        <v>2.16</v>
      </c>
      <c r="S58" s="196">
        <v>2.2200000000000002</v>
      </c>
      <c r="T58" s="196">
        <v>2.52</v>
      </c>
    </row>
    <row r="59" spans="1:20">
      <c r="A59" s="313"/>
      <c r="I59" s="194" t="s">
        <v>1136</v>
      </c>
      <c r="J59" s="196" t="s">
        <v>1136</v>
      </c>
      <c r="K59" s="196" t="s">
        <v>1136</v>
      </c>
      <c r="L59" s="196" t="s">
        <v>1136</v>
      </c>
      <c r="M59" s="196" t="s">
        <v>1136</v>
      </c>
      <c r="N59" s="196" t="s">
        <v>1136</v>
      </c>
      <c r="O59" s="196" t="s">
        <v>1136</v>
      </c>
      <c r="P59" s="196" t="s">
        <v>1136</v>
      </c>
      <c r="Q59" s="196" t="s">
        <v>1136</v>
      </c>
      <c r="R59" s="196" t="s">
        <v>1136</v>
      </c>
      <c r="S59" s="196" t="s">
        <v>1136</v>
      </c>
      <c r="T59" s="196" t="s">
        <v>1136</v>
      </c>
    </row>
    <row r="60" spans="1:20">
      <c r="A60" s="312" t="s">
        <v>1141</v>
      </c>
      <c r="I60" s="201">
        <v>9849</v>
      </c>
      <c r="J60" s="200">
        <v>9729</v>
      </c>
      <c r="K60" s="200">
        <v>9651</v>
      </c>
      <c r="L60" s="200">
        <v>9336</v>
      </c>
      <c r="M60" s="200">
        <v>9030</v>
      </c>
      <c r="N60" s="200">
        <v>8835</v>
      </c>
      <c r="O60" s="200">
        <v>8604</v>
      </c>
      <c r="P60" s="200">
        <v>8541</v>
      </c>
      <c r="Q60" s="200">
        <v>8415</v>
      </c>
      <c r="R60" s="200">
        <v>8202</v>
      </c>
      <c r="S60" s="200">
        <v>8108</v>
      </c>
      <c r="T60" s="200">
        <v>8081</v>
      </c>
    </row>
    <row r="61" spans="1:20">
      <c r="A61" s="192" t="s">
        <v>1142</v>
      </c>
      <c r="I61" s="194">
        <v>1.63</v>
      </c>
      <c r="J61" s="196">
        <v>1.68</v>
      </c>
      <c r="K61" s="196">
        <v>1.52</v>
      </c>
      <c r="L61" s="196">
        <v>1.46</v>
      </c>
      <c r="M61" s="196">
        <v>1.0900000000000001</v>
      </c>
      <c r="N61" s="196">
        <v>0.75</v>
      </c>
      <c r="O61" s="196">
        <v>1.73</v>
      </c>
      <c r="P61" s="196">
        <v>1.58</v>
      </c>
      <c r="Q61" s="196">
        <v>1.62</v>
      </c>
      <c r="R61" s="196">
        <v>1.42</v>
      </c>
      <c r="S61" s="196">
        <v>1.91</v>
      </c>
      <c r="T61" s="196">
        <v>2.41</v>
      </c>
    </row>
    <row r="62" spans="1:20">
      <c r="A62" s="192" t="s">
        <v>1143</v>
      </c>
      <c r="I62" s="194">
        <v>1.62</v>
      </c>
      <c r="J62" s="196">
        <v>1.65</v>
      </c>
      <c r="K62" s="196">
        <v>1.52</v>
      </c>
      <c r="L62" s="196">
        <v>1.46</v>
      </c>
      <c r="M62" s="196">
        <v>1.0900000000000001</v>
      </c>
      <c r="N62" s="196">
        <v>0.75</v>
      </c>
      <c r="O62" s="196">
        <v>1.73</v>
      </c>
      <c r="P62" s="196">
        <v>1.58</v>
      </c>
      <c r="Q62" s="196">
        <v>1.62</v>
      </c>
      <c r="R62" s="196">
        <v>1.42</v>
      </c>
      <c r="S62" s="196">
        <v>1.91</v>
      </c>
      <c r="T62" s="196">
        <v>2.41</v>
      </c>
    </row>
    <row r="63" spans="1:20">
      <c r="A63" s="192" t="s">
        <v>1144</v>
      </c>
      <c r="I63" s="194">
        <v>1.68</v>
      </c>
      <c r="J63" s="196">
        <v>1.67</v>
      </c>
      <c r="K63" s="196">
        <v>1.53</v>
      </c>
      <c r="L63" s="196">
        <v>1.44</v>
      </c>
      <c r="M63" s="196">
        <v>1.47</v>
      </c>
      <c r="N63" s="196">
        <v>1.64</v>
      </c>
      <c r="O63" s="196">
        <v>1.64</v>
      </c>
      <c r="P63" s="196">
        <v>1.84</v>
      </c>
      <c r="Q63" s="196">
        <v>2.15</v>
      </c>
      <c r="R63" s="196">
        <v>2.15</v>
      </c>
      <c r="S63" s="196">
        <v>2.21</v>
      </c>
      <c r="T63" s="196">
        <v>2.5099999999999998</v>
      </c>
    </row>
    <row r="64" spans="1:20">
      <c r="A64" s="313"/>
      <c r="I64" s="194" t="s">
        <v>1136</v>
      </c>
      <c r="J64" s="196" t="s">
        <v>1136</v>
      </c>
      <c r="K64" s="196" t="s">
        <v>1136</v>
      </c>
      <c r="L64" s="196" t="s">
        <v>1136</v>
      </c>
      <c r="M64" s="196" t="s">
        <v>1136</v>
      </c>
      <c r="N64" s="196" t="s">
        <v>1136</v>
      </c>
      <c r="O64" s="196" t="s">
        <v>1136</v>
      </c>
      <c r="P64" s="196" t="s">
        <v>1136</v>
      </c>
      <c r="Q64" s="196" t="s">
        <v>1136</v>
      </c>
      <c r="R64" s="196" t="s">
        <v>1136</v>
      </c>
      <c r="S64" s="196" t="s">
        <v>1136</v>
      </c>
      <c r="T64" s="196" t="s">
        <v>1136</v>
      </c>
    </row>
    <row r="65" spans="1:20">
      <c r="A65" s="192" t="s">
        <v>1025</v>
      </c>
      <c r="I65" s="195"/>
      <c r="J65" s="196" t="s">
        <v>1136</v>
      </c>
      <c r="K65" s="196" t="s">
        <v>1136</v>
      </c>
      <c r="L65" s="196" t="s">
        <v>1136</v>
      </c>
      <c r="M65" s="196" t="s">
        <v>1136</v>
      </c>
      <c r="N65" s="196" t="s">
        <v>1136</v>
      </c>
      <c r="O65" s="196" t="s">
        <v>1136</v>
      </c>
      <c r="P65" s="196" t="s">
        <v>1136</v>
      </c>
      <c r="Q65" s="196" t="s">
        <v>1136</v>
      </c>
      <c r="R65" s="196" t="s">
        <v>1136</v>
      </c>
      <c r="S65" s="196" t="s">
        <v>1136</v>
      </c>
      <c r="T65" s="196" t="s">
        <v>1136</v>
      </c>
    </row>
    <row r="66" spans="1:20">
      <c r="A66" s="312" t="s">
        <v>1145</v>
      </c>
      <c r="I66" s="198" t="s">
        <v>1146</v>
      </c>
      <c r="J66" s="199" t="s">
        <v>1146</v>
      </c>
      <c r="K66" s="199" t="s">
        <v>1146</v>
      </c>
      <c r="L66" s="199" t="s">
        <v>1146</v>
      </c>
      <c r="M66" s="199" t="s">
        <v>1146</v>
      </c>
      <c r="N66" s="199" t="s">
        <v>1146</v>
      </c>
      <c r="O66" s="199" t="s">
        <v>1146</v>
      </c>
      <c r="P66" s="199" t="s">
        <v>1146</v>
      </c>
      <c r="Q66" s="199" t="s">
        <v>1146</v>
      </c>
      <c r="R66" s="199" t="s">
        <v>1146</v>
      </c>
      <c r="S66" s="199" t="s">
        <v>1146</v>
      </c>
      <c r="T66" s="199" t="s">
        <v>1146</v>
      </c>
    </row>
    <row r="67" spans="1:20">
      <c r="A67" s="312" t="s">
        <v>1026</v>
      </c>
      <c r="I67" s="201">
        <v>36752.199999999997</v>
      </c>
      <c r="J67" s="200">
        <v>36569.5</v>
      </c>
      <c r="K67" s="200">
        <v>34350.9</v>
      </c>
      <c r="L67" s="200">
        <v>32556.7</v>
      </c>
      <c r="M67" s="200">
        <v>33421.300000000003</v>
      </c>
      <c r="N67" s="200">
        <v>32635</v>
      </c>
      <c r="O67" s="200">
        <v>34987.4</v>
      </c>
      <c r="P67" s="200">
        <v>45282</v>
      </c>
      <c r="Q67" s="200">
        <v>39415</v>
      </c>
      <c r="R67" s="200">
        <v>37853</v>
      </c>
      <c r="S67" s="200">
        <v>41235</v>
      </c>
      <c r="T67" s="200">
        <v>44824</v>
      </c>
    </row>
    <row r="68" spans="1:20">
      <c r="A68" s="312" t="s">
        <v>1147</v>
      </c>
      <c r="I68" s="198">
        <v>7.72</v>
      </c>
      <c r="J68" s="199">
        <v>7.53</v>
      </c>
      <c r="K68" s="199">
        <v>7.12</v>
      </c>
      <c r="L68" s="199">
        <v>6.7</v>
      </c>
      <c r="M68" s="199">
        <v>6.68</v>
      </c>
      <c r="N68" s="199">
        <v>6.34</v>
      </c>
      <c r="O68" s="199">
        <v>6.68</v>
      </c>
      <c r="P68" s="199">
        <v>8.1</v>
      </c>
      <c r="Q68" s="199">
        <v>6.88</v>
      </c>
      <c r="R68" s="199">
        <v>6.19</v>
      </c>
      <c r="S68" s="199">
        <v>6.36</v>
      </c>
      <c r="T68" s="199">
        <v>6.58</v>
      </c>
    </row>
    <row r="69" spans="1:20">
      <c r="A69" s="312" t="s">
        <v>1148</v>
      </c>
      <c r="I69" s="201">
        <v>27952.2</v>
      </c>
      <c r="J69" s="200">
        <v>27469.5</v>
      </c>
      <c r="K69" s="200">
        <v>24896.9</v>
      </c>
      <c r="L69" s="200">
        <v>22476.7</v>
      </c>
      <c r="M69" s="200">
        <v>22921.3</v>
      </c>
      <c r="N69" s="200">
        <v>21957</v>
      </c>
      <c r="O69" s="200">
        <v>24000.400000000001</v>
      </c>
      <c r="P69" s="200">
        <v>34130</v>
      </c>
      <c r="Q69" s="200">
        <v>28757</v>
      </c>
      <c r="R69" s="200">
        <v>26908</v>
      </c>
      <c r="S69" s="200">
        <v>29382</v>
      </c>
      <c r="T69" s="199" t="s">
        <v>296</v>
      </c>
    </row>
    <row r="70" spans="1:20">
      <c r="A70" s="312" t="s">
        <v>1149</v>
      </c>
      <c r="I70" s="201">
        <v>27882.2</v>
      </c>
      <c r="J70" s="200">
        <v>27396.5</v>
      </c>
      <c r="K70" s="200">
        <v>24896.9</v>
      </c>
      <c r="L70" s="200">
        <v>22476.7</v>
      </c>
      <c r="M70" s="200">
        <v>22892.3</v>
      </c>
      <c r="N70" s="200">
        <v>21957</v>
      </c>
      <c r="O70" s="200">
        <v>21330.400000000001</v>
      </c>
      <c r="P70" s="200">
        <v>31504</v>
      </c>
      <c r="Q70" s="200">
        <v>26483</v>
      </c>
      <c r="R70" s="200">
        <v>24602</v>
      </c>
      <c r="S70" s="200">
        <v>27105</v>
      </c>
      <c r="T70" s="200">
        <v>29504</v>
      </c>
    </row>
    <row r="71" spans="1:20">
      <c r="A71" s="312" t="s">
        <v>1150</v>
      </c>
      <c r="I71" s="198">
        <v>24.82</v>
      </c>
      <c r="J71" s="199">
        <v>24.83</v>
      </c>
      <c r="K71" s="199">
        <v>25.13</v>
      </c>
      <c r="L71" s="199">
        <v>25.65</v>
      </c>
      <c r="M71" s="199">
        <v>25.37</v>
      </c>
      <c r="N71" s="199">
        <v>25.1</v>
      </c>
      <c r="O71" s="199">
        <v>24.69</v>
      </c>
      <c r="P71" s="199">
        <v>24.83</v>
      </c>
      <c r="Q71" s="199">
        <v>25.1</v>
      </c>
      <c r="R71" s="199">
        <v>24.14</v>
      </c>
      <c r="S71" s="199">
        <v>24.38</v>
      </c>
      <c r="T71" s="199">
        <v>24.85</v>
      </c>
    </row>
    <row r="72" spans="1:20">
      <c r="A72" s="312" t="s">
        <v>1151</v>
      </c>
      <c r="I72" s="198">
        <v>5.85</v>
      </c>
      <c r="J72" s="199">
        <v>5.64</v>
      </c>
      <c r="K72" s="199">
        <v>5.16</v>
      </c>
      <c r="L72" s="199">
        <v>4.63</v>
      </c>
      <c r="M72" s="199">
        <v>4.58</v>
      </c>
      <c r="N72" s="199">
        <v>4.2699999999999996</v>
      </c>
      <c r="O72" s="199">
        <v>4.07</v>
      </c>
      <c r="P72" s="199">
        <v>5.63</v>
      </c>
      <c r="Q72" s="199">
        <v>4.62</v>
      </c>
      <c r="R72" s="199">
        <v>4.0199999999999996</v>
      </c>
      <c r="S72" s="199">
        <v>4.18</v>
      </c>
      <c r="T72" s="199">
        <v>4.33</v>
      </c>
    </row>
    <row r="73" spans="1:20">
      <c r="A73" s="312" t="s">
        <v>1152</v>
      </c>
      <c r="I73" s="198">
        <v>3.47</v>
      </c>
      <c r="J73" s="199">
        <v>3.34</v>
      </c>
      <c r="K73" s="199">
        <v>3.06</v>
      </c>
      <c r="L73" s="199">
        <v>2.77</v>
      </c>
      <c r="M73" s="199">
        <v>2.66</v>
      </c>
      <c r="N73" s="199">
        <v>2.81</v>
      </c>
      <c r="O73" s="199">
        <v>2.7</v>
      </c>
      <c r="P73" s="199">
        <v>2.81</v>
      </c>
      <c r="Q73" s="199">
        <v>3.17</v>
      </c>
      <c r="R73" s="199">
        <v>2.89</v>
      </c>
      <c r="S73" s="199">
        <v>2.77</v>
      </c>
      <c r="T73" s="199">
        <v>2.97</v>
      </c>
    </row>
    <row r="74" spans="1:20">
      <c r="A74" s="312" t="s">
        <v>1153</v>
      </c>
      <c r="I74" s="201">
        <v>216497.27</v>
      </c>
      <c r="J74" s="200">
        <v>220750.45</v>
      </c>
      <c r="K74" s="200">
        <v>209621.74</v>
      </c>
      <c r="L74" s="200">
        <v>211249.13</v>
      </c>
      <c r="M74" s="200">
        <v>217540.43</v>
      </c>
      <c r="N74" s="200">
        <v>233820.45</v>
      </c>
      <c r="O74" s="200">
        <v>238165.45</v>
      </c>
      <c r="P74" s="200">
        <v>243109.13</v>
      </c>
      <c r="Q74" s="200">
        <v>249023.48</v>
      </c>
      <c r="R74" s="200">
        <v>291090</v>
      </c>
      <c r="S74" s="200">
        <v>308630.95</v>
      </c>
      <c r="T74" s="200">
        <v>324278.57</v>
      </c>
    </row>
    <row r="75" spans="1:20">
      <c r="A75" s="312" t="s">
        <v>1154</v>
      </c>
      <c r="I75" s="198">
        <v>0.63</v>
      </c>
      <c r="J75" s="199">
        <v>0.64</v>
      </c>
      <c r="K75" s="199">
        <v>0.65</v>
      </c>
      <c r="L75" s="199">
        <v>0.67</v>
      </c>
      <c r="M75" s="199">
        <v>0.68</v>
      </c>
      <c r="N75" s="199">
        <v>0.69</v>
      </c>
      <c r="O75" s="199">
        <v>0.71</v>
      </c>
      <c r="P75" s="199">
        <v>0.72</v>
      </c>
      <c r="Q75" s="199">
        <v>0.73</v>
      </c>
      <c r="R75" s="199">
        <v>0.75</v>
      </c>
      <c r="S75" s="199">
        <v>0.76</v>
      </c>
      <c r="T75" s="199">
        <v>0.83</v>
      </c>
    </row>
    <row r="76" spans="1:20">
      <c r="A76" s="312" t="s">
        <v>372</v>
      </c>
      <c r="I76" s="201">
        <v>6100</v>
      </c>
      <c r="J76" s="200">
        <v>6185</v>
      </c>
      <c r="K76" s="200">
        <v>6294</v>
      </c>
      <c r="L76" s="200">
        <v>6216</v>
      </c>
      <c r="M76" s="200">
        <v>6124</v>
      </c>
      <c r="N76" s="200">
        <v>6102</v>
      </c>
      <c r="O76" s="200">
        <v>6048</v>
      </c>
      <c r="P76" s="200">
        <v>6116</v>
      </c>
      <c r="Q76" s="200">
        <v>6152</v>
      </c>
      <c r="R76" s="200">
        <v>6114</v>
      </c>
      <c r="S76" s="200">
        <v>6140</v>
      </c>
      <c r="T76" s="200">
        <v>6688</v>
      </c>
    </row>
    <row r="77" spans="1:20">
      <c r="A77" s="312" t="s">
        <v>1155</v>
      </c>
      <c r="I77" s="198">
        <v>78</v>
      </c>
      <c r="J77" s="199">
        <v>59</v>
      </c>
      <c r="K77" s="199">
        <v>39</v>
      </c>
      <c r="L77" s="199">
        <v>36</v>
      </c>
      <c r="M77" s="199">
        <v>17</v>
      </c>
      <c r="N77" s="199" t="s">
        <v>296</v>
      </c>
      <c r="O77" s="199" t="s">
        <v>296</v>
      </c>
      <c r="P77" s="199" t="s">
        <v>296</v>
      </c>
      <c r="Q77" s="199" t="s">
        <v>296</v>
      </c>
      <c r="R77" s="199" t="s">
        <v>296</v>
      </c>
      <c r="S77" s="199" t="s">
        <v>296</v>
      </c>
      <c r="T77" s="199" t="s">
        <v>296</v>
      </c>
    </row>
    <row r="78" spans="1:20">
      <c r="A78" s="312" t="s">
        <v>1156</v>
      </c>
      <c r="I78" s="198" t="s">
        <v>296</v>
      </c>
      <c r="J78" s="199" t="s">
        <v>296</v>
      </c>
      <c r="K78" s="199" t="s">
        <v>296</v>
      </c>
      <c r="L78" s="199" t="s">
        <v>296</v>
      </c>
      <c r="M78" s="199" t="s">
        <v>296</v>
      </c>
      <c r="N78" s="199">
        <v>0</v>
      </c>
      <c r="O78" s="199">
        <v>0</v>
      </c>
      <c r="P78" s="199">
        <v>0</v>
      </c>
      <c r="Q78" s="199">
        <v>0</v>
      </c>
      <c r="R78" s="199">
        <v>0</v>
      </c>
      <c r="S78" s="199">
        <v>0</v>
      </c>
      <c r="T78" s="199">
        <v>0</v>
      </c>
    </row>
    <row r="79" spans="1:20">
      <c r="A79" s="312" t="s">
        <v>351</v>
      </c>
      <c r="I79" s="201">
        <v>8800</v>
      </c>
      <c r="J79" s="200">
        <v>9100</v>
      </c>
      <c r="K79" s="200">
        <v>9454</v>
      </c>
      <c r="L79" s="200">
        <v>10080</v>
      </c>
      <c r="M79" s="200">
        <v>10500</v>
      </c>
      <c r="N79" s="200">
        <v>10678</v>
      </c>
      <c r="O79" s="200">
        <v>10987</v>
      </c>
      <c r="P79" s="200">
        <v>11152</v>
      </c>
      <c r="Q79" s="200">
        <v>10658</v>
      </c>
      <c r="R79" s="200">
        <v>10945</v>
      </c>
      <c r="S79" s="200">
        <v>11853</v>
      </c>
      <c r="T79" s="199" t="s">
        <v>296</v>
      </c>
    </row>
    <row r="80" spans="1:20">
      <c r="A80" s="314" t="s">
        <v>1157</v>
      </c>
      <c r="I80" s="202">
        <v>2800</v>
      </c>
      <c r="J80" s="203">
        <v>2800</v>
      </c>
      <c r="K80" s="203">
        <v>2500</v>
      </c>
      <c r="L80" s="203">
        <v>2600</v>
      </c>
      <c r="M80" s="203">
        <v>2900</v>
      </c>
      <c r="N80" s="203">
        <v>3000</v>
      </c>
      <c r="O80" s="203">
        <v>3361</v>
      </c>
      <c r="P80" s="203">
        <v>3403</v>
      </c>
      <c r="Q80" s="203">
        <v>3097</v>
      </c>
      <c r="R80" s="203">
        <v>3205</v>
      </c>
      <c r="S80" s="203">
        <v>3359</v>
      </c>
      <c r="T80" s="203">
        <v>3492</v>
      </c>
    </row>
    <row r="81" spans="1:9">
      <c r="A81" s="193" t="s">
        <v>491</v>
      </c>
    </row>
    <row r="84" spans="1:9">
      <c r="I84" s="208">
        <f>SUM(I67-I79)</f>
        <v>27952.199999999997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FD8B7-BD6E-46BE-B776-36C2A2B4EFE1}">
  <dimension ref="A1:AI100"/>
  <sheetViews>
    <sheetView topLeftCell="AA17" zoomScale="95" zoomScaleNormal="85" workbookViewId="0">
      <selection activeCell="AH30" sqref="AH30"/>
    </sheetView>
  </sheetViews>
  <sheetFormatPr defaultColWidth="8.85546875" defaultRowHeight="15"/>
  <cols>
    <col min="1" max="1" width="33.85546875" customWidth="1"/>
    <col min="2" max="2" width="29.85546875" hidden="1" customWidth="1"/>
    <col min="3" max="4" width="12.28515625" hidden="1" customWidth="1"/>
    <col min="5" max="10" width="10.42578125" hidden="1" customWidth="1"/>
    <col min="11" max="11" width="11.42578125" hidden="1" customWidth="1"/>
    <col min="12" max="12" width="11.42578125" customWidth="1"/>
    <col min="13" max="17" width="12.28515625" customWidth="1"/>
    <col min="18" max="22" width="12.28515625" bestFit="1" customWidth="1"/>
    <col min="24" max="24" width="10.5703125" bestFit="1" customWidth="1"/>
  </cols>
  <sheetData>
    <row r="1" spans="1:22" ht="15.95">
      <c r="A1" s="315" t="s">
        <v>585</v>
      </c>
      <c r="B1" s="270"/>
      <c r="C1" s="270"/>
      <c r="D1" s="270"/>
      <c r="E1" s="270"/>
      <c r="F1" s="270"/>
      <c r="G1" s="270"/>
      <c r="H1" s="270"/>
      <c r="I1" s="270"/>
      <c r="J1" s="270"/>
      <c r="K1" s="270"/>
      <c r="L1" s="270"/>
      <c r="M1" s="270"/>
      <c r="N1" s="270"/>
      <c r="O1" s="270"/>
      <c r="P1" s="270"/>
      <c r="Q1" s="270"/>
      <c r="R1" s="270"/>
      <c r="S1" s="270"/>
      <c r="T1" s="270"/>
      <c r="U1" s="270"/>
      <c r="V1" s="271"/>
    </row>
    <row r="2" spans="1:22" ht="42">
      <c r="A2" s="272" t="s">
        <v>932</v>
      </c>
      <c r="B2" s="273"/>
      <c r="C2" s="273"/>
      <c r="D2" s="273"/>
      <c r="E2" s="273"/>
      <c r="F2" s="273"/>
      <c r="G2" s="273"/>
      <c r="H2" s="273"/>
      <c r="I2" s="273"/>
      <c r="J2" s="273"/>
      <c r="K2" s="273"/>
      <c r="L2" s="273"/>
      <c r="M2" s="273"/>
      <c r="N2" s="273"/>
      <c r="O2" s="273"/>
      <c r="P2" s="273"/>
      <c r="Q2" s="273"/>
      <c r="R2" s="273"/>
      <c r="S2" s="273"/>
      <c r="T2" s="273"/>
      <c r="U2" s="273"/>
      <c r="V2" s="274"/>
    </row>
    <row r="3" spans="1:22">
      <c r="A3" s="275"/>
      <c r="B3" s="276"/>
      <c r="C3" s="276"/>
      <c r="D3" s="276"/>
      <c r="E3" s="276"/>
      <c r="F3" s="276"/>
      <c r="G3" s="276"/>
      <c r="H3" s="276"/>
      <c r="I3" s="276"/>
      <c r="J3" s="276"/>
      <c r="K3" s="276"/>
      <c r="L3" s="276"/>
      <c r="M3" s="276"/>
      <c r="N3" s="276"/>
      <c r="O3" s="276"/>
      <c r="P3" s="276"/>
      <c r="Q3" s="276"/>
      <c r="R3" s="276"/>
      <c r="S3" s="276"/>
      <c r="T3" s="276"/>
      <c r="U3" s="276"/>
      <c r="V3" s="277"/>
    </row>
    <row r="4" spans="1:22">
      <c r="A4" s="278" t="s">
        <v>242</v>
      </c>
      <c r="B4" s="279"/>
      <c r="C4" s="280" t="s">
        <v>1158</v>
      </c>
      <c r="D4" s="280" t="s">
        <v>933</v>
      </c>
      <c r="E4" s="280" t="s">
        <v>934</v>
      </c>
      <c r="F4" s="280" t="s">
        <v>935</v>
      </c>
      <c r="G4" s="280" t="s">
        <v>936</v>
      </c>
      <c r="H4" s="280" t="s">
        <v>243</v>
      </c>
      <c r="I4" s="280" t="s">
        <v>244</v>
      </c>
      <c r="J4" s="280" t="s">
        <v>245</v>
      </c>
      <c r="K4" s="280" t="s">
        <v>246</v>
      </c>
      <c r="L4" s="280" t="s">
        <v>247</v>
      </c>
      <c r="M4" s="280" t="s">
        <v>248</v>
      </c>
      <c r="N4" s="280" t="s">
        <v>249</v>
      </c>
      <c r="O4" s="280" t="s">
        <v>250</v>
      </c>
      <c r="P4" s="280" t="s">
        <v>251</v>
      </c>
      <c r="Q4" s="280" t="s">
        <v>252</v>
      </c>
      <c r="R4" s="280" t="s">
        <v>253</v>
      </c>
      <c r="S4" s="280" t="s">
        <v>254</v>
      </c>
      <c r="T4" s="280" t="s">
        <v>255</v>
      </c>
      <c r="U4" s="280" t="s">
        <v>256</v>
      </c>
      <c r="V4" s="280" t="s">
        <v>257</v>
      </c>
    </row>
    <row r="5" spans="1:22">
      <c r="A5" s="281" t="s">
        <v>258</v>
      </c>
      <c r="B5" s="273"/>
      <c r="C5" s="282">
        <v>38748</v>
      </c>
      <c r="D5" s="282">
        <v>39113</v>
      </c>
      <c r="E5" s="282">
        <v>39478</v>
      </c>
      <c r="F5" s="282">
        <v>39844</v>
      </c>
      <c r="G5" s="282">
        <v>40209</v>
      </c>
      <c r="H5" s="282">
        <v>40574</v>
      </c>
      <c r="I5" s="282">
        <v>40939</v>
      </c>
      <c r="J5" s="282">
        <v>41305</v>
      </c>
      <c r="K5" s="282">
        <v>41670</v>
      </c>
      <c r="L5" s="282">
        <v>42035</v>
      </c>
      <c r="M5" s="282">
        <v>42400</v>
      </c>
      <c r="N5" s="282">
        <v>42766</v>
      </c>
      <c r="O5" s="282">
        <v>43131</v>
      </c>
      <c r="P5" s="282">
        <v>43496</v>
      </c>
      <c r="Q5" s="282">
        <v>43861</v>
      </c>
      <c r="R5" s="282">
        <v>44227</v>
      </c>
      <c r="S5" s="282">
        <v>44592</v>
      </c>
      <c r="T5" s="282">
        <v>44957</v>
      </c>
      <c r="U5" s="282">
        <v>45322</v>
      </c>
      <c r="V5" s="282">
        <v>45688</v>
      </c>
    </row>
    <row r="6" spans="1:22" ht="15.95">
      <c r="A6" s="186" t="s">
        <v>622</v>
      </c>
      <c r="B6" s="284"/>
      <c r="C6" s="284"/>
      <c r="D6" s="284"/>
      <c r="E6" s="284"/>
      <c r="F6" s="284"/>
      <c r="G6" s="284"/>
      <c r="H6" s="284"/>
      <c r="I6" s="284"/>
      <c r="J6" s="284"/>
      <c r="K6" s="284"/>
      <c r="L6" s="284"/>
      <c r="M6" s="284"/>
      <c r="N6" s="284"/>
      <c r="O6" s="284"/>
      <c r="P6" s="284"/>
      <c r="Q6" s="284"/>
      <c r="R6" s="284"/>
      <c r="S6" s="284"/>
      <c r="T6" s="284"/>
      <c r="U6" s="284"/>
      <c r="V6" s="285"/>
    </row>
    <row r="7" spans="1:22" ht="15.95">
      <c r="A7" s="223" t="s">
        <v>1159</v>
      </c>
      <c r="B7" s="290" t="s">
        <v>1160</v>
      </c>
      <c r="C7" s="220">
        <v>6193</v>
      </c>
      <c r="D7" s="220">
        <v>7767</v>
      </c>
      <c r="E7" s="220">
        <v>5492</v>
      </c>
      <c r="F7" s="220">
        <v>7275</v>
      </c>
      <c r="G7" s="220">
        <v>7907</v>
      </c>
      <c r="H7" s="220">
        <v>7395</v>
      </c>
      <c r="I7" s="220">
        <v>6550</v>
      </c>
      <c r="J7" s="220">
        <v>7781</v>
      </c>
      <c r="K7" s="220">
        <v>7281</v>
      </c>
      <c r="L7" s="220">
        <v>9135</v>
      </c>
      <c r="M7" s="220">
        <v>8705</v>
      </c>
      <c r="N7" s="220">
        <v>6867</v>
      </c>
      <c r="O7" s="220">
        <v>6756</v>
      </c>
      <c r="P7" s="220">
        <v>7722</v>
      </c>
      <c r="Q7" s="220">
        <v>9465</v>
      </c>
      <c r="R7" s="220">
        <v>17741</v>
      </c>
      <c r="S7" s="220">
        <v>14760</v>
      </c>
      <c r="T7" s="220">
        <v>8625</v>
      </c>
      <c r="U7" s="220">
        <v>9867</v>
      </c>
      <c r="V7" s="289">
        <v>9037</v>
      </c>
    </row>
    <row r="8" spans="1:22" ht="15.95">
      <c r="A8" s="223" t="s">
        <v>1161</v>
      </c>
      <c r="B8" s="290" t="s">
        <v>1162</v>
      </c>
      <c r="C8" s="220">
        <v>6193</v>
      </c>
      <c r="D8" s="220">
        <v>7767</v>
      </c>
      <c r="E8" s="220">
        <v>5492</v>
      </c>
      <c r="F8" s="220">
        <v>7275</v>
      </c>
      <c r="G8" s="220">
        <v>7907</v>
      </c>
      <c r="H8" s="220">
        <v>7395</v>
      </c>
      <c r="I8" s="220">
        <v>6550</v>
      </c>
      <c r="J8" s="220">
        <v>7781</v>
      </c>
      <c r="K8" s="220">
        <v>7281</v>
      </c>
      <c r="L8" s="316">
        <v>9135</v>
      </c>
      <c r="M8" s="224">
        <v>8705</v>
      </c>
      <c r="N8" s="224">
        <v>6867</v>
      </c>
      <c r="O8" s="224">
        <v>6756</v>
      </c>
      <c r="P8" s="224">
        <v>7722</v>
      </c>
      <c r="Q8" s="224">
        <v>9465</v>
      </c>
      <c r="R8" s="224">
        <v>17741</v>
      </c>
      <c r="S8" s="224">
        <v>14760</v>
      </c>
      <c r="T8" s="224">
        <v>8625</v>
      </c>
      <c r="U8" s="224">
        <v>9867</v>
      </c>
      <c r="V8" s="317">
        <v>9037</v>
      </c>
    </row>
    <row r="9" spans="1:22" ht="15.95">
      <c r="A9" s="304" t="s">
        <v>1163</v>
      </c>
      <c r="B9" s="290" t="s">
        <v>1164</v>
      </c>
      <c r="C9" s="292" t="s">
        <v>961</v>
      </c>
      <c r="D9" s="292" t="s">
        <v>961</v>
      </c>
      <c r="E9" s="292" t="s">
        <v>961</v>
      </c>
      <c r="F9" s="292" t="s">
        <v>961</v>
      </c>
      <c r="G9" s="292" t="s">
        <v>961</v>
      </c>
      <c r="H9" s="292" t="s">
        <v>961</v>
      </c>
      <c r="I9" s="292" t="s">
        <v>961</v>
      </c>
      <c r="J9" s="292" t="s">
        <v>961</v>
      </c>
      <c r="K9" s="292" t="s">
        <v>961</v>
      </c>
      <c r="L9" s="292" t="s">
        <v>961</v>
      </c>
      <c r="M9" s="292" t="s">
        <v>961</v>
      </c>
      <c r="N9" s="292" t="s">
        <v>961</v>
      </c>
      <c r="O9" s="292" t="s">
        <v>961</v>
      </c>
      <c r="P9" s="292" t="s">
        <v>961</v>
      </c>
      <c r="Q9" s="292" t="s">
        <v>961</v>
      </c>
      <c r="R9" s="292" t="s">
        <v>961</v>
      </c>
      <c r="S9" s="292" t="s">
        <v>961</v>
      </c>
      <c r="T9" s="292" t="s">
        <v>961</v>
      </c>
      <c r="U9" s="292" t="s">
        <v>961</v>
      </c>
      <c r="V9" s="293" t="s">
        <v>961</v>
      </c>
    </row>
    <row r="10" spans="1:22" ht="15.95">
      <c r="A10" s="223" t="s">
        <v>1165</v>
      </c>
      <c r="B10" s="290" t="s">
        <v>1166</v>
      </c>
      <c r="C10" s="220">
        <v>2575</v>
      </c>
      <c r="D10" s="220">
        <v>2840</v>
      </c>
      <c r="E10" s="220">
        <v>3642</v>
      </c>
      <c r="F10" s="220">
        <v>3905</v>
      </c>
      <c r="G10" s="220">
        <v>4144</v>
      </c>
      <c r="H10" s="220">
        <v>5089</v>
      </c>
      <c r="I10" s="220">
        <v>5937</v>
      </c>
      <c r="J10" s="220">
        <v>6768</v>
      </c>
      <c r="K10" s="220">
        <v>6677</v>
      </c>
      <c r="L10" s="316">
        <v>6778</v>
      </c>
      <c r="M10" s="224">
        <v>5624</v>
      </c>
      <c r="N10" s="224">
        <v>5835</v>
      </c>
      <c r="O10" s="224">
        <v>5614</v>
      </c>
      <c r="P10" s="224">
        <v>6283</v>
      </c>
      <c r="Q10" s="224">
        <v>6284</v>
      </c>
      <c r="R10" s="224">
        <v>6516</v>
      </c>
      <c r="S10" s="224">
        <v>8280</v>
      </c>
      <c r="T10" s="224">
        <v>7933</v>
      </c>
      <c r="U10" s="224">
        <v>8796</v>
      </c>
      <c r="V10" s="317">
        <v>9975</v>
      </c>
    </row>
    <row r="11" spans="1:22" ht="15.95">
      <c r="A11" s="223" t="s">
        <v>1167</v>
      </c>
      <c r="B11" s="290" t="s">
        <v>1168</v>
      </c>
      <c r="C11" s="220">
        <v>2575</v>
      </c>
      <c r="D11" s="220">
        <v>2840</v>
      </c>
      <c r="E11" s="220">
        <v>3642</v>
      </c>
      <c r="F11" s="220">
        <v>3905</v>
      </c>
      <c r="G11" s="220">
        <v>4144</v>
      </c>
      <c r="H11" s="220">
        <v>5089</v>
      </c>
      <c r="I11" s="220">
        <v>5937</v>
      </c>
      <c r="J11" s="220">
        <v>6768</v>
      </c>
      <c r="K11" s="220">
        <v>6677</v>
      </c>
      <c r="L11" s="220">
        <v>6778</v>
      </c>
      <c r="M11" s="220">
        <v>5624</v>
      </c>
      <c r="N11" s="220">
        <v>5835</v>
      </c>
      <c r="O11" s="220">
        <v>5614</v>
      </c>
      <c r="P11" s="220">
        <v>6283</v>
      </c>
      <c r="Q11" s="220">
        <v>6284</v>
      </c>
      <c r="R11" s="220">
        <v>6516</v>
      </c>
      <c r="S11" s="220">
        <v>8280</v>
      </c>
      <c r="T11" s="220">
        <v>7933</v>
      </c>
      <c r="U11" s="220">
        <v>8796</v>
      </c>
      <c r="V11" s="289">
        <v>9975</v>
      </c>
    </row>
    <row r="12" spans="1:22" ht="15.95">
      <c r="A12" s="304" t="s">
        <v>1169</v>
      </c>
      <c r="B12" s="290" t="s">
        <v>1170</v>
      </c>
      <c r="C12" s="290" t="s">
        <v>296</v>
      </c>
      <c r="D12" s="290" t="s">
        <v>296</v>
      </c>
      <c r="E12" s="290" t="s">
        <v>296</v>
      </c>
      <c r="F12" s="292" t="s">
        <v>961</v>
      </c>
      <c r="G12" s="292" t="s">
        <v>961</v>
      </c>
      <c r="H12" s="292" t="s">
        <v>961</v>
      </c>
      <c r="I12" s="292" t="s">
        <v>961</v>
      </c>
      <c r="J12" s="292" t="s">
        <v>961</v>
      </c>
      <c r="K12" s="292" t="s">
        <v>961</v>
      </c>
      <c r="L12" s="292" t="s">
        <v>961</v>
      </c>
      <c r="M12" s="292" t="s">
        <v>961</v>
      </c>
      <c r="N12" s="292" t="s">
        <v>961</v>
      </c>
      <c r="O12" s="292" t="s">
        <v>961</v>
      </c>
      <c r="P12" s="292" t="s">
        <v>961</v>
      </c>
      <c r="Q12" s="292" t="s">
        <v>961</v>
      </c>
      <c r="R12" s="292" t="s">
        <v>961</v>
      </c>
      <c r="S12" s="292" t="s">
        <v>961</v>
      </c>
      <c r="T12" s="292" t="s">
        <v>961</v>
      </c>
      <c r="U12" s="292" t="s">
        <v>961</v>
      </c>
      <c r="V12" s="293" t="s">
        <v>961</v>
      </c>
    </row>
    <row r="13" spans="1:22" ht="15.95">
      <c r="A13" s="223" t="s">
        <v>1171</v>
      </c>
      <c r="B13" s="290" t="s">
        <v>1172</v>
      </c>
      <c r="C13" s="220">
        <v>31910</v>
      </c>
      <c r="D13" s="220">
        <v>33685</v>
      </c>
      <c r="E13" s="220">
        <v>35159</v>
      </c>
      <c r="F13" s="220">
        <v>34511</v>
      </c>
      <c r="G13" s="220">
        <v>32713</v>
      </c>
      <c r="H13" s="220">
        <v>36437</v>
      </c>
      <c r="I13" s="220">
        <v>40714</v>
      </c>
      <c r="J13" s="220">
        <v>43803</v>
      </c>
      <c r="K13" s="220">
        <v>44858</v>
      </c>
      <c r="L13" s="316">
        <v>45141</v>
      </c>
      <c r="M13" s="224">
        <v>44469</v>
      </c>
      <c r="N13" s="224">
        <v>43046</v>
      </c>
      <c r="O13" s="224">
        <v>43783</v>
      </c>
      <c r="P13" s="224">
        <v>44269</v>
      </c>
      <c r="Q13" s="224">
        <v>44435</v>
      </c>
      <c r="R13" s="224">
        <v>44949</v>
      </c>
      <c r="S13" s="224">
        <v>56511</v>
      </c>
      <c r="T13" s="224">
        <v>56576</v>
      </c>
      <c r="U13" s="224">
        <v>54892</v>
      </c>
      <c r="V13" s="317">
        <v>56435</v>
      </c>
    </row>
    <row r="14" spans="1:22" ht="15.95">
      <c r="A14" s="304" t="s">
        <v>1173</v>
      </c>
      <c r="B14" s="290" t="s">
        <v>1174</v>
      </c>
      <c r="C14" s="292" t="s">
        <v>961</v>
      </c>
      <c r="D14" s="292" t="s">
        <v>961</v>
      </c>
      <c r="E14" s="292" t="s">
        <v>961</v>
      </c>
      <c r="F14" s="290" t="s">
        <v>296</v>
      </c>
      <c r="G14" s="290" t="s">
        <v>296</v>
      </c>
      <c r="H14" s="290" t="s">
        <v>296</v>
      </c>
      <c r="I14" s="290" t="s">
        <v>296</v>
      </c>
      <c r="J14" s="290" t="s">
        <v>296</v>
      </c>
      <c r="K14" s="290" t="s">
        <v>296</v>
      </c>
      <c r="L14" s="290" t="s">
        <v>296</v>
      </c>
      <c r="M14" s="290" t="s">
        <v>296</v>
      </c>
      <c r="N14" s="290" t="s">
        <v>296</v>
      </c>
      <c r="O14" s="290" t="s">
        <v>296</v>
      </c>
      <c r="P14" s="290" t="s">
        <v>296</v>
      </c>
      <c r="Q14" s="290" t="s">
        <v>296</v>
      </c>
      <c r="R14" s="290" t="s">
        <v>296</v>
      </c>
      <c r="S14" s="290" t="s">
        <v>296</v>
      </c>
      <c r="T14" s="290" t="s">
        <v>296</v>
      </c>
      <c r="U14" s="290" t="s">
        <v>296</v>
      </c>
      <c r="V14" s="291" t="s">
        <v>296</v>
      </c>
    </row>
    <row r="15" spans="1:22" ht="15.95">
      <c r="A15" s="304" t="s">
        <v>1175</v>
      </c>
      <c r="B15" s="290" t="s">
        <v>1176</v>
      </c>
      <c r="C15" s="292" t="s">
        <v>961</v>
      </c>
      <c r="D15" s="292" t="s">
        <v>961</v>
      </c>
      <c r="E15" s="292" t="s">
        <v>961</v>
      </c>
      <c r="F15" s="290" t="s">
        <v>296</v>
      </c>
      <c r="G15" s="290" t="s">
        <v>296</v>
      </c>
      <c r="H15" s="290" t="s">
        <v>296</v>
      </c>
      <c r="I15" s="290" t="s">
        <v>296</v>
      </c>
      <c r="J15" s="290" t="s">
        <v>296</v>
      </c>
      <c r="K15" s="290" t="s">
        <v>296</v>
      </c>
      <c r="L15" s="290" t="s">
        <v>296</v>
      </c>
      <c r="M15" s="290" t="s">
        <v>296</v>
      </c>
      <c r="N15" s="290" t="s">
        <v>296</v>
      </c>
      <c r="O15" s="290" t="s">
        <v>296</v>
      </c>
      <c r="P15" s="290" t="s">
        <v>296</v>
      </c>
      <c r="Q15" s="290" t="s">
        <v>296</v>
      </c>
      <c r="R15" s="290" t="s">
        <v>296</v>
      </c>
      <c r="S15" s="290" t="s">
        <v>296</v>
      </c>
      <c r="T15" s="290" t="s">
        <v>296</v>
      </c>
      <c r="U15" s="290" t="s">
        <v>296</v>
      </c>
      <c r="V15" s="291" t="s">
        <v>296</v>
      </c>
    </row>
    <row r="16" spans="1:22" ht="15.95">
      <c r="A16" s="304" t="s">
        <v>1177</v>
      </c>
      <c r="B16" s="290" t="s">
        <v>1178</v>
      </c>
      <c r="C16" s="220">
        <v>31910</v>
      </c>
      <c r="D16" s="220">
        <v>33685</v>
      </c>
      <c r="E16" s="220">
        <v>35159</v>
      </c>
      <c r="F16" s="290" t="s">
        <v>296</v>
      </c>
      <c r="G16" s="290" t="s">
        <v>296</v>
      </c>
      <c r="H16" s="290" t="s">
        <v>296</v>
      </c>
      <c r="I16" s="290" t="s">
        <v>296</v>
      </c>
      <c r="J16" s="290" t="s">
        <v>296</v>
      </c>
      <c r="K16" s="290" t="s">
        <v>296</v>
      </c>
      <c r="L16" s="290" t="s">
        <v>296</v>
      </c>
      <c r="M16" s="290" t="s">
        <v>296</v>
      </c>
      <c r="N16" s="290" t="s">
        <v>296</v>
      </c>
      <c r="O16" s="290" t="s">
        <v>296</v>
      </c>
      <c r="P16" s="290" t="s">
        <v>296</v>
      </c>
      <c r="Q16" s="290" t="s">
        <v>296</v>
      </c>
      <c r="R16" s="290" t="s">
        <v>296</v>
      </c>
      <c r="S16" s="290" t="s">
        <v>296</v>
      </c>
      <c r="T16" s="290" t="s">
        <v>296</v>
      </c>
      <c r="U16" s="290" t="s">
        <v>296</v>
      </c>
      <c r="V16" s="291" t="s">
        <v>296</v>
      </c>
    </row>
    <row r="17" spans="1:35" ht="15.95">
      <c r="A17" s="304" t="s">
        <v>1179</v>
      </c>
      <c r="B17" s="290" t="s">
        <v>1180</v>
      </c>
      <c r="C17" s="292" t="s">
        <v>961</v>
      </c>
      <c r="D17" s="292" t="s">
        <v>961</v>
      </c>
      <c r="E17" s="292" t="s">
        <v>961</v>
      </c>
      <c r="F17" s="290" t="s">
        <v>296</v>
      </c>
      <c r="G17" s="290" t="s">
        <v>296</v>
      </c>
      <c r="H17" s="290" t="s">
        <v>296</v>
      </c>
      <c r="I17" s="290" t="s">
        <v>296</v>
      </c>
      <c r="J17" s="290" t="s">
        <v>296</v>
      </c>
      <c r="K17" s="290" t="s">
        <v>296</v>
      </c>
      <c r="L17" s="290" t="s">
        <v>296</v>
      </c>
      <c r="M17" s="290" t="s">
        <v>296</v>
      </c>
      <c r="N17" s="290" t="s">
        <v>296</v>
      </c>
      <c r="O17" s="290" t="s">
        <v>296</v>
      </c>
      <c r="P17" s="290" t="s">
        <v>296</v>
      </c>
      <c r="Q17" s="290" t="s">
        <v>296</v>
      </c>
      <c r="R17" s="290" t="s">
        <v>296</v>
      </c>
      <c r="S17" s="290" t="s">
        <v>296</v>
      </c>
      <c r="T17" s="290" t="s">
        <v>296</v>
      </c>
      <c r="U17" s="290" t="s">
        <v>296</v>
      </c>
      <c r="V17" s="291" t="s">
        <v>296</v>
      </c>
    </row>
    <row r="18" spans="1:35" ht="15.95">
      <c r="A18" s="223" t="s">
        <v>1181</v>
      </c>
      <c r="B18" s="290" t="s">
        <v>1182</v>
      </c>
      <c r="C18" s="220">
        <v>3147</v>
      </c>
      <c r="D18" s="220">
        <v>2690</v>
      </c>
      <c r="E18" s="220">
        <v>3727</v>
      </c>
      <c r="F18" s="220">
        <v>3258</v>
      </c>
      <c r="G18" s="220">
        <v>3268</v>
      </c>
      <c r="H18" s="220">
        <v>3091</v>
      </c>
      <c r="I18" s="220">
        <v>1774</v>
      </c>
      <c r="J18" s="220">
        <v>1588</v>
      </c>
      <c r="K18" s="220">
        <v>2369</v>
      </c>
      <c r="L18" s="220">
        <v>2224</v>
      </c>
      <c r="M18" s="220">
        <v>1441</v>
      </c>
      <c r="N18" s="220">
        <v>1941</v>
      </c>
      <c r="O18" s="220">
        <v>3511</v>
      </c>
      <c r="P18" s="220">
        <v>3623</v>
      </c>
      <c r="Q18" s="220">
        <v>1622</v>
      </c>
      <c r="R18" s="220">
        <v>20861</v>
      </c>
      <c r="S18" s="220">
        <v>1519</v>
      </c>
      <c r="T18" s="220">
        <v>2521</v>
      </c>
      <c r="U18" s="220">
        <v>3322</v>
      </c>
      <c r="V18" s="289">
        <v>4011</v>
      </c>
    </row>
    <row r="19" spans="1:35" ht="15.95">
      <c r="A19" s="304" t="s">
        <v>1183</v>
      </c>
      <c r="B19" s="290" t="s">
        <v>1184</v>
      </c>
      <c r="C19" s="290" t="s">
        <v>296</v>
      </c>
      <c r="D19" s="290" t="s">
        <v>296</v>
      </c>
      <c r="E19" s="290" t="s">
        <v>296</v>
      </c>
      <c r="F19" s="292" t="s">
        <v>961</v>
      </c>
      <c r="G19" s="292" t="s">
        <v>961</v>
      </c>
      <c r="H19" s="292" t="s">
        <v>961</v>
      </c>
      <c r="I19" s="290">
        <v>2</v>
      </c>
      <c r="J19" s="290">
        <v>29</v>
      </c>
      <c r="K19" s="290">
        <v>5</v>
      </c>
      <c r="L19" s="292" t="s">
        <v>961</v>
      </c>
      <c r="M19" s="292" t="s">
        <v>961</v>
      </c>
      <c r="N19" s="292" t="s">
        <v>961</v>
      </c>
      <c r="O19" s="292" t="s">
        <v>961</v>
      </c>
      <c r="P19" s="292" t="s">
        <v>961</v>
      </c>
      <c r="Q19" s="290" t="s">
        <v>296</v>
      </c>
      <c r="R19" s="290" t="s">
        <v>296</v>
      </c>
      <c r="S19" s="290" t="s">
        <v>296</v>
      </c>
      <c r="T19" s="290" t="s">
        <v>296</v>
      </c>
      <c r="U19" s="290" t="s">
        <v>296</v>
      </c>
      <c r="V19" s="291" t="s">
        <v>296</v>
      </c>
    </row>
    <row r="20" spans="1:35" ht="15.95">
      <c r="A20" s="223" t="s">
        <v>1185</v>
      </c>
      <c r="B20" s="290" t="s">
        <v>1186</v>
      </c>
      <c r="C20" s="290" t="s">
        <v>296</v>
      </c>
      <c r="D20" s="290" t="s">
        <v>296</v>
      </c>
      <c r="E20" s="290" t="s">
        <v>296</v>
      </c>
      <c r="F20" s="220">
        <v>1293</v>
      </c>
      <c r="G20" s="220">
        <v>1534</v>
      </c>
      <c r="H20" s="220">
        <v>1636</v>
      </c>
      <c r="I20" s="290">
        <v>815</v>
      </c>
      <c r="J20" s="290">
        <v>520</v>
      </c>
      <c r="K20" s="290">
        <v>822</v>
      </c>
      <c r="L20" s="318">
        <v>728</v>
      </c>
      <c r="M20" s="319" t="s">
        <v>961</v>
      </c>
      <c r="N20" s="320" t="s">
        <v>296</v>
      </c>
      <c r="O20" s="320" t="s">
        <v>296</v>
      </c>
      <c r="P20" s="320" t="s">
        <v>296</v>
      </c>
      <c r="Q20" s="320" t="s">
        <v>296</v>
      </c>
      <c r="R20" s="320" t="s">
        <v>296</v>
      </c>
      <c r="S20" s="320" t="s">
        <v>296</v>
      </c>
      <c r="T20" s="320" t="s">
        <v>296</v>
      </c>
      <c r="U20" s="320" t="s">
        <v>296</v>
      </c>
      <c r="V20" s="321" t="s">
        <v>296</v>
      </c>
      <c r="Z20" s="2"/>
    </row>
    <row r="21" spans="1:35" ht="15.95">
      <c r="A21" s="304" t="s">
        <v>1117</v>
      </c>
      <c r="B21" s="290" t="s">
        <v>1187</v>
      </c>
      <c r="C21" s="290" t="s">
        <v>296</v>
      </c>
      <c r="D21" s="290" t="s">
        <v>296</v>
      </c>
      <c r="E21" s="290" t="s">
        <v>296</v>
      </c>
      <c r="F21" s="290">
        <v>195</v>
      </c>
      <c r="G21" s="290">
        <v>140</v>
      </c>
      <c r="H21" s="290">
        <v>131</v>
      </c>
      <c r="I21" s="290" t="s">
        <v>296</v>
      </c>
      <c r="J21" s="290">
        <v>37</v>
      </c>
      <c r="K21" s="290">
        <v>460</v>
      </c>
      <c r="L21" s="292" t="s">
        <v>961</v>
      </c>
      <c r="M21" s="290" t="s">
        <v>296</v>
      </c>
      <c r="N21" s="290" t="s">
        <v>296</v>
      </c>
      <c r="O21" s="290" t="s">
        <v>296</v>
      </c>
      <c r="P21" s="290" t="s">
        <v>296</v>
      </c>
      <c r="Q21" s="290" t="s">
        <v>296</v>
      </c>
      <c r="R21" s="290" t="s">
        <v>296</v>
      </c>
      <c r="S21" s="290" t="s">
        <v>296</v>
      </c>
      <c r="T21" s="290" t="s">
        <v>296</v>
      </c>
      <c r="U21" s="290" t="s">
        <v>296</v>
      </c>
      <c r="V21" s="291" t="s">
        <v>296</v>
      </c>
    </row>
    <row r="22" spans="1:35" ht="15.95">
      <c r="A22" s="223" t="s">
        <v>1188</v>
      </c>
      <c r="B22" s="290" t="s">
        <v>1189</v>
      </c>
      <c r="C22" s="290" t="s">
        <v>296</v>
      </c>
      <c r="D22" s="290" t="s">
        <v>296</v>
      </c>
      <c r="E22" s="290" t="s">
        <v>296</v>
      </c>
      <c r="F22" s="220">
        <v>1770</v>
      </c>
      <c r="G22" s="220">
        <v>1594</v>
      </c>
      <c r="H22" s="220">
        <v>1324</v>
      </c>
      <c r="I22" s="290">
        <v>957</v>
      </c>
      <c r="J22" s="220">
        <v>1002</v>
      </c>
      <c r="K22" s="220">
        <v>1082</v>
      </c>
      <c r="L22" s="316">
        <v>1496</v>
      </c>
      <c r="M22" s="224">
        <v>1441</v>
      </c>
      <c r="N22" s="224">
        <v>1941</v>
      </c>
      <c r="O22" s="224">
        <v>3511</v>
      </c>
      <c r="P22" s="224">
        <v>3623</v>
      </c>
      <c r="Q22" s="224">
        <v>1622</v>
      </c>
      <c r="R22" s="224">
        <v>20861</v>
      </c>
      <c r="S22" s="224">
        <v>1519</v>
      </c>
      <c r="T22" s="224">
        <v>2521</v>
      </c>
      <c r="U22" s="224">
        <v>3322</v>
      </c>
      <c r="V22" s="317">
        <v>4011</v>
      </c>
    </row>
    <row r="23" spans="1:35" ht="15.95">
      <c r="A23" s="225" t="s">
        <v>597</v>
      </c>
      <c r="B23" s="290" t="s">
        <v>1190</v>
      </c>
      <c r="C23" s="220">
        <v>43825</v>
      </c>
      <c r="D23" s="220">
        <v>46982</v>
      </c>
      <c r="E23" s="220">
        <v>48020</v>
      </c>
      <c r="F23" s="220">
        <v>48949</v>
      </c>
      <c r="G23" s="220">
        <v>48032</v>
      </c>
      <c r="H23" s="220">
        <v>52012</v>
      </c>
      <c r="I23" s="220">
        <v>54975</v>
      </c>
      <c r="J23" s="220">
        <v>59940</v>
      </c>
      <c r="K23" s="220">
        <v>61185</v>
      </c>
      <c r="L23" s="224">
        <v>63278</v>
      </c>
      <c r="M23" s="220">
        <v>60239</v>
      </c>
      <c r="N23" s="220">
        <v>57689</v>
      </c>
      <c r="O23" s="220">
        <v>59664</v>
      </c>
      <c r="P23" s="220">
        <v>61897</v>
      </c>
      <c r="Q23" s="220">
        <v>61806</v>
      </c>
      <c r="R23" s="220">
        <v>90067</v>
      </c>
      <c r="S23" s="220">
        <v>81070</v>
      </c>
      <c r="T23" s="220">
        <v>75655</v>
      </c>
      <c r="U23" s="220">
        <v>76877</v>
      </c>
      <c r="V23" s="289">
        <v>79458</v>
      </c>
    </row>
    <row r="24" spans="1:35" ht="15.95">
      <c r="A24" s="223" t="s">
        <v>1191</v>
      </c>
      <c r="B24" s="290" t="s">
        <v>1192</v>
      </c>
      <c r="C24" s="220">
        <v>77865</v>
      </c>
      <c r="D24" s="220">
        <v>88440</v>
      </c>
      <c r="E24" s="220">
        <v>96867</v>
      </c>
      <c r="F24" s="220">
        <v>95653</v>
      </c>
      <c r="G24" s="220">
        <v>102307</v>
      </c>
      <c r="H24" s="220">
        <v>107878</v>
      </c>
      <c r="I24" s="220">
        <v>112324</v>
      </c>
      <c r="J24" s="220">
        <v>116681</v>
      </c>
      <c r="K24" s="220">
        <v>117907</v>
      </c>
      <c r="L24" s="316">
        <v>116655</v>
      </c>
      <c r="M24" s="220">
        <v>116516</v>
      </c>
      <c r="N24" s="220">
        <v>114178</v>
      </c>
      <c r="O24" s="220">
        <v>114818</v>
      </c>
      <c r="P24" s="220">
        <v>111395</v>
      </c>
      <c r="Q24" s="220">
        <v>127049</v>
      </c>
      <c r="R24" s="220">
        <v>109848</v>
      </c>
      <c r="S24" s="220">
        <v>112624</v>
      </c>
      <c r="T24" s="220">
        <v>119234</v>
      </c>
      <c r="U24" s="220">
        <v>130338</v>
      </c>
      <c r="V24" s="289">
        <v>139704</v>
      </c>
    </row>
    <row r="25" spans="1:35" ht="15.95">
      <c r="A25" s="223" t="s">
        <v>1193</v>
      </c>
      <c r="B25" s="290" t="s">
        <v>1194</v>
      </c>
      <c r="C25" s="220">
        <v>100929</v>
      </c>
      <c r="D25" s="220">
        <v>115190</v>
      </c>
      <c r="E25" s="220">
        <v>127992</v>
      </c>
      <c r="F25" s="220">
        <v>131161</v>
      </c>
      <c r="G25" s="220">
        <v>143517</v>
      </c>
      <c r="H25" s="220">
        <v>154489</v>
      </c>
      <c r="I25" s="220">
        <v>160938</v>
      </c>
      <c r="J25" s="220">
        <v>171724</v>
      </c>
      <c r="K25" s="220">
        <v>178678</v>
      </c>
      <c r="L25" s="224">
        <v>182634</v>
      </c>
      <c r="M25" s="224">
        <v>188054</v>
      </c>
      <c r="N25" s="224">
        <v>191129</v>
      </c>
      <c r="O25" s="224">
        <v>197857</v>
      </c>
      <c r="P25" s="224">
        <v>192888</v>
      </c>
      <c r="Q25" s="224">
        <v>216869</v>
      </c>
      <c r="R25" s="224">
        <v>198218</v>
      </c>
      <c r="S25" s="224">
        <v>207433</v>
      </c>
      <c r="T25" s="224">
        <v>220844</v>
      </c>
      <c r="U25" s="224">
        <v>239387</v>
      </c>
      <c r="V25" s="317">
        <v>251328</v>
      </c>
    </row>
    <row r="26" spans="1:35" ht="15.95">
      <c r="A26" s="223" t="s">
        <v>1195</v>
      </c>
      <c r="B26" s="290" t="s">
        <v>1196</v>
      </c>
      <c r="C26" s="220">
        <v>23064</v>
      </c>
      <c r="D26" s="220">
        <v>26750</v>
      </c>
      <c r="E26" s="220">
        <v>31125</v>
      </c>
      <c r="F26" s="220">
        <v>35508</v>
      </c>
      <c r="G26" s="220">
        <v>41210</v>
      </c>
      <c r="H26" s="220">
        <v>46611</v>
      </c>
      <c r="I26" s="220">
        <v>48614</v>
      </c>
      <c r="J26" s="220">
        <v>55043</v>
      </c>
      <c r="K26" s="220">
        <v>60771</v>
      </c>
      <c r="L26" s="224">
        <v>-65979</v>
      </c>
      <c r="M26" s="224">
        <v>71538</v>
      </c>
      <c r="N26" s="224">
        <v>76951</v>
      </c>
      <c r="O26" s="224">
        <v>83039</v>
      </c>
      <c r="P26" s="224">
        <v>81493</v>
      </c>
      <c r="Q26" s="224">
        <v>89820</v>
      </c>
      <c r="R26" s="224">
        <v>88370</v>
      </c>
      <c r="S26" s="224">
        <v>94809</v>
      </c>
      <c r="T26" s="224">
        <v>101610</v>
      </c>
      <c r="U26" s="224">
        <v>109049</v>
      </c>
      <c r="V26" s="317">
        <v>111624</v>
      </c>
      <c r="Y26" s="208"/>
    </row>
    <row r="27" spans="1:35" ht="15.95">
      <c r="A27" s="304" t="s">
        <v>1197</v>
      </c>
      <c r="B27" s="290" t="s">
        <v>1198</v>
      </c>
      <c r="C27" s="292" t="s">
        <v>961</v>
      </c>
      <c r="D27" s="292" t="s">
        <v>961</v>
      </c>
      <c r="E27" s="292" t="s">
        <v>961</v>
      </c>
      <c r="F27" s="292" t="s">
        <v>961</v>
      </c>
      <c r="G27" s="292" t="s">
        <v>961</v>
      </c>
      <c r="H27" s="292" t="s">
        <v>961</v>
      </c>
      <c r="I27" s="292" t="s">
        <v>961</v>
      </c>
      <c r="J27" s="292" t="s">
        <v>961</v>
      </c>
      <c r="K27" s="292" t="s">
        <v>961</v>
      </c>
      <c r="L27" s="292" t="s">
        <v>961</v>
      </c>
      <c r="M27" s="292" t="s">
        <v>961</v>
      </c>
      <c r="N27" s="292" t="s">
        <v>961</v>
      </c>
      <c r="O27" s="292" t="s">
        <v>961</v>
      </c>
      <c r="P27" s="292" t="s">
        <v>961</v>
      </c>
      <c r="Q27" s="292" t="s">
        <v>961</v>
      </c>
      <c r="R27" s="292" t="s">
        <v>961</v>
      </c>
      <c r="S27" s="292" t="s">
        <v>961</v>
      </c>
      <c r="T27" s="292" t="s">
        <v>961</v>
      </c>
      <c r="U27" s="292" t="s">
        <v>961</v>
      </c>
      <c r="V27" s="293" t="s">
        <v>961</v>
      </c>
    </row>
    <row r="28" spans="1:35" ht="15.95">
      <c r="A28" s="223" t="s">
        <v>1199</v>
      </c>
      <c r="B28" s="290" t="s">
        <v>1200</v>
      </c>
      <c r="C28" s="220">
        <v>16497</v>
      </c>
      <c r="D28" s="220">
        <v>16165</v>
      </c>
      <c r="E28" s="220">
        <v>18627</v>
      </c>
      <c r="F28" s="220">
        <v>18827</v>
      </c>
      <c r="G28" s="220">
        <v>20068</v>
      </c>
      <c r="H28" s="220">
        <v>20892</v>
      </c>
      <c r="I28" s="220">
        <v>26107</v>
      </c>
      <c r="J28" s="220">
        <v>26484</v>
      </c>
      <c r="K28" s="220">
        <v>25659</v>
      </c>
      <c r="L28" s="220">
        <v>23557</v>
      </c>
      <c r="M28" s="220">
        <v>22826</v>
      </c>
      <c r="N28" s="220">
        <v>26958</v>
      </c>
      <c r="O28" s="220">
        <v>30040</v>
      </c>
      <c r="P28" s="220">
        <v>46003</v>
      </c>
      <c r="Q28" s="220">
        <v>47640</v>
      </c>
      <c r="R28" s="220">
        <v>52581</v>
      </c>
      <c r="S28" s="220">
        <v>51166</v>
      </c>
      <c r="T28" s="220">
        <v>48308</v>
      </c>
      <c r="U28" s="220">
        <v>45184</v>
      </c>
      <c r="V28" s="289">
        <v>41661</v>
      </c>
      <c r="X28" s="2"/>
    </row>
    <row r="29" spans="1:35" ht="15.95">
      <c r="A29" s="304" t="s">
        <v>1201</v>
      </c>
      <c r="B29" s="290" t="s">
        <v>1202</v>
      </c>
      <c r="C29" s="220">
        <v>12097</v>
      </c>
      <c r="D29" s="220">
        <v>13759</v>
      </c>
      <c r="E29" s="220">
        <v>15879</v>
      </c>
      <c r="F29" s="220">
        <v>15260</v>
      </c>
      <c r="G29" s="220">
        <v>16126</v>
      </c>
      <c r="H29" s="220">
        <v>16763</v>
      </c>
      <c r="I29" s="220">
        <v>20651</v>
      </c>
      <c r="J29" s="220">
        <v>20497</v>
      </c>
      <c r="K29" s="220">
        <v>19510</v>
      </c>
      <c r="L29" s="220">
        <v>18102</v>
      </c>
      <c r="M29" s="220">
        <v>16695</v>
      </c>
      <c r="N29" s="220">
        <v>17037</v>
      </c>
      <c r="O29" s="220">
        <v>18242</v>
      </c>
      <c r="P29" s="220">
        <v>31181</v>
      </c>
      <c r="Q29" s="220">
        <v>31073</v>
      </c>
      <c r="R29" s="220">
        <v>33883</v>
      </c>
      <c r="S29" s="220">
        <v>33814</v>
      </c>
      <c r="T29" s="220">
        <v>32474</v>
      </c>
      <c r="U29" s="220">
        <v>32213</v>
      </c>
      <c r="V29" s="289">
        <v>33292</v>
      </c>
    </row>
    <row r="30" spans="1:35" ht="15.95">
      <c r="A30" s="223" t="s">
        <v>1203</v>
      </c>
      <c r="B30" s="290" t="s">
        <v>1204</v>
      </c>
      <c r="C30" s="220">
        <v>12097</v>
      </c>
      <c r="D30" s="220">
        <v>13759</v>
      </c>
      <c r="E30" s="220">
        <v>15879</v>
      </c>
      <c r="F30" s="220">
        <v>15260</v>
      </c>
      <c r="G30" s="220">
        <v>16126</v>
      </c>
      <c r="H30" s="220">
        <v>16763</v>
      </c>
      <c r="I30" s="220">
        <v>20651</v>
      </c>
      <c r="J30" s="220">
        <v>20497</v>
      </c>
      <c r="K30" s="220">
        <v>19510</v>
      </c>
      <c r="L30" s="316">
        <v>18102</v>
      </c>
      <c r="M30" s="224">
        <v>16695</v>
      </c>
      <c r="N30" s="224">
        <v>17037</v>
      </c>
      <c r="O30" s="224">
        <v>18242</v>
      </c>
      <c r="P30" s="224">
        <v>31181</v>
      </c>
      <c r="Q30" s="224">
        <v>31073</v>
      </c>
      <c r="R30" s="224">
        <v>28983</v>
      </c>
      <c r="S30" s="224">
        <v>29014</v>
      </c>
      <c r="T30" s="224">
        <v>28174</v>
      </c>
      <c r="U30" s="224">
        <v>28113</v>
      </c>
      <c r="V30" s="317">
        <v>28792</v>
      </c>
      <c r="X30" s="208">
        <f>L35/L55</f>
        <v>2.148744119044335</v>
      </c>
      <c r="Y30" s="208">
        <f t="shared" ref="Y30:AI30" si="0">M35/M55</f>
        <v>2.1563626797072071</v>
      </c>
      <c r="Z30" s="208">
        <f t="shared" si="0"/>
        <v>2.1087736074587617</v>
      </c>
      <c r="AA30" s="208">
        <f t="shared" si="0"/>
        <v>1.844831319010201</v>
      </c>
      <c r="AB30" s="208">
        <f t="shared" si="0"/>
        <v>2.0315448455670717</v>
      </c>
      <c r="AC30" s="208">
        <f t="shared" si="0"/>
        <v>2.245648540943566</v>
      </c>
      <c r="AD30" s="208">
        <f t="shared" si="0"/>
        <v>1.7532408656700307</v>
      </c>
      <c r="AE30" s="208">
        <f t="shared" si="0"/>
        <v>1.8744778493688414</v>
      </c>
      <c r="AF30" s="208">
        <f t="shared" si="0"/>
        <v>1.8171977700167032</v>
      </c>
      <c r="AG30" s="208">
        <f t="shared" si="0"/>
        <v>1.8992804198452633</v>
      </c>
      <c r="AH30" s="208">
        <f t="shared" si="0"/>
        <v>1.877795494077694</v>
      </c>
      <c r="AI30" s="208"/>
    </row>
    <row r="31" spans="1:35" ht="15.95">
      <c r="A31" s="304" t="s">
        <v>1205</v>
      </c>
      <c r="B31" s="290" t="s">
        <v>1206</v>
      </c>
      <c r="C31" s="292" t="s">
        <v>961</v>
      </c>
      <c r="D31" s="292" t="s">
        <v>961</v>
      </c>
      <c r="E31" s="292" t="s">
        <v>961</v>
      </c>
      <c r="F31" s="292" t="s">
        <v>961</v>
      </c>
      <c r="G31" s="292" t="s">
        <v>961</v>
      </c>
      <c r="H31" s="292" t="s">
        <v>961</v>
      </c>
      <c r="I31" s="292" t="s">
        <v>961</v>
      </c>
      <c r="J31" s="292" t="s">
        <v>961</v>
      </c>
      <c r="K31" s="292" t="s">
        <v>961</v>
      </c>
      <c r="L31" s="292" t="s">
        <v>961</v>
      </c>
      <c r="M31" s="292" t="s">
        <v>961</v>
      </c>
      <c r="N31" s="292" t="s">
        <v>961</v>
      </c>
      <c r="O31" s="292" t="s">
        <v>961</v>
      </c>
      <c r="P31" s="292" t="s">
        <v>961</v>
      </c>
      <c r="Q31" s="292" t="s">
        <v>961</v>
      </c>
      <c r="R31" s="220">
        <v>4900</v>
      </c>
      <c r="S31" s="220">
        <v>4800</v>
      </c>
      <c r="T31" s="220">
        <v>4300</v>
      </c>
      <c r="U31" s="220">
        <v>4100</v>
      </c>
      <c r="V31" s="289">
        <v>4500</v>
      </c>
      <c r="Y31" s="208"/>
    </row>
    <row r="32" spans="1:35" ht="15.95">
      <c r="A32" s="223" t="s">
        <v>1185</v>
      </c>
      <c r="B32" s="290" t="s">
        <v>1207</v>
      </c>
      <c r="C32" s="290" t="s">
        <v>296</v>
      </c>
      <c r="D32" s="290" t="s">
        <v>296</v>
      </c>
      <c r="E32" s="290" t="s">
        <v>296</v>
      </c>
      <c r="F32" s="290">
        <v>202</v>
      </c>
      <c r="G32" s="290">
        <v>331</v>
      </c>
      <c r="H32" s="290">
        <v>327</v>
      </c>
      <c r="I32" s="290">
        <v>738</v>
      </c>
      <c r="J32" s="290">
        <v>757</v>
      </c>
      <c r="K32" s="220">
        <v>1151</v>
      </c>
      <c r="L32" s="316">
        <v>1033</v>
      </c>
      <c r="M32" s="224">
        <v>1504</v>
      </c>
      <c r="N32" s="224">
        <v>1565</v>
      </c>
      <c r="O32" s="224">
        <v>1879</v>
      </c>
      <c r="P32" s="224">
        <v>1796</v>
      </c>
      <c r="Q32" s="224">
        <v>1914</v>
      </c>
      <c r="R32" s="224">
        <v>1836</v>
      </c>
      <c r="S32" s="224">
        <v>1473</v>
      </c>
      <c r="T32" s="224">
        <v>1503</v>
      </c>
      <c r="U32" s="224">
        <v>1663</v>
      </c>
      <c r="V32" s="317">
        <v>1748</v>
      </c>
    </row>
    <row r="33" spans="1:25" ht="15.95">
      <c r="A33" s="223" t="s">
        <v>1183</v>
      </c>
      <c r="B33" s="290" t="s">
        <v>1208</v>
      </c>
      <c r="C33" s="290" t="s">
        <v>296</v>
      </c>
      <c r="D33" s="290" t="s">
        <v>296</v>
      </c>
      <c r="E33" s="290" t="s">
        <v>296</v>
      </c>
      <c r="F33" s="290">
        <v>847</v>
      </c>
      <c r="G33" s="290">
        <v>735</v>
      </c>
      <c r="H33" s="290">
        <v>738</v>
      </c>
      <c r="I33" s="290">
        <v>588</v>
      </c>
      <c r="J33" s="290">
        <v>581</v>
      </c>
      <c r="K33" s="290">
        <v>716</v>
      </c>
      <c r="L33" s="318">
        <v>512</v>
      </c>
      <c r="M33" s="320">
        <v>621</v>
      </c>
      <c r="N33" s="320">
        <v>479</v>
      </c>
      <c r="O33" s="320">
        <v>508</v>
      </c>
      <c r="P33" s="320">
        <v>412</v>
      </c>
      <c r="Q33" s="224">
        <v>11817</v>
      </c>
      <c r="R33" s="224">
        <v>9573</v>
      </c>
      <c r="S33" s="224">
        <v>15876</v>
      </c>
      <c r="T33" s="224">
        <v>13921</v>
      </c>
      <c r="U33" s="224">
        <v>11308</v>
      </c>
      <c r="V33" s="317">
        <v>6621</v>
      </c>
    </row>
    <row r="34" spans="1:25" ht="15.95">
      <c r="A34" s="223" t="s">
        <v>1209</v>
      </c>
      <c r="B34" s="290" t="s">
        <v>1210</v>
      </c>
      <c r="C34" s="220">
        <v>4400</v>
      </c>
      <c r="D34" s="220">
        <v>2406</v>
      </c>
      <c r="E34" s="220">
        <v>2748</v>
      </c>
      <c r="F34" s="220">
        <v>2518</v>
      </c>
      <c r="G34" s="220">
        <v>2876</v>
      </c>
      <c r="H34" s="220">
        <v>3064</v>
      </c>
      <c r="I34" s="220">
        <v>4130</v>
      </c>
      <c r="J34" s="220">
        <v>4649</v>
      </c>
      <c r="K34" s="220">
        <v>4282</v>
      </c>
      <c r="L34" s="316">
        <v>3910</v>
      </c>
      <c r="M34" s="224">
        <v>4006</v>
      </c>
      <c r="N34" s="224">
        <v>7877</v>
      </c>
      <c r="O34" s="224">
        <v>9411</v>
      </c>
      <c r="P34" s="224">
        <v>12614</v>
      </c>
      <c r="Q34" s="224">
        <v>2836</v>
      </c>
      <c r="R34" s="224">
        <v>7289</v>
      </c>
      <c r="S34" s="320">
        <v>3</v>
      </c>
      <c r="T34" s="320">
        <v>410</v>
      </c>
      <c r="U34" s="320">
        <v>0</v>
      </c>
      <c r="V34" s="321">
        <v>0</v>
      </c>
    </row>
    <row r="35" spans="1:25" ht="15.95">
      <c r="A35" s="225" t="s">
        <v>1211</v>
      </c>
      <c r="B35" s="290" t="s">
        <v>1212</v>
      </c>
      <c r="C35" s="220">
        <v>94362</v>
      </c>
      <c r="D35" s="220">
        <v>104605</v>
      </c>
      <c r="E35" s="220">
        <v>115494</v>
      </c>
      <c r="F35" s="220">
        <v>114480</v>
      </c>
      <c r="G35" s="220">
        <v>122375</v>
      </c>
      <c r="H35" s="220">
        <v>128770</v>
      </c>
      <c r="I35" s="220">
        <v>138431</v>
      </c>
      <c r="J35" s="220">
        <v>143165</v>
      </c>
      <c r="K35" s="220">
        <v>143566</v>
      </c>
      <c r="L35" s="224">
        <v>140212</v>
      </c>
      <c r="M35" s="220">
        <v>139342</v>
      </c>
      <c r="N35" s="220">
        <v>141136</v>
      </c>
      <c r="O35" s="220">
        <v>144858</v>
      </c>
      <c r="P35" s="220">
        <v>157398</v>
      </c>
      <c r="Q35" s="220">
        <v>174689</v>
      </c>
      <c r="R35" s="220">
        <v>162429</v>
      </c>
      <c r="S35" s="220">
        <v>163790</v>
      </c>
      <c r="T35" s="220">
        <v>167542</v>
      </c>
      <c r="U35" s="220">
        <v>175522</v>
      </c>
      <c r="V35" s="289">
        <v>181365</v>
      </c>
    </row>
    <row r="36" spans="1:25" ht="15.95">
      <c r="A36" s="187" t="s">
        <v>622</v>
      </c>
      <c r="B36" s="290" t="s">
        <v>1213</v>
      </c>
      <c r="C36" s="220">
        <v>138187</v>
      </c>
      <c r="D36" s="220">
        <v>151587</v>
      </c>
      <c r="E36" s="220">
        <v>163514</v>
      </c>
      <c r="F36" s="220">
        <v>163429</v>
      </c>
      <c r="G36" s="220">
        <v>170407</v>
      </c>
      <c r="H36" s="220">
        <v>180782</v>
      </c>
      <c r="I36" s="220">
        <v>193406</v>
      </c>
      <c r="J36" s="220">
        <v>203105</v>
      </c>
      <c r="K36" s="220">
        <v>204751</v>
      </c>
      <c r="L36" s="220">
        <v>203490</v>
      </c>
      <c r="M36" s="220">
        <v>199581</v>
      </c>
      <c r="N36" s="220">
        <v>198825</v>
      </c>
      <c r="O36" s="220">
        <v>204522</v>
      </c>
      <c r="P36" s="220">
        <v>219295</v>
      </c>
      <c r="Q36" s="220">
        <v>236495</v>
      </c>
      <c r="R36" s="220">
        <v>252496</v>
      </c>
      <c r="S36" s="220">
        <v>244860</v>
      </c>
      <c r="T36" s="220">
        <v>243197</v>
      </c>
      <c r="U36" s="220">
        <v>252399</v>
      </c>
      <c r="V36" s="289">
        <v>260823</v>
      </c>
    </row>
    <row r="37" spans="1:25">
      <c r="A37" s="322"/>
      <c r="B37" s="290"/>
      <c r="C37" s="290"/>
      <c r="D37" s="290"/>
      <c r="E37" s="290"/>
      <c r="F37" s="290"/>
      <c r="G37" s="290"/>
      <c r="H37" s="290"/>
      <c r="I37" s="290"/>
      <c r="J37" s="290"/>
      <c r="K37" s="290"/>
      <c r="L37" s="290"/>
      <c r="M37" s="290"/>
      <c r="N37" s="290"/>
      <c r="O37" s="290"/>
      <c r="P37" s="290"/>
      <c r="Q37" s="290"/>
      <c r="R37" s="290"/>
      <c r="S37" s="290"/>
      <c r="T37" s="290"/>
      <c r="U37" s="290"/>
      <c r="V37" s="291"/>
    </row>
    <row r="38" spans="1:25" ht="15.95">
      <c r="A38" s="187" t="s">
        <v>1214</v>
      </c>
      <c r="B38" s="290"/>
      <c r="C38" s="290"/>
      <c r="D38" s="290"/>
      <c r="E38" s="290"/>
      <c r="F38" s="290"/>
      <c r="G38" s="290"/>
      <c r="H38" s="290"/>
      <c r="I38" s="290"/>
      <c r="J38" s="290"/>
      <c r="K38" s="290"/>
      <c r="L38" s="290"/>
      <c r="M38" s="290"/>
      <c r="N38" s="290"/>
      <c r="O38" s="290"/>
      <c r="P38" s="290"/>
      <c r="Q38" s="290"/>
      <c r="R38" s="290"/>
      <c r="S38" s="290"/>
      <c r="T38" s="290"/>
      <c r="U38" s="290"/>
      <c r="V38" s="291"/>
      <c r="X38" s="208">
        <f>SUM('A. Raw Historical Data - BS'!L52,'A. Raw Historical Data - BS'!L67,'A. Raw Historical Data - BS'!L51,'A. Raw Historical Data - BS'!L68)</f>
        <v>9954</v>
      </c>
    </row>
    <row r="39" spans="1:25" ht="15.95">
      <c r="A39" s="223" t="s">
        <v>1215</v>
      </c>
      <c r="B39" s="290" t="s">
        <v>1216</v>
      </c>
      <c r="C39" s="220">
        <v>25101</v>
      </c>
      <c r="D39" s="220">
        <v>28484</v>
      </c>
      <c r="E39" s="220">
        <v>30344</v>
      </c>
      <c r="F39" s="220">
        <v>47638</v>
      </c>
      <c r="G39" s="220">
        <v>50532</v>
      </c>
      <c r="H39" s="220">
        <v>52534</v>
      </c>
      <c r="I39" s="220">
        <v>55952</v>
      </c>
      <c r="J39" s="220">
        <v>59095</v>
      </c>
      <c r="K39" s="220">
        <v>57173</v>
      </c>
      <c r="L39" s="220">
        <v>58526</v>
      </c>
      <c r="M39" s="220">
        <v>58615</v>
      </c>
      <c r="N39" s="220">
        <v>63008</v>
      </c>
      <c r="O39" s="220">
        <v>68859</v>
      </c>
      <c r="P39" s="220">
        <v>67715</v>
      </c>
      <c r="Q39" s="220">
        <v>67559</v>
      </c>
      <c r="R39" s="220">
        <v>85039</v>
      </c>
      <c r="S39" s="220">
        <v>79613</v>
      </c>
      <c r="T39" s="220">
        <v>83107</v>
      </c>
      <c r="U39" s="220">
        <v>83214</v>
      </c>
      <c r="V39" s="289">
        <v>85864</v>
      </c>
    </row>
    <row r="40" spans="1:25" ht="15.95">
      <c r="A40" s="223" t="s">
        <v>1217</v>
      </c>
      <c r="B40" s="290" t="s">
        <v>1218</v>
      </c>
      <c r="C40" s="220">
        <v>25101</v>
      </c>
      <c r="D40" s="220">
        <v>28484</v>
      </c>
      <c r="E40" s="220">
        <v>30344</v>
      </c>
      <c r="F40" s="220">
        <v>28849</v>
      </c>
      <c r="G40" s="220">
        <v>30451</v>
      </c>
      <c r="H40" s="220">
        <v>33676</v>
      </c>
      <c r="I40" s="220">
        <v>36608</v>
      </c>
      <c r="J40" s="220">
        <v>38080</v>
      </c>
      <c r="K40" s="220">
        <v>37415</v>
      </c>
      <c r="L40" s="316">
        <v>38410</v>
      </c>
      <c r="M40" s="224">
        <v>38487</v>
      </c>
      <c r="N40" s="224">
        <v>41433</v>
      </c>
      <c r="O40" s="224">
        <v>46092</v>
      </c>
      <c r="P40" s="224">
        <v>47060</v>
      </c>
      <c r="Q40" s="224">
        <v>46973</v>
      </c>
      <c r="R40" s="224">
        <v>49141</v>
      </c>
      <c r="S40" s="224">
        <v>55261</v>
      </c>
      <c r="T40" s="224">
        <v>53742</v>
      </c>
      <c r="U40" s="224">
        <v>56812</v>
      </c>
      <c r="V40" s="317">
        <v>58666</v>
      </c>
      <c r="X40" s="208"/>
    </row>
    <row r="41" spans="1:25" ht="15.95">
      <c r="A41" s="223" t="s">
        <v>1219</v>
      </c>
      <c r="B41" s="290" t="s">
        <v>1220</v>
      </c>
      <c r="C41" s="290" t="s">
        <v>296</v>
      </c>
      <c r="D41" s="290" t="s">
        <v>296</v>
      </c>
      <c r="E41" s="290" t="s">
        <v>296</v>
      </c>
      <c r="F41" s="290">
        <v>677</v>
      </c>
      <c r="G41" s="220">
        <v>1347</v>
      </c>
      <c r="H41" s="290">
        <v>157</v>
      </c>
      <c r="I41" s="220">
        <v>1164</v>
      </c>
      <c r="J41" s="220">
        <v>2211</v>
      </c>
      <c r="K41" s="290">
        <v>966</v>
      </c>
      <c r="L41" s="316">
        <v>1021</v>
      </c>
      <c r="M41" s="320">
        <v>521</v>
      </c>
      <c r="N41" s="320">
        <v>921</v>
      </c>
      <c r="O41" s="320">
        <v>645</v>
      </c>
      <c r="P41" s="320">
        <v>428</v>
      </c>
      <c r="Q41" s="320">
        <v>280</v>
      </c>
      <c r="R41" s="320">
        <v>242</v>
      </c>
      <c r="S41" s="320">
        <v>851</v>
      </c>
      <c r="T41" s="320">
        <v>727</v>
      </c>
      <c r="U41" s="320">
        <v>307</v>
      </c>
      <c r="V41" s="321">
        <v>608</v>
      </c>
      <c r="Y41" s="2"/>
    </row>
    <row r="42" spans="1:25" ht="15.95">
      <c r="A42" s="223" t="s">
        <v>1221</v>
      </c>
      <c r="B42" s="290" t="s">
        <v>1222</v>
      </c>
      <c r="C42" s="290" t="s">
        <v>296</v>
      </c>
      <c r="D42" s="290" t="s">
        <v>296</v>
      </c>
      <c r="E42" s="290" t="s">
        <v>296</v>
      </c>
      <c r="F42" s="220">
        <v>18112</v>
      </c>
      <c r="G42" s="220">
        <v>18734</v>
      </c>
      <c r="H42" s="220">
        <v>18701</v>
      </c>
      <c r="I42" s="220">
        <v>18180</v>
      </c>
      <c r="J42" s="220">
        <v>18804</v>
      </c>
      <c r="K42" s="220">
        <v>18792</v>
      </c>
      <c r="L42" s="316">
        <v>19095</v>
      </c>
      <c r="M42" s="224">
        <v>19607</v>
      </c>
      <c r="N42" s="224">
        <v>20654</v>
      </c>
      <c r="O42" s="224">
        <v>22122</v>
      </c>
      <c r="P42" s="224">
        <v>20227</v>
      </c>
      <c r="Q42" s="224">
        <v>20306</v>
      </c>
      <c r="R42" s="224">
        <v>35656</v>
      </c>
      <c r="S42" s="224">
        <v>23501</v>
      </c>
      <c r="T42" s="224">
        <v>28638</v>
      </c>
      <c r="U42" s="224">
        <v>26095</v>
      </c>
      <c r="V42" s="317">
        <v>26590</v>
      </c>
    </row>
    <row r="43" spans="1:25" ht="15.95">
      <c r="A43" s="223" t="s">
        <v>1223</v>
      </c>
      <c r="B43" s="290" t="s">
        <v>1224</v>
      </c>
      <c r="C43" s="220">
        <v>8633</v>
      </c>
      <c r="D43" s="220">
        <v>8283</v>
      </c>
      <c r="E43" s="220">
        <v>11269</v>
      </c>
      <c r="F43" s="220">
        <v>7669</v>
      </c>
      <c r="G43" s="220">
        <v>4919</v>
      </c>
      <c r="H43" s="220">
        <v>6022</v>
      </c>
      <c r="I43" s="220">
        <v>6348</v>
      </c>
      <c r="J43" s="220">
        <v>12719</v>
      </c>
      <c r="K43" s="220">
        <v>12082</v>
      </c>
      <c r="L43" s="220">
        <v>5904</v>
      </c>
      <c r="M43" s="220">
        <v>6004</v>
      </c>
      <c r="N43" s="220">
        <v>3920</v>
      </c>
      <c r="O43" s="220">
        <v>9662</v>
      </c>
      <c r="P43" s="220">
        <v>7830</v>
      </c>
      <c r="Q43" s="220">
        <v>8241</v>
      </c>
      <c r="R43" s="220">
        <v>5296</v>
      </c>
      <c r="S43" s="220">
        <v>5207</v>
      </c>
      <c r="T43" s="220">
        <v>6603</v>
      </c>
      <c r="U43" s="220">
        <v>6537</v>
      </c>
      <c r="V43" s="289">
        <v>7965</v>
      </c>
    </row>
    <row r="44" spans="1:25" ht="15.95">
      <c r="A44" s="223" t="s">
        <v>1225</v>
      </c>
      <c r="B44" s="290" t="s">
        <v>1226</v>
      </c>
      <c r="C44" s="220">
        <v>8349</v>
      </c>
      <c r="D44" s="220">
        <v>7998</v>
      </c>
      <c r="E44" s="220">
        <v>10953</v>
      </c>
      <c r="F44" s="220">
        <v>1506</v>
      </c>
      <c r="G44" s="290">
        <v>523</v>
      </c>
      <c r="H44" s="220">
        <v>1031</v>
      </c>
      <c r="I44" s="220">
        <v>4047</v>
      </c>
      <c r="J44" s="220">
        <v>6805</v>
      </c>
      <c r="K44" s="220">
        <v>7670</v>
      </c>
      <c r="L44" s="316">
        <v>1592</v>
      </c>
      <c r="M44" s="224">
        <v>2708</v>
      </c>
      <c r="N44" s="224">
        <v>1099</v>
      </c>
      <c r="O44" s="224">
        <v>5257</v>
      </c>
      <c r="P44" s="224">
        <v>5225</v>
      </c>
      <c r="Q44" s="320">
        <v>575</v>
      </c>
      <c r="R44" s="320">
        <v>224</v>
      </c>
      <c r="S44" s="320">
        <v>410</v>
      </c>
      <c r="T44" s="320">
        <v>372</v>
      </c>
      <c r="U44" s="320">
        <v>878</v>
      </c>
      <c r="V44" s="317">
        <v>3068</v>
      </c>
    </row>
    <row r="45" spans="1:25" ht="15.95">
      <c r="A45" s="223" t="s">
        <v>1227</v>
      </c>
      <c r="B45" s="290" t="s">
        <v>1228</v>
      </c>
      <c r="C45" s="290">
        <v>284</v>
      </c>
      <c r="D45" s="290">
        <v>285</v>
      </c>
      <c r="E45" s="290">
        <v>316</v>
      </c>
      <c r="F45" s="290">
        <v>315</v>
      </c>
      <c r="G45" s="290">
        <v>346</v>
      </c>
      <c r="H45" s="290">
        <v>336</v>
      </c>
      <c r="I45" s="290">
        <v>326</v>
      </c>
      <c r="J45" s="290">
        <v>327</v>
      </c>
      <c r="K45" s="290">
        <v>309</v>
      </c>
      <c r="L45" s="318">
        <v>287</v>
      </c>
      <c r="M45" s="320">
        <v>551</v>
      </c>
      <c r="N45" s="320">
        <v>565</v>
      </c>
      <c r="O45" s="320">
        <v>667</v>
      </c>
      <c r="P45" s="320">
        <v>729</v>
      </c>
      <c r="Q45" s="224">
        <v>2304</v>
      </c>
      <c r="R45" s="224">
        <v>1957</v>
      </c>
      <c r="S45" s="224">
        <v>1994</v>
      </c>
      <c r="T45" s="224">
        <v>2040</v>
      </c>
      <c r="U45" s="224">
        <v>2212</v>
      </c>
      <c r="V45" s="317">
        <v>2299</v>
      </c>
    </row>
    <row r="46" spans="1:25" ht="15.95">
      <c r="A46" s="304" t="s">
        <v>1229</v>
      </c>
      <c r="B46" s="290" t="s">
        <v>1230</v>
      </c>
      <c r="C46" s="290">
        <v>284</v>
      </c>
      <c r="D46" s="290">
        <v>285</v>
      </c>
      <c r="E46" s="290">
        <v>316</v>
      </c>
      <c r="F46" s="290">
        <v>315</v>
      </c>
      <c r="G46" s="290">
        <v>346</v>
      </c>
      <c r="H46" s="290">
        <v>336</v>
      </c>
      <c r="I46" s="290">
        <v>326</v>
      </c>
      <c r="J46" s="290">
        <v>327</v>
      </c>
      <c r="K46" s="290">
        <v>309</v>
      </c>
      <c r="L46" s="290">
        <v>287</v>
      </c>
      <c r="M46" s="290">
        <v>551</v>
      </c>
      <c r="N46" s="290">
        <v>565</v>
      </c>
      <c r="O46" s="290">
        <v>667</v>
      </c>
      <c r="P46" s="290">
        <v>729</v>
      </c>
      <c r="Q46" s="290">
        <v>511</v>
      </c>
      <c r="R46" s="290">
        <v>491</v>
      </c>
      <c r="S46" s="290">
        <v>511</v>
      </c>
      <c r="T46" s="290">
        <v>567</v>
      </c>
      <c r="U46" s="290">
        <v>725</v>
      </c>
      <c r="V46" s="291">
        <v>800</v>
      </c>
    </row>
    <row r="47" spans="1:25" ht="15.95">
      <c r="A47" s="304" t="s">
        <v>1231</v>
      </c>
      <c r="B47" s="290" t="s">
        <v>1232</v>
      </c>
      <c r="C47" s="290" t="s">
        <v>296</v>
      </c>
      <c r="D47" s="290" t="s">
        <v>296</v>
      </c>
      <c r="E47" s="290" t="s">
        <v>296</v>
      </c>
      <c r="F47" s="290" t="s">
        <v>296</v>
      </c>
      <c r="G47" s="290" t="s">
        <v>296</v>
      </c>
      <c r="H47" s="290" t="s">
        <v>296</v>
      </c>
      <c r="I47" s="290" t="s">
        <v>296</v>
      </c>
      <c r="J47" s="290" t="s">
        <v>296</v>
      </c>
      <c r="K47" s="290" t="s">
        <v>296</v>
      </c>
      <c r="L47" s="290">
        <v>0</v>
      </c>
      <c r="M47" s="290">
        <v>0</v>
      </c>
      <c r="N47" s="290">
        <v>0</v>
      </c>
      <c r="O47" s="290">
        <v>0</v>
      </c>
      <c r="P47" s="290">
        <v>0</v>
      </c>
      <c r="Q47" s="220">
        <v>1793</v>
      </c>
      <c r="R47" s="220">
        <v>1466</v>
      </c>
      <c r="S47" s="220">
        <v>1483</v>
      </c>
      <c r="T47" s="220">
        <v>1473</v>
      </c>
      <c r="U47" s="220">
        <v>1487</v>
      </c>
      <c r="V47" s="289">
        <v>1499</v>
      </c>
    </row>
    <row r="48" spans="1:25" ht="15.95">
      <c r="A48" s="223" t="s">
        <v>1233</v>
      </c>
      <c r="B48" s="220" t="e" cm="1" vm="1">
        <f t="array" aca="1" ref="B48" ca="1">'A. Raw Historical Data - BS'!L40+'A. Raw Historical Data - BS'!L47+'A. Raw Historical Data - BS'!A:A</f>
        <v>#VALUE!</v>
      </c>
      <c r="C48" s="290" t="s">
        <v>296</v>
      </c>
      <c r="D48" s="290" t="s">
        <v>296</v>
      </c>
      <c r="E48" s="290" t="s">
        <v>296</v>
      </c>
      <c r="F48" s="220">
        <v>5848</v>
      </c>
      <c r="G48" s="220">
        <v>4050</v>
      </c>
      <c r="H48" s="220">
        <v>4655</v>
      </c>
      <c r="I48" s="220">
        <v>1975</v>
      </c>
      <c r="J48" s="220">
        <v>5587</v>
      </c>
      <c r="K48" s="220">
        <v>4103</v>
      </c>
      <c r="L48" s="316">
        <v>4025</v>
      </c>
      <c r="M48" s="224">
        <v>2745</v>
      </c>
      <c r="N48" s="224">
        <v>2256</v>
      </c>
      <c r="O48" s="224">
        <v>3738</v>
      </c>
      <c r="P48" s="224">
        <v>1876</v>
      </c>
      <c r="Q48" s="224">
        <v>5362</v>
      </c>
      <c r="R48" s="224">
        <v>3115</v>
      </c>
      <c r="S48" s="224">
        <v>2803</v>
      </c>
      <c r="T48" s="224">
        <v>4191</v>
      </c>
      <c r="U48" s="224">
        <v>3447</v>
      </c>
      <c r="V48" s="317">
        <v>2598</v>
      </c>
    </row>
    <row r="49" spans="1:26" ht="15.95">
      <c r="A49" s="223" t="s">
        <v>1234</v>
      </c>
      <c r="B49" s="290" t="s">
        <v>1235</v>
      </c>
      <c r="C49" s="220">
        <v>15091</v>
      </c>
      <c r="D49" s="220">
        <v>15381</v>
      </c>
      <c r="E49" s="220">
        <v>16865</v>
      </c>
      <c r="F49" s="290">
        <v>83</v>
      </c>
      <c r="G49" s="290">
        <v>92</v>
      </c>
      <c r="H49" s="290">
        <v>47</v>
      </c>
      <c r="I49" s="292" t="s">
        <v>961</v>
      </c>
      <c r="J49" s="290">
        <v>4</v>
      </c>
      <c r="K49" s="290">
        <v>90</v>
      </c>
      <c r="L49" s="290">
        <v>823</v>
      </c>
      <c r="M49" s="290">
        <v>0</v>
      </c>
      <c r="N49" s="290">
        <v>0</v>
      </c>
      <c r="O49" s="290">
        <v>0</v>
      </c>
      <c r="P49" s="224">
        <v>1932</v>
      </c>
      <c r="Q49" s="224">
        <v>1990</v>
      </c>
      <c r="R49" s="224">
        <v>2310</v>
      </c>
      <c r="S49" s="224">
        <v>2559</v>
      </c>
      <c r="T49" s="224">
        <v>2488</v>
      </c>
      <c r="U49" s="224">
        <v>2664</v>
      </c>
      <c r="V49" s="317">
        <v>2755</v>
      </c>
    </row>
    <row r="50" spans="1:26" ht="15.95">
      <c r="A50" s="304" t="s">
        <v>1236</v>
      </c>
      <c r="B50" s="290" t="s">
        <v>1237</v>
      </c>
      <c r="C50" s="290" t="s">
        <v>296</v>
      </c>
      <c r="D50" s="290" t="s">
        <v>296</v>
      </c>
      <c r="E50" s="290" t="s">
        <v>296</v>
      </c>
      <c r="F50" s="292" t="s">
        <v>961</v>
      </c>
      <c r="G50" s="292" t="s">
        <v>961</v>
      </c>
      <c r="H50" s="292" t="s">
        <v>961</v>
      </c>
      <c r="I50" s="292" t="s">
        <v>961</v>
      </c>
      <c r="J50" s="292" t="s">
        <v>961</v>
      </c>
      <c r="K50" s="290">
        <v>0</v>
      </c>
      <c r="L50" s="290">
        <v>0</v>
      </c>
      <c r="M50" s="290">
        <v>0</v>
      </c>
      <c r="N50" s="290">
        <v>0</v>
      </c>
      <c r="O50" s="290">
        <v>0</v>
      </c>
      <c r="P50" s="220">
        <v>1932</v>
      </c>
      <c r="Q50" s="220">
        <v>1990</v>
      </c>
      <c r="R50" s="220">
        <v>2310</v>
      </c>
      <c r="S50" s="220">
        <v>2559</v>
      </c>
      <c r="T50" s="220">
        <v>2488</v>
      </c>
      <c r="U50" s="220">
        <v>2664</v>
      </c>
      <c r="V50" s="289">
        <v>2755</v>
      </c>
    </row>
    <row r="51" spans="1:26" ht="15.95">
      <c r="A51" s="223" t="s">
        <v>1238</v>
      </c>
      <c r="B51" s="290" t="s">
        <v>1239</v>
      </c>
      <c r="C51" s="290" t="s">
        <v>296</v>
      </c>
      <c r="D51" s="290" t="s">
        <v>296</v>
      </c>
      <c r="E51" s="290" t="s">
        <v>296</v>
      </c>
      <c r="F51" s="292" t="s">
        <v>961</v>
      </c>
      <c r="G51" s="292" t="s">
        <v>961</v>
      </c>
      <c r="H51" s="292" t="s">
        <v>961</v>
      </c>
      <c r="I51" s="292" t="s">
        <v>961</v>
      </c>
      <c r="J51" s="290">
        <v>4</v>
      </c>
      <c r="K51" s="290">
        <v>1</v>
      </c>
      <c r="L51" s="318">
        <v>767</v>
      </c>
      <c r="M51" s="290">
        <v>0</v>
      </c>
      <c r="N51" s="290">
        <v>0</v>
      </c>
      <c r="O51" s="290">
        <v>0</v>
      </c>
      <c r="P51" s="290">
        <v>0</v>
      </c>
      <c r="Q51" s="290">
        <v>0</v>
      </c>
      <c r="R51" s="290">
        <v>0</v>
      </c>
      <c r="S51" s="290">
        <v>0</v>
      </c>
      <c r="T51" s="290">
        <v>0</v>
      </c>
      <c r="U51" s="290">
        <v>0</v>
      </c>
      <c r="V51" s="291">
        <v>0</v>
      </c>
    </row>
    <row r="52" spans="1:26" ht="15.95">
      <c r="A52" s="223" t="s">
        <v>1240</v>
      </c>
      <c r="B52" s="290" t="s">
        <v>1241</v>
      </c>
      <c r="C52" s="290" t="s">
        <v>296</v>
      </c>
      <c r="D52" s="290" t="s">
        <v>296</v>
      </c>
      <c r="E52" s="290" t="s">
        <v>296</v>
      </c>
      <c r="F52" s="290" t="s">
        <v>296</v>
      </c>
      <c r="G52" s="290" t="s">
        <v>296</v>
      </c>
      <c r="H52" s="290" t="s">
        <v>296</v>
      </c>
      <c r="I52" s="290" t="s">
        <v>296</v>
      </c>
      <c r="J52" s="290" t="s">
        <v>296</v>
      </c>
      <c r="K52" s="290">
        <v>0</v>
      </c>
      <c r="L52" s="318">
        <v>56</v>
      </c>
      <c r="M52" s="290">
        <v>0</v>
      </c>
      <c r="N52" s="290">
        <v>0</v>
      </c>
      <c r="O52" s="290">
        <v>0</v>
      </c>
      <c r="P52" s="290">
        <v>0</v>
      </c>
      <c r="Q52" s="290">
        <v>0</v>
      </c>
      <c r="R52" s="290">
        <v>0</v>
      </c>
      <c r="S52" s="290">
        <v>0</v>
      </c>
      <c r="T52" s="290">
        <v>0</v>
      </c>
      <c r="U52" s="290">
        <v>0</v>
      </c>
      <c r="V52" s="291">
        <v>0</v>
      </c>
      <c r="Z52" s="2">
        <f>SUM('A. Raw Historical Data - BS'!AJ31,'A. Raw Historical Data - BS'!AJ46,'A. Raw Historical Data - BS'!AJ30,'A. Raw Historical Data - BS'!AJ47)</f>
        <v>0</v>
      </c>
    </row>
    <row r="53" spans="1:26" ht="15.95">
      <c r="A53" s="304" t="s">
        <v>1117</v>
      </c>
      <c r="B53" s="290" t="s">
        <v>1242</v>
      </c>
      <c r="C53" s="290" t="s">
        <v>296</v>
      </c>
      <c r="D53" s="290" t="s">
        <v>296</v>
      </c>
      <c r="E53" s="290" t="s">
        <v>296</v>
      </c>
      <c r="F53" s="290">
        <v>83</v>
      </c>
      <c r="G53" s="290">
        <v>92</v>
      </c>
      <c r="H53" s="290">
        <v>47</v>
      </c>
      <c r="I53" s="290" t="s">
        <v>296</v>
      </c>
      <c r="J53" s="292" t="s">
        <v>961</v>
      </c>
      <c r="K53" s="290">
        <v>89</v>
      </c>
      <c r="L53" s="292" t="s">
        <v>961</v>
      </c>
      <c r="M53" s="290" t="s">
        <v>296</v>
      </c>
      <c r="N53" s="290" t="s">
        <v>296</v>
      </c>
      <c r="O53" s="290" t="s">
        <v>296</v>
      </c>
      <c r="P53" s="290" t="s">
        <v>296</v>
      </c>
      <c r="Q53" s="290" t="s">
        <v>296</v>
      </c>
      <c r="R53" s="290" t="s">
        <v>296</v>
      </c>
      <c r="S53" s="290" t="s">
        <v>296</v>
      </c>
      <c r="T53" s="290" t="s">
        <v>296</v>
      </c>
      <c r="U53" s="290" t="s">
        <v>296</v>
      </c>
      <c r="V53" s="291" t="s">
        <v>296</v>
      </c>
    </row>
    <row r="54" spans="1:26" ht="15.95">
      <c r="A54" s="304" t="s">
        <v>1243</v>
      </c>
      <c r="B54" s="290" t="s">
        <v>1244</v>
      </c>
      <c r="C54" s="220">
        <v>15091</v>
      </c>
      <c r="D54" s="220">
        <v>15381</v>
      </c>
      <c r="E54" s="220">
        <v>16865</v>
      </c>
      <c r="F54" s="292" t="s">
        <v>961</v>
      </c>
      <c r="G54" s="292" t="s">
        <v>961</v>
      </c>
      <c r="H54" s="292" t="s">
        <v>961</v>
      </c>
      <c r="I54" s="292" t="s">
        <v>961</v>
      </c>
      <c r="J54" s="292" t="s">
        <v>961</v>
      </c>
      <c r="K54" s="290">
        <v>0</v>
      </c>
      <c r="L54" s="290">
        <v>0</v>
      </c>
      <c r="M54" s="290">
        <v>0</v>
      </c>
      <c r="N54" s="290">
        <v>0</v>
      </c>
      <c r="O54" s="290">
        <v>0</v>
      </c>
      <c r="P54" s="290">
        <v>0</v>
      </c>
      <c r="Q54" s="290">
        <v>0</v>
      </c>
      <c r="R54" s="290">
        <v>0</v>
      </c>
      <c r="S54" s="290">
        <v>0</v>
      </c>
      <c r="T54" s="290">
        <v>0</v>
      </c>
      <c r="U54" s="290">
        <v>0</v>
      </c>
      <c r="V54" s="290">
        <v>0</v>
      </c>
    </row>
    <row r="55" spans="1:26" ht="15.95">
      <c r="A55" s="187" t="s">
        <v>645</v>
      </c>
      <c r="B55" s="290" t="s">
        <v>1245</v>
      </c>
      <c r="C55" s="220">
        <v>48825</v>
      </c>
      <c r="D55" s="220">
        <v>52148</v>
      </c>
      <c r="E55" s="220">
        <v>58478</v>
      </c>
      <c r="F55" s="220">
        <v>55390</v>
      </c>
      <c r="G55" s="220">
        <v>55543</v>
      </c>
      <c r="H55" s="220">
        <v>58603</v>
      </c>
      <c r="I55" s="220">
        <v>62300</v>
      </c>
      <c r="J55" s="220">
        <v>71818</v>
      </c>
      <c r="K55" s="220">
        <v>69345</v>
      </c>
      <c r="L55" s="220">
        <v>65253</v>
      </c>
      <c r="M55" s="220">
        <v>64619</v>
      </c>
      <c r="N55" s="220">
        <v>66928</v>
      </c>
      <c r="O55" s="220">
        <v>78521</v>
      </c>
      <c r="P55" s="220">
        <v>77477</v>
      </c>
      <c r="Q55" s="220">
        <v>77790</v>
      </c>
      <c r="R55" s="220">
        <v>92645</v>
      </c>
      <c r="S55" s="220">
        <v>87379</v>
      </c>
      <c r="T55" s="220">
        <v>92198</v>
      </c>
      <c r="U55" s="220">
        <v>92415</v>
      </c>
      <c r="V55" s="289">
        <v>96584</v>
      </c>
    </row>
    <row r="56" spans="1:26" ht="15.95">
      <c r="A56" s="223" t="s">
        <v>1246</v>
      </c>
      <c r="B56" s="290" t="s">
        <v>1247</v>
      </c>
      <c r="C56" s="220">
        <v>30096</v>
      </c>
      <c r="D56" s="220">
        <v>30735</v>
      </c>
      <c r="E56" s="220">
        <v>33402</v>
      </c>
      <c r="F56" s="220">
        <v>34228</v>
      </c>
      <c r="G56" s="220">
        <v>36141</v>
      </c>
      <c r="H56" s="220">
        <v>43575</v>
      </c>
      <c r="I56" s="220">
        <v>38748</v>
      </c>
      <c r="J56" s="220">
        <v>34454</v>
      </c>
      <c r="K56" s="220">
        <v>38491</v>
      </c>
      <c r="L56" s="220">
        <v>39645</v>
      </c>
      <c r="M56" s="220">
        <v>40386</v>
      </c>
      <c r="N56" s="220">
        <v>38809</v>
      </c>
      <c r="O56" s="220">
        <v>32784</v>
      </c>
      <c r="P56" s="220">
        <v>46340</v>
      </c>
      <c r="Q56" s="220">
        <v>64192</v>
      </c>
      <c r="R56" s="220">
        <v>57950</v>
      </c>
      <c r="S56" s="220">
        <v>52116</v>
      </c>
      <c r="T56" s="220">
        <v>52320</v>
      </c>
      <c r="U56" s="220">
        <v>54784</v>
      </c>
      <c r="V56" s="289">
        <v>52149</v>
      </c>
    </row>
    <row r="57" spans="1:26" ht="15.95">
      <c r="A57" s="223" t="s">
        <v>1248</v>
      </c>
      <c r="B57" s="290" t="s">
        <v>1249</v>
      </c>
      <c r="C57" s="220">
        <v>26429</v>
      </c>
      <c r="D57" s="220">
        <v>27222</v>
      </c>
      <c r="E57" s="220">
        <v>29799</v>
      </c>
      <c r="F57" s="220">
        <v>31028</v>
      </c>
      <c r="G57" s="220">
        <v>32971</v>
      </c>
      <c r="H57" s="220">
        <v>40425</v>
      </c>
      <c r="I57" s="220">
        <v>35739</v>
      </c>
      <c r="J57" s="220">
        <v>31431</v>
      </c>
      <c r="K57" s="220">
        <v>35703</v>
      </c>
      <c r="L57" s="316">
        <v>37039</v>
      </c>
      <c r="M57" s="224">
        <v>34570</v>
      </c>
      <c r="N57" s="224">
        <v>32806</v>
      </c>
      <c r="O57" s="224">
        <v>26004</v>
      </c>
      <c r="P57" s="224">
        <v>39657</v>
      </c>
      <c r="Q57" s="224">
        <v>43714</v>
      </c>
      <c r="R57" s="224">
        <v>41194</v>
      </c>
      <c r="S57" s="224">
        <v>34864</v>
      </c>
      <c r="T57" s="224">
        <v>34649</v>
      </c>
      <c r="U57" s="224">
        <v>36132</v>
      </c>
      <c r="V57" s="317">
        <v>33401</v>
      </c>
    </row>
    <row r="58" spans="1:26" ht="15.95">
      <c r="A58" s="223" t="s">
        <v>1250</v>
      </c>
      <c r="B58" s="290" t="s">
        <v>1251</v>
      </c>
      <c r="C58" s="220">
        <v>3667</v>
      </c>
      <c r="D58" s="220">
        <v>3513</v>
      </c>
      <c r="E58" s="220">
        <v>3603</v>
      </c>
      <c r="F58" s="220">
        <v>3200</v>
      </c>
      <c r="G58" s="220">
        <v>3170</v>
      </c>
      <c r="H58" s="220">
        <v>3150</v>
      </c>
      <c r="I58" s="220">
        <v>3009</v>
      </c>
      <c r="J58" s="220">
        <v>3023</v>
      </c>
      <c r="K58" s="220">
        <v>2788</v>
      </c>
      <c r="L58" s="316">
        <v>2606</v>
      </c>
      <c r="M58" s="224">
        <v>5816</v>
      </c>
      <c r="N58" s="224">
        <v>6003</v>
      </c>
      <c r="O58" s="224">
        <v>6780</v>
      </c>
      <c r="P58" s="224">
        <v>6683</v>
      </c>
      <c r="Q58" s="224">
        <v>20478</v>
      </c>
      <c r="R58" s="224">
        <v>16756</v>
      </c>
      <c r="S58" s="224">
        <v>17252</v>
      </c>
      <c r="T58" s="224">
        <v>17671</v>
      </c>
      <c r="U58" s="224">
        <v>18652</v>
      </c>
      <c r="V58" s="317">
        <v>18748</v>
      </c>
    </row>
    <row r="59" spans="1:26" ht="15.95">
      <c r="A59" s="304" t="s">
        <v>1252</v>
      </c>
      <c r="B59" s="290" t="s">
        <v>1253</v>
      </c>
      <c r="C59" s="220">
        <v>3667</v>
      </c>
      <c r="D59" s="220">
        <v>3513</v>
      </c>
      <c r="E59" s="220">
        <v>3603</v>
      </c>
      <c r="F59" s="220">
        <v>3200</v>
      </c>
      <c r="G59" s="220">
        <v>3170</v>
      </c>
      <c r="H59" s="220">
        <v>3150</v>
      </c>
      <c r="I59" s="220">
        <v>3009</v>
      </c>
      <c r="J59" s="220">
        <v>3023</v>
      </c>
      <c r="K59" s="220">
        <v>2788</v>
      </c>
      <c r="L59" s="220">
        <v>2606</v>
      </c>
      <c r="M59" s="220">
        <v>5816</v>
      </c>
      <c r="N59" s="220">
        <v>6003</v>
      </c>
      <c r="O59" s="220">
        <v>6780</v>
      </c>
      <c r="P59" s="220">
        <v>6683</v>
      </c>
      <c r="Q59" s="220">
        <v>4307</v>
      </c>
      <c r="R59" s="220">
        <v>3847</v>
      </c>
      <c r="S59" s="220">
        <v>4243</v>
      </c>
      <c r="T59" s="220">
        <v>4843</v>
      </c>
      <c r="U59" s="220">
        <v>5709</v>
      </c>
      <c r="V59" s="289">
        <v>5923</v>
      </c>
    </row>
    <row r="60" spans="1:26" ht="15.95">
      <c r="A60" s="304" t="s">
        <v>1254</v>
      </c>
      <c r="B60" s="290" t="s">
        <v>1255</v>
      </c>
      <c r="C60" s="290" t="s">
        <v>296</v>
      </c>
      <c r="D60" s="290" t="s">
        <v>296</v>
      </c>
      <c r="E60" s="290" t="s">
        <v>296</v>
      </c>
      <c r="F60" s="290" t="s">
        <v>296</v>
      </c>
      <c r="G60" s="290" t="s">
        <v>296</v>
      </c>
      <c r="H60" s="290" t="s">
        <v>296</v>
      </c>
      <c r="I60" s="290" t="s">
        <v>296</v>
      </c>
      <c r="J60" s="290" t="s">
        <v>296</v>
      </c>
      <c r="K60" s="290" t="s">
        <v>296</v>
      </c>
      <c r="L60" s="290" t="s">
        <v>296</v>
      </c>
      <c r="M60" s="290" t="s">
        <v>296</v>
      </c>
      <c r="N60" s="290" t="s">
        <v>296</v>
      </c>
      <c r="O60" s="290" t="s">
        <v>296</v>
      </c>
      <c r="P60" s="290" t="s">
        <v>296</v>
      </c>
      <c r="Q60" s="220">
        <v>16171</v>
      </c>
      <c r="R60" s="220">
        <v>12909</v>
      </c>
      <c r="S60" s="220">
        <v>13009</v>
      </c>
      <c r="T60" s="220">
        <v>12828</v>
      </c>
      <c r="U60" s="220">
        <v>12943</v>
      </c>
      <c r="V60" s="289">
        <v>12825</v>
      </c>
    </row>
    <row r="61" spans="1:26" ht="15.95">
      <c r="A61" s="304" t="s">
        <v>1256</v>
      </c>
      <c r="B61" s="290" t="s">
        <v>1257</v>
      </c>
      <c r="C61" s="220">
        <v>4630</v>
      </c>
      <c r="D61" s="220">
        <v>4971</v>
      </c>
      <c r="E61" s="220">
        <v>5087</v>
      </c>
      <c r="F61" s="220">
        <v>6732</v>
      </c>
      <c r="G61" s="220">
        <v>6075</v>
      </c>
      <c r="H61" s="220">
        <v>7357</v>
      </c>
      <c r="I61" s="220">
        <v>16597</v>
      </c>
      <c r="J61" s="220">
        <v>15095</v>
      </c>
      <c r="K61" s="220">
        <v>15576</v>
      </c>
      <c r="L61" s="220">
        <v>12655</v>
      </c>
      <c r="M61" s="220">
        <v>10965</v>
      </c>
      <c r="N61" s="220">
        <v>12553</v>
      </c>
      <c r="O61" s="220">
        <v>12395</v>
      </c>
      <c r="P61" s="220">
        <v>15844</v>
      </c>
      <c r="Q61" s="220">
        <v>12961</v>
      </c>
      <c r="R61" s="220">
        <v>14370</v>
      </c>
      <c r="S61" s="220">
        <v>13474</v>
      </c>
      <c r="T61" s="220">
        <v>14688</v>
      </c>
      <c r="U61" s="220">
        <v>14629</v>
      </c>
      <c r="V61" s="289">
        <v>14398</v>
      </c>
    </row>
    <row r="62" spans="1:26" ht="15.95">
      <c r="A62" s="304" t="s">
        <v>1258</v>
      </c>
      <c r="B62" s="290" t="s">
        <v>1259</v>
      </c>
      <c r="C62" s="290" t="s">
        <v>296</v>
      </c>
      <c r="D62" s="290" t="s">
        <v>296</v>
      </c>
      <c r="E62" s="290" t="s">
        <v>296</v>
      </c>
      <c r="F62" s="292" t="s">
        <v>961</v>
      </c>
      <c r="G62" s="292" t="s">
        <v>961</v>
      </c>
      <c r="H62" s="292" t="s">
        <v>961</v>
      </c>
      <c r="I62" s="292" t="s">
        <v>961</v>
      </c>
      <c r="J62" s="292" t="s">
        <v>961</v>
      </c>
      <c r="K62" s="292" t="s">
        <v>961</v>
      </c>
      <c r="L62" s="292" t="s">
        <v>961</v>
      </c>
      <c r="M62" s="292" t="s">
        <v>961</v>
      </c>
      <c r="N62" s="292" t="s">
        <v>961</v>
      </c>
      <c r="O62" s="292" t="s">
        <v>961</v>
      </c>
      <c r="P62" s="292" t="s">
        <v>961</v>
      </c>
      <c r="Q62" s="292" t="s">
        <v>961</v>
      </c>
      <c r="R62" s="292" t="s">
        <v>961</v>
      </c>
      <c r="S62" s="292" t="s">
        <v>961</v>
      </c>
      <c r="T62" s="292" t="s">
        <v>961</v>
      </c>
      <c r="U62" s="292" t="s">
        <v>961</v>
      </c>
      <c r="V62" s="293" t="s">
        <v>961</v>
      </c>
    </row>
    <row r="63" spans="1:26" ht="15.95">
      <c r="A63" s="304" t="s">
        <v>1260</v>
      </c>
      <c r="B63" s="290" t="s">
        <v>1261</v>
      </c>
      <c r="C63" s="290" t="s">
        <v>296</v>
      </c>
      <c r="D63" s="290" t="s">
        <v>296</v>
      </c>
      <c r="E63" s="290" t="s">
        <v>296</v>
      </c>
      <c r="F63" s="290" t="s">
        <v>296</v>
      </c>
      <c r="G63" s="290" t="s">
        <v>296</v>
      </c>
      <c r="H63" s="290" t="s">
        <v>296</v>
      </c>
      <c r="I63" s="290" t="s">
        <v>296</v>
      </c>
      <c r="J63" s="290" t="s">
        <v>296</v>
      </c>
      <c r="K63" s="290" t="s">
        <v>296</v>
      </c>
      <c r="L63" s="292" t="s">
        <v>961</v>
      </c>
      <c r="M63" s="290" t="s">
        <v>296</v>
      </c>
      <c r="N63" s="290" t="s">
        <v>296</v>
      </c>
      <c r="O63" s="290" t="s">
        <v>296</v>
      </c>
      <c r="P63" s="292" t="s">
        <v>961</v>
      </c>
      <c r="Q63" s="292" t="s">
        <v>961</v>
      </c>
      <c r="R63" s="292" t="s">
        <v>961</v>
      </c>
      <c r="S63" s="292" t="s">
        <v>961</v>
      </c>
      <c r="T63" s="292" t="s">
        <v>961</v>
      </c>
      <c r="U63" s="292" t="s">
        <v>961</v>
      </c>
      <c r="V63" s="293" t="s">
        <v>961</v>
      </c>
    </row>
    <row r="64" spans="1:26" ht="15.95">
      <c r="A64" s="304" t="s">
        <v>1262</v>
      </c>
      <c r="B64" s="290" t="s">
        <v>1263</v>
      </c>
      <c r="C64" s="290" t="s">
        <v>296</v>
      </c>
      <c r="D64" s="290" t="s">
        <v>296</v>
      </c>
      <c r="E64" s="290" t="s">
        <v>296</v>
      </c>
      <c r="F64" s="290" t="s">
        <v>296</v>
      </c>
      <c r="G64" s="290" t="s">
        <v>296</v>
      </c>
      <c r="H64" s="290" t="s">
        <v>296</v>
      </c>
      <c r="I64" s="290" t="s">
        <v>296</v>
      </c>
      <c r="J64" s="290" t="s">
        <v>296</v>
      </c>
      <c r="K64" s="290" t="s">
        <v>296</v>
      </c>
      <c r="L64" s="292" t="s">
        <v>961</v>
      </c>
      <c r="M64" s="290" t="s">
        <v>296</v>
      </c>
      <c r="N64" s="290" t="s">
        <v>296</v>
      </c>
      <c r="O64" s="290" t="s">
        <v>296</v>
      </c>
      <c r="P64" s="290" t="s">
        <v>296</v>
      </c>
      <c r="Q64" s="292" t="s">
        <v>961</v>
      </c>
      <c r="R64" s="292" t="s">
        <v>961</v>
      </c>
      <c r="S64" s="292" t="s">
        <v>961</v>
      </c>
      <c r="T64" s="292" t="s">
        <v>961</v>
      </c>
      <c r="U64" s="292" t="s">
        <v>961</v>
      </c>
      <c r="V64" s="293" t="s">
        <v>961</v>
      </c>
    </row>
    <row r="65" spans="1:22" ht="15.95">
      <c r="A65" s="304" t="s">
        <v>1264</v>
      </c>
      <c r="B65" s="290" t="s">
        <v>1265</v>
      </c>
      <c r="C65" s="290" t="s">
        <v>296</v>
      </c>
      <c r="D65" s="290" t="s">
        <v>296</v>
      </c>
      <c r="E65" s="290" t="s">
        <v>296</v>
      </c>
      <c r="F65" s="290" t="s">
        <v>296</v>
      </c>
      <c r="G65" s="290" t="s">
        <v>296</v>
      </c>
      <c r="H65" s="290" t="s">
        <v>296</v>
      </c>
      <c r="I65" s="290" t="s">
        <v>296</v>
      </c>
      <c r="J65" s="290" t="s">
        <v>296</v>
      </c>
      <c r="K65" s="290" t="s">
        <v>296</v>
      </c>
      <c r="L65" s="292" t="s">
        <v>961</v>
      </c>
      <c r="M65" s="290" t="s">
        <v>296</v>
      </c>
      <c r="N65" s="290" t="s">
        <v>296</v>
      </c>
      <c r="O65" s="290" t="s">
        <v>296</v>
      </c>
      <c r="P65" s="290" t="s">
        <v>296</v>
      </c>
      <c r="Q65" s="292" t="s">
        <v>961</v>
      </c>
      <c r="R65" s="292" t="s">
        <v>961</v>
      </c>
      <c r="S65" s="292" t="s">
        <v>961</v>
      </c>
      <c r="T65" s="292" t="s">
        <v>961</v>
      </c>
      <c r="U65" s="292" t="s">
        <v>961</v>
      </c>
      <c r="V65" s="293" t="s">
        <v>961</v>
      </c>
    </row>
    <row r="66" spans="1:22" ht="15.95">
      <c r="A66" s="304" t="s">
        <v>1236</v>
      </c>
      <c r="B66" s="290" t="s">
        <v>1266</v>
      </c>
      <c r="C66" s="290" t="s">
        <v>296</v>
      </c>
      <c r="D66" s="290" t="s">
        <v>296</v>
      </c>
      <c r="E66" s="290" t="s">
        <v>296</v>
      </c>
      <c r="F66" s="292" t="s">
        <v>961</v>
      </c>
      <c r="G66" s="292" t="s">
        <v>961</v>
      </c>
      <c r="H66" s="292" t="s">
        <v>961</v>
      </c>
      <c r="I66" s="292" t="s">
        <v>961</v>
      </c>
      <c r="J66" s="292" t="s">
        <v>961</v>
      </c>
      <c r="K66" s="292" t="s">
        <v>961</v>
      </c>
      <c r="L66" s="292" t="s">
        <v>961</v>
      </c>
      <c r="M66" s="292" t="s">
        <v>961</v>
      </c>
      <c r="N66" s="292" t="s">
        <v>961</v>
      </c>
      <c r="O66" s="292" t="s">
        <v>961</v>
      </c>
      <c r="P66" s="292" t="s">
        <v>961</v>
      </c>
      <c r="Q66" s="292" t="s">
        <v>961</v>
      </c>
      <c r="R66" s="292" t="s">
        <v>961</v>
      </c>
      <c r="S66" s="292" t="s">
        <v>961</v>
      </c>
      <c r="T66" s="292" t="s">
        <v>961</v>
      </c>
      <c r="U66" s="292" t="s">
        <v>961</v>
      </c>
      <c r="V66" s="293" t="s">
        <v>961</v>
      </c>
    </row>
    <row r="67" spans="1:22" ht="15.95">
      <c r="A67" s="223" t="s">
        <v>1240</v>
      </c>
      <c r="B67" s="290" t="s">
        <v>1267</v>
      </c>
      <c r="C67" s="290" t="s">
        <v>296</v>
      </c>
      <c r="D67" s="290" t="s">
        <v>296</v>
      </c>
      <c r="E67" s="290" t="s">
        <v>296</v>
      </c>
      <c r="F67" s="220">
        <v>6014</v>
      </c>
      <c r="G67" s="220">
        <v>5508</v>
      </c>
      <c r="H67" s="220">
        <v>6682</v>
      </c>
      <c r="I67" s="220">
        <v>7862</v>
      </c>
      <c r="J67" s="220">
        <v>7613</v>
      </c>
      <c r="K67" s="220">
        <v>8017</v>
      </c>
      <c r="L67" s="323">
        <v>4671</v>
      </c>
      <c r="M67" s="224">
        <v>3357</v>
      </c>
      <c r="N67" s="224">
        <v>4333</v>
      </c>
      <c r="O67" s="224">
        <v>3831</v>
      </c>
      <c r="P67" s="224">
        <v>6296</v>
      </c>
      <c r="Q67" s="224">
        <v>6204</v>
      </c>
      <c r="R67" s="224">
        <v>8445</v>
      </c>
      <c r="S67" s="224">
        <v>6917</v>
      </c>
      <c r="T67" s="224">
        <v>7269</v>
      </c>
      <c r="U67" s="224">
        <v>7248</v>
      </c>
      <c r="V67" s="317">
        <v>7019</v>
      </c>
    </row>
    <row r="68" spans="1:22" ht="15.95">
      <c r="A68" s="223" t="s">
        <v>1238</v>
      </c>
      <c r="B68" s="290" t="s">
        <v>1268</v>
      </c>
      <c r="C68" s="290" t="s">
        <v>296</v>
      </c>
      <c r="D68" s="290" t="s">
        <v>296</v>
      </c>
      <c r="E68" s="290" t="s">
        <v>296</v>
      </c>
      <c r="F68" s="290">
        <v>338</v>
      </c>
      <c r="G68" s="290">
        <v>280</v>
      </c>
      <c r="H68" s="290">
        <v>285</v>
      </c>
      <c r="I68" s="220">
        <v>8441</v>
      </c>
      <c r="J68" s="220">
        <v>7054</v>
      </c>
      <c r="K68" s="220">
        <v>6069</v>
      </c>
      <c r="L68" s="323">
        <v>4460</v>
      </c>
      <c r="M68" s="224">
        <v>4382</v>
      </c>
      <c r="N68" s="224">
        <v>3839</v>
      </c>
      <c r="O68" s="224">
        <v>4227</v>
      </c>
      <c r="P68" s="224">
        <v>4291</v>
      </c>
      <c r="Q68" s="320">
        <v>144</v>
      </c>
      <c r="R68" s="320">
        <v>83</v>
      </c>
      <c r="S68" s="224">
        <v>1095</v>
      </c>
      <c r="T68" s="224">
        <v>2112</v>
      </c>
      <c r="U68" s="224">
        <v>1956</v>
      </c>
      <c r="V68" s="317">
        <v>1999</v>
      </c>
    </row>
    <row r="69" spans="1:22" ht="15.95">
      <c r="A69" s="223" t="s">
        <v>1269</v>
      </c>
      <c r="B69" s="290" t="s">
        <v>1270</v>
      </c>
      <c r="C69" s="220">
        <v>4630</v>
      </c>
      <c r="D69" s="220">
        <v>4971</v>
      </c>
      <c r="E69" s="220">
        <v>5087</v>
      </c>
      <c r="F69" s="290">
        <v>380</v>
      </c>
      <c r="G69" s="290">
        <v>287</v>
      </c>
      <c r="H69" s="290">
        <v>390</v>
      </c>
      <c r="I69" s="290">
        <v>294</v>
      </c>
      <c r="J69" s="290">
        <v>428</v>
      </c>
      <c r="K69" s="220">
        <v>1490</v>
      </c>
      <c r="L69" s="323">
        <v>3524</v>
      </c>
      <c r="M69" s="224">
        <v>3226</v>
      </c>
      <c r="N69" s="224">
        <v>4381</v>
      </c>
      <c r="O69" s="224">
        <v>4337</v>
      </c>
      <c r="P69" s="224">
        <v>5257</v>
      </c>
      <c r="Q69" s="224">
        <v>6613</v>
      </c>
      <c r="R69" s="224">
        <v>5842</v>
      </c>
      <c r="S69" s="224">
        <v>5462</v>
      </c>
      <c r="T69" s="224">
        <v>5307</v>
      </c>
      <c r="U69" s="224">
        <v>5425</v>
      </c>
      <c r="V69" s="317">
        <v>5380</v>
      </c>
    </row>
    <row r="70" spans="1:22" ht="15.95">
      <c r="A70" s="187" t="s">
        <v>1271</v>
      </c>
      <c r="B70" s="290" t="s">
        <v>1272</v>
      </c>
      <c r="C70" s="220">
        <v>34726</v>
      </c>
      <c r="D70" s="220">
        <v>35706</v>
      </c>
      <c r="E70" s="220">
        <v>38489</v>
      </c>
      <c r="F70" s="220">
        <v>40960</v>
      </c>
      <c r="G70" s="220">
        <v>42216</v>
      </c>
      <c r="H70" s="220">
        <v>50932</v>
      </c>
      <c r="I70" s="220">
        <v>55345</v>
      </c>
      <c r="J70" s="220">
        <v>49549</v>
      </c>
      <c r="K70" s="220">
        <v>54067</v>
      </c>
      <c r="L70" s="220">
        <v>52300</v>
      </c>
      <c r="M70" s="220">
        <v>51351</v>
      </c>
      <c r="N70" s="220">
        <v>51362</v>
      </c>
      <c r="O70" s="220">
        <v>45179</v>
      </c>
      <c r="P70" s="220">
        <v>62184</v>
      </c>
      <c r="Q70" s="220">
        <v>77153</v>
      </c>
      <c r="R70" s="220">
        <v>72320</v>
      </c>
      <c r="S70" s="220">
        <v>65590</v>
      </c>
      <c r="T70" s="220">
        <v>67008</v>
      </c>
      <c r="U70" s="220">
        <v>69413</v>
      </c>
      <c r="V70" s="289">
        <v>66547</v>
      </c>
    </row>
    <row r="71" spans="1:22" ht="15.95">
      <c r="A71" s="187" t="s">
        <v>1273</v>
      </c>
      <c r="B71" s="290" t="s">
        <v>1274</v>
      </c>
      <c r="C71" s="220">
        <v>83551</v>
      </c>
      <c r="D71" s="220">
        <v>87854</v>
      </c>
      <c r="E71" s="220">
        <v>96967</v>
      </c>
      <c r="F71" s="220">
        <v>96350</v>
      </c>
      <c r="G71" s="220">
        <v>97759</v>
      </c>
      <c r="H71" s="220">
        <v>109535</v>
      </c>
      <c r="I71" s="220">
        <v>117645</v>
      </c>
      <c r="J71" s="220">
        <v>121367</v>
      </c>
      <c r="K71" s="220">
        <v>123412</v>
      </c>
      <c r="L71" s="220">
        <v>117553</v>
      </c>
      <c r="M71" s="220">
        <v>115970</v>
      </c>
      <c r="N71" s="220">
        <v>118290</v>
      </c>
      <c r="O71" s="220">
        <v>123700</v>
      </c>
      <c r="P71" s="220">
        <v>139661</v>
      </c>
      <c r="Q71" s="220">
        <v>154943</v>
      </c>
      <c r="R71" s="220">
        <v>164965</v>
      </c>
      <c r="S71" s="220">
        <v>152969</v>
      </c>
      <c r="T71" s="220">
        <v>159206</v>
      </c>
      <c r="U71" s="220">
        <v>161828</v>
      </c>
      <c r="V71" s="289">
        <v>163131</v>
      </c>
    </row>
    <row r="72" spans="1:22" ht="15.95">
      <c r="A72" s="304" t="s">
        <v>1275</v>
      </c>
      <c r="B72" s="290" t="s">
        <v>1276</v>
      </c>
      <c r="C72" s="292" t="s">
        <v>961</v>
      </c>
      <c r="D72" s="292" t="s">
        <v>961</v>
      </c>
      <c r="E72" s="292" t="s">
        <v>961</v>
      </c>
      <c r="F72" s="292" t="s">
        <v>961</v>
      </c>
      <c r="G72" s="292" t="s">
        <v>961</v>
      </c>
      <c r="H72" s="292" t="s">
        <v>961</v>
      </c>
      <c r="I72" s="292" t="s">
        <v>961</v>
      </c>
      <c r="J72" s="292" t="s">
        <v>961</v>
      </c>
      <c r="K72" s="292" t="s">
        <v>961</v>
      </c>
      <c r="L72" s="292" t="s">
        <v>961</v>
      </c>
      <c r="M72" s="292" t="s">
        <v>961</v>
      </c>
      <c r="N72" s="292" t="s">
        <v>961</v>
      </c>
      <c r="O72" s="292" t="s">
        <v>961</v>
      </c>
      <c r="P72" s="292" t="s">
        <v>961</v>
      </c>
      <c r="Q72" s="292" t="s">
        <v>961</v>
      </c>
      <c r="R72" s="292" t="s">
        <v>961</v>
      </c>
      <c r="S72" s="292" t="s">
        <v>961</v>
      </c>
      <c r="T72" s="292" t="s">
        <v>961</v>
      </c>
      <c r="U72" s="292" t="s">
        <v>961</v>
      </c>
      <c r="V72" s="293" t="s">
        <v>961</v>
      </c>
    </row>
    <row r="73" spans="1:22" ht="15.95">
      <c r="A73" s="223" t="s">
        <v>1277</v>
      </c>
      <c r="B73" s="290" t="s">
        <v>1278</v>
      </c>
      <c r="C73" s="220">
        <v>3013</v>
      </c>
      <c r="D73" s="220">
        <v>3247</v>
      </c>
      <c r="E73" s="220">
        <v>3425</v>
      </c>
      <c r="F73" s="220">
        <v>4313</v>
      </c>
      <c r="G73" s="220">
        <v>4181</v>
      </c>
      <c r="H73" s="220">
        <v>3929</v>
      </c>
      <c r="I73" s="220">
        <v>4034</v>
      </c>
      <c r="J73" s="220">
        <v>3952</v>
      </c>
      <c r="K73" s="220">
        <v>2685</v>
      </c>
      <c r="L73" s="220">
        <v>2785</v>
      </c>
      <c r="M73" s="220">
        <v>2122</v>
      </c>
      <c r="N73" s="220">
        <v>2676</v>
      </c>
      <c r="O73" s="220">
        <v>2943</v>
      </c>
      <c r="P73" s="220">
        <v>3253</v>
      </c>
      <c r="Q73" s="220">
        <v>3531</v>
      </c>
      <c r="R73" s="220">
        <v>3928</v>
      </c>
      <c r="S73" s="220">
        <v>5115</v>
      </c>
      <c r="T73" s="220">
        <v>5238</v>
      </c>
      <c r="U73" s="220">
        <v>5349</v>
      </c>
      <c r="V73" s="289">
        <v>6305</v>
      </c>
    </row>
    <row r="74" spans="1:22" ht="15.95">
      <c r="A74" s="223" t="s">
        <v>1279</v>
      </c>
      <c r="B74" s="290" t="s">
        <v>1280</v>
      </c>
      <c r="C74" s="290" t="s">
        <v>296</v>
      </c>
      <c r="D74" s="290" t="s">
        <v>296</v>
      </c>
      <c r="E74" s="290" t="s">
        <v>296</v>
      </c>
      <c r="F74" s="290">
        <v>393</v>
      </c>
      <c r="G74" s="290">
        <v>378</v>
      </c>
      <c r="H74" s="290">
        <v>352</v>
      </c>
      <c r="I74" s="290">
        <v>342</v>
      </c>
      <c r="J74" s="290">
        <v>332</v>
      </c>
      <c r="K74" s="290">
        <v>323</v>
      </c>
      <c r="L74" s="318">
        <v>323</v>
      </c>
      <c r="M74" s="320">
        <v>317</v>
      </c>
      <c r="N74" s="320">
        <v>305</v>
      </c>
      <c r="O74" s="320">
        <v>295</v>
      </c>
      <c r="P74" s="320">
        <v>288</v>
      </c>
      <c r="Q74" s="320">
        <v>284</v>
      </c>
      <c r="R74" s="320">
        <v>282</v>
      </c>
      <c r="S74" s="320">
        <v>276</v>
      </c>
      <c r="T74" s="320">
        <v>269</v>
      </c>
      <c r="U74" s="320">
        <v>805</v>
      </c>
      <c r="V74" s="321">
        <v>802</v>
      </c>
    </row>
    <row r="75" spans="1:22" ht="15.95">
      <c r="A75" s="223" t="s">
        <v>1281</v>
      </c>
      <c r="B75" s="290" t="s">
        <v>1282</v>
      </c>
      <c r="C75" s="290" t="s">
        <v>296</v>
      </c>
      <c r="D75" s="290" t="s">
        <v>296</v>
      </c>
      <c r="E75" s="290" t="s">
        <v>296</v>
      </c>
      <c r="F75" s="220">
        <v>3920</v>
      </c>
      <c r="G75" s="220">
        <v>3803</v>
      </c>
      <c r="H75" s="220">
        <v>3577</v>
      </c>
      <c r="I75" s="220">
        <v>3692</v>
      </c>
      <c r="J75" s="220">
        <v>3620</v>
      </c>
      <c r="K75" s="220">
        <v>2362</v>
      </c>
      <c r="L75" s="316">
        <v>2462</v>
      </c>
      <c r="M75" s="224">
        <v>1805</v>
      </c>
      <c r="N75" s="224">
        <v>2371</v>
      </c>
      <c r="O75" s="224">
        <v>2648</v>
      </c>
      <c r="P75" s="224">
        <v>2965</v>
      </c>
      <c r="Q75" s="224">
        <v>3247</v>
      </c>
      <c r="R75" s="224">
        <v>3646</v>
      </c>
      <c r="S75" s="224">
        <v>4839</v>
      </c>
      <c r="T75" s="224">
        <v>4969</v>
      </c>
      <c r="U75" s="224">
        <v>4544</v>
      </c>
      <c r="V75" s="317">
        <v>5503</v>
      </c>
    </row>
    <row r="76" spans="1:22" ht="15.95">
      <c r="A76" s="304" t="s">
        <v>1283</v>
      </c>
      <c r="B76" s="290" t="s">
        <v>1284</v>
      </c>
      <c r="C76" s="292" t="s">
        <v>961</v>
      </c>
      <c r="D76" s="292" t="s">
        <v>961</v>
      </c>
      <c r="E76" s="292" t="s">
        <v>961</v>
      </c>
      <c r="F76" s="292" t="s">
        <v>961</v>
      </c>
      <c r="G76" s="292" t="s">
        <v>961</v>
      </c>
      <c r="H76" s="292" t="s">
        <v>961</v>
      </c>
      <c r="I76" s="292" t="s">
        <v>961</v>
      </c>
      <c r="J76" s="292" t="s">
        <v>961</v>
      </c>
      <c r="K76" s="292" t="s">
        <v>961</v>
      </c>
      <c r="L76" s="292" t="s">
        <v>961</v>
      </c>
      <c r="M76" s="292" t="s">
        <v>961</v>
      </c>
      <c r="N76" s="292" t="s">
        <v>961</v>
      </c>
      <c r="O76" s="292" t="s">
        <v>961</v>
      </c>
      <c r="P76" s="292" t="s">
        <v>961</v>
      </c>
      <c r="Q76" s="292" t="s">
        <v>961</v>
      </c>
      <c r="R76" s="292" t="s">
        <v>961</v>
      </c>
      <c r="S76" s="292" t="s">
        <v>961</v>
      </c>
      <c r="T76" s="292" t="s">
        <v>961</v>
      </c>
      <c r="U76" s="292" t="s">
        <v>961</v>
      </c>
      <c r="V76" s="293" t="s">
        <v>961</v>
      </c>
    </row>
    <row r="77" spans="1:22" ht="15.95">
      <c r="A77" s="223" t="s">
        <v>1285</v>
      </c>
      <c r="B77" s="290" t="s">
        <v>1286</v>
      </c>
      <c r="C77" s="220">
        <v>49105</v>
      </c>
      <c r="D77" s="220">
        <v>55818</v>
      </c>
      <c r="E77" s="220">
        <v>57319</v>
      </c>
      <c r="F77" s="220">
        <v>63660</v>
      </c>
      <c r="G77" s="220">
        <v>66357</v>
      </c>
      <c r="H77" s="220">
        <v>63967</v>
      </c>
      <c r="I77" s="220">
        <v>68691</v>
      </c>
      <c r="J77" s="220">
        <v>72978</v>
      </c>
      <c r="K77" s="220">
        <v>76566</v>
      </c>
      <c r="L77" s="224">
        <v>85777</v>
      </c>
      <c r="M77" s="224">
        <v>90021</v>
      </c>
      <c r="N77" s="224">
        <v>89354</v>
      </c>
      <c r="O77" s="224">
        <v>85107</v>
      </c>
      <c r="P77" s="224">
        <v>80785</v>
      </c>
      <c r="Q77" s="224">
        <v>83943</v>
      </c>
      <c r="R77" s="224">
        <v>88763</v>
      </c>
      <c r="S77" s="224">
        <v>86904</v>
      </c>
      <c r="T77" s="224">
        <v>83135</v>
      </c>
      <c r="U77" s="224">
        <v>89814</v>
      </c>
      <c r="V77" s="317">
        <v>98313</v>
      </c>
    </row>
    <row r="78" spans="1:22" ht="15.95">
      <c r="A78" s="223" t="s">
        <v>1287</v>
      </c>
      <c r="B78" s="290" t="s">
        <v>1288</v>
      </c>
      <c r="C78" s="220">
        <v>1053</v>
      </c>
      <c r="D78" s="220">
        <v>2508</v>
      </c>
      <c r="E78" s="220">
        <v>3864</v>
      </c>
      <c r="F78" s="220">
        <v>-2688</v>
      </c>
      <c r="G78" s="290">
        <v>-70</v>
      </c>
      <c r="H78" s="290">
        <v>646</v>
      </c>
      <c r="I78" s="220">
        <v>-1410</v>
      </c>
      <c r="J78" s="290">
        <v>-587</v>
      </c>
      <c r="K78" s="220">
        <v>-2996</v>
      </c>
      <c r="L78" s="316">
        <v>-7168</v>
      </c>
      <c r="M78" s="224">
        <v>-11597</v>
      </c>
      <c r="N78" s="224">
        <v>-14232</v>
      </c>
      <c r="O78" s="224">
        <v>-10181</v>
      </c>
      <c r="P78" s="224">
        <v>-11542</v>
      </c>
      <c r="Q78" s="224">
        <v>-12805</v>
      </c>
      <c r="R78" s="224">
        <v>-11766</v>
      </c>
      <c r="S78" s="224">
        <v>-8766</v>
      </c>
      <c r="T78" s="224">
        <v>-11680</v>
      </c>
      <c r="U78" s="224">
        <v>-11302</v>
      </c>
      <c r="V78" s="317">
        <v>-13605</v>
      </c>
    </row>
    <row r="79" spans="1:22" ht="15.95">
      <c r="A79" s="225" t="s">
        <v>1289</v>
      </c>
      <c r="B79" s="290" t="s">
        <v>1290</v>
      </c>
      <c r="C79" s="220">
        <v>53171</v>
      </c>
      <c r="D79" s="220">
        <v>61573</v>
      </c>
      <c r="E79" s="220">
        <v>64608</v>
      </c>
      <c r="F79" s="220">
        <v>65285</v>
      </c>
      <c r="G79" s="220">
        <v>70468</v>
      </c>
      <c r="H79" s="220">
        <v>68542</v>
      </c>
      <c r="I79" s="220">
        <v>71315</v>
      </c>
      <c r="J79" s="220">
        <v>76343</v>
      </c>
      <c r="K79" s="220">
        <v>76255</v>
      </c>
      <c r="L79" s="224">
        <v>81394</v>
      </c>
      <c r="M79" s="224">
        <v>80546</v>
      </c>
      <c r="N79" s="224">
        <v>77798</v>
      </c>
      <c r="O79" s="224">
        <v>77869</v>
      </c>
      <c r="P79" s="224">
        <v>72496</v>
      </c>
      <c r="Q79" s="224">
        <v>74669</v>
      </c>
      <c r="R79" s="224">
        <v>80925</v>
      </c>
      <c r="S79" s="224">
        <v>83253</v>
      </c>
      <c r="T79" s="224">
        <v>76693</v>
      </c>
      <c r="U79" s="224">
        <v>83861</v>
      </c>
      <c r="V79" s="317">
        <v>91013</v>
      </c>
    </row>
    <row r="80" spans="1:22" ht="15.95">
      <c r="A80" s="223" t="s">
        <v>1291</v>
      </c>
      <c r="B80" s="290" t="s">
        <v>1292</v>
      </c>
      <c r="C80" s="220">
        <v>1465</v>
      </c>
      <c r="D80" s="220">
        <v>2160</v>
      </c>
      <c r="E80" s="220">
        <v>1939</v>
      </c>
      <c r="F80" s="220">
        <v>1794</v>
      </c>
      <c r="G80" s="220">
        <v>2180</v>
      </c>
      <c r="H80" s="220">
        <v>2705</v>
      </c>
      <c r="I80" s="220">
        <v>4446</v>
      </c>
      <c r="J80" s="220">
        <v>5395</v>
      </c>
      <c r="K80" s="220">
        <v>5084</v>
      </c>
      <c r="L80" s="316">
        <v>4543</v>
      </c>
      <c r="M80" s="224">
        <v>3065</v>
      </c>
      <c r="N80" s="224">
        <v>2737</v>
      </c>
      <c r="O80" s="224">
        <v>2953</v>
      </c>
      <c r="P80" s="224">
        <v>7138</v>
      </c>
      <c r="Q80" s="224">
        <v>6883</v>
      </c>
      <c r="R80" s="224">
        <v>6606</v>
      </c>
      <c r="S80" s="224">
        <v>8638</v>
      </c>
      <c r="T80" s="224">
        <v>7298</v>
      </c>
      <c r="U80" s="224">
        <v>6710</v>
      </c>
      <c r="V80" s="317">
        <v>6679</v>
      </c>
    </row>
    <row r="81" spans="1:22" ht="15.95">
      <c r="A81" s="225" t="s">
        <v>1293</v>
      </c>
      <c r="B81" s="320" t="s">
        <v>1294</v>
      </c>
      <c r="C81" s="224">
        <v>54636</v>
      </c>
      <c r="D81" s="224">
        <v>63733</v>
      </c>
      <c r="E81" s="224">
        <v>66547</v>
      </c>
      <c r="F81" s="224">
        <v>67079</v>
      </c>
      <c r="G81" s="224">
        <v>72648</v>
      </c>
      <c r="H81" s="224">
        <v>71247</v>
      </c>
      <c r="I81" s="224">
        <v>75761</v>
      </c>
      <c r="J81" s="224">
        <v>81738</v>
      </c>
      <c r="K81" s="224">
        <v>81339</v>
      </c>
      <c r="L81" s="224">
        <v>85937</v>
      </c>
      <c r="M81" s="224">
        <v>83611</v>
      </c>
      <c r="N81" s="224">
        <v>80535</v>
      </c>
      <c r="O81" s="224">
        <v>80822</v>
      </c>
      <c r="P81" s="224">
        <v>79634</v>
      </c>
      <c r="Q81" s="224">
        <v>81552</v>
      </c>
      <c r="R81" s="224">
        <v>87531</v>
      </c>
      <c r="S81" s="224">
        <v>91891</v>
      </c>
      <c r="T81" s="224">
        <v>83991</v>
      </c>
      <c r="U81" s="224">
        <v>90571</v>
      </c>
      <c r="V81" s="317">
        <v>97692</v>
      </c>
    </row>
    <row r="82" spans="1:22" ht="15.95">
      <c r="A82" s="225" t="s">
        <v>1295</v>
      </c>
      <c r="B82" s="320" t="s">
        <v>1296</v>
      </c>
      <c r="C82" s="224">
        <v>138187</v>
      </c>
      <c r="D82" s="224">
        <v>151587</v>
      </c>
      <c r="E82" s="224">
        <v>163514</v>
      </c>
      <c r="F82" s="224">
        <v>163429</v>
      </c>
      <c r="G82" s="224">
        <v>170407</v>
      </c>
      <c r="H82" s="224">
        <v>180782</v>
      </c>
      <c r="I82" s="224">
        <v>193406</v>
      </c>
      <c r="J82" s="224">
        <v>203105</v>
      </c>
      <c r="K82" s="224">
        <v>204751</v>
      </c>
      <c r="L82" s="224">
        <v>203490</v>
      </c>
      <c r="M82" s="224">
        <v>199581</v>
      </c>
      <c r="N82" s="224">
        <v>198825</v>
      </c>
      <c r="O82" s="224">
        <v>204522</v>
      </c>
      <c r="P82" s="224">
        <v>219295</v>
      </c>
      <c r="Q82" s="224">
        <v>236495</v>
      </c>
      <c r="R82" s="224">
        <v>252496</v>
      </c>
      <c r="S82" s="224">
        <v>244860</v>
      </c>
      <c r="T82" s="224">
        <v>243197</v>
      </c>
      <c r="U82" s="224">
        <v>252399</v>
      </c>
      <c r="V82" s="317">
        <v>260823</v>
      </c>
    </row>
    <row r="83" spans="1:22">
      <c r="A83" s="322"/>
      <c r="B83" s="290"/>
      <c r="C83" s="290"/>
      <c r="D83" s="290"/>
      <c r="E83" s="290"/>
      <c r="F83" s="290"/>
      <c r="G83" s="290"/>
      <c r="H83" s="290"/>
      <c r="I83" s="290"/>
      <c r="J83" s="290"/>
      <c r="K83" s="290"/>
      <c r="L83" s="290"/>
      <c r="M83" s="290"/>
      <c r="N83" s="290"/>
      <c r="O83" s="290"/>
      <c r="P83" s="290"/>
      <c r="Q83" s="290"/>
      <c r="R83" s="290"/>
      <c r="S83" s="290"/>
      <c r="T83" s="290"/>
      <c r="U83" s="290"/>
      <c r="V83" s="291"/>
    </row>
    <row r="84" spans="1:22" ht="15.95">
      <c r="A84" s="187" t="s">
        <v>1025</v>
      </c>
      <c r="B84" s="290"/>
      <c r="C84" s="290"/>
      <c r="D84" s="290"/>
      <c r="E84" s="290"/>
      <c r="F84" s="290"/>
      <c r="G84" s="290"/>
      <c r="H84" s="290"/>
      <c r="I84" s="290"/>
      <c r="J84" s="290"/>
      <c r="K84" s="290"/>
      <c r="L84" s="290"/>
      <c r="M84" s="290"/>
      <c r="N84" s="290"/>
      <c r="O84" s="290"/>
      <c r="P84" s="290"/>
      <c r="Q84" s="290"/>
      <c r="R84" s="290"/>
      <c r="S84" s="290"/>
      <c r="T84" s="290"/>
      <c r="U84" s="290"/>
      <c r="V84" s="291"/>
    </row>
    <row r="85" spans="1:22" ht="15.95">
      <c r="A85" s="322" t="s">
        <v>1145</v>
      </c>
      <c r="B85" s="290" t="s">
        <v>1297</v>
      </c>
      <c r="C85" s="290" t="s">
        <v>1146</v>
      </c>
      <c r="D85" s="290" t="s">
        <v>1146</v>
      </c>
      <c r="E85" s="290" t="s">
        <v>1146</v>
      </c>
      <c r="F85" s="290" t="s">
        <v>1146</v>
      </c>
      <c r="G85" s="290" t="s">
        <v>1146</v>
      </c>
      <c r="H85" s="290" t="s">
        <v>1146</v>
      </c>
      <c r="I85" s="290" t="s">
        <v>1146</v>
      </c>
      <c r="J85" s="290" t="s">
        <v>1146</v>
      </c>
      <c r="K85" s="290" t="s">
        <v>1146</v>
      </c>
      <c r="L85" s="290" t="s">
        <v>1146</v>
      </c>
      <c r="M85" s="290" t="s">
        <v>1146</v>
      </c>
      <c r="N85" s="290" t="s">
        <v>1146</v>
      </c>
      <c r="O85" s="290" t="s">
        <v>1146</v>
      </c>
      <c r="P85" s="290" t="s">
        <v>1146</v>
      </c>
      <c r="Q85" s="290" t="s">
        <v>1146</v>
      </c>
      <c r="R85" s="290" t="s">
        <v>1146</v>
      </c>
      <c r="S85" s="290" t="s">
        <v>1146</v>
      </c>
      <c r="T85" s="290" t="s">
        <v>1146</v>
      </c>
      <c r="U85" s="290" t="s">
        <v>1146</v>
      </c>
      <c r="V85" s="291" t="s">
        <v>1146</v>
      </c>
    </row>
    <row r="86" spans="1:22" ht="15.95">
      <c r="A86" s="322" t="s">
        <v>669</v>
      </c>
      <c r="B86" s="290" t="s">
        <v>1298</v>
      </c>
      <c r="C86" s="220">
        <v>12495</v>
      </c>
      <c r="D86" s="220">
        <v>12393</v>
      </c>
      <c r="E86" s="220">
        <v>11919</v>
      </c>
      <c r="F86" s="220">
        <v>11775</v>
      </c>
      <c r="G86" s="220">
        <v>11358</v>
      </c>
      <c r="H86" s="220">
        <v>10548</v>
      </c>
      <c r="I86" s="220">
        <v>10254</v>
      </c>
      <c r="J86" s="220">
        <v>9942</v>
      </c>
      <c r="K86" s="220">
        <v>9699</v>
      </c>
      <c r="L86" s="220">
        <v>9684</v>
      </c>
      <c r="M86" s="220">
        <v>9486</v>
      </c>
      <c r="N86" s="220">
        <v>9144</v>
      </c>
      <c r="O86" s="220">
        <v>8856</v>
      </c>
      <c r="P86" s="220">
        <v>8634</v>
      </c>
      <c r="Q86" s="220">
        <v>8496</v>
      </c>
      <c r="R86" s="220">
        <v>8463</v>
      </c>
      <c r="S86" s="220">
        <v>8283</v>
      </c>
      <c r="T86" s="220">
        <v>8079</v>
      </c>
      <c r="U86" s="220">
        <v>8054</v>
      </c>
      <c r="V86" s="289">
        <v>8024</v>
      </c>
    </row>
    <row r="87" spans="1:22" ht="15.95">
      <c r="A87" s="322" t="s">
        <v>1299</v>
      </c>
      <c r="B87" s="290" t="s">
        <v>1300</v>
      </c>
      <c r="C87" s="292" t="s">
        <v>961</v>
      </c>
      <c r="D87" s="292" t="s">
        <v>961</v>
      </c>
      <c r="E87" s="292" t="s">
        <v>961</v>
      </c>
      <c r="F87" s="292" t="s">
        <v>961</v>
      </c>
      <c r="G87" s="292" t="s">
        <v>961</v>
      </c>
      <c r="H87" s="292" t="s">
        <v>961</v>
      </c>
      <c r="I87" s="292" t="s">
        <v>961</v>
      </c>
      <c r="J87" s="292" t="s">
        <v>961</v>
      </c>
      <c r="K87" s="292" t="s">
        <v>961</v>
      </c>
      <c r="L87" s="292" t="s">
        <v>961</v>
      </c>
      <c r="M87" s="292" t="s">
        <v>961</v>
      </c>
      <c r="N87" s="292" t="s">
        <v>961</v>
      </c>
      <c r="O87" s="292" t="s">
        <v>961</v>
      </c>
      <c r="P87" s="292" t="s">
        <v>961</v>
      </c>
      <c r="Q87" s="292" t="s">
        <v>961</v>
      </c>
      <c r="R87" s="292" t="s">
        <v>961</v>
      </c>
      <c r="S87" s="292" t="s">
        <v>961</v>
      </c>
      <c r="T87" s="292" t="s">
        <v>961</v>
      </c>
      <c r="U87" s="292" t="s">
        <v>961</v>
      </c>
      <c r="V87" s="293" t="s">
        <v>961</v>
      </c>
    </row>
    <row r="88" spans="1:22" ht="15.95">
      <c r="A88" s="322" t="s">
        <v>1301</v>
      </c>
      <c r="B88" s="290" t="s">
        <v>1302</v>
      </c>
      <c r="C88" s="292" t="s">
        <v>961</v>
      </c>
      <c r="D88" s="292" t="s">
        <v>961</v>
      </c>
      <c r="E88" s="292" t="s">
        <v>961</v>
      </c>
      <c r="F88" s="292" t="s">
        <v>961</v>
      </c>
      <c r="G88" s="292" t="s">
        <v>961</v>
      </c>
      <c r="H88" s="292" t="s">
        <v>961</v>
      </c>
      <c r="I88" s="292" t="s">
        <v>961</v>
      </c>
      <c r="J88" s="292" t="s">
        <v>961</v>
      </c>
      <c r="K88" s="292" t="s">
        <v>961</v>
      </c>
      <c r="L88" s="292" t="s">
        <v>961</v>
      </c>
      <c r="M88" s="292" t="s">
        <v>961</v>
      </c>
      <c r="N88" s="292" t="s">
        <v>961</v>
      </c>
      <c r="O88" s="292" t="s">
        <v>961</v>
      </c>
      <c r="P88" s="292" t="s">
        <v>961</v>
      </c>
      <c r="Q88" s="292" t="s">
        <v>961</v>
      </c>
      <c r="R88" s="292" t="s">
        <v>961</v>
      </c>
      <c r="S88" s="292" t="s">
        <v>961</v>
      </c>
      <c r="T88" s="292" t="s">
        <v>961</v>
      </c>
      <c r="U88" s="292" t="s">
        <v>961</v>
      </c>
      <c r="V88" s="293" t="s">
        <v>961</v>
      </c>
    </row>
    <row r="89" spans="1:22" ht="32.1">
      <c r="A89" s="322" t="s">
        <v>726</v>
      </c>
      <c r="B89" s="290" t="s">
        <v>1303</v>
      </c>
      <c r="C89" s="220">
        <v>9683</v>
      </c>
      <c r="D89" s="220">
        <v>10446</v>
      </c>
      <c r="E89" s="220">
        <v>13759</v>
      </c>
      <c r="F89" s="220">
        <v>12830</v>
      </c>
      <c r="G89" s="220">
        <v>13099</v>
      </c>
      <c r="H89" s="220">
        <v>14123</v>
      </c>
      <c r="I89" s="220">
        <v>16415</v>
      </c>
      <c r="J89" s="220">
        <v>16803</v>
      </c>
      <c r="K89" s="220">
        <v>17170</v>
      </c>
      <c r="L89" s="220">
        <v>17910</v>
      </c>
      <c r="M89" s="220">
        <v>21505</v>
      </c>
      <c r="N89" s="220">
        <v>18139</v>
      </c>
      <c r="O89" s="220">
        <v>15366</v>
      </c>
      <c r="P89" s="220">
        <v>14118</v>
      </c>
      <c r="Q89" s="220">
        <v>26257</v>
      </c>
      <c r="R89" s="220">
        <v>20949</v>
      </c>
      <c r="S89" s="220">
        <v>20666</v>
      </c>
      <c r="T89" s="220">
        <v>20469</v>
      </c>
      <c r="U89" s="220">
        <v>21013</v>
      </c>
      <c r="V89" s="289">
        <v>20603</v>
      </c>
    </row>
    <row r="90" spans="1:22" ht="15.95">
      <c r="A90" s="322" t="s">
        <v>1304</v>
      </c>
      <c r="B90" s="290" t="s">
        <v>1305</v>
      </c>
      <c r="C90" s="220">
        <v>3951</v>
      </c>
      <c r="D90" s="220">
        <v>3798</v>
      </c>
      <c r="E90" s="220">
        <v>3919</v>
      </c>
      <c r="F90" s="220">
        <v>3515</v>
      </c>
      <c r="G90" s="220">
        <v>3516</v>
      </c>
      <c r="H90" s="220">
        <v>3486</v>
      </c>
      <c r="I90" s="220">
        <v>3335</v>
      </c>
      <c r="J90" s="220">
        <v>3350</v>
      </c>
      <c r="K90" s="220">
        <v>3097</v>
      </c>
      <c r="L90" s="220">
        <v>2893</v>
      </c>
      <c r="M90" s="220">
        <v>6367</v>
      </c>
      <c r="N90" s="220">
        <v>6568</v>
      </c>
      <c r="O90" s="220">
        <v>7447</v>
      </c>
      <c r="P90" s="220">
        <v>7412</v>
      </c>
      <c r="Q90" s="220">
        <v>4818</v>
      </c>
      <c r="R90" s="220">
        <v>4338</v>
      </c>
      <c r="S90" s="220">
        <v>4754</v>
      </c>
      <c r="T90" s="220">
        <v>5410</v>
      </c>
      <c r="U90" s="220">
        <v>6434</v>
      </c>
      <c r="V90" s="289">
        <v>6723</v>
      </c>
    </row>
    <row r="91" spans="1:22" ht="15.95">
      <c r="A91" s="322" t="s">
        <v>769</v>
      </c>
      <c r="B91" s="290" t="s">
        <v>1306</v>
      </c>
      <c r="C91" s="290">
        <v>12.84</v>
      </c>
      <c r="D91" s="290">
        <v>37.35</v>
      </c>
      <c r="E91" s="290">
        <v>26.8</v>
      </c>
      <c r="F91" s="290">
        <v>5.14</v>
      </c>
      <c r="G91" s="290">
        <v>5.41</v>
      </c>
      <c r="H91" s="290">
        <v>5.76</v>
      </c>
      <c r="I91" s="290">
        <v>6.13</v>
      </c>
      <c r="J91" s="290">
        <v>6.25</v>
      </c>
      <c r="K91" s="290">
        <v>5.54</v>
      </c>
      <c r="L91" s="292" t="s">
        <v>961</v>
      </c>
      <c r="M91" s="290" t="s">
        <v>296</v>
      </c>
      <c r="N91" s="290" t="s">
        <v>296</v>
      </c>
      <c r="O91" s="290" t="s">
        <v>296</v>
      </c>
      <c r="P91" s="290" t="s">
        <v>296</v>
      </c>
      <c r="Q91" s="290" t="s">
        <v>296</v>
      </c>
      <c r="R91" s="290" t="s">
        <v>296</v>
      </c>
      <c r="S91" s="290" t="s">
        <v>296</v>
      </c>
      <c r="T91" s="290" t="s">
        <v>296</v>
      </c>
      <c r="U91" s="290" t="s">
        <v>296</v>
      </c>
      <c r="V91" s="291" t="s">
        <v>296</v>
      </c>
    </row>
    <row r="92" spans="1:22" ht="15.95">
      <c r="A92" s="322" t="s">
        <v>1307</v>
      </c>
      <c r="B92" s="290" t="s">
        <v>1308</v>
      </c>
      <c r="C92" s="290">
        <v>178.63</v>
      </c>
      <c r="D92" s="290">
        <v>214.13</v>
      </c>
      <c r="E92" s="290">
        <v>206.58</v>
      </c>
      <c r="F92" s="290">
        <v>146.16999999999999</v>
      </c>
      <c r="G92" s="290">
        <v>125.88</v>
      </c>
      <c r="H92" s="290">
        <v>100.16</v>
      </c>
      <c r="I92" s="290">
        <v>60.46</v>
      </c>
      <c r="J92" s="290">
        <v>30.72</v>
      </c>
      <c r="K92" s="290">
        <v>24.75</v>
      </c>
      <c r="L92" s="290">
        <v>24.75</v>
      </c>
      <c r="M92" s="290" t="s">
        <v>296</v>
      </c>
      <c r="N92" s="290" t="s">
        <v>296</v>
      </c>
      <c r="O92" s="290" t="s">
        <v>296</v>
      </c>
      <c r="P92" s="290" t="s">
        <v>296</v>
      </c>
      <c r="Q92" s="290" t="s">
        <v>296</v>
      </c>
      <c r="R92" s="290" t="s">
        <v>296</v>
      </c>
      <c r="S92" s="290" t="s">
        <v>296</v>
      </c>
      <c r="T92" s="290" t="s">
        <v>296</v>
      </c>
      <c r="U92" s="290" t="s">
        <v>296</v>
      </c>
      <c r="V92" s="291" t="s">
        <v>296</v>
      </c>
    </row>
    <row r="93" spans="1:22" ht="15.95">
      <c r="A93" s="322" t="s">
        <v>1309</v>
      </c>
      <c r="B93" s="290" t="s">
        <v>1310</v>
      </c>
      <c r="C93" s="220">
        <v>32536</v>
      </c>
      <c r="D93" s="220">
        <v>31251</v>
      </c>
      <c r="E93" s="220">
        <v>39179</v>
      </c>
      <c r="F93" s="220">
        <v>34622</v>
      </c>
      <c r="G93" s="220">
        <v>33153</v>
      </c>
      <c r="H93" s="220">
        <v>42202</v>
      </c>
      <c r="I93" s="220">
        <v>38546</v>
      </c>
      <c r="J93" s="220">
        <v>39392</v>
      </c>
      <c r="K93" s="220">
        <v>43292</v>
      </c>
      <c r="L93" s="220">
        <v>36414</v>
      </c>
      <c r="M93" s="220">
        <v>37685</v>
      </c>
      <c r="N93" s="220">
        <v>35862</v>
      </c>
      <c r="O93" s="220">
        <v>35690</v>
      </c>
      <c r="P93" s="220">
        <v>46448</v>
      </c>
      <c r="Q93" s="220">
        <v>62968</v>
      </c>
      <c r="R93" s="220">
        <v>45505</v>
      </c>
      <c r="S93" s="220">
        <v>42563</v>
      </c>
      <c r="T93" s="220">
        <v>50298</v>
      </c>
      <c r="U93" s="220">
        <v>51454</v>
      </c>
      <c r="V93" s="289">
        <v>51077</v>
      </c>
    </row>
    <row r="94" spans="1:22" ht="15.95">
      <c r="A94" s="322" t="s">
        <v>1311</v>
      </c>
      <c r="B94" s="290" t="s">
        <v>1312</v>
      </c>
      <c r="C94" s="290">
        <v>59.55</v>
      </c>
      <c r="D94" s="290">
        <v>49.03</v>
      </c>
      <c r="E94" s="290">
        <v>58.87</v>
      </c>
      <c r="F94" s="290">
        <v>51.61</v>
      </c>
      <c r="G94" s="290">
        <v>45.64</v>
      </c>
      <c r="H94" s="290">
        <v>59.23</v>
      </c>
      <c r="I94" s="290">
        <v>50.88</v>
      </c>
      <c r="J94" s="290">
        <v>48.19</v>
      </c>
      <c r="K94" s="290">
        <v>53.22</v>
      </c>
      <c r="L94" s="290">
        <v>42.37</v>
      </c>
      <c r="M94" s="290">
        <v>45.07</v>
      </c>
      <c r="N94" s="290">
        <v>44.53</v>
      </c>
      <c r="O94" s="290">
        <v>44.16</v>
      </c>
      <c r="P94" s="290">
        <v>58.33</v>
      </c>
      <c r="Q94" s="290">
        <v>77.209999999999994</v>
      </c>
      <c r="R94" s="290">
        <v>51.99</v>
      </c>
      <c r="S94" s="290">
        <v>46.32</v>
      </c>
      <c r="T94" s="290">
        <v>59.89</v>
      </c>
      <c r="U94" s="290">
        <v>56.81</v>
      </c>
      <c r="V94" s="291">
        <v>52.28</v>
      </c>
    </row>
    <row r="95" spans="1:22" ht="15.95">
      <c r="A95" s="322" t="s">
        <v>1313</v>
      </c>
      <c r="B95" s="290" t="s">
        <v>1314</v>
      </c>
      <c r="C95" s="290">
        <v>32.58</v>
      </c>
      <c r="D95" s="290">
        <v>34.69</v>
      </c>
      <c r="E95" s="290">
        <v>33.01</v>
      </c>
      <c r="F95" s="290">
        <v>33.76</v>
      </c>
      <c r="G95" s="290">
        <v>35.22</v>
      </c>
      <c r="H95" s="290">
        <v>31.57</v>
      </c>
      <c r="I95" s="290">
        <v>29.33</v>
      </c>
      <c r="J95" s="290">
        <v>30.58</v>
      </c>
      <c r="K95" s="290">
        <v>30.63</v>
      </c>
      <c r="L95" s="290">
        <v>34.14</v>
      </c>
      <c r="M95" s="290">
        <v>34.909999999999997</v>
      </c>
      <c r="N95" s="290">
        <v>33.42</v>
      </c>
      <c r="O95" s="290">
        <v>32.01</v>
      </c>
      <c r="P95" s="290">
        <v>21.96</v>
      </c>
      <c r="Q95" s="290">
        <v>21.22</v>
      </c>
      <c r="R95" s="290">
        <v>21.52</v>
      </c>
      <c r="S95" s="290">
        <v>23.43</v>
      </c>
      <c r="T95" s="290">
        <v>20.98</v>
      </c>
      <c r="U95" s="290">
        <v>23.46</v>
      </c>
      <c r="V95" s="291">
        <v>25.37</v>
      </c>
    </row>
    <row r="96" spans="1:22" ht="15.95">
      <c r="A96" s="322" t="s">
        <v>1315</v>
      </c>
      <c r="B96" s="290" t="s">
        <v>1316</v>
      </c>
      <c r="C96" s="290">
        <v>0.9</v>
      </c>
      <c r="D96" s="290">
        <v>0.9</v>
      </c>
      <c r="E96" s="290">
        <v>0.82</v>
      </c>
      <c r="F96" s="290">
        <v>0.88</v>
      </c>
      <c r="G96" s="290">
        <v>0.86</v>
      </c>
      <c r="H96" s="290">
        <v>0.89</v>
      </c>
      <c r="I96" s="290">
        <v>0.88</v>
      </c>
      <c r="J96" s="290">
        <v>0.83</v>
      </c>
      <c r="K96" s="290">
        <v>0.88</v>
      </c>
      <c r="L96" s="290">
        <v>0.97</v>
      </c>
      <c r="M96" s="290">
        <v>0.93</v>
      </c>
      <c r="N96" s="290">
        <v>0.86</v>
      </c>
      <c r="O96" s="290">
        <v>0.76</v>
      </c>
      <c r="P96" s="290">
        <v>0.8</v>
      </c>
      <c r="Q96" s="290">
        <v>0.79</v>
      </c>
      <c r="R96" s="290">
        <v>0.97</v>
      </c>
      <c r="S96" s="290">
        <v>0.93</v>
      </c>
      <c r="T96" s="290">
        <v>0.82</v>
      </c>
      <c r="U96" s="290">
        <v>0.83</v>
      </c>
      <c r="V96" s="291">
        <v>0.82</v>
      </c>
    </row>
    <row r="97" spans="1:22" ht="15.95">
      <c r="A97" s="322" t="s">
        <v>1317</v>
      </c>
      <c r="B97" s="290" t="s">
        <v>1318</v>
      </c>
      <c r="C97" s="290">
        <v>14.03</v>
      </c>
      <c r="D97" s="290">
        <v>11.38</v>
      </c>
      <c r="E97" s="290">
        <v>9.6999999999999993</v>
      </c>
      <c r="F97" s="290">
        <v>9.65</v>
      </c>
      <c r="G97" s="290">
        <v>8.14</v>
      </c>
      <c r="H97" s="290">
        <v>7.34</v>
      </c>
      <c r="I97" s="290">
        <v>8.73</v>
      </c>
      <c r="J97" s="290">
        <v>10.4</v>
      </c>
      <c r="K97" s="290">
        <v>11.98</v>
      </c>
      <c r="L97" s="290">
        <v>12.17</v>
      </c>
      <c r="M97" s="290">
        <v>11.05</v>
      </c>
      <c r="N97" s="290">
        <v>8</v>
      </c>
      <c r="O97" s="290">
        <v>3.92</v>
      </c>
      <c r="P97" s="290">
        <v>1.86</v>
      </c>
      <c r="Q97" s="290">
        <v>1.93</v>
      </c>
      <c r="R97" s="290">
        <v>1.31</v>
      </c>
      <c r="S97" s="290">
        <v>4.63</v>
      </c>
      <c r="T97" s="290">
        <v>6.45</v>
      </c>
      <c r="U97" s="290">
        <v>4.91</v>
      </c>
      <c r="V97" s="291">
        <v>3.68</v>
      </c>
    </row>
    <row r="98" spans="1:22" ht="15.95">
      <c r="A98" s="322" t="s">
        <v>1319</v>
      </c>
      <c r="B98" s="290" t="s">
        <v>1320</v>
      </c>
      <c r="C98" s="290" t="s">
        <v>296</v>
      </c>
      <c r="D98" s="290" t="s">
        <v>296</v>
      </c>
      <c r="E98" s="290" t="s">
        <v>296</v>
      </c>
      <c r="F98" s="290" t="s">
        <v>296</v>
      </c>
      <c r="G98" s="290" t="s">
        <v>296</v>
      </c>
      <c r="H98" s="290" t="s">
        <v>296</v>
      </c>
      <c r="I98" s="220">
        <v>5600</v>
      </c>
      <c r="J98" s="220">
        <v>5200</v>
      </c>
      <c r="K98" s="220">
        <v>5800</v>
      </c>
      <c r="L98" s="220">
        <v>6300</v>
      </c>
      <c r="M98" s="220">
        <v>4500</v>
      </c>
      <c r="N98" s="220">
        <v>5635</v>
      </c>
      <c r="O98" s="220">
        <v>6500</v>
      </c>
      <c r="P98" s="220">
        <v>7666</v>
      </c>
      <c r="Q98" s="290" t="s">
        <v>296</v>
      </c>
      <c r="R98" s="290" t="s">
        <v>296</v>
      </c>
      <c r="S98" s="290" t="s">
        <v>296</v>
      </c>
      <c r="T98" s="290" t="s">
        <v>296</v>
      </c>
      <c r="U98" s="290" t="s">
        <v>296</v>
      </c>
      <c r="V98" s="291" t="s">
        <v>296</v>
      </c>
    </row>
    <row r="99" spans="1:22" ht="15.95">
      <c r="A99" s="308" t="s">
        <v>1321</v>
      </c>
      <c r="B99" s="298" t="s">
        <v>1322</v>
      </c>
      <c r="C99" s="309">
        <v>1800000</v>
      </c>
      <c r="D99" s="309">
        <v>1900000</v>
      </c>
      <c r="E99" s="309">
        <v>2100000</v>
      </c>
      <c r="F99" s="309">
        <v>2100000</v>
      </c>
      <c r="G99" s="309">
        <v>2100000</v>
      </c>
      <c r="H99" s="309">
        <v>2100000</v>
      </c>
      <c r="I99" s="309">
        <v>2200000</v>
      </c>
      <c r="J99" s="309">
        <v>2200000</v>
      </c>
      <c r="K99" s="309">
        <v>2200000</v>
      </c>
      <c r="L99" s="309">
        <v>2200000</v>
      </c>
      <c r="M99" s="309">
        <v>2300000</v>
      </c>
      <c r="N99" s="309">
        <v>2300000</v>
      </c>
      <c r="O99" s="309">
        <v>2300000</v>
      </c>
      <c r="P99" s="309">
        <v>2200000</v>
      </c>
      <c r="Q99" s="309">
        <v>2200000</v>
      </c>
      <c r="R99" s="309">
        <v>2300000</v>
      </c>
      <c r="S99" s="309">
        <v>2300000</v>
      </c>
      <c r="T99" s="309">
        <v>2100000</v>
      </c>
      <c r="U99" s="309">
        <v>2100000</v>
      </c>
      <c r="V99" s="310">
        <v>2100000</v>
      </c>
    </row>
    <row r="100" spans="1:22">
      <c r="A100" s="190" t="s">
        <v>491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3"/>
  <sheetViews>
    <sheetView topLeftCell="A21" zoomScale="75" zoomScaleNormal="75" workbookViewId="0">
      <selection activeCell="B71" sqref="B71"/>
    </sheetView>
  </sheetViews>
  <sheetFormatPr defaultColWidth="8.85546875" defaultRowHeight="15"/>
  <cols>
    <col min="1" max="1" width="33.42578125" customWidth="1"/>
    <col min="2" max="11" width="11.28515625" bestFit="1" customWidth="1"/>
    <col min="12" max="12" width="9.7109375" style="67" bestFit="1" customWidth="1"/>
  </cols>
  <sheetData>
    <row r="1" spans="1:22" ht="18.95">
      <c r="A1" s="358" t="s">
        <v>1323</v>
      </c>
      <c r="B1" s="358"/>
      <c r="C1" s="358"/>
      <c r="D1" s="358"/>
      <c r="E1" s="358"/>
      <c r="F1" s="358"/>
      <c r="G1" s="358"/>
      <c r="H1" s="358"/>
      <c r="I1" s="358"/>
      <c r="J1" s="358"/>
      <c r="K1" s="358"/>
      <c r="L1" s="359" t="s">
        <v>1324</v>
      </c>
      <c r="M1" s="360"/>
      <c r="N1" s="360"/>
      <c r="O1" s="360"/>
      <c r="P1" s="360"/>
      <c r="Q1" s="360"/>
      <c r="R1" s="360"/>
      <c r="S1" s="360"/>
      <c r="T1" s="360"/>
      <c r="U1" s="360"/>
      <c r="V1" s="360"/>
    </row>
    <row r="2" spans="1:22">
      <c r="A2" s="53" t="s">
        <v>1325</v>
      </c>
      <c r="C2" s="43"/>
    </row>
    <row r="3" spans="1:22">
      <c r="A3" t="s">
        <v>1326</v>
      </c>
    </row>
    <row r="4" spans="1:22">
      <c r="A4" t="s">
        <v>1327</v>
      </c>
    </row>
    <row r="5" spans="1:22">
      <c r="A5" t="s">
        <v>1328</v>
      </c>
    </row>
    <row r="7" spans="1:22" ht="15.95" customHeight="1">
      <c r="A7" s="54" t="s">
        <v>1329</v>
      </c>
      <c r="B7" s="55">
        <f>'A.Raw Historical data - IS'!C7</f>
        <v>418952</v>
      </c>
      <c r="C7" s="55">
        <f>'A.Raw Historical data - IS'!D7</f>
        <v>443416</v>
      </c>
      <c r="D7" s="55">
        <f>'A.Raw Historical data - IS'!E7</f>
        <v>465604</v>
      </c>
      <c r="E7" s="55">
        <f>'A.Raw Historical data - IS'!F7</f>
        <v>473076</v>
      </c>
      <c r="F7" s="55">
        <f>'A.Raw Historical data - IS'!G7</f>
        <v>482229</v>
      </c>
      <c r="G7" s="55">
        <f>'A.Raw Historical data - IS'!H7</f>
        <v>478614</v>
      </c>
      <c r="H7" s="55">
        <f>'A.Raw Historical data - IS'!I7</f>
        <v>481317</v>
      </c>
      <c r="I7" s="55">
        <f>'A.Raw Historical data - IS'!J7</f>
        <v>495761</v>
      </c>
      <c r="J7" s="55">
        <f>'A.Raw Historical data - IS'!K7</f>
        <v>510329</v>
      </c>
      <c r="K7" s="55">
        <f>'A.Raw Historical data - IS'!L7</f>
        <v>519926</v>
      </c>
      <c r="L7" s="74">
        <v>2022</v>
      </c>
      <c r="M7" s="59">
        <f t="shared" ref="M7:U7" si="0">L7+1</f>
        <v>2023</v>
      </c>
      <c r="N7" s="59">
        <f t="shared" si="0"/>
        <v>2024</v>
      </c>
      <c r="O7" s="59">
        <f t="shared" si="0"/>
        <v>2025</v>
      </c>
      <c r="P7" s="59">
        <f t="shared" si="0"/>
        <v>2026</v>
      </c>
      <c r="Q7" s="57">
        <f t="shared" si="0"/>
        <v>2027</v>
      </c>
      <c r="R7" s="57">
        <f t="shared" si="0"/>
        <v>2028</v>
      </c>
      <c r="S7" s="57">
        <f t="shared" si="0"/>
        <v>2029</v>
      </c>
      <c r="T7" s="57">
        <f t="shared" si="0"/>
        <v>2030</v>
      </c>
      <c r="U7" s="57">
        <f t="shared" si="0"/>
        <v>2031</v>
      </c>
      <c r="V7" s="58" t="s">
        <v>1330</v>
      </c>
    </row>
    <row r="8" spans="1:22">
      <c r="A8" t="s">
        <v>170</v>
      </c>
      <c r="B8" s="2">
        <f>'A.Raw Historical data - IS'!C11</f>
        <v>314946</v>
      </c>
      <c r="C8" s="2">
        <f>'A.Raw Historical data - IS'!D11</f>
        <v>334993</v>
      </c>
      <c r="D8" s="2">
        <f>'A.Raw Historical data - IS'!E11</f>
        <v>352297</v>
      </c>
      <c r="E8" s="2">
        <f>'A.Raw Historical data - IS'!F11</f>
        <v>358069</v>
      </c>
      <c r="F8" s="2">
        <f>'A.Raw Historical data - IS'!G11</f>
        <v>365086</v>
      </c>
      <c r="G8" s="2">
        <f>'A.Raw Historical data - IS'!H11</f>
        <v>360984</v>
      </c>
      <c r="H8" s="2">
        <f>'A.Raw Historical data - IS'!I11</f>
        <v>361256</v>
      </c>
      <c r="I8" s="2">
        <f>'A.Raw Historical data - IS'!J11</f>
        <v>373396</v>
      </c>
      <c r="J8" s="2">
        <f>'A.Raw Historical data - IS'!K11</f>
        <v>385301</v>
      </c>
      <c r="K8" s="2">
        <f>'A.Raw Historical data - IS'!L11</f>
        <v>394605</v>
      </c>
      <c r="L8" s="117">
        <f>SUM(L9:L13)</f>
        <v>39300</v>
      </c>
      <c r="M8" s="119"/>
      <c r="N8" s="119"/>
      <c r="O8" s="119"/>
      <c r="P8" s="119"/>
      <c r="Q8" s="119"/>
      <c r="R8" s="119"/>
      <c r="S8" s="119"/>
      <c r="T8" s="119"/>
      <c r="U8" s="119"/>
      <c r="V8" s="119"/>
    </row>
    <row r="9" spans="1:22">
      <c r="A9" t="s">
        <v>1331</v>
      </c>
      <c r="B9" s="76">
        <v>6912</v>
      </c>
      <c r="C9" s="76">
        <v>8118</v>
      </c>
      <c r="D9" s="76">
        <v>8649</v>
      </c>
      <c r="E9" s="76">
        <v>9177</v>
      </c>
      <c r="F9" s="76">
        <v>7815</v>
      </c>
      <c r="G9" s="76">
        <v>8129</v>
      </c>
      <c r="H9" s="76">
        <v>8455</v>
      </c>
      <c r="I9" s="2">
        <v>9801</v>
      </c>
      <c r="J9" s="76">
        <v>8075</v>
      </c>
      <c r="K9" s="76">
        <v>8135</v>
      </c>
      <c r="L9" s="116">
        <v>8400</v>
      </c>
      <c r="M9" s="118">
        <f>L9+2000</f>
        <v>10400</v>
      </c>
      <c r="N9" s="118">
        <f>M9+1600</f>
        <v>12000</v>
      </c>
      <c r="O9" s="118"/>
      <c r="P9" s="118"/>
      <c r="Q9" s="43"/>
      <c r="R9" s="43"/>
      <c r="S9" s="43"/>
      <c r="T9" s="43"/>
      <c r="U9" s="43"/>
      <c r="V9" s="43"/>
    </row>
    <row r="10" spans="1:22">
      <c r="A10" t="s">
        <v>1332</v>
      </c>
      <c r="B10" s="76">
        <v>7471</v>
      </c>
      <c r="C10" s="76">
        <v>5832</v>
      </c>
      <c r="D10" s="76">
        <v>5732</v>
      </c>
      <c r="E10" s="76">
        <v>5643</v>
      </c>
      <c r="F10" s="76">
        <v>5530</v>
      </c>
      <c r="G10" s="76">
        <v>5949</v>
      </c>
      <c r="H10" s="76">
        <v>6241</v>
      </c>
      <c r="I10" s="2">
        <v>7007</v>
      </c>
      <c r="J10" s="76">
        <v>7223</v>
      </c>
      <c r="K10" s="76">
        <v>7351</v>
      </c>
      <c r="L10" s="116">
        <v>7200</v>
      </c>
      <c r="M10" s="118"/>
      <c r="N10" s="118"/>
      <c r="O10" s="118"/>
      <c r="P10" s="118"/>
      <c r="Q10" s="43"/>
      <c r="R10" s="43"/>
      <c r="S10" s="43"/>
      <c r="T10" s="43"/>
      <c r="U10" s="43"/>
      <c r="V10" s="43"/>
    </row>
    <row r="11" spans="1:22">
      <c r="A11" t="s">
        <v>1333</v>
      </c>
      <c r="B11" s="76">
        <v>10017</v>
      </c>
      <c r="C11" s="76">
        <v>10268</v>
      </c>
      <c r="D11" s="76">
        <v>9159</v>
      </c>
      <c r="E11" s="76">
        <v>8929</v>
      </c>
      <c r="F11" s="76">
        <v>4428</v>
      </c>
      <c r="G11" s="76">
        <v>4410</v>
      </c>
      <c r="H11" s="76">
        <v>8269</v>
      </c>
      <c r="I11" s="2">
        <v>8422</v>
      </c>
      <c r="J11" s="76">
        <v>12648</v>
      </c>
      <c r="K11" s="76">
        <v>12457</v>
      </c>
      <c r="L11" s="116">
        <v>12900</v>
      </c>
      <c r="M11" s="118"/>
      <c r="N11" s="118"/>
      <c r="O11" s="118"/>
      <c r="P11" s="118"/>
      <c r="Q11" s="43"/>
      <c r="R11" s="43"/>
      <c r="S11" s="43"/>
      <c r="T11" s="43"/>
      <c r="U11" s="43"/>
      <c r="V11" s="43"/>
    </row>
    <row r="12" spans="1:22">
      <c r="A12" t="s">
        <v>1334</v>
      </c>
      <c r="B12" s="76">
        <v>0</v>
      </c>
      <c r="C12" s="76">
        <v>0</v>
      </c>
      <c r="D12" s="76">
        <v>0</v>
      </c>
      <c r="E12" s="76">
        <v>0</v>
      </c>
      <c r="F12" s="76">
        <v>4716</v>
      </c>
      <c r="G12" s="76">
        <v>4481</v>
      </c>
      <c r="H12" s="76">
        <v>4726</v>
      </c>
      <c r="I12" s="2">
        <v>4937</v>
      </c>
      <c r="J12" s="76">
        <v>0</v>
      </c>
      <c r="K12" s="76">
        <v>0</v>
      </c>
      <c r="L12" s="116"/>
      <c r="M12" s="118"/>
      <c r="N12" s="118"/>
      <c r="O12" s="118"/>
      <c r="P12" s="118"/>
      <c r="Q12" s="43"/>
      <c r="R12" s="43"/>
      <c r="S12" s="43"/>
      <c r="T12" s="43"/>
      <c r="U12" s="43"/>
      <c r="V12" s="43"/>
    </row>
    <row r="13" spans="1:22">
      <c r="A13" t="s">
        <v>1335</v>
      </c>
      <c r="B13" s="76">
        <v>6592</v>
      </c>
      <c r="C13" s="76">
        <v>6712</v>
      </c>
      <c r="D13" s="76">
        <v>7312</v>
      </c>
      <c r="E13" s="76">
        <v>8032</v>
      </c>
      <c r="F13" s="76">
        <v>8072</v>
      </c>
      <c r="G13" s="76">
        <v>8004</v>
      </c>
      <c r="H13" s="76">
        <v>8502</v>
      </c>
      <c r="I13" s="2">
        <v>9183</v>
      </c>
      <c r="J13" s="76">
        <v>9979</v>
      </c>
      <c r="K13" s="76">
        <v>10526</v>
      </c>
      <c r="L13" s="116">
        <v>10800</v>
      </c>
      <c r="M13" s="118"/>
      <c r="N13" s="118"/>
      <c r="O13" s="118"/>
      <c r="P13" s="118"/>
      <c r="Q13" s="43"/>
      <c r="R13" s="43"/>
      <c r="S13" s="43"/>
      <c r="T13" s="43"/>
      <c r="U13" s="43"/>
      <c r="V13" s="43"/>
    </row>
    <row r="14" spans="1:22">
      <c r="A14" t="s">
        <v>1336</v>
      </c>
      <c r="B14" s="4"/>
      <c r="C14" s="4"/>
      <c r="D14" s="4"/>
      <c r="E14" s="4"/>
      <c r="F14" s="4"/>
      <c r="G14" s="4"/>
      <c r="H14" s="4"/>
      <c r="I14" s="4"/>
      <c r="J14" s="4"/>
      <c r="K14" s="4"/>
      <c r="L14" s="120"/>
      <c r="M14" s="76"/>
      <c r="N14" s="76"/>
      <c r="O14" s="76"/>
      <c r="P14" s="76"/>
      <c r="Q14" s="76"/>
      <c r="R14" s="76"/>
      <c r="S14" s="76"/>
      <c r="T14" s="76"/>
      <c r="U14" s="76"/>
      <c r="V14" s="76"/>
    </row>
    <row r="15" spans="1:22">
      <c r="A15" t="s">
        <v>173</v>
      </c>
      <c r="B15" s="6"/>
      <c r="C15" s="6"/>
      <c r="D15" s="6"/>
      <c r="E15" s="6"/>
      <c r="F15" s="6"/>
      <c r="G15" s="6"/>
      <c r="H15" s="6"/>
      <c r="I15" s="6"/>
      <c r="J15" s="6"/>
      <c r="K15" s="6"/>
      <c r="L15" s="121"/>
      <c r="M15" s="122"/>
      <c r="N15" s="122"/>
      <c r="O15" s="122"/>
      <c r="P15" s="122"/>
      <c r="Q15" s="122"/>
      <c r="R15" s="122"/>
      <c r="S15" s="122"/>
      <c r="T15" s="122"/>
      <c r="U15" s="122"/>
      <c r="V15" s="122"/>
    </row>
    <row r="16" spans="1:22">
      <c r="L16" s="115"/>
      <c r="M16" s="43"/>
      <c r="N16" s="43"/>
      <c r="O16" s="43"/>
      <c r="P16" s="43"/>
      <c r="Q16" s="43"/>
      <c r="R16" s="43"/>
      <c r="S16" s="43"/>
      <c r="T16" s="43"/>
      <c r="U16" s="43"/>
      <c r="V16" s="43"/>
    </row>
    <row r="17" spans="1:23">
      <c r="A17" t="s">
        <v>1337</v>
      </c>
      <c r="B17" s="5"/>
      <c r="C17" s="5"/>
      <c r="D17" s="5"/>
      <c r="E17" s="5"/>
      <c r="F17" s="5"/>
      <c r="G17" s="5"/>
      <c r="H17" s="5"/>
      <c r="I17" s="5"/>
      <c r="J17" s="5"/>
      <c r="K17" s="5"/>
      <c r="L17" s="117"/>
      <c r="M17" s="76"/>
      <c r="N17" s="76"/>
      <c r="O17" s="76"/>
      <c r="P17" s="76"/>
      <c r="Q17" s="76"/>
      <c r="R17" s="76"/>
      <c r="S17" s="76"/>
      <c r="T17" s="76"/>
      <c r="U17" s="76"/>
      <c r="V17" s="76"/>
    </row>
    <row r="18" spans="1:23">
      <c r="A18" t="s">
        <v>1338</v>
      </c>
      <c r="B18" s="4"/>
      <c r="C18" s="4"/>
      <c r="D18" s="4"/>
      <c r="E18" s="4"/>
      <c r="F18" s="4"/>
      <c r="G18" s="4"/>
      <c r="H18" s="4"/>
      <c r="I18" s="4"/>
      <c r="J18" s="4"/>
      <c r="K18" s="4"/>
      <c r="L18" s="120"/>
      <c r="M18" s="76"/>
      <c r="N18" s="76"/>
      <c r="O18" s="76"/>
      <c r="P18" s="76"/>
      <c r="Q18" s="76"/>
      <c r="R18" s="76"/>
      <c r="S18" s="76"/>
      <c r="T18" s="76"/>
      <c r="U18" s="76"/>
      <c r="V18" s="76"/>
    </row>
    <row r="19" spans="1:23">
      <c r="A19" s="17" t="s">
        <v>1148</v>
      </c>
      <c r="B19" s="52"/>
      <c r="C19" s="52"/>
      <c r="D19" s="52"/>
      <c r="E19" s="52"/>
      <c r="F19" s="52"/>
      <c r="G19" s="52"/>
      <c r="H19" s="52"/>
      <c r="I19" s="52"/>
      <c r="J19" s="52"/>
      <c r="K19" s="52"/>
      <c r="L19" s="123"/>
      <c r="M19" s="124"/>
      <c r="N19" s="124"/>
      <c r="O19" s="124"/>
      <c r="P19" s="124"/>
      <c r="Q19" s="124"/>
      <c r="R19" s="124"/>
      <c r="S19" s="124"/>
      <c r="T19" s="124"/>
      <c r="U19" s="124"/>
      <c r="V19" s="124"/>
    </row>
    <row r="20" spans="1:23">
      <c r="L20" s="109"/>
      <c r="M20" s="107"/>
      <c r="N20" s="107"/>
      <c r="O20" s="107"/>
      <c r="P20" s="107"/>
      <c r="Q20" s="107"/>
      <c r="R20" s="107"/>
      <c r="S20" s="107"/>
      <c r="T20" s="107"/>
      <c r="U20" s="107"/>
      <c r="V20" s="107"/>
    </row>
    <row r="21" spans="1:23">
      <c r="A21" t="s">
        <v>1339</v>
      </c>
      <c r="L21" s="109"/>
      <c r="M21" s="107"/>
      <c r="N21" s="107"/>
      <c r="O21" s="107"/>
      <c r="P21" s="107"/>
      <c r="Q21" s="107"/>
      <c r="R21" s="107"/>
      <c r="S21" s="107"/>
      <c r="T21" s="107"/>
      <c r="U21" s="107"/>
      <c r="V21" s="107"/>
    </row>
    <row r="22" spans="1:23">
      <c r="A22" t="s">
        <v>1340</v>
      </c>
      <c r="B22" s="5"/>
      <c r="C22" s="5"/>
      <c r="D22" s="5"/>
      <c r="E22" s="5"/>
      <c r="F22" s="5"/>
      <c r="G22" s="5"/>
      <c r="H22" s="5"/>
      <c r="I22" s="5"/>
      <c r="J22" s="5"/>
      <c r="K22" s="5"/>
      <c r="L22" s="109"/>
      <c r="M22" s="107"/>
      <c r="N22" s="107"/>
      <c r="O22" s="107"/>
      <c r="P22" s="107"/>
      <c r="Q22" s="107"/>
      <c r="R22" s="107"/>
      <c r="S22" s="107"/>
      <c r="T22" s="107"/>
      <c r="U22" s="107"/>
      <c r="V22" s="107"/>
    </row>
    <row r="23" spans="1:23">
      <c r="A23" t="s">
        <v>1341</v>
      </c>
      <c r="B23" s="5"/>
      <c r="C23" s="5"/>
      <c r="D23" s="5"/>
      <c r="E23" s="5"/>
      <c r="F23" s="5"/>
      <c r="G23" s="5"/>
      <c r="H23" s="5"/>
      <c r="I23" s="5"/>
      <c r="J23" s="5"/>
      <c r="K23" s="5"/>
      <c r="L23" s="109"/>
      <c r="M23" s="107"/>
      <c r="N23" s="107"/>
      <c r="O23" s="107"/>
      <c r="P23" s="107"/>
      <c r="Q23" s="107"/>
      <c r="R23" s="107"/>
      <c r="S23" s="107"/>
      <c r="T23" s="107"/>
      <c r="U23" s="107"/>
      <c r="V23" s="107"/>
    </row>
    <row r="24" spans="1:23">
      <c r="L24" s="109"/>
      <c r="M24" s="107"/>
      <c r="N24" s="107"/>
      <c r="O24" s="107"/>
      <c r="P24" s="107"/>
      <c r="Q24" s="107"/>
      <c r="R24" s="107"/>
      <c r="S24" s="107"/>
      <c r="T24" s="107"/>
      <c r="U24" s="107"/>
      <c r="V24" s="107"/>
    </row>
    <row r="25" spans="1:23">
      <c r="A25" t="s">
        <v>1149</v>
      </c>
      <c r="B25" s="6"/>
      <c r="C25" s="6"/>
      <c r="D25" s="6"/>
      <c r="E25" s="6"/>
      <c r="F25" s="6"/>
      <c r="G25" s="6"/>
      <c r="H25" s="6"/>
      <c r="I25" s="6"/>
      <c r="J25" s="6"/>
      <c r="K25" s="6"/>
      <c r="L25" s="125"/>
      <c r="M25" s="126"/>
      <c r="N25" s="126"/>
      <c r="O25" s="126"/>
      <c r="P25" s="126"/>
      <c r="Q25" s="126"/>
      <c r="R25" s="126"/>
      <c r="S25" s="126"/>
      <c r="T25" s="126"/>
      <c r="U25" s="126"/>
      <c r="V25" s="126"/>
    </row>
    <row r="26" spans="1:23">
      <c r="A26" t="s">
        <v>292</v>
      </c>
      <c r="B26" s="2"/>
      <c r="C26" s="2"/>
      <c r="D26" s="2"/>
      <c r="E26" s="2"/>
      <c r="F26" s="2"/>
      <c r="G26" s="2"/>
      <c r="H26" s="2"/>
      <c r="I26" s="2"/>
      <c r="J26" s="2"/>
      <c r="K26" s="2"/>
      <c r="L26" s="109"/>
      <c r="M26" s="43"/>
      <c r="N26" s="43"/>
      <c r="O26" s="43"/>
      <c r="P26" s="43"/>
      <c r="Q26" s="43"/>
      <c r="R26" s="43"/>
      <c r="S26" s="43"/>
      <c r="T26" s="43"/>
      <c r="U26" s="43"/>
      <c r="V26" s="43"/>
    </row>
    <row r="27" spans="1:23">
      <c r="A27" t="s">
        <v>290</v>
      </c>
      <c r="B27" s="4"/>
      <c r="C27" s="4"/>
      <c r="D27" s="4"/>
      <c r="E27" s="4"/>
      <c r="F27" s="4"/>
      <c r="G27" s="4"/>
      <c r="H27" s="4"/>
      <c r="I27" s="4"/>
      <c r="J27" s="4"/>
      <c r="K27" s="4"/>
      <c r="L27" s="110"/>
      <c r="M27" s="128"/>
      <c r="N27" s="128"/>
      <c r="O27" s="128"/>
      <c r="P27" s="128"/>
      <c r="Q27" s="128"/>
      <c r="R27" s="128"/>
      <c r="S27" s="128"/>
      <c r="T27" s="128"/>
      <c r="U27" s="128"/>
      <c r="V27" s="128"/>
    </row>
    <row r="28" spans="1:23">
      <c r="A28" t="s">
        <v>1342</v>
      </c>
      <c r="B28" s="5"/>
      <c r="C28" s="5"/>
      <c r="D28" s="5"/>
      <c r="E28" s="5"/>
      <c r="F28" s="5"/>
      <c r="G28" s="5"/>
      <c r="H28" s="5"/>
      <c r="I28" s="5"/>
      <c r="J28" s="5"/>
      <c r="K28" s="5"/>
      <c r="L28" s="127"/>
      <c r="M28" s="82"/>
      <c r="N28" s="82"/>
      <c r="O28" s="82"/>
      <c r="P28" s="82"/>
      <c r="Q28" s="82"/>
      <c r="R28" s="82"/>
      <c r="S28" s="82"/>
      <c r="T28" s="82"/>
      <c r="U28" s="82"/>
      <c r="V28" s="82"/>
      <c r="W28" s="5"/>
    </row>
    <row r="29" spans="1:23">
      <c r="B29" s="5"/>
      <c r="C29" s="5"/>
      <c r="D29" s="5"/>
      <c r="E29" s="5"/>
      <c r="F29" s="5"/>
      <c r="G29" s="5"/>
      <c r="H29" s="5"/>
      <c r="I29" s="5"/>
      <c r="J29" s="5"/>
      <c r="K29" s="5"/>
      <c r="L29" s="111"/>
      <c r="M29" s="112"/>
      <c r="N29" s="112"/>
      <c r="O29" s="112"/>
      <c r="P29" s="112"/>
      <c r="Q29" s="112"/>
      <c r="R29" s="112"/>
      <c r="S29" s="112"/>
      <c r="T29" s="112"/>
      <c r="U29" s="112"/>
      <c r="V29" s="112"/>
      <c r="W29" s="5"/>
    </row>
    <row r="30" spans="1:23">
      <c r="A30" t="s">
        <v>1343</v>
      </c>
      <c r="B30" s="5"/>
      <c r="C30" s="5"/>
      <c r="D30" s="5"/>
      <c r="E30" s="5"/>
      <c r="F30" s="5"/>
      <c r="G30" s="5"/>
      <c r="H30" s="5"/>
      <c r="I30" s="5"/>
      <c r="J30" s="5"/>
      <c r="K30" s="5"/>
      <c r="L30" s="127"/>
      <c r="M30" s="82"/>
      <c r="N30" s="82"/>
      <c r="O30" s="82"/>
      <c r="P30" s="82"/>
      <c r="Q30" s="82"/>
      <c r="R30" s="82"/>
      <c r="S30" s="82"/>
      <c r="T30" s="82"/>
      <c r="U30" s="82"/>
      <c r="V30" s="82"/>
      <c r="W30" s="5"/>
    </row>
    <row r="31" spans="1:23">
      <c r="A31" t="s">
        <v>1344</v>
      </c>
      <c r="B31" s="5"/>
      <c r="C31" s="5"/>
      <c r="D31" s="5"/>
      <c r="E31" s="5"/>
      <c r="F31" s="5"/>
      <c r="G31" s="5"/>
      <c r="H31" s="5"/>
      <c r="I31" s="5"/>
      <c r="J31" s="5"/>
      <c r="K31" s="5"/>
      <c r="L31" s="117"/>
      <c r="M31" s="76"/>
      <c r="N31" s="76"/>
      <c r="O31" s="76"/>
      <c r="P31" s="76"/>
      <c r="Q31" s="76"/>
      <c r="R31" s="76"/>
      <c r="S31" s="76"/>
      <c r="T31" s="76"/>
      <c r="U31" s="76"/>
      <c r="V31" s="76"/>
    </row>
    <row r="32" spans="1:23">
      <c r="A32" t="s">
        <v>1345</v>
      </c>
      <c r="B32" s="27"/>
      <c r="C32" s="27"/>
      <c r="D32" s="27"/>
      <c r="E32" s="27"/>
      <c r="F32" s="27"/>
      <c r="G32" s="27"/>
      <c r="H32" s="27"/>
      <c r="I32" s="27"/>
      <c r="J32" s="27"/>
      <c r="K32" s="27"/>
      <c r="L32" s="109"/>
      <c r="M32" s="43"/>
      <c r="N32" s="43"/>
      <c r="O32" s="43"/>
      <c r="P32" s="43"/>
      <c r="Q32" s="43"/>
      <c r="R32" s="43"/>
      <c r="S32" s="43"/>
      <c r="T32" s="43"/>
      <c r="U32" s="43"/>
      <c r="V32" s="43"/>
    </row>
    <row r="33" spans="1:23">
      <c r="L33" s="109"/>
      <c r="M33" s="43"/>
      <c r="N33" s="43"/>
      <c r="O33" s="43"/>
      <c r="P33" s="43"/>
      <c r="Q33" s="43"/>
      <c r="R33" s="43"/>
      <c r="S33" s="43"/>
      <c r="T33" s="43"/>
      <c r="U33" s="43"/>
      <c r="V33" s="43"/>
    </row>
    <row r="34" spans="1:23">
      <c r="A34" t="s">
        <v>181</v>
      </c>
      <c r="B34" s="5"/>
      <c r="C34" s="5"/>
      <c r="D34" s="5"/>
      <c r="E34" s="5"/>
      <c r="F34" s="5"/>
      <c r="G34" s="5"/>
      <c r="H34" s="5"/>
      <c r="I34" s="5"/>
      <c r="J34" s="5"/>
      <c r="K34" s="5"/>
      <c r="L34" s="127"/>
      <c r="M34" s="82"/>
      <c r="N34" s="82"/>
      <c r="O34" s="82"/>
      <c r="P34" s="82"/>
      <c r="Q34" s="82"/>
      <c r="R34" s="82"/>
      <c r="S34" s="82"/>
      <c r="T34" s="82"/>
      <c r="U34" s="82"/>
      <c r="V34" s="82"/>
    </row>
    <row r="35" spans="1:23">
      <c r="B35" s="5"/>
      <c r="C35" s="5"/>
      <c r="D35" s="5"/>
      <c r="E35" s="5"/>
      <c r="F35" s="5"/>
      <c r="G35" s="5"/>
      <c r="H35" s="5"/>
      <c r="I35" s="5"/>
      <c r="J35" s="5"/>
      <c r="K35" s="5"/>
      <c r="L35" s="104"/>
      <c r="M35" s="108"/>
      <c r="N35" s="108"/>
      <c r="O35" s="108"/>
      <c r="P35" s="108"/>
      <c r="Q35" s="107"/>
      <c r="R35" s="107"/>
      <c r="S35" s="107"/>
      <c r="T35" s="107"/>
      <c r="U35" s="107"/>
      <c r="V35" s="107"/>
    </row>
    <row r="36" spans="1:23">
      <c r="A36" t="s">
        <v>1346</v>
      </c>
      <c r="B36" s="5"/>
      <c r="C36" s="5"/>
      <c r="D36" s="5"/>
      <c r="E36" s="5"/>
      <c r="F36" s="5"/>
      <c r="G36" s="5"/>
      <c r="H36" s="5"/>
      <c r="I36" s="5"/>
      <c r="J36" s="5"/>
      <c r="K36" s="5"/>
      <c r="L36" s="117"/>
      <c r="M36" s="76"/>
      <c r="N36" s="76"/>
      <c r="O36" s="76"/>
      <c r="P36" s="76"/>
      <c r="Q36" s="76"/>
      <c r="R36" s="76"/>
      <c r="S36" s="76"/>
      <c r="T36" s="76"/>
      <c r="U36" s="76"/>
      <c r="V36" s="76"/>
      <c r="W36" s="2"/>
    </row>
    <row r="37" spans="1:23">
      <c r="A37" t="s">
        <v>1347</v>
      </c>
      <c r="B37" s="4"/>
      <c r="C37" s="4"/>
      <c r="D37" s="4"/>
      <c r="E37" s="4"/>
      <c r="F37" s="4"/>
      <c r="G37" s="4"/>
      <c r="H37" s="4"/>
      <c r="I37" s="4"/>
      <c r="J37" s="4"/>
      <c r="K37" s="4"/>
      <c r="L37" s="129"/>
      <c r="M37" s="82"/>
      <c r="N37" s="82"/>
      <c r="O37" s="82"/>
      <c r="P37" s="82"/>
      <c r="Q37" s="82"/>
      <c r="R37" s="82"/>
      <c r="S37" s="82"/>
      <c r="T37" s="82"/>
      <c r="U37" s="82"/>
      <c r="V37" s="82"/>
    </row>
    <row r="38" spans="1:23">
      <c r="A38" s="17" t="s">
        <v>179</v>
      </c>
      <c r="B38" s="52"/>
      <c r="C38" s="52"/>
      <c r="D38" s="52"/>
      <c r="E38" s="52"/>
      <c r="F38" s="52"/>
      <c r="G38" s="52"/>
      <c r="H38" s="52"/>
      <c r="I38" s="52"/>
      <c r="J38" s="52"/>
      <c r="K38" s="52"/>
      <c r="L38" s="123"/>
      <c r="M38" s="130"/>
      <c r="N38" s="130"/>
      <c r="O38" s="130"/>
      <c r="P38" s="130"/>
      <c r="Q38" s="130"/>
      <c r="R38" s="130"/>
      <c r="S38" s="130"/>
      <c r="T38" s="130"/>
      <c r="U38" s="130"/>
      <c r="V38" s="130"/>
    </row>
    <row r="39" spans="1:23">
      <c r="A39" s="17"/>
      <c r="B39" s="65"/>
      <c r="C39" s="65"/>
      <c r="D39" s="65"/>
      <c r="E39" s="65"/>
      <c r="F39" s="65"/>
      <c r="G39" s="65"/>
      <c r="H39" s="65"/>
      <c r="I39" s="65"/>
      <c r="J39" s="65"/>
      <c r="K39" s="65"/>
      <c r="L39" s="69"/>
      <c r="M39" s="65"/>
      <c r="N39" s="65"/>
      <c r="O39" s="65"/>
      <c r="P39" s="65"/>
      <c r="Q39" s="65"/>
      <c r="R39" s="65"/>
      <c r="S39" s="65"/>
      <c r="T39" s="65"/>
      <c r="U39" s="65"/>
      <c r="V39" s="65"/>
    </row>
    <row r="40" spans="1:23">
      <c r="B40" s="31"/>
      <c r="C40" s="31"/>
      <c r="D40" s="31"/>
      <c r="E40" s="31"/>
      <c r="F40" s="31"/>
      <c r="G40" s="31"/>
      <c r="H40" s="31"/>
      <c r="I40" s="31"/>
      <c r="J40" s="31"/>
    </row>
    <row r="41" spans="1:23" ht="18.95">
      <c r="A41" s="167" t="s">
        <v>242</v>
      </c>
      <c r="L41" s="70" t="s">
        <v>1348</v>
      </c>
    </row>
    <row r="42" spans="1:23">
      <c r="A42" s="169" t="s">
        <v>258</v>
      </c>
      <c r="B42" s="168" t="s">
        <v>248</v>
      </c>
      <c r="C42" s="168" t="s">
        <v>249</v>
      </c>
      <c r="D42" s="168" t="s">
        <v>250</v>
      </c>
      <c r="E42" s="168" t="s">
        <v>251</v>
      </c>
      <c r="F42" s="168" t="s">
        <v>252</v>
      </c>
      <c r="G42" s="168" t="s">
        <v>253</v>
      </c>
      <c r="H42" s="168" t="s">
        <v>254</v>
      </c>
      <c r="I42" s="168" t="s">
        <v>255</v>
      </c>
      <c r="J42" s="168" t="s">
        <v>256</v>
      </c>
      <c r="K42" s="168" t="s">
        <v>257</v>
      </c>
      <c r="L42" s="74">
        <v>2022</v>
      </c>
      <c r="M42" s="56">
        <f t="shared" ref="M42:U42" si="1">L42+1</f>
        <v>2023</v>
      </c>
      <c r="N42" s="56">
        <f t="shared" si="1"/>
        <v>2024</v>
      </c>
      <c r="O42" s="56">
        <f t="shared" si="1"/>
        <v>2025</v>
      </c>
      <c r="P42" s="56">
        <f t="shared" si="1"/>
        <v>2026</v>
      </c>
      <c r="Q42" s="57">
        <f t="shared" si="1"/>
        <v>2027</v>
      </c>
      <c r="R42" s="57">
        <f t="shared" si="1"/>
        <v>2028</v>
      </c>
      <c r="S42" s="57">
        <f t="shared" si="1"/>
        <v>2029</v>
      </c>
      <c r="T42" s="57">
        <f t="shared" si="1"/>
        <v>2030</v>
      </c>
      <c r="U42" s="57">
        <f t="shared" si="1"/>
        <v>2031</v>
      </c>
      <c r="V42" s="58" t="s">
        <v>1330</v>
      </c>
    </row>
    <row r="43" spans="1:23">
      <c r="A43" s="8" t="s">
        <v>1349</v>
      </c>
    </row>
    <row r="44" spans="1:23">
      <c r="A44" t="s">
        <v>1350</v>
      </c>
      <c r="B44" s="2">
        <f>SUM('A.Raw Historical data - BS'!H9:H11)</f>
        <v>51534</v>
      </c>
      <c r="C44" s="2">
        <f>SUM('A.Raw Historical data - BS'!I9:I11)</f>
        <v>50822</v>
      </c>
      <c r="D44" s="2">
        <f>SUM('A.Raw Historical data - BS'!J9:J11)</f>
        <v>52908</v>
      </c>
      <c r="E44" s="2">
        <f>SUM('A.Raw Historical data - BS'!K9:K11)</f>
        <v>54175</v>
      </c>
      <c r="F44" s="2">
        <f>SUM('A.Raw Historical data - BS'!L9:L11)</f>
        <v>52341</v>
      </c>
      <c r="G44" s="2">
        <f>SUM('A.Raw Historical data - BS'!M9:M11)</f>
        <v>72326</v>
      </c>
      <c r="H44" s="2">
        <f>SUM('A.Raw Historical data - BS'!N9:N11)</f>
        <v>66310</v>
      </c>
      <c r="I44" s="2">
        <f>SUM('A.Raw Historical data - BS'!O9:O11)</f>
        <v>67030</v>
      </c>
      <c r="J44" s="2">
        <f>SUM('A.Raw Historical data - BS'!P9:P11)</f>
        <v>67010</v>
      </c>
      <c r="K44" s="2">
        <f>SUM('A.Raw Historical data - BS'!Q9:Q11)</f>
        <v>70421</v>
      </c>
      <c r="L44" s="68"/>
    </row>
    <row r="45" spans="1:23">
      <c r="A45" t="s">
        <v>1351</v>
      </c>
      <c r="B45" s="3">
        <f>SUM('A.Raw Historical data - BS'!H28,'A.Raw Historical data - BS'!H32)</f>
        <v>58094</v>
      </c>
      <c r="C45" s="3">
        <f>SUM('A.Raw Historical data - BS'!I28,'A.Raw Historical data - BS'!I32)</f>
        <v>62087</v>
      </c>
      <c r="D45" s="3">
        <f>SUM('A.Raw Historical data - BS'!J28,'A.Raw Historical data - BS'!J32)</f>
        <v>68214</v>
      </c>
      <c r="E45" s="3">
        <f>SUM('A.Raw Historical data - BS'!K28,'A.Raw Historical data - BS'!K32)</f>
        <v>69219</v>
      </c>
      <c r="F45" s="3">
        <f>SUM('A.Raw Historical data - BS'!L28,'A.Raw Historical data - BS'!L32)</f>
        <v>69269</v>
      </c>
      <c r="G45" s="3">
        <f>SUM('A.Raw Historical data - BS'!M28,'A.Raw Historical data - BS'!M32)</f>
        <v>87107</v>
      </c>
      <c r="H45" s="3">
        <f>SUM('A.Raw Historical data - BS'!N28,'A.Raw Historical data - BS'!N32)</f>
        <v>81321</v>
      </c>
      <c r="I45" s="3">
        <f>SUM('A.Raw Historical data - BS'!O28,'A.Raw Historical data - BS'!O32)</f>
        <v>84868</v>
      </c>
      <c r="J45" s="3">
        <f>SUM('A.Raw Historical data - BS'!P28,'A.Raw Historical data - BS'!P32)</f>
        <v>85571</v>
      </c>
      <c r="K45" s="3">
        <f>SUM('A.Raw Historical data - BS'!Q28,'A.Raw Historical data - BS'!Q32)</f>
        <v>88011</v>
      </c>
      <c r="L45" s="68"/>
      <c r="M45" s="64"/>
      <c r="N45" s="64"/>
      <c r="O45" s="64"/>
      <c r="P45" s="64"/>
      <c r="Q45" s="64"/>
      <c r="R45" s="64"/>
      <c r="S45" s="64"/>
      <c r="T45" s="64"/>
      <c r="U45" s="64"/>
      <c r="V45" s="64"/>
    </row>
    <row r="46" spans="1:23">
      <c r="A46" t="s">
        <v>1352</v>
      </c>
      <c r="B46" s="62">
        <f>SUM(B44-B45)</f>
        <v>-6560</v>
      </c>
      <c r="C46" s="62">
        <f t="shared" ref="C46:K46" si="2">SUM(C44-C45)</f>
        <v>-11265</v>
      </c>
      <c r="D46" s="62">
        <f t="shared" si="2"/>
        <v>-15306</v>
      </c>
      <c r="E46" s="62">
        <f t="shared" si="2"/>
        <v>-15044</v>
      </c>
      <c r="F46" s="62">
        <f t="shared" si="2"/>
        <v>-16928</v>
      </c>
      <c r="G46" s="62">
        <f t="shared" si="2"/>
        <v>-14781</v>
      </c>
      <c r="H46" s="62">
        <f t="shared" si="2"/>
        <v>-15011</v>
      </c>
      <c r="I46" s="62">
        <f t="shared" si="2"/>
        <v>-17838</v>
      </c>
      <c r="J46" s="62">
        <f t="shared" si="2"/>
        <v>-18561</v>
      </c>
      <c r="K46" s="62">
        <f t="shared" si="2"/>
        <v>-17590</v>
      </c>
      <c r="L46" s="131"/>
      <c r="M46" s="133"/>
      <c r="N46" s="133"/>
      <c r="O46" s="133"/>
      <c r="P46" s="133"/>
      <c r="Q46" s="133"/>
      <c r="R46" s="133"/>
      <c r="S46" s="133"/>
      <c r="T46" s="133"/>
      <c r="U46" s="133"/>
      <c r="V46" s="133"/>
    </row>
    <row r="47" spans="1:23">
      <c r="L47" s="115"/>
      <c r="M47" s="43"/>
      <c r="N47" s="43"/>
      <c r="O47" s="43"/>
      <c r="P47" s="43"/>
      <c r="Q47" s="43"/>
      <c r="R47" s="43"/>
      <c r="S47" s="43"/>
      <c r="T47" s="43"/>
      <c r="U47" s="43"/>
      <c r="V47" s="43"/>
    </row>
    <row r="48" spans="1:23">
      <c r="A48" t="s">
        <v>1353</v>
      </c>
      <c r="B48" s="2">
        <f>SUM('A.Raw Historical data - BS'!H21,'A.Raw Historical data - BS'!H23)</f>
        <v>122647</v>
      </c>
      <c r="C48" s="2">
        <f>SUM('A.Raw Historical data - BS'!I21,'A.Raw Historical data - BS'!I23)</f>
        <v>124099</v>
      </c>
      <c r="D48" s="2">
        <f>SUM('A.Raw Historical data - BS'!J21,'A.Raw Historical data - BS'!J23)</f>
        <v>126616</v>
      </c>
      <c r="E48" s="2">
        <f>SUM('A.Raw Historical data - BS'!K21,'A.Raw Historical data - BS'!K23)</f>
        <v>126217</v>
      </c>
      <c r="F48" s="2">
        <f>SUM('A.Raw Historical data - BS'!L21,'A.Raw Historical data - BS'!L23,'A.Raw Historical data - BS'!L25)</f>
        <v>126192</v>
      </c>
      <c r="G48" s="2">
        <f>SUM('A.Raw Historical data - BS'!M21,'A.Raw Historical data - BS'!M23,'A.Raw Historical data - BS'!M25)</f>
        <v>119804</v>
      </c>
      <c r="H48" s="2">
        <f>SUM('A.Raw Historical data - BS'!N21,'A.Raw Historical data - BS'!N23,'A.Raw Historical data - BS'!N25)</f>
        <v>121018</v>
      </c>
      <c r="I48" s="2">
        <f>SUM('A.Raw Historical data - BS'!O21,'A.Raw Historical data - BS'!O23,'A.Raw Historical data - BS'!O25)</f>
        <v>125813</v>
      </c>
      <c r="J48" s="2">
        <f>SUM('A.Raw Historical data - BS'!P21,'A.Raw Historical data - BS'!P23,'A.Raw Historical data - BS'!P25)</f>
        <v>133736</v>
      </c>
      <c r="K48" s="2">
        <f>SUM('A.Raw Historical data - BS'!Q21,'A.Raw Historical data - BS'!Q23,'A.Raw Historical data - BS'!Q25)</f>
        <v>138974</v>
      </c>
      <c r="L48" s="115"/>
      <c r="M48" s="43"/>
      <c r="N48" s="43"/>
      <c r="O48" s="43"/>
      <c r="P48" s="43"/>
      <c r="Q48" s="43"/>
      <c r="R48" s="43"/>
      <c r="S48" s="43"/>
      <c r="T48" s="43"/>
      <c r="U48" s="43"/>
      <c r="V48" s="43"/>
    </row>
    <row r="49" spans="1:24">
      <c r="A49" t="s">
        <v>1354</v>
      </c>
      <c r="B49" s="3">
        <f>SUM('A.Raw Historical data - BS'!H43)</f>
        <v>7321</v>
      </c>
      <c r="C49" s="3">
        <f>SUM('A.Raw Historical data - BS'!I43)</f>
        <v>9344</v>
      </c>
      <c r="D49" s="3">
        <f>SUM('A.Raw Historical data - BS'!J43)</f>
        <v>8354</v>
      </c>
      <c r="E49" s="3">
        <f>SUM('A.Raw Historical data - BS'!K43)</f>
        <v>11981</v>
      </c>
      <c r="F49" s="3">
        <f>SUM('A.Raw Historical data - BS'!L43:L44)</f>
        <v>29132</v>
      </c>
      <c r="G49" s="3">
        <f>SUM('A.Raw Historical data - BS'!M43:M44)</f>
        <v>27279</v>
      </c>
      <c r="H49" s="3">
        <f>SUM('A.Raw Historical data - BS'!N43:N44)</f>
        <v>26483</v>
      </c>
      <c r="I49" s="3">
        <f>SUM('A.Raw Historical data - BS'!O43:O44)</f>
        <v>27516</v>
      </c>
      <c r="J49" s="3">
        <f>SUM('A.Raw Historical data - BS'!P43:P44)</f>
        <v>27572</v>
      </c>
      <c r="K49" s="3">
        <f>SUM('A.Raw Historical data - BS'!Q43:Q44)</f>
        <v>27223</v>
      </c>
      <c r="L49" s="115"/>
      <c r="M49" s="128"/>
      <c r="N49" s="128"/>
      <c r="O49" s="128"/>
      <c r="P49" s="128"/>
      <c r="Q49" s="128"/>
      <c r="R49" s="128"/>
      <c r="S49" s="128"/>
      <c r="T49" s="128"/>
      <c r="U49" s="128"/>
      <c r="V49" s="128"/>
    </row>
    <row r="50" spans="1:24">
      <c r="A50" t="s">
        <v>1355</v>
      </c>
      <c r="B50" s="62">
        <f>SUM(B48-B49)</f>
        <v>115326</v>
      </c>
      <c r="C50" s="62">
        <f t="shared" ref="C50:K50" si="3">SUM(C48-C49)</f>
        <v>114755</v>
      </c>
      <c r="D50" s="62">
        <f t="shared" si="3"/>
        <v>118262</v>
      </c>
      <c r="E50" s="62">
        <f t="shared" si="3"/>
        <v>114236</v>
      </c>
      <c r="F50" s="62">
        <f t="shared" si="3"/>
        <v>97060</v>
      </c>
      <c r="G50" s="62">
        <f t="shared" si="3"/>
        <v>92525</v>
      </c>
      <c r="H50" s="62">
        <f t="shared" si="3"/>
        <v>94535</v>
      </c>
      <c r="I50" s="62">
        <f t="shared" si="3"/>
        <v>98297</v>
      </c>
      <c r="J50" s="62">
        <f t="shared" si="3"/>
        <v>106164</v>
      </c>
      <c r="K50" s="62">
        <f t="shared" si="3"/>
        <v>111751</v>
      </c>
      <c r="L50" s="131"/>
      <c r="M50" s="133"/>
      <c r="N50" s="133"/>
      <c r="O50" s="133"/>
      <c r="P50" s="133"/>
      <c r="Q50" s="133"/>
      <c r="R50" s="133"/>
      <c r="S50" s="133"/>
      <c r="T50" s="133"/>
      <c r="U50" s="133"/>
      <c r="V50" s="133"/>
    </row>
    <row r="51" spans="1:24">
      <c r="L51" s="115"/>
      <c r="M51" s="43"/>
      <c r="N51" s="43"/>
      <c r="O51" s="43"/>
      <c r="P51" s="43"/>
      <c r="Q51" s="43"/>
      <c r="R51" s="43"/>
      <c r="S51" s="43"/>
      <c r="T51" s="43"/>
      <c r="U51" s="43"/>
      <c r="V51" s="43"/>
    </row>
    <row r="52" spans="1:24">
      <c r="A52" t="s">
        <v>1356</v>
      </c>
      <c r="B52" s="3">
        <f>'A.Raw Historical data - BS'!H72</f>
        <v>16695</v>
      </c>
      <c r="C52" s="3">
        <f>'A.Raw Historical data - BS'!I72</f>
        <v>17037</v>
      </c>
      <c r="D52" s="3">
        <f>'A.Raw Historical data - BS'!J72</f>
        <v>18242</v>
      </c>
      <c r="E52" s="3">
        <f>'A.Raw Historical data - BS'!K72</f>
        <v>31181</v>
      </c>
      <c r="F52" s="3">
        <f>'A.Raw Historical data - BS'!L72</f>
        <v>31073</v>
      </c>
      <c r="G52" s="3">
        <f>SUM('A.Raw Historical data - BS'!M72,'A.Raw Historical data - BS'!M71)</f>
        <v>33883</v>
      </c>
      <c r="H52" s="3">
        <f>SUM('A.Raw Historical data - BS'!N72,'A.Raw Historical data - BS'!N71)</f>
        <v>33814</v>
      </c>
      <c r="I52" s="3">
        <f>SUM('A.Raw Historical data - BS'!O72,'A.Raw Historical data - BS'!O71)</f>
        <v>32474</v>
      </c>
      <c r="J52" s="3">
        <f>SUM('A.Raw Historical data - BS'!P72,'A.Raw Historical data - BS'!P71)</f>
        <v>32213</v>
      </c>
      <c r="K52" s="3">
        <f>SUM('A.Raw Historical data - BS'!Q72,'A.Raw Historical data - BS'!Q71)</f>
        <v>33292</v>
      </c>
      <c r="L52" s="120"/>
      <c r="M52" s="134"/>
      <c r="N52" s="134"/>
      <c r="O52" s="134"/>
      <c r="P52" s="134"/>
      <c r="Q52" s="134"/>
      <c r="R52" s="134"/>
      <c r="S52" s="134"/>
      <c r="T52" s="134"/>
      <c r="U52" s="134"/>
      <c r="V52" s="134"/>
    </row>
    <row r="53" spans="1:24">
      <c r="A53" s="17" t="s">
        <v>1357</v>
      </c>
      <c r="B53" s="62">
        <f>SUM(B46,B50,B52)</f>
        <v>125461</v>
      </c>
      <c r="C53" s="62">
        <f t="shared" ref="C53:K53" si="4">SUM(C46,C50,C52)</f>
        <v>120527</v>
      </c>
      <c r="D53" s="62">
        <f t="shared" si="4"/>
        <v>121198</v>
      </c>
      <c r="E53" s="62">
        <f t="shared" si="4"/>
        <v>130373</v>
      </c>
      <c r="F53" s="62">
        <f t="shared" si="4"/>
        <v>111205</v>
      </c>
      <c r="G53" s="62">
        <f t="shared" si="4"/>
        <v>111627</v>
      </c>
      <c r="H53" s="62">
        <f t="shared" si="4"/>
        <v>113338</v>
      </c>
      <c r="I53" s="62">
        <f t="shared" si="4"/>
        <v>112933</v>
      </c>
      <c r="J53" s="62">
        <f t="shared" si="4"/>
        <v>119816</v>
      </c>
      <c r="K53" s="62">
        <f t="shared" si="4"/>
        <v>127453</v>
      </c>
      <c r="L53" s="132"/>
      <c r="M53" s="135"/>
      <c r="N53" s="135"/>
      <c r="O53" s="135"/>
      <c r="P53" s="135"/>
      <c r="Q53" s="135"/>
      <c r="R53" s="135"/>
      <c r="S53" s="135"/>
      <c r="T53" s="135"/>
      <c r="U53" s="135"/>
      <c r="V53" s="135"/>
    </row>
    <row r="54" spans="1:24">
      <c r="L54" s="109"/>
      <c r="M54" s="107"/>
      <c r="N54" s="107"/>
      <c r="O54" s="107"/>
      <c r="P54" s="107"/>
      <c r="Q54" s="107"/>
      <c r="R54" s="107"/>
      <c r="S54" s="107"/>
      <c r="T54" s="107"/>
      <c r="U54" s="107"/>
      <c r="V54" s="107"/>
    </row>
    <row r="55" spans="1:24">
      <c r="A55" t="s">
        <v>1358</v>
      </c>
      <c r="B55" s="2">
        <f>'A.Raw Historical data - BS'!H8</f>
        <v>8705</v>
      </c>
      <c r="C55" s="2">
        <f>'A.Raw Historical data - BS'!I8</f>
        <v>6867</v>
      </c>
      <c r="D55" s="2">
        <f>'A.Raw Historical data - BS'!J8</f>
        <v>6756</v>
      </c>
      <c r="E55" s="2">
        <f>'A.Raw Historical data - BS'!K8</f>
        <v>7722</v>
      </c>
      <c r="F55" s="2">
        <f>'A.Raw Historical data - BS'!L8</f>
        <v>9465</v>
      </c>
      <c r="G55" s="2">
        <f>'A.Raw Historical data - BS'!M8</f>
        <v>17741</v>
      </c>
      <c r="H55" s="2">
        <f>'A.Raw Historical data - BS'!N8</f>
        <v>14760</v>
      </c>
      <c r="I55" s="2">
        <f>'A.Raw Historical data - BS'!O8</f>
        <v>8625</v>
      </c>
      <c r="J55" s="2">
        <f>'A.Raw Historical data - BS'!P8</f>
        <v>9867</v>
      </c>
      <c r="K55" s="2">
        <f>'A.Raw Historical data - BS'!Q8</f>
        <v>9037</v>
      </c>
      <c r="L55" s="105"/>
      <c r="M55" s="113"/>
      <c r="N55" s="113"/>
      <c r="O55" s="113"/>
      <c r="P55" s="113"/>
      <c r="Q55" s="113"/>
      <c r="R55" s="113"/>
      <c r="S55" s="113"/>
      <c r="T55" s="113"/>
      <c r="U55" s="113"/>
      <c r="V55" s="113"/>
    </row>
    <row r="56" spans="1:24">
      <c r="A56" t="s">
        <v>1359</v>
      </c>
      <c r="B56" s="3">
        <f>SUM('A.Raw Historical data - BS'!H29,'A.Raw Historical data - BS'!H30,'A.Raw Historical data - BS'!H31,'A.Raw Historical data - BS'!H33,'A.Raw Historical data - BS'!H40,'A.Raw Historical data - BS'!H41,'A.Raw Historical data - BS'!H46)</f>
        <v>53620</v>
      </c>
      <c r="C56" s="3">
        <f>SUM('A.Raw Historical data - BS'!I29,'A.Raw Historical data - BS'!I30,'A.Raw Historical data - BS'!I31,'A.Raw Historical data - BS'!I33,'A.Raw Historical data - BS'!I40,'A.Raw Historical data - BS'!I41,'A.Raw Historical data - BS'!I46)</f>
        <v>49596</v>
      </c>
      <c r="D56" s="3">
        <f>SUM('A.Raw Historical data - BS'!J29,'A.Raw Historical data - BS'!J30,'A.Raw Historical data - BS'!J31,'A.Raw Historical data - BS'!J33,'A.Raw Historical data - BS'!J40,'A.Raw Historical data - BS'!J41,'A.Raw Historical data - BS'!J46)</f>
        <v>50085</v>
      </c>
      <c r="E56" s="3">
        <f>SUM('A.Raw Historical data - BS'!K29,'A.Raw Historical data - BS'!K30,'A.Raw Historical data - BS'!K31,'A.Raw Historical data - BS'!K33,'A.Raw Historical data - BS'!K40,'A.Raw Historical data - BS'!K41,'A.Raw Historical data - BS'!K46)</f>
        <v>65599</v>
      </c>
      <c r="F56" s="3">
        <f>SUM('A.Raw Historical data - BS'!L29,'A.Raw Historical data - BS'!L30,'A.Raw Historical data - BS'!L31,'A.Raw Historical data - BS'!L33,'A.Raw Historical data - BS'!L40,'A.Raw Historical data - BS'!L41,'A.Raw Historical data - BS'!L46)</f>
        <v>61632</v>
      </c>
      <c r="G56" s="3">
        <f>SUM('A.Raw Historical data - BS'!M29,'A.Raw Historical data - BS'!M30,'A.Raw Historical data - BS'!M31,'A.Raw Historical data - BS'!M33,'A.Raw Historical data - BS'!M40,'A.Raw Historical data - BS'!M41,'A.Raw Historical data - BS'!M46)</f>
        <v>55719</v>
      </c>
      <c r="H56" s="3">
        <f>SUM('A.Raw Historical data - BS'!N29,'A.Raw Historical data - BS'!N30,'A.Raw Historical data - BS'!N31,'A.Raw Historical data - BS'!N33,'A.Raw Historical data - BS'!N40,'A.Raw Historical data - BS'!N41,'A.Raw Historical data - BS'!N46)</f>
        <v>52320</v>
      </c>
      <c r="I56" s="3">
        <f>SUM('A.Raw Historical data - BS'!O29,'A.Raw Historical data - BS'!O30,'A.Raw Historical data - BS'!O31,'A.Raw Historical data - BS'!O33,'A.Raw Historical data - BS'!O40,'A.Raw Historical data - BS'!O41,'A.Raw Historical data - BS'!O46)</f>
        <v>52410</v>
      </c>
      <c r="J56" s="3">
        <f>SUM('A.Raw Historical data - BS'!P29,'A.Raw Historical data - BS'!P30,'A.Raw Historical data - BS'!P31,'A.Raw Historical data - BS'!P33,'A.Raw Historical data - BS'!P40,'A.Raw Historical data - BS'!P41,'A.Raw Historical data - BS'!P46)</f>
        <v>53686</v>
      </c>
      <c r="K56" s="3">
        <f>SUM('A.Raw Historical data - BS'!Q29,'A.Raw Historical data - BS'!Q30,'A.Raw Historical data - BS'!Q31,'A.Raw Historical data - BS'!Q33,'A.Raw Historical data - BS'!Q40,'A.Raw Historical data - BS'!Q41,'A.Raw Historical data - BS'!Q46)</f>
        <v>52806</v>
      </c>
      <c r="L56" s="105"/>
      <c r="M56" s="106"/>
      <c r="N56" s="106"/>
      <c r="O56" s="106"/>
      <c r="P56" s="106"/>
      <c r="Q56" s="106"/>
      <c r="R56" s="106"/>
      <c r="S56" s="106"/>
      <c r="T56" s="106"/>
      <c r="U56" s="106"/>
      <c r="V56" s="106"/>
    </row>
    <row r="57" spans="1:24">
      <c r="A57" t="s">
        <v>1360</v>
      </c>
      <c r="B57" s="63">
        <f>SUM(B55-B56)</f>
        <v>-44915</v>
      </c>
      <c r="C57" s="63">
        <f t="shared" ref="C57:K57" si="5">SUM(C55-C56)</f>
        <v>-42729</v>
      </c>
      <c r="D57" s="63">
        <f t="shared" si="5"/>
        <v>-43329</v>
      </c>
      <c r="E57" s="63">
        <f t="shared" si="5"/>
        <v>-57877</v>
      </c>
      <c r="F57" s="63">
        <f t="shared" si="5"/>
        <v>-52167</v>
      </c>
      <c r="G57" s="63">
        <f t="shared" si="5"/>
        <v>-37978</v>
      </c>
      <c r="H57" s="63">
        <f t="shared" si="5"/>
        <v>-37560</v>
      </c>
      <c r="I57" s="63">
        <f t="shared" si="5"/>
        <v>-43785</v>
      </c>
      <c r="J57" s="63">
        <f t="shared" si="5"/>
        <v>-43819</v>
      </c>
      <c r="K57" s="63">
        <f t="shared" si="5"/>
        <v>-43769</v>
      </c>
      <c r="L57" s="131"/>
      <c r="M57" s="136"/>
      <c r="N57" s="136"/>
      <c r="O57" s="136"/>
      <c r="P57" s="136"/>
      <c r="Q57" s="136"/>
      <c r="R57" s="136"/>
      <c r="S57" s="136"/>
      <c r="T57" s="136"/>
      <c r="U57" s="136"/>
      <c r="V57" s="136"/>
      <c r="W57" s="103"/>
      <c r="X57" s="103"/>
    </row>
    <row r="58" spans="1:24">
      <c r="L58" s="109"/>
      <c r="M58" s="107"/>
      <c r="N58" s="107"/>
      <c r="O58" s="107"/>
      <c r="P58" s="107"/>
      <c r="Q58" s="107"/>
      <c r="R58" s="107"/>
      <c r="S58" s="107"/>
      <c r="T58" s="107"/>
      <c r="U58" s="107"/>
      <c r="V58" s="107"/>
    </row>
    <row r="59" spans="1:24">
      <c r="A59" s="66" t="s">
        <v>1361</v>
      </c>
      <c r="B59" s="5"/>
      <c r="C59" s="5"/>
      <c r="D59" s="5"/>
      <c r="E59" s="5"/>
      <c r="F59" s="5"/>
      <c r="G59" s="5"/>
      <c r="H59" s="5"/>
      <c r="I59" s="5"/>
      <c r="J59" s="5"/>
      <c r="K59" s="5"/>
      <c r="L59" s="117"/>
      <c r="M59" s="5"/>
      <c r="N59" s="5"/>
      <c r="O59" s="5"/>
      <c r="P59" s="5"/>
      <c r="Q59" s="5"/>
      <c r="R59" s="5"/>
      <c r="S59" s="5"/>
      <c r="T59" s="5"/>
      <c r="U59" s="5"/>
      <c r="V59" s="5"/>
    </row>
    <row r="60" spans="1:24">
      <c r="L60" s="109"/>
      <c r="M60" s="107"/>
      <c r="N60" s="107"/>
      <c r="O60" s="107"/>
      <c r="P60" s="107"/>
      <c r="Q60" s="107"/>
      <c r="R60" s="107"/>
      <c r="S60" s="107"/>
      <c r="T60" s="107"/>
      <c r="U60" s="107"/>
      <c r="V60" s="107"/>
    </row>
    <row r="61" spans="1:24">
      <c r="A61" s="17" t="s">
        <v>1362</v>
      </c>
      <c r="B61" s="126"/>
      <c r="C61" s="126"/>
      <c r="D61" s="126"/>
      <c r="E61" s="126"/>
      <c r="F61" s="126"/>
      <c r="G61" s="126"/>
      <c r="H61" s="126"/>
      <c r="I61" s="126"/>
      <c r="J61" s="126"/>
      <c r="K61" s="126"/>
      <c r="L61" s="145"/>
      <c r="M61" s="126"/>
      <c r="N61" s="126"/>
      <c r="O61" s="126"/>
      <c r="P61" s="126"/>
      <c r="Q61" s="126"/>
      <c r="R61" s="126"/>
      <c r="S61" s="126"/>
      <c r="T61" s="126"/>
      <c r="U61" s="126"/>
      <c r="V61" s="126"/>
    </row>
    <row r="64" spans="1:24">
      <c r="A64" s="9" t="s">
        <v>118</v>
      </c>
      <c r="B64" s="10"/>
      <c r="C64" s="10"/>
      <c r="D64" s="10"/>
      <c r="E64" s="10"/>
      <c r="F64" s="10"/>
      <c r="G64" s="10"/>
      <c r="H64" s="10"/>
      <c r="I64" s="10"/>
      <c r="J64" s="10"/>
      <c r="K64" s="10"/>
      <c r="L64" s="71"/>
      <c r="M64" s="10"/>
      <c r="N64" s="10"/>
      <c r="O64" s="10"/>
      <c r="P64" s="10"/>
      <c r="Q64" s="10"/>
      <c r="R64" s="10"/>
      <c r="S64" s="10"/>
      <c r="T64" s="10"/>
      <c r="U64" s="10"/>
      <c r="V64" s="10"/>
    </row>
    <row r="65" spans="1:24">
      <c r="A65" s="10" t="s">
        <v>1363</v>
      </c>
      <c r="B65" s="11">
        <f>'A.Raw Historical data - BS'!G50</f>
        <v>85777</v>
      </c>
      <c r="C65" s="11">
        <f>'A.Raw Historical data - BS'!H50</f>
        <v>90021</v>
      </c>
      <c r="D65" s="11">
        <f>'A.Raw Historical data - BS'!I50</f>
        <v>89354</v>
      </c>
      <c r="E65" s="11">
        <f>'A.Raw Historical data - BS'!J50</f>
        <v>85107</v>
      </c>
      <c r="F65" s="11">
        <f>'A.Raw Historical data - BS'!K50</f>
        <v>80785</v>
      </c>
      <c r="G65" s="11">
        <f>'A.Raw Historical data - BS'!L50</f>
        <v>83943</v>
      </c>
      <c r="H65" s="11">
        <f>'A.Raw Historical data - BS'!M50</f>
        <v>88763</v>
      </c>
      <c r="I65" s="11">
        <f>'A.Raw Historical data - BS'!N50</f>
        <v>86904</v>
      </c>
      <c r="J65" s="11">
        <f>'A.Raw Historical data - BS'!O50</f>
        <v>83135</v>
      </c>
      <c r="K65" s="11">
        <f>'A.Raw Historical data - BS'!P50</f>
        <v>89814</v>
      </c>
      <c r="L65" s="137"/>
      <c r="M65" s="139"/>
      <c r="N65" s="139"/>
      <c r="O65" s="139"/>
      <c r="P65" s="139"/>
      <c r="Q65" s="139"/>
      <c r="R65" s="139"/>
      <c r="S65" s="139"/>
      <c r="T65" s="139"/>
      <c r="U65" s="139"/>
      <c r="V65" s="139"/>
    </row>
    <row r="66" spans="1:24">
      <c r="A66" s="10" t="s">
        <v>1364</v>
      </c>
      <c r="B66" s="61"/>
      <c r="C66" s="61"/>
      <c r="D66" s="61"/>
      <c r="E66" s="61"/>
      <c r="F66" s="61"/>
      <c r="G66" s="61"/>
      <c r="H66" s="61"/>
      <c r="I66" s="61"/>
      <c r="J66" s="61"/>
      <c r="K66" s="61"/>
      <c r="L66" s="137"/>
      <c r="M66" s="139"/>
      <c r="N66" s="139"/>
      <c r="O66" s="139"/>
      <c r="P66" s="139"/>
      <c r="Q66" s="139"/>
      <c r="R66" s="139"/>
      <c r="S66" s="139"/>
      <c r="T66" s="139"/>
      <c r="U66" s="139"/>
      <c r="V66" s="139"/>
    </row>
    <row r="67" spans="1:24">
      <c r="A67" s="10" t="s">
        <v>1365</v>
      </c>
      <c r="B67" s="12">
        <f>'A.Raw Historical data - IS'!I60</f>
        <v>6216</v>
      </c>
      <c r="C67" s="12">
        <f>'A.Raw Historical data - IS'!J60</f>
        <v>6124</v>
      </c>
      <c r="D67" s="12">
        <f>'A.Raw Historical data - IS'!K60</f>
        <v>6102</v>
      </c>
      <c r="E67" s="12">
        <f>'A.Raw Historical data - IS'!L60</f>
        <v>6048</v>
      </c>
      <c r="F67" s="12">
        <f>'A.Raw Historical data - IS'!M60</f>
        <v>6116</v>
      </c>
      <c r="G67" s="12">
        <f>'A.Raw Historical data - IS'!N60</f>
        <v>6152</v>
      </c>
      <c r="H67" s="12">
        <f>'A.Raw Historical data - IS'!O60</f>
        <v>6114</v>
      </c>
      <c r="I67" s="12">
        <f>'A.Raw Historical data - IS'!P60</f>
        <v>6140</v>
      </c>
      <c r="J67" s="12">
        <f>'A.Raw Historical data - IS'!Q60</f>
        <v>6688</v>
      </c>
      <c r="K67" s="12">
        <f>'A.Raw Historical data - IS'!R60</f>
        <v>0</v>
      </c>
      <c r="L67" s="138"/>
      <c r="M67" s="140"/>
      <c r="N67" s="140"/>
      <c r="O67" s="140"/>
      <c r="P67" s="140"/>
      <c r="Q67" s="140"/>
      <c r="R67" s="140"/>
      <c r="S67" s="140"/>
      <c r="T67" s="140"/>
      <c r="U67" s="140"/>
      <c r="V67" s="140"/>
    </row>
    <row r="68" spans="1:24">
      <c r="A68" s="10" t="s">
        <v>1366</v>
      </c>
      <c r="B68" s="13"/>
      <c r="C68" s="13"/>
      <c r="D68" s="13"/>
      <c r="E68" s="13"/>
      <c r="F68" s="13"/>
      <c r="G68" s="13"/>
      <c r="H68" s="13"/>
      <c r="I68" s="13"/>
      <c r="J68" s="13"/>
      <c r="K68" s="13"/>
      <c r="L68" s="141"/>
      <c r="M68" s="142"/>
      <c r="N68" s="142"/>
      <c r="O68" s="142"/>
      <c r="P68" s="142"/>
      <c r="Q68" s="142"/>
      <c r="R68" s="142"/>
      <c r="S68" s="142"/>
      <c r="T68" s="142"/>
      <c r="U68" s="142"/>
      <c r="V68" s="142"/>
    </row>
    <row r="70" spans="1:24">
      <c r="A70" s="8" t="s">
        <v>1367</v>
      </c>
    </row>
    <row r="71" spans="1:24">
      <c r="A71" t="s">
        <v>201</v>
      </c>
      <c r="B71" s="2">
        <f>'A.Raw Historical data - BS'!H128</f>
        <v>40959</v>
      </c>
      <c r="C71" s="2">
        <f>'A.Raw Historical data - BS'!I128</f>
        <v>38271</v>
      </c>
      <c r="D71" s="2">
        <f>'A.Raw Historical data - BS'!J128</f>
        <v>33783</v>
      </c>
      <c r="E71" s="2">
        <f>'A.Raw Historical data - BS'!K128</f>
        <v>45396</v>
      </c>
      <c r="F71" s="2">
        <f>'A.Raw Historical data - BS'!L128</f>
        <v>49076</v>
      </c>
      <c r="G71" s="2">
        <f>'A.Raw Historical data - BS'!M128</f>
        <v>44309</v>
      </c>
      <c r="H71" s="2">
        <f>'A.Raw Historical data - BS'!N128</f>
        <v>37667</v>
      </c>
      <c r="I71" s="2">
        <f>'A.Raw Historical data - BS'!O128</f>
        <v>38840</v>
      </c>
      <c r="J71" s="2">
        <f>'A.Raw Historical data - BS'!P128</f>
        <v>39579</v>
      </c>
      <c r="K71" s="2">
        <f>'A.Raw Historical data - BS'!Q128</f>
        <v>35999</v>
      </c>
      <c r="L71" s="116"/>
      <c r="M71" s="118"/>
      <c r="N71" s="118"/>
      <c r="O71" s="118"/>
      <c r="P71" s="118"/>
      <c r="Q71" s="118"/>
      <c r="R71" s="118"/>
      <c r="S71" s="118"/>
      <c r="T71" s="118"/>
      <c r="U71" s="118"/>
      <c r="V71" s="118"/>
    </row>
    <row r="72" spans="1:24">
      <c r="A72" t="s">
        <v>203</v>
      </c>
      <c r="B72" s="2"/>
      <c r="C72" s="2"/>
      <c r="D72" s="2"/>
      <c r="E72" s="2"/>
      <c r="F72" s="2"/>
      <c r="G72" s="2"/>
      <c r="H72" s="2"/>
      <c r="I72" s="2"/>
      <c r="J72" s="2"/>
      <c r="K72" s="2"/>
      <c r="L72" s="117"/>
      <c r="M72" s="76"/>
      <c r="N72" s="76"/>
      <c r="O72" s="76"/>
      <c r="P72" s="76"/>
      <c r="Q72" s="76"/>
      <c r="R72" s="76"/>
      <c r="S72" s="76"/>
      <c r="T72" s="76"/>
      <c r="U72" s="76"/>
      <c r="V72" s="76"/>
    </row>
    <row r="73" spans="1:24">
      <c r="A73" s="8"/>
      <c r="L73" s="115"/>
      <c r="M73" s="43"/>
      <c r="N73" s="43"/>
      <c r="O73" s="43"/>
      <c r="P73" s="43"/>
      <c r="Q73" s="43"/>
      <c r="R73" s="43"/>
      <c r="S73" s="43"/>
      <c r="T73" s="43"/>
      <c r="U73" s="43"/>
      <c r="V73" s="43"/>
    </row>
    <row r="74" spans="1:24">
      <c r="A74" t="s">
        <v>205</v>
      </c>
      <c r="B74" s="2"/>
      <c r="C74" s="2"/>
      <c r="D74" s="5"/>
      <c r="E74" s="2"/>
      <c r="F74" s="2"/>
      <c r="G74" s="2"/>
      <c r="H74" s="2"/>
      <c r="I74" s="2"/>
      <c r="J74" s="2"/>
      <c r="K74" s="2"/>
      <c r="L74" s="117"/>
      <c r="M74" s="76"/>
      <c r="N74" s="76"/>
      <c r="O74" s="76"/>
      <c r="P74" s="76"/>
      <c r="Q74" s="76"/>
      <c r="R74" s="76"/>
      <c r="S74" s="76"/>
      <c r="T74" s="76"/>
      <c r="U74" s="76"/>
      <c r="V74" s="76"/>
    </row>
    <row r="75" spans="1:24">
      <c r="A75" t="s">
        <v>1368</v>
      </c>
      <c r="B75" s="2"/>
      <c r="C75" s="2"/>
      <c r="D75" s="2"/>
      <c r="E75" s="2"/>
      <c r="F75" s="2"/>
      <c r="G75" s="2"/>
      <c r="H75" s="2"/>
      <c r="I75" s="2"/>
      <c r="J75" s="2"/>
      <c r="K75" s="2"/>
      <c r="L75" s="117"/>
      <c r="M75" s="76"/>
      <c r="N75" s="76"/>
      <c r="O75" s="76"/>
      <c r="P75" s="76"/>
      <c r="Q75" s="76"/>
      <c r="R75" s="76"/>
      <c r="S75" s="76"/>
      <c r="T75" s="76"/>
      <c r="U75" s="76"/>
      <c r="V75" s="76"/>
      <c r="W75" s="2"/>
      <c r="X75" s="2"/>
    </row>
    <row r="76" spans="1:24">
      <c r="A76" s="8"/>
      <c r="L76" s="109"/>
      <c r="M76" s="107"/>
      <c r="N76" s="107"/>
      <c r="O76" s="107"/>
      <c r="P76" s="107"/>
      <c r="Q76" s="107"/>
      <c r="R76" s="107"/>
      <c r="S76" s="107"/>
      <c r="T76" s="107"/>
      <c r="U76" s="107"/>
      <c r="V76" s="107"/>
    </row>
    <row r="77" spans="1:24">
      <c r="A77" s="17" t="s">
        <v>199</v>
      </c>
      <c r="B77" s="6"/>
      <c r="C77" s="6"/>
      <c r="D77" s="6"/>
      <c r="E77" s="6"/>
      <c r="F77" s="6"/>
      <c r="G77" s="6"/>
      <c r="H77" s="6"/>
      <c r="I77" s="6"/>
      <c r="J77" s="6"/>
      <c r="K77" s="6"/>
      <c r="L77" s="121"/>
      <c r="M77" s="126"/>
      <c r="N77" s="126"/>
      <c r="O77" s="126"/>
      <c r="P77" s="126"/>
      <c r="Q77" s="126"/>
      <c r="R77" s="126"/>
      <c r="S77" s="126"/>
      <c r="T77" s="126"/>
      <c r="U77" s="126"/>
      <c r="V77" s="126"/>
    </row>
    <row r="79" spans="1:24">
      <c r="A79" s="54" t="s">
        <v>1369</v>
      </c>
      <c r="B79" s="60">
        <f>'A.Raw Historical data - IS'!C132</f>
        <v>0</v>
      </c>
      <c r="C79" s="60">
        <f>'A.Raw Historical data - IS'!D132</f>
        <v>0</v>
      </c>
      <c r="D79" s="60">
        <f>'A.Raw Historical data - IS'!E132</f>
        <v>0</v>
      </c>
      <c r="E79" s="60">
        <f>'A.Raw Historical data - IS'!F132</f>
        <v>0</v>
      </c>
      <c r="F79" s="60">
        <f>'A.Raw Historical data - IS'!G132</f>
        <v>0</v>
      </c>
      <c r="G79" s="60">
        <f>'A.Raw Historical data - IS'!H132</f>
        <v>0</v>
      </c>
      <c r="H79" s="60">
        <f>'A.Raw Historical data - IS'!I132</f>
        <v>0</v>
      </c>
      <c r="I79" s="60">
        <f>'A.Raw Historical data - IS'!J132</f>
        <v>0</v>
      </c>
      <c r="J79" s="60">
        <f>'A.Raw Historical data - IS'!K132</f>
        <v>0</v>
      </c>
      <c r="K79" s="60">
        <f>'A.Raw Historical data - IS'!L132</f>
        <v>0</v>
      </c>
    </row>
    <row r="80" spans="1:24">
      <c r="A80" t="s">
        <v>1370</v>
      </c>
      <c r="B80" s="5"/>
      <c r="C80" s="5"/>
      <c r="D80" s="5"/>
      <c r="E80" s="5"/>
      <c r="F80" s="5"/>
      <c r="G80" s="5"/>
      <c r="H80" s="5"/>
      <c r="I80" s="5"/>
      <c r="J80" s="5"/>
      <c r="K80" s="5"/>
    </row>
    <row r="81" spans="1:11">
      <c r="A81" t="s">
        <v>1371</v>
      </c>
      <c r="B81" s="2"/>
      <c r="C81" s="2"/>
      <c r="D81" s="2"/>
      <c r="E81" s="2"/>
      <c r="F81" s="2"/>
      <c r="G81" s="2"/>
      <c r="H81" s="2"/>
      <c r="I81" s="2"/>
      <c r="J81" s="2"/>
      <c r="K81" s="2"/>
    </row>
    <row r="82" spans="1:11">
      <c r="B82" s="2"/>
    </row>
    <row r="83" spans="1:11">
      <c r="B83" s="2"/>
    </row>
  </sheetData>
  <mergeCells count="2">
    <mergeCell ref="A1:K1"/>
    <mergeCell ref="L1:V1"/>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27BA-37EA-404C-9F3C-AFB361BD640A}">
  <dimension ref="A2:X175"/>
  <sheetViews>
    <sheetView topLeftCell="A10" zoomScale="125" workbookViewId="0">
      <selection activeCell="H27" sqref="H27"/>
    </sheetView>
  </sheetViews>
  <sheetFormatPr defaultColWidth="8.85546875" defaultRowHeight="15"/>
  <cols>
    <col min="1" max="1" width="36.42578125" bestFit="1" customWidth="1"/>
    <col min="2" max="2" width="11.7109375" customWidth="1"/>
    <col min="3" max="3" width="10.140625" customWidth="1"/>
    <col min="4" max="4" width="10.42578125" bestFit="1" customWidth="1"/>
    <col min="5" max="17" width="10.140625" customWidth="1"/>
    <col min="18" max="23" width="11.140625" bestFit="1" customWidth="1"/>
    <col min="24" max="24" width="12.140625" bestFit="1" customWidth="1"/>
  </cols>
  <sheetData>
    <row r="2" spans="1:23">
      <c r="A2" s="54" t="s">
        <v>1329</v>
      </c>
      <c r="B2" s="54" t="s">
        <v>247</v>
      </c>
      <c r="C2" s="54" t="s">
        <v>248</v>
      </c>
      <c r="D2" s="54" t="s">
        <v>249</v>
      </c>
      <c r="E2" s="54" t="s">
        <v>250</v>
      </c>
      <c r="F2" s="54" t="s">
        <v>251</v>
      </c>
      <c r="G2" s="54" t="s">
        <v>252</v>
      </c>
      <c r="H2" s="54" t="s">
        <v>253</v>
      </c>
      <c r="I2" s="54" t="s">
        <v>254</v>
      </c>
      <c r="J2" s="54" t="s">
        <v>255</v>
      </c>
      <c r="K2" s="54" t="s">
        <v>256</v>
      </c>
      <c r="L2" s="54" t="s">
        <v>257</v>
      </c>
      <c r="M2" s="59">
        <v>2026</v>
      </c>
      <c r="N2" s="59">
        <v>2027</v>
      </c>
      <c r="O2" s="59">
        <v>2028</v>
      </c>
      <c r="P2" s="59">
        <v>2029</v>
      </c>
      <c r="Q2" s="59">
        <v>2030</v>
      </c>
      <c r="R2" s="57">
        <v>2031</v>
      </c>
      <c r="S2" s="57">
        <v>2032</v>
      </c>
      <c r="T2" s="57">
        <v>2033</v>
      </c>
      <c r="U2" s="57">
        <v>2034</v>
      </c>
      <c r="V2" s="57">
        <v>2035</v>
      </c>
      <c r="W2" t="s">
        <v>1330</v>
      </c>
    </row>
    <row r="3" spans="1:23">
      <c r="A3" t="s">
        <v>170</v>
      </c>
      <c r="B3" s="205">
        <f>'A. Raw Historical Data - IS'!I5</f>
        <v>485651</v>
      </c>
      <c r="C3" s="205">
        <f>'A. Raw Historical Data - IS'!J5</f>
        <v>482130</v>
      </c>
      <c r="D3" s="205">
        <f>'A. Raw Historical Data - IS'!K5</f>
        <v>485873</v>
      </c>
      <c r="E3" s="205">
        <f>'A. Raw Historical Data - IS'!L5</f>
        <v>500343</v>
      </c>
      <c r="F3" s="205">
        <f>'A. Raw Historical Data - IS'!M5</f>
        <v>514405</v>
      </c>
      <c r="G3" s="205">
        <f>'A. Raw Historical Data - IS'!N5</f>
        <v>523964</v>
      </c>
      <c r="H3" s="205">
        <f>'A. Raw Historical Data - IS'!O5</f>
        <v>559151</v>
      </c>
      <c r="I3" s="205">
        <f>'A. Raw Historical Data - IS'!P5</f>
        <v>572754</v>
      </c>
      <c r="J3" s="205">
        <f>'A. Raw Historical Data - IS'!Q5</f>
        <v>611289</v>
      </c>
      <c r="K3" s="205">
        <f>'A. Raw Historical Data - IS'!R5</f>
        <v>648125</v>
      </c>
      <c r="L3" s="205">
        <f>'A. Raw Historical Data - IS'!S5</f>
        <v>680985</v>
      </c>
      <c r="M3" s="228">
        <f>L3*1.045</f>
        <v>711629.32499999995</v>
      </c>
      <c r="N3" s="234">
        <f>M3*(('C1.Hist. &amp; Forecast Ratio'!M2)+1)</f>
        <v>743652.64462499996</v>
      </c>
      <c r="O3" s="234">
        <f>N3*(('C1.Hist. &amp; Forecast Ratio'!N2)+1)</f>
        <v>777117.01363312488</v>
      </c>
      <c r="P3" s="234">
        <f>O3*(('C1.Hist. &amp; Forecast Ratio'!O2)+1)</f>
        <v>812087.27924661548</v>
      </c>
      <c r="Q3" s="234">
        <f>P3*(('C1.Hist. &amp; Forecast Ratio'!P2)+1)</f>
        <v>848631.20681271306</v>
      </c>
      <c r="R3" s="234">
        <f>Q3*(('C1.Hist. &amp; Forecast Ratio'!Q2)+1)</f>
        <v>886819.61111928511</v>
      </c>
      <c r="S3" s="234">
        <f>R3*(('C1.Hist. &amp; Forecast Ratio'!R2)+1)</f>
        <v>920075.34653625824</v>
      </c>
      <c r="T3" s="234">
        <f>S3*(('C1.Hist. &amp; Forecast Ratio'!S2)+1)</f>
        <v>949402.74820710137</v>
      </c>
      <c r="U3" s="234">
        <f>T3*(('C1.Hist. &amp; Forecast Ratio'!T2)+1)</f>
        <v>974324.57034753764</v>
      </c>
      <c r="V3" s="234">
        <f>U3*(('C1.Hist. &amp; Forecast Ratio'!U2)+1)</f>
        <v>994420.01461095549</v>
      </c>
      <c r="W3" s="234">
        <f>V3*(('C1.Hist. &amp; Forecast Ratio'!V2)+1)</f>
        <v>1012133.1211212132</v>
      </c>
    </row>
    <row r="4" spans="1:23">
      <c r="A4" t="s">
        <v>1372</v>
      </c>
      <c r="B4" s="205">
        <f>'A. Raw Historical Data - IS'!I6</f>
        <v>482229</v>
      </c>
      <c r="C4" s="205">
        <f>'A. Raw Historical Data - IS'!J6</f>
        <v>478614</v>
      </c>
      <c r="D4" s="205">
        <f>'A. Raw Historical Data - IS'!K6</f>
        <v>481317</v>
      </c>
      <c r="E4" s="205">
        <f>'A. Raw Historical Data - IS'!L6</f>
        <v>495761</v>
      </c>
      <c r="F4" s="205">
        <f>'A. Raw Historical Data - IS'!M6</f>
        <v>510329</v>
      </c>
      <c r="G4" s="205">
        <f>'A. Raw Historical Data - IS'!N6</f>
        <v>519926</v>
      </c>
      <c r="H4" s="205">
        <f>'A. Raw Historical Data - IS'!O6</f>
        <v>555233</v>
      </c>
      <c r="I4" s="205">
        <f>'A. Raw Historical Data - IS'!P6</f>
        <v>567762</v>
      </c>
      <c r="J4" s="205">
        <f>'A. Raw Historical Data - IS'!Q6</f>
        <v>605881</v>
      </c>
      <c r="K4" s="205">
        <f>'A. Raw Historical Data - IS'!R6</f>
        <v>642637</v>
      </c>
      <c r="L4" s="205">
        <f>'A. Raw Historical Data - IS'!S6</f>
        <v>674538</v>
      </c>
      <c r="M4" s="228"/>
      <c r="N4" s="228"/>
      <c r="O4" s="228"/>
      <c r="P4" s="228"/>
      <c r="Q4" s="228"/>
      <c r="R4" s="228"/>
      <c r="S4" s="228"/>
      <c r="T4" s="228"/>
      <c r="U4" s="228"/>
      <c r="V4" s="228"/>
      <c r="W4" s="228"/>
    </row>
    <row r="5" spans="1:23">
      <c r="A5" t="s">
        <v>1373</v>
      </c>
      <c r="B5" s="205">
        <f>'A. Raw Historical Data - IS'!I7</f>
        <v>3422</v>
      </c>
      <c r="C5" s="205">
        <f>'A. Raw Historical Data - IS'!J7</f>
        <v>3516</v>
      </c>
      <c r="D5" s="205">
        <f>'A. Raw Historical Data - IS'!K7</f>
        <v>4556</v>
      </c>
      <c r="E5" s="205">
        <f>'A. Raw Historical Data - IS'!L7</f>
        <v>4582</v>
      </c>
      <c r="F5" s="205">
        <f>'A. Raw Historical Data - IS'!M7</f>
        <v>4076</v>
      </c>
      <c r="G5" s="205">
        <f>'A. Raw Historical Data - IS'!N7</f>
        <v>4038</v>
      </c>
      <c r="H5" s="205">
        <f>'A. Raw Historical Data - IS'!O7</f>
        <v>3918</v>
      </c>
      <c r="I5" s="205">
        <f>'A. Raw Historical Data - IS'!P7</f>
        <v>4992</v>
      </c>
      <c r="J5" s="205">
        <f>'A. Raw Historical Data - IS'!Q7</f>
        <v>5408</v>
      </c>
      <c r="K5" s="205">
        <f>'A. Raw Historical Data - IS'!R7</f>
        <v>5488</v>
      </c>
      <c r="L5" s="205">
        <f>'A. Raw Historical Data - IS'!S7</f>
        <v>6447</v>
      </c>
      <c r="M5" s="228"/>
      <c r="N5" s="228"/>
      <c r="O5" s="228"/>
      <c r="P5" s="228"/>
      <c r="Q5" s="228"/>
      <c r="R5" s="228"/>
      <c r="S5" s="228"/>
      <c r="T5" s="228"/>
      <c r="U5" s="228"/>
      <c r="V5" s="228"/>
      <c r="W5" s="228"/>
    </row>
    <row r="6" spans="1:23" ht="15.95">
      <c r="A6" s="324" t="s">
        <v>283</v>
      </c>
      <c r="B6" s="206">
        <f>'A. Raw Historical Data - IS'!I9</f>
        <v>365086</v>
      </c>
      <c r="C6" s="206">
        <f>'A. Raw Historical Data - IS'!J9</f>
        <v>360984</v>
      </c>
      <c r="D6" s="206">
        <f>'A. Raw Historical Data - IS'!K9</f>
        <v>361256</v>
      </c>
      <c r="E6" s="206">
        <f>'A. Raw Historical Data - IS'!L9</f>
        <v>373396</v>
      </c>
      <c r="F6" s="206">
        <f>'A. Raw Historical Data - IS'!M9</f>
        <v>385301</v>
      </c>
      <c r="G6" s="206">
        <f>'A. Raw Historical Data - IS'!N9</f>
        <v>394605</v>
      </c>
      <c r="H6" s="206">
        <f>'A. Raw Historical Data - IS'!O9</f>
        <v>420315</v>
      </c>
      <c r="I6" s="206">
        <f>'A. Raw Historical Data - IS'!P9</f>
        <v>429000</v>
      </c>
      <c r="J6" s="206">
        <f>'A. Raw Historical Data - IS'!Q9</f>
        <v>463721</v>
      </c>
      <c r="K6" s="206">
        <f>'A. Raw Historical Data - IS'!R9</f>
        <v>490142</v>
      </c>
      <c r="L6" s="206">
        <f>'A. Raw Historical Data - IS'!S9</f>
        <v>511753</v>
      </c>
      <c r="M6" s="229">
        <f>M3*('C1.Hist. &amp; Forecast Ratio'!M3)</f>
        <v>536148.02950023161</v>
      </c>
      <c r="N6" s="229">
        <f>N3*('C1.Hist. &amp; Forecast Ratio'!N3)</f>
        <v>560274.69082774199</v>
      </c>
      <c r="O6" s="229">
        <f>O3*('C1.Hist. &amp; Forecast Ratio'!O3)</f>
        <v>585487.05191499041</v>
      </c>
      <c r="P6" s="229">
        <f>P3*('C1.Hist. &amp; Forecast Ratio'!P3)</f>
        <v>611833.96925116493</v>
      </c>
      <c r="Q6" s="229">
        <f>Q3*('C1.Hist. &amp; Forecast Ratio'!Q3)</f>
        <v>639366.49786746723</v>
      </c>
      <c r="R6" s="229">
        <f>R3*('C1.Hist. &amp; Forecast Ratio'!R3)</f>
        <v>668137.99027150322</v>
      </c>
      <c r="S6" s="229">
        <f>S3*('C1.Hist. &amp; Forecast Ratio'!S3)</f>
        <v>693193.16490668454</v>
      </c>
      <c r="T6" s="229">
        <f>T3*('C1.Hist. &amp; Forecast Ratio'!T3)</f>
        <v>715288.69703808508</v>
      </c>
      <c r="U6" s="229">
        <f>U3*('C1.Hist. &amp; Forecast Ratio'!U3)</f>
        <v>734065.02533533471</v>
      </c>
      <c r="V6" s="229">
        <f>V3*('C1.Hist. &amp; Forecast Ratio'!V3)</f>
        <v>749205.11648287589</v>
      </c>
      <c r="W6" s="229">
        <f>W3*('C1.Hist. &amp; Forecast Ratio'!W3)</f>
        <v>762550.33262022713</v>
      </c>
    </row>
    <row r="7" spans="1:23">
      <c r="A7" s="17" t="s">
        <v>173</v>
      </c>
      <c r="B7" s="207">
        <f t="shared" ref="B7:L7" si="0">B3-B6</f>
        <v>120565</v>
      </c>
      <c r="C7" s="207">
        <f t="shared" si="0"/>
        <v>121146</v>
      </c>
      <c r="D7" s="207">
        <f t="shared" si="0"/>
        <v>124617</v>
      </c>
      <c r="E7" s="207">
        <f t="shared" si="0"/>
        <v>126947</v>
      </c>
      <c r="F7" s="207">
        <f t="shared" si="0"/>
        <v>129104</v>
      </c>
      <c r="G7" s="207">
        <f t="shared" si="0"/>
        <v>129359</v>
      </c>
      <c r="H7" s="207">
        <f t="shared" si="0"/>
        <v>138836</v>
      </c>
      <c r="I7" s="207">
        <f t="shared" si="0"/>
        <v>143754</v>
      </c>
      <c r="J7" s="207">
        <f t="shared" si="0"/>
        <v>147568</v>
      </c>
      <c r="K7" s="207">
        <f t="shared" si="0"/>
        <v>157983</v>
      </c>
      <c r="L7" s="207">
        <f t="shared" si="0"/>
        <v>169232</v>
      </c>
      <c r="M7" s="235">
        <f t="shared" ref="M7:W7" si="1">M3-M6</f>
        <v>175481.29549976834</v>
      </c>
      <c r="N7" s="235">
        <f t="shared" si="1"/>
        <v>183377.95379725797</v>
      </c>
      <c r="O7" s="235">
        <f t="shared" si="1"/>
        <v>191629.96171813447</v>
      </c>
      <c r="P7" s="235">
        <f t="shared" si="1"/>
        <v>200253.30999545055</v>
      </c>
      <c r="Q7" s="235">
        <f t="shared" si="1"/>
        <v>209264.70894524583</v>
      </c>
      <c r="R7" s="235">
        <f t="shared" si="1"/>
        <v>218681.62084778189</v>
      </c>
      <c r="S7" s="235">
        <f t="shared" si="1"/>
        <v>226882.18162957369</v>
      </c>
      <c r="T7" s="235">
        <f t="shared" si="1"/>
        <v>234114.05116901628</v>
      </c>
      <c r="U7" s="235">
        <f t="shared" si="1"/>
        <v>240259.54501220293</v>
      </c>
      <c r="V7" s="235">
        <f t="shared" si="1"/>
        <v>245214.8981280796</v>
      </c>
      <c r="W7" s="235">
        <f t="shared" si="1"/>
        <v>249582.78850098606</v>
      </c>
    </row>
    <row r="8" spans="1:23">
      <c r="M8" s="228"/>
      <c r="N8" s="228"/>
      <c r="O8" s="228"/>
      <c r="P8" s="228"/>
      <c r="Q8" s="228"/>
      <c r="R8" s="228"/>
      <c r="S8" s="228"/>
      <c r="T8" s="228"/>
      <c r="U8" s="228"/>
      <c r="V8" s="228"/>
      <c r="W8" s="228"/>
    </row>
    <row r="9" spans="1:23">
      <c r="A9" t="s">
        <v>1337</v>
      </c>
      <c r="B9" s="205">
        <f>'A. Raw Historical Data - IS'!I12</f>
        <v>93168.54</v>
      </c>
      <c r="C9" s="205">
        <f>'A. Raw Historical Data - IS'!J12</f>
        <v>96249.12</v>
      </c>
      <c r="D9" s="205">
        <f>'A. Raw Historical Data - IS'!K12</f>
        <v>102140.26</v>
      </c>
      <c r="E9" s="205">
        <f>'A. Raw Historical Data - IS'!L12</f>
        <v>104054.71</v>
      </c>
      <c r="F9" s="205">
        <f>'A. Raw Historical Data - IS'!M12</f>
        <v>107147</v>
      </c>
      <c r="G9" s="205">
        <f>'A. Raw Historical Data - IS'!N12</f>
        <v>108028.62</v>
      </c>
      <c r="H9" s="205">
        <f>'A. Raw Historical Data - IS'!O12</f>
        <v>107332</v>
      </c>
      <c r="I9" s="205">
        <f>'A. Raw Historical Data - IS'!P12</f>
        <v>117271</v>
      </c>
      <c r="J9" s="205">
        <f>'A. Raw Historical Data - IS'!Q12</f>
        <v>122966</v>
      </c>
      <c r="K9" s="205">
        <f>'A. Raw Historical Data - IS'!R12</f>
        <v>130878</v>
      </c>
      <c r="L9" s="205">
        <f>'A. Raw Historical Data - IS'!S12</f>
        <v>139728</v>
      </c>
      <c r="M9" s="228">
        <f>M3*('C1.Hist. &amp; Forecast Ratio'!M6)</f>
        <v>143034.8724485313</v>
      </c>
      <c r="N9" s="228">
        <f>N3*('C1.Hist. &amp; Forecast Ratio'!N6)</f>
        <v>149471.44170871523</v>
      </c>
      <c r="O9" s="228">
        <f>O3*('C1.Hist. &amp; Forecast Ratio'!O6)</f>
        <v>156197.65658560739</v>
      </c>
      <c r="P9" s="228">
        <f>P3*('C1.Hist. &amp; Forecast Ratio'!P6)</f>
        <v>163226.55113195971</v>
      </c>
      <c r="Q9" s="228">
        <f>Q3*('C1.Hist. &amp; Forecast Ratio'!Q6)</f>
        <v>170571.74593289787</v>
      </c>
      <c r="R9" s="228">
        <f>R3*('C1.Hist. &amp; Forecast Ratio'!R6)</f>
        <v>178247.47449987827</v>
      </c>
      <c r="S9" s="228">
        <f>S3*('C1.Hist. &amp; Forecast Ratio'!S6)</f>
        <v>184931.7547936237</v>
      </c>
      <c r="T9" s="228">
        <f>T3*('C1.Hist. &amp; Forecast Ratio'!T6)</f>
        <v>190826.45447767043</v>
      </c>
      <c r="U9" s="228">
        <f>U3*('C1.Hist. &amp; Forecast Ratio'!U6)</f>
        <v>195835.64890770926</v>
      </c>
      <c r="V9" s="228">
        <f>V3*('C1.Hist. &amp; Forecast Ratio'!V6)</f>
        <v>199874.75916643074</v>
      </c>
      <c r="W9" s="228">
        <f>W3*('C1.Hist. &amp; Forecast Ratio'!W6)</f>
        <v>203435.0283140828</v>
      </c>
    </row>
    <row r="10" spans="1:23">
      <c r="A10" t="s">
        <v>1374</v>
      </c>
      <c r="B10" s="205">
        <f>'A. Raw Historical Data - IS'!I79</f>
        <v>8800</v>
      </c>
      <c r="C10" s="205">
        <f>'A. Raw Historical Data - IS'!J79</f>
        <v>9100</v>
      </c>
      <c r="D10" s="205">
        <f>'A. Raw Historical Data - IS'!K79</f>
        <v>9454</v>
      </c>
      <c r="E10" s="205">
        <f>'A. Raw Historical Data - IS'!L79</f>
        <v>10080</v>
      </c>
      <c r="F10" s="205">
        <f>'A. Raw Historical Data - IS'!M79</f>
        <v>10500</v>
      </c>
      <c r="G10" s="205">
        <f>'A. Raw Historical Data - IS'!N79</f>
        <v>10678</v>
      </c>
      <c r="H10" s="205">
        <f>'A. Raw Historical Data - IS'!O79</f>
        <v>10987</v>
      </c>
      <c r="I10" s="205">
        <f>'A. Raw Historical Data - IS'!P79</f>
        <v>11152</v>
      </c>
      <c r="J10" s="205">
        <f>'A. Raw Historical Data - IS'!Q79</f>
        <v>10658</v>
      </c>
      <c r="K10" s="205">
        <f>'A. Raw Historical Data - IS'!R79</f>
        <v>10945</v>
      </c>
      <c r="L10" s="205">
        <f>'A. Raw Historical Data - IS'!S79</f>
        <v>11853</v>
      </c>
    </row>
    <row r="11" spans="1:23">
      <c r="A11" t="s">
        <v>1375</v>
      </c>
      <c r="B11" s="205">
        <f>'A. Raw Historical - CF'!K8 -B10</f>
        <v>373</v>
      </c>
      <c r="C11" s="205">
        <f>'A. Raw Historical - CF'!L8 -C10</f>
        <v>354</v>
      </c>
      <c r="D11" s="205">
        <f>'A. Raw Historical - CF'!M8 -D10</f>
        <v>626</v>
      </c>
      <c r="E11" s="205">
        <f>'A. Raw Historical - CF'!N8 -E10</f>
        <v>449</v>
      </c>
      <c r="F11" s="205">
        <f>'A. Raw Historical - CF'!O8 -F10</f>
        <v>178</v>
      </c>
      <c r="G11" s="205">
        <f>'A. Raw Historical - CF'!P8 -G10</f>
        <v>309</v>
      </c>
      <c r="H11" s="205">
        <f>'A. Raw Historical - CF'!Q8 -H10</f>
        <v>165</v>
      </c>
      <c r="I11" s="205">
        <f>'A. Raw Historical - CF'!R8 -I10</f>
        <v>-494</v>
      </c>
      <c r="J11" s="205">
        <f>'A. Raw Historical - CF'!S8 -J10</f>
        <v>287</v>
      </c>
      <c r="K11" s="205">
        <f>'A. Raw Historical - CF'!T8 -K10</f>
        <v>908</v>
      </c>
      <c r="L11" s="205">
        <f>'A. Raw Historical - CF'!U8 -L10</f>
        <v>1120</v>
      </c>
      <c r="M11" s="206">
        <f t="shared" ref="M11:W11" si="2">AVERAGE($B$11:$L$11)</f>
        <v>388.63636363636363</v>
      </c>
      <c r="N11" s="206">
        <f t="shared" si="2"/>
        <v>388.63636363636363</v>
      </c>
      <c r="O11" s="206">
        <f t="shared" si="2"/>
        <v>388.63636363636363</v>
      </c>
      <c r="P11" s="206">
        <f t="shared" si="2"/>
        <v>388.63636363636363</v>
      </c>
      <c r="Q11" s="206">
        <f t="shared" si="2"/>
        <v>388.63636363636363</v>
      </c>
      <c r="R11" s="206">
        <f t="shared" si="2"/>
        <v>388.63636363636363</v>
      </c>
      <c r="S11" s="206">
        <f t="shared" si="2"/>
        <v>388.63636363636363</v>
      </c>
      <c r="T11" s="206">
        <f t="shared" si="2"/>
        <v>388.63636363636363</v>
      </c>
      <c r="U11" s="206">
        <f t="shared" si="2"/>
        <v>388.63636363636363</v>
      </c>
      <c r="V11" s="206">
        <f t="shared" si="2"/>
        <v>388.63636363636363</v>
      </c>
      <c r="W11" s="206">
        <f t="shared" si="2"/>
        <v>388.63636363636363</v>
      </c>
    </row>
    <row r="12" spans="1:23">
      <c r="A12" s="17" t="s">
        <v>1148</v>
      </c>
      <c r="B12" s="205">
        <f>B7-B9+B11</f>
        <v>27769.460000000006</v>
      </c>
      <c r="C12" s="205">
        <f t="shared" ref="C12:L12" si="3">C7-C9+C11</f>
        <v>25250.880000000005</v>
      </c>
      <c r="D12" s="205">
        <f t="shared" si="3"/>
        <v>23102.740000000005</v>
      </c>
      <c r="E12" s="205">
        <f t="shared" si="3"/>
        <v>23341.289999999994</v>
      </c>
      <c r="F12" s="205">
        <f t="shared" si="3"/>
        <v>22135</v>
      </c>
      <c r="G12" s="205">
        <f t="shared" si="3"/>
        <v>21639.380000000005</v>
      </c>
      <c r="H12" s="205">
        <f t="shared" si="3"/>
        <v>31669</v>
      </c>
      <c r="I12" s="205">
        <f t="shared" si="3"/>
        <v>25989</v>
      </c>
      <c r="J12" s="205">
        <f t="shared" si="3"/>
        <v>24889</v>
      </c>
      <c r="K12" s="205">
        <f t="shared" si="3"/>
        <v>28013</v>
      </c>
      <c r="L12" s="205">
        <f t="shared" si="3"/>
        <v>30624</v>
      </c>
      <c r="M12" s="228">
        <f t="shared" ref="M12:W12" si="4">M7-M9+M11</f>
        <v>32835.059414873402</v>
      </c>
      <c r="N12" s="228">
        <f t="shared" si="4"/>
        <v>34295.148452179106</v>
      </c>
      <c r="O12" s="228">
        <f t="shared" si="4"/>
        <v>35820.941496163439</v>
      </c>
      <c r="P12" s="228">
        <f t="shared" si="4"/>
        <v>37415.395227127192</v>
      </c>
      <c r="Q12" s="228">
        <f t="shared" si="4"/>
        <v>39081.599375984319</v>
      </c>
      <c r="R12" s="228">
        <f t="shared" si="4"/>
        <v>40822.782711539978</v>
      </c>
      <c r="S12" s="228">
        <f t="shared" si="4"/>
        <v>42339.063199586359</v>
      </c>
      <c r="T12" s="228">
        <f t="shared" si="4"/>
        <v>43676.233054982215</v>
      </c>
      <c r="U12" s="228">
        <f t="shared" si="4"/>
        <v>44812.532468130034</v>
      </c>
      <c r="V12" s="228">
        <f t="shared" si="4"/>
        <v>45728.77532528522</v>
      </c>
      <c r="W12" s="228">
        <f t="shared" si="4"/>
        <v>46536.396550539626</v>
      </c>
    </row>
    <row r="13" spans="1:23">
      <c r="A13" s="209"/>
    </row>
    <row r="14" spans="1:23">
      <c r="A14" t="s">
        <v>1376</v>
      </c>
      <c r="B14" s="210">
        <f>'A. Raw Historical Data - IS'!I17</f>
        <v>2348</v>
      </c>
      <c r="C14" s="210">
        <f>'A. Raw Historical Data - IS'!J17</f>
        <v>2467</v>
      </c>
      <c r="D14" s="210">
        <f>'A. Raw Historical Data - IS'!K17</f>
        <v>2267</v>
      </c>
      <c r="E14" s="210">
        <f>'A. Raw Historical Data - IS'!L17</f>
        <v>2178</v>
      </c>
      <c r="F14" s="210">
        <f>'A. Raw Historical Data - IS'!M17</f>
        <v>2155.54</v>
      </c>
      <c r="G14" s="210">
        <f>'A. Raw Historical Data - IS'!N17</f>
        <v>2303.4899999999998</v>
      </c>
      <c r="H14" s="210">
        <f>'A. Raw Historical Data - IS'!O17</f>
        <v>10573</v>
      </c>
      <c r="I14" s="210">
        <f>'A. Raw Historical Data - IS'!P17</f>
        <v>2396</v>
      </c>
      <c r="J14" s="210">
        <f>'A. Raw Historical Data - IS'!Q17</f>
        <v>1729</v>
      </c>
      <c r="K14" s="210">
        <f>'A. Raw Historical Data - IS'!R17</f>
        <v>1971</v>
      </c>
      <c r="L14" s="210">
        <f>'A. Raw Historical Data - IS'!S17</f>
        <v>2161</v>
      </c>
      <c r="M14" s="205">
        <f t="shared" ref="M14:W14" si="5">AVERAGE(I14:L14)</f>
        <v>2064.25</v>
      </c>
      <c r="N14" s="205">
        <f t="shared" si="5"/>
        <v>1981.3125</v>
      </c>
      <c r="O14" s="205">
        <f t="shared" si="5"/>
        <v>2044.390625</v>
      </c>
      <c r="P14" s="205">
        <f t="shared" si="5"/>
        <v>2062.73828125</v>
      </c>
      <c r="Q14" s="205">
        <f t="shared" si="5"/>
        <v>2038.1728515625</v>
      </c>
      <c r="R14" s="205">
        <f t="shared" si="5"/>
        <v>2031.653564453125</v>
      </c>
      <c r="S14" s="205">
        <f t="shared" si="5"/>
        <v>2044.2388305664063</v>
      </c>
      <c r="T14" s="205">
        <f t="shared" si="5"/>
        <v>2044.2008819580078</v>
      </c>
      <c r="U14" s="205">
        <f t="shared" si="5"/>
        <v>2039.5665321350098</v>
      </c>
      <c r="V14" s="205">
        <f t="shared" si="5"/>
        <v>2039.9149522781372</v>
      </c>
      <c r="W14" s="205">
        <f t="shared" si="5"/>
        <v>2041.9802992343903</v>
      </c>
    </row>
    <row r="16" spans="1:23">
      <c r="A16" s="227" t="s">
        <v>1377</v>
      </c>
      <c r="B16" s="325">
        <f t="shared" ref="B16:L16" si="6">B7-B9</f>
        <v>27396.460000000006</v>
      </c>
      <c r="C16" s="325">
        <f t="shared" si="6"/>
        <v>24896.880000000005</v>
      </c>
      <c r="D16" s="325">
        <f t="shared" si="6"/>
        <v>22476.740000000005</v>
      </c>
      <c r="E16" s="325">
        <f t="shared" si="6"/>
        <v>22892.289999999994</v>
      </c>
      <c r="F16" s="325">
        <f t="shared" si="6"/>
        <v>21957</v>
      </c>
      <c r="G16" s="325">
        <f t="shared" si="6"/>
        <v>21330.380000000005</v>
      </c>
      <c r="H16" s="325">
        <f t="shared" si="6"/>
        <v>31504</v>
      </c>
      <c r="I16" s="325">
        <f t="shared" si="6"/>
        <v>26483</v>
      </c>
      <c r="J16" s="325">
        <f t="shared" si="6"/>
        <v>24602</v>
      </c>
      <c r="K16" s="325">
        <f t="shared" si="6"/>
        <v>27105</v>
      </c>
      <c r="L16" s="325">
        <f t="shared" si="6"/>
        <v>29504</v>
      </c>
      <c r="M16" s="228">
        <f t="shared" ref="M16:W16" si="7">M7-M9</f>
        <v>32446.423051237041</v>
      </c>
      <c r="N16" s="228">
        <f t="shared" si="7"/>
        <v>33906.512088542746</v>
      </c>
      <c r="O16" s="228">
        <f t="shared" si="7"/>
        <v>35432.305132527079</v>
      </c>
      <c r="P16" s="228">
        <f t="shared" si="7"/>
        <v>37026.758863490832</v>
      </c>
      <c r="Q16" s="228">
        <f t="shared" si="7"/>
        <v>38692.963012347958</v>
      </c>
      <c r="R16" s="228">
        <f t="shared" si="7"/>
        <v>40434.146347903617</v>
      </c>
      <c r="S16" s="228">
        <f t="shared" si="7"/>
        <v>41950.426835949998</v>
      </c>
      <c r="T16" s="228">
        <f t="shared" si="7"/>
        <v>43287.596691345854</v>
      </c>
      <c r="U16" s="228">
        <f t="shared" si="7"/>
        <v>44423.896104493673</v>
      </c>
      <c r="V16" s="228">
        <f t="shared" si="7"/>
        <v>45340.13896164886</v>
      </c>
      <c r="W16" s="228">
        <f t="shared" si="7"/>
        <v>46147.760186903266</v>
      </c>
    </row>
    <row r="17" spans="1:24">
      <c r="A17" t="s">
        <v>292</v>
      </c>
      <c r="B17">
        <f>'A. Raw Historical Data - IS'!I20</f>
        <v>113</v>
      </c>
      <c r="C17">
        <f>'A. Raw Historical Data - IS'!J20</f>
        <v>81</v>
      </c>
      <c r="D17">
        <f>'A. Raw Historical Data - IS'!K20</f>
        <v>100</v>
      </c>
      <c r="E17">
        <f>'A. Raw Historical Data - IS'!L20</f>
        <v>152</v>
      </c>
      <c r="F17">
        <f>'A. Raw Historical Data - IS'!M20</f>
        <v>217</v>
      </c>
      <c r="G17">
        <f>'A. Raw Historical Data - IS'!N20</f>
        <v>189</v>
      </c>
      <c r="H17">
        <f>'A. Raw Historical Data - IS'!O20</f>
        <v>121</v>
      </c>
      <c r="I17">
        <f>'A. Raw Historical Data - IS'!P20</f>
        <v>158</v>
      </c>
      <c r="J17">
        <f>'A. Raw Historical Data - IS'!Q20</f>
        <v>254</v>
      </c>
      <c r="K17">
        <f>'A. Raw Historical Data - IS'!R20</f>
        <v>546</v>
      </c>
      <c r="L17">
        <f>'A. Raw Historical Data - IS'!S20</f>
        <v>483</v>
      </c>
      <c r="N17" t="s">
        <v>961</v>
      </c>
      <c r="O17" t="s">
        <v>961</v>
      </c>
      <c r="P17" t="s">
        <v>961</v>
      </c>
      <c r="Q17" t="s">
        <v>961</v>
      </c>
      <c r="R17" t="s">
        <v>961</v>
      </c>
      <c r="S17" t="s">
        <v>961</v>
      </c>
      <c r="T17" t="s">
        <v>961</v>
      </c>
      <c r="U17" t="s">
        <v>961</v>
      </c>
      <c r="V17" t="s">
        <v>961</v>
      </c>
      <c r="W17" t="s">
        <v>961</v>
      </c>
      <c r="X17" t="s">
        <v>961</v>
      </c>
    </row>
    <row r="18" spans="1:24">
      <c r="A18" t="s">
        <v>290</v>
      </c>
      <c r="B18" s="206">
        <f>'A. Raw Historical Data - IS'!I19</f>
        <v>2161</v>
      </c>
      <c r="C18" s="206">
        <f>'A. Raw Historical Data - IS'!J19</f>
        <v>2027</v>
      </c>
      <c r="D18" s="206">
        <f>'A. Raw Historical Data - IS'!K19</f>
        <v>2044</v>
      </c>
      <c r="E18" s="206">
        <f>'A. Raw Historical Data - IS'!L19</f>
        <v>1978</v>
      </c>
      <c r="F18" s="206">
        <f>'A. Raw Historical Data - IS'!M19</f>
        <v>1975</v>
      </c>
      <c r="G18" s="206">
        <f>'A. Raw Historical Data - IS'!N19</f>
        <v>2262</v>
      </c>
      <c r="H18" s="206">
        <f>'A. Raw Historical Data - IS'!O19</f>
        <v>1976</v>
      </c>
      <c r="I18" s="206">
        <f>'A. Raw Historical Data - IS'!P19</f>
        <v>1674</v>
      </c>
      <c r="J18" s="206">
        <f>'A. Raw Historical Data - IS'!Q19</f>
        <v>1787</v>
      </c>
      <c r="K18" s="206">
        <f>'A. Raw Historical Data - IS'!R19</f>
        <v>2259</v>
      </c>
      <c r="L18" s="206">
        <f>'A. Raw Historical Data - IS'!S19</f>
        <v>2249</v>
      </c>
      <c r="N18" t="s">
        <v>961</v>
      </c>
      <c r="O18" t="s">
        <v>961</v>
      </c>
      <c r="P18" t="s">
        <v>961</v>
      </c>
      <c r="Q18" t="s">
        <v>961</v>
      </c>
      <c r="R18" t="s">
        <v>961</v>
      </c>
      <c r="S18" t="s">
        <v>961</v>
      </c>
      <c r="T18" t="s">
        <v>961</v>
      </c>
      <c r="U18" t="s">
        <v>961</v>
      </c>
      <c r="V18" t="s">
        <v>961</v>
      </c>
      <c r="W18" t="s">
        <v>961</v>
      </c>
      <c r="X18" t="s">
        <v>961</v>
      </c>
    </row>
    <row r="19" spans="1:24">
      <c r="A19" t="s">
        <v>1378</v>
      </c>
      <c r="B19" s="205">
        <f t="shared" ref="B19:L19" si="8">B17-B18</f>
        <v>-2048</v>
      </c>
      <c r="C19" s="205">
        <f t="shared" si="8"/>
        <v>-1946</v>
      </c>
      <c r="D19" s="205">
        <f t="shared" si="8"/>
        <v>-1944</v>
      </c>
      <c r="E19" s="205">
        <f t="shared" si="8"/>
        <v>-1826</v>
      </c>
      <c r="F19" s="205">
        <f t="shared" si="8"/>
        <v>-1758</v>
      </c>
      <c r="G19" s="205">
        <f t="shared" si="8"/>
        <v>-2073</v>
      </c>
      <c r="H19" s="205">
        <f t="shared" si="8"/>
        <v>-1855</v>
      </c>
      <c r="I19" s="205">
        <f t="shared" si="8"/>
        <v>-1516</v>
      </c>
      <c r="J19" s="205">
        <f t="shared" si="8"/>
        <v>-1533</v>
      </c>
      <c r="K19" s="205">
        <f t="shared" si="8"/>
        <v>-1713</v>
      </c>
      <c r="L19" s="205">
        <f t="shared" si="8"/>
        <v>-1766</v>
      </c>
      <c r="M19" s="249">
        <f>-('C1.Hist. &amp; Forecast Ratio'!M11*'B. Integrated Fin - Balance S.'!M33)</f>
        <v>-1346.3734447291611</v>
      </c>
      <c r="N19" s="249">
        <f>-('C1.Hist. &amp; Forecast Ratio'!N11*'B. Integrated Fin - Balance S.'!N33)</f>
        <v>-1420.8109533328948</v>
      </c>
      <c r="O19" s="249">
        <f>-('C1.Hist. &amp; Forecast Ratio'!O11*'B. Integrated Fin - Balance S.'!O33)</f>
        <v>-1472.3641186269351</v>
      </c>
      <c r="P19" s="249">
        <f>-('C1.Hist. &amp; Forecast Ratio'!P11*'B. Integrated Fin - Balance S.'!P33)</f>
        <v>-1503.5221976925368</v>
      </c>
      <c r="Q19" s="249">
        <f>-('C1.Hist. &amp; Forecast Ratio'!Q11*'B. Integrated Fin - Balance S.'!Q33)</f>
        <v>-1550.106559041637</v>
      </c>
      <c r="R19" s="249">
        <f>-('C1.Hist. &amp; Forecast Ratio'!R11*'B. Integrated Fin - Balance S.'!R33)</f>
        <v>-1595.7148698480676</v>
      </c>
      <c r="S19" s="249">
        <f>-('C1.Hist. &amp; Forecast Ratio'!S11*'B. Integrated Fin - Balance S.'!S33)</f>
        <v>-1650.8053892857699</v>
      </c>
      <c r="T19" s="249">
        <f>-('C1.Hist. &amp; Forecast Ratio'!T11*'B. Integrated Fin - Balance S.'!T33)</f>
        <v>-1701.0914849361798</v>
      </c>
      <c r="U19" s="249">
        <f>-('C1.Hist. &amp; Forecast Ratio'!U11*'B. Integrated Fin - Balance S.'!U33)</f>
        <v>-1750.9246952197209</v>
      </c>
      <c r="V19" s="249">
        <f>-('C1.Hist. &amp; Forecast Ratio'!V11*'B. Integrated Fin - Balance S.'!V33)</f>
        <v>-1805.0904265689976</v>
      </c>
      <c r="W19" s="249">
        <f>-('C1.Hist. &amp; Forecast Ratio'!W11*'B. Integrated Fin - Balance S.'!W33)</f>
        <v>-1860.9144933719622</v>
      </c>
    </row>
    <row r="21" spans="1:24">
      <c r="A21" s="17" t="s">
        <v>1343</v>
      </c>
      <c r="B21" s="205">
        <f t="shared" ref="B21:W21" si="9">B16+B19</f>
        <v>25348.460000000006</v>
      </c>
      <c r="C21" s="205">
        <f t="shared" si="9"/>
        <v>22950.880000000005</v>
      </c>
      <c r="D21" s="205">
        <f t="shared" si="9"/>
        <v>20532.740000000005</v>
      </c>
      <c r="E21" s="205">
        <f t="shared" si="9"/>
        <v>21066.289999999994</v>
      </c>
      <c r="F21" s="205">
        <f t="shared" si="9"/>
        <v>20199</v>
      </c>
      <c r="G21" s="205">
        <f t="shared" si="9"/>
        <v>19257.380000000005</v>
      </c>
      <c r="H21" s="205">
        <f t="shared" si="9"/>
        <v>29649</v>
      </c>
      <c r="I21" s="205">
        <f t="shared" si="9"/>
        <v>24967</v>
      </c>
      <c r="J21" s="205">
        <f t="shared" si="9"/>
        <v>23069</v>
      </c>
      <c r="K21" s="205">
        <f t="shared" si="9"/>
        <v>25392</v>
      </c>
      <c r="L21" s="205">
        <f t="shared" si="9"/>
        <v>27738</v>
      </c>
      <c r="M21" s="205">
        <f t="shared" si="9"/>
        <v>31100.049606507881</v>
      </c>
      <c r="N21" s="205">
        <f t="shared" si="9"/>
        <v>32485.701135209853</v>
      </c>
      <c r="O21" s="205">
        <f t="shared" si="9"/>
        <v>33959.941013900141</v>
      </c>
      <c r="P21" s="205">
        <f t="shared" si="9"/>
        <v>35523.236665798293</v>
      </c>
      <c r="Q21" s="205">
        <f t="shared" si="9"/>
        <v>37142.856453306318</v>
      </c>
      <c r="R21" s="205">
        <f t="shared" si="9"/>
        <v>38838.431478055551</v>
      </c>
      <c r="S21" s="205">
        <f t="shared" si="9"/>
        <v>40299.621446664227</v>
      </c>
      <c r="T21" s="205">
        <f t="shared" si="9"/>
        <v>41586.505206409674</v>
      </c>
      <c r="U21" s="205">
        <f t="shared" si="9"/>
        <v>42672.971409273952</v>
      </c>
      <c r="V21" s="205">
        <f t="shared" si="9"/>
        <v>43535.048535079863</v>
      </c>
      <c r="W21" s="205">
        <f t="shared" si="9"/>
        <v>44286.845693531301</v>
      </c>
    </row>
    <row r="22" spans="1:24">
      <c r="A22" t="s">
        <v>1344</v>
      </c>
      <c r="B22" s="205">
        <f>'A. Raw Historical Data - IS'!I36-'A. Raw Historical Data - IS'!I46</f>
        <v>8436</v>
      </c>
      <c r="C22" s="205">
        <f>'A. Raw Historical Data - IS'!J36-'A. Raw Historical Data - IS'!J46</f>
        <v>6944</v>
      </c>
      <c r="D22" s="205">
        <f>'A. Raw Historical Data - IS'!K36-'A. Raw Historical Data - IS'!K46</f>
        <v>6854</v>
      </c>
      <c r="E22" s="205">
        <f>'A. Raw Historical Data - IS'!L36-'A. Raw Historical Data - IS'!L46</f>
        <v>5261</v>
      </c>
      <c r="F22" s="205">
        <f>'A. Raw Historical Data - IS'!M36-'A. Raw Historical Data - IS'!M46</f>
        <v>4790</v>
      </c>
      <c r="G22" s="205">
        <f>'A. Raw Historical Data - IS'!N36-'A. Raw Historical Data - IS'!N46</f>
        <v>5235</v>
      </c>
      <c r="H22" s="205">
        <f>'A. Raw Historical Data - IS'!O36-'A. Raw Historical Data - IS'!O46</f>
        <v>7054</v>
      </c>
      <c r="I22" s="205">
        <f>'A. Raw Historical Data - IS'!P36-'A. Raw Historical Data - IS'!P46</f>
        <v>5023</v>
      </c>
      <c r="J22" s="205">
        <f>'A. Raw Historical Data - IS'!Q36-'A. Raw Historical Data - IS'!Q46</f>
        <v>5336</v>
      </c>
      <c r="K22" s="205">
        <f>'A. Raw Historical Data - IS'!R36-'A. Raw Historical Data - IS'!R46</f>
        <v>6337</v>
      </c>
      <c r="L22" s="205">
        <f>'A. Raw Historical Data - IS'!S36-'A. Raw Historical Data - IS'!S46</f>
        <v>6873</v>
      </c>
      <c r="M22" s="228">
        <f>'C1.Hist. &amp; Forecast Ratio'!M10*'B. Integrated Fin - Income St.'!M16</f>
        <v>7120.145747373097</v>
      </c>
      <c r="N22" s="228">
        <f>'C1.Hist. &amp; Forecast Ratio'!N10*'B. Integrated Fin - Income St.'!N16</f>
        <v>7410.2743957445955</v>
      </c>
      <c r="O22" s="228">
        <f>'C1.Hist. &amp; Forecast Ratio'!O10*'B. Integrated Fin - Income St.'!O16</f>
        <v>7948.4032201519049</v>
      </c>
      <c r="P22" s="228">
        <f>'C1.Hist. &amp; Forecast Ratio'!P10*'B. Integrated Fin - Income St.'!P16</f>
        <v>8361.1291534303309</v>
      </c>
      <c r="Q22" s="228">
        <f>'C1.Hist. &amp; Forecast Ratio'!Q10*'B. Integrated Fin - Income St.'!Q16</f>
        <v>8675.6155480769867</v>
      </c>
      <c r="R22" s="228">
        <f>'C1.Hist. &amp; Forecast Ratio'!R10*'B. Integrated Fin - Income St.'!R16</f>
        <v>8995.3831781376357</v>
      </c>
      <c r="S22" s="228">
        <f>'C1.Hist. &amp; Forecast Ratio'!S10*'B. Integrated Fin - Income St.'!S16</f>
        <v>9358.1051743357875</v>
      </c>
      <c r="T22" s="228">
        <f>'C1.Hist. &amp; Forecast Ratio'!T10*'B. Integrated Fin - Income St.'!T16</f>
        <v>9695.5713030802763</v>
      </c>
      <c r="U22" s="228">
        <f>'C1.Hist. &amp; Forecast Ratio'!U10*'B. Integrated Fin - Income St.'!U16</f>
        <v>9947.0050794757262</v>
      </c>
      <c r="V22" s="228">
        <f>'C1.Hist. &amp; Forecast Ratio'!V10*'B. Integrated Fin - Income St.'!V16</f>
        <v>10134.914526481023</v>
      </c>
      <c r="W22" s="228">
        <f>'C1.Hist. &amp; Forecast Ratio'!W10*'B. Integrated Fin - Income St.'!W16</f>
        <v>10309.109843475149</v>
      </c>
    </row>
    <row r="23" spans="1:24">
      <c r="A23" t="s">
        <v>1379</v>
      </c>
      <c r="B23" s="32">
        <f>'A. Raw Historical Data - IS'!I37/'A. Raw Historical Data - IS'!I36</f>
        <v>0.32198878987055929</v>
      </c>
      <c r="C23" s="32">
        <f>'A. Raw Historical Data - IS'!J37/'A. Raw Historical Data - IS'!J36</f>
        <v>0.30307791847675386</v>
      </c>
      <c r="D23" s="32">
        <f>'A. Raw Historical Data - IS'!K37/'A. Raw Historical Data - IS'!K36</f>
        <v>0.30267844074742645</v>
      </c>
      <c r="E23" s="32">
        <f>'A. Raw Historical Data - IS'!L37/'A. Raw Historical Data - IS'!L36</f>
        <v>0.30417245255570985</v>
      </c>
      <c r="F23" s="32">
        <f>'A. Raw Historical Data - IS'!M37/'A. Raw Historical Data - IS'!M36</f>
        <v>0.37356020942408374</v>
      </c>
      <c r="G23" s="32">
        <f>'A. Raw Historical Data - IS'!N37/'A. Raw Historical Data - IS'!N36</f>
        <v>0.24433286935772519</v>
      </c>
      <c r="H23" s="32">
        <f>'A. Raw Historical Data - IS'!O37/'A. Raw Historical Data - IS'!O36</f>
        <v>0.33349542890488232</v>
      </c>
      <c r="I23" s="32">
        <f>'A. Raw Historical Data - IS'!P37/'A. Raw Historical Data - IS'!P36</f>
        <v>0.25438596491228072</v>
      </c>
      <c r="J23" s="32">
        <f>'A. Raw Historical Data - IS'!Q37/'A. Raw Historical Data - IS'!Q36</f>
        <v>0.33638928067700985</v>
      </c>
      <c r="K23" s="32">
        <f>'A. Raw Historical Data - IS'!R37/'A. Raw Historical Data - IS'!R36</f>
        <v>0.25530941047235445</v>
      </c>
      <c r="L23" s="32">
        <f>'A. Raw Historical Data - IS'!S37/'A. Raw Historical Data - IS'!S36</f>
        <v>0.23383632977308144</v>
      </c>
      <c r="M23" s="32">
        <f t="shared" ref="M23:W23" si="10">AVERAGE(H23:L23)</f>
        <v>0.28268328294792172</v>
      </c>
      <c r="N23" s="32">
        <f t="shared" si="10"/>
        <v>0.27252085375652962</v>
      </c>
      <c r="O23" s="32">
        <f t="shared" si="10"/>
        <v>0.27614783152537942</v>
      </c>
      <c r="P23" s="32">
        <f t="shared" si="10"/>
        <v>0.26409954169505329</v>
      </c>
      <c r="Q23" s="32">
        <f t="shared" si="10"/>
        <v>0.26585756793959309</v>
      </c>
      <c r="R23" s="32">
        <f t="shared" si="10"/>
        <v>0.27226181557289542</v>
      </c>
      <c r="S23" s="32">
        <f t="shared" si="10"/>
        <v>0.27017752209789014</v>
      </c>
      <c r="T23" s="32">
        <f t="shared" si="10"/>
        <v>0.26970885576616227</v>
      </c>
      <c r="U23" s="32">
        <f t="shared" si="10"/>
        <v>0.26842106061431881</v>
      </c>
      <c r="V23" s="32">
        <f t="shared" si="10"/>
        <v>0.26928536439817191</v>
      </c>
      <c r="W23" s="32">
        <f t="shared" si="10"/>
        <v>0.26997092368988773</v>
      </c>
    </row>
    <row r="24" spans="1:24" ht="32.1">
      <c r="A24" s="230" t="s">
        <v>1380</v>
      </c>
    </row>
    <row r="25" spans="1:24">
      <c r="A25" s="227" t="s">
        <v>181</v>
      </c>
      <c r="B25" s="205">
        <f>B21-B22</f>
        <v>16912.460000000006</v>
      </c>
      <c r="C25" s="205">
        <f t="shared" ref="C25:L25" si="11">C21-C22</f>
        <v>16006.880000000005</v>
      </c>
      <c r="D25" s="205">
        <f t="shared" si="11"/>
        <v>13678.740000000005</v>
      </c>
      <c r="E25" s="205">
        <f t="shared" si="11"/>
        <v>15805.289999999994</v>
      </c>
      <c r="F25" s="205">
        <f t="shared" si="11"/>
        <v>15409</v>
      </c>
      <c r="G25" s="205">
        <f t="shared" si="11"/>
        <v>14022.380000000005</v>
      </c>
      <c r="H25" s="205">
        <f t="shared" si="11"/>
        <v>22595</v>
      </c>
      <c r="I25" s="205">
        <f t="shared" si="11"/>
        <v>19944</v>
      </c>
      <c r="J25" s="205">
        <f t="shared" si="11"/>
        <v>17733</v>
      </c>
      <c r="K25" s="205">
        <f t="shared" si="11"/>
        <v>19055</v>
      </c>
      <c r="L25" s="205">
        <f t="shared" si="11"/>
        <v>20865</v>
      </c>
      <c r="M25" s="205">
        <f t="shared" ref="M25:W25" si="12">M21-M22</f>
        <v>23979.903859134785</v>
      </c>
      <c r="N25" s="205">
        <f t="shared" si="12"/>
        <v>25075.426739465256</v>
      </c>
      <c r="O25" s="205">
        <f t="shared" si="12"/>
        <v>26011.537793748237</v>
      </c>
      <c r="P25" s="205">
        <f t="shared" si="12"/>
        <v>27162.107512367962</v>
      </c>
      <c r="Q25" s="205">
        <f t="shared" si="12"/>
        <v>28467.24090522933</v>
      </c>
      <c r="R25" s="205">
        <f t="shared" si="12"/>
        <v>29843.048299917915</v>
      </c>
      <c r="S25" s="205">
        <f t="shared" si="12"/>
        <v>30941.516272328437</v>
      </c>
      <c r="T25" s="205">
        <f t="shared" si="12"/>
        <v>31890.933903329398</v>
      </c>
      <c r="U25" s="205">
        <f t="shared" si="12"/>
        <v>32725.966329798226</v>
      </c>
      <c r="V25" s="205">
        <f t="shared" si="12"/>
        <v>33400.134008598841</v>
      </c>
      <c r="W25" s="205">
        <f t="shared" si="12"/>
        <v>33977.735850056153</v>
      </c>
    </row>
    <row r="27" spans="1:24">
      <c r="A27" t="s">
        <v>1346</v>
      </c>
      <c r="B27" s="228">
        <f>-B19*B23</f>
        <v>659.43304165490542</v>
      </c>
      <c r="C27" s="228">
        <f t="shared" ref="C27:L27" si="13">-C19*C23</f>
        <v>589.78962935576305</v>
      </c>
      <c r="D27" s="228">
        <f t="shared" si="13"/>
        <v>588.40688881299707</v>
      </c>
      <c r="E27" s="228">
        <f t="shared" si="13"/>
        <v>555.41889836672624</v>
      </c>
      <c r="F27" s="228">
        <f t="shared" si="13"/>
        <v>656.71884816753925</v>
      </c>
      <c r="G27" s="228">
        <f t="shared" si="13"/>
        <v>506.50203817856431</v>
      </c>
      <c r="H27" s="228">
        <f t="shared" si="13"/>
        <v>618.63402061855675</v>
      </c>
      <c r="I27" s="228">
        <f t="shared" si="13"/>
        <v>385.64912280701759</v>
      </c>
      <c r="J27" s="228">
        <f t="shared" si="13"/>
        <v>515.68476727785605</v>
      </c>
      <c r="K27" s="228">
        <f t="shared" si="13"/>
        <v>437.34502013914317</v>
      </c>
      <c r="L27" s="228">
        <f t="shared" si="13"/>
        <v>412.95495837926183</v>
      </c>
      <c r="M27" s="228">
        <f>-(M19*'C1.Hist. &amp; Forecast Ratio'!M12)</f>
        <v>380.5972654299415</v>
      </c>
      <c r="N27" s="228">
        <f>-(N19*'C1.Hist. &amp; Forecast Ratio'!N12)</f>
        <v>387.20061402890923</v>
      </c>
      <c r="O27" s="228">
        <f>-(O19*'C1.Hist. &amp; Forecast Ratio'!O12)</f>
        <v>406.59015857460463</v>
      </c>
      <c r="P27" s="228">
        <f>-(P19*'C1.Hist. &amp; Forecast Ratio'!P12)</f>
        <v>397.07952333893826</v>
      </c>
      <c r="Q27" s="228">
        <f>-(Q19*'C1.Hist. &amp; Forecast Ratio'!Q12)</f>
        <v>412.10755983402083</v>
      </c>
      <c r="R27" s="228">
        <f>-(R19*'C1.Hist. &amp; Forecast Ratio'!R12)</f>
        <v>434.45222760150136</v>
      </c>
      <c r="S27" s="228">
        <f>-(S19*'C1.Hist. &amp; Forecast Ratio'!S12)</f>
        <v>446.01050954307226</v>
      </c>
      <c r="T27" s="228">
        <f>-(T19*'C1.Hist. &amp; Forecast Ratio'!T12)</f>
        <v>458.79943795569892</v>
      </c>
      <c r="U27" s="228">
        <f>-(U19*'C1.Hist. &amp; Forecast Ratio'!U12)</f>
        <v>469.9850637466804</v>
      </c>
      <c r="V27" s="228">
        <f>-(V19*'C1.Hist. &amp; Forecast Ratio'!V12)</f>
        <v>486.0844332902841</v>
      </c>
      <c r="W27" s="228">
        <f>-(W19*'C1.Hist. &amp; Forecast Ratio'!W12)</f>
        <v>502.39280468352808</v>
      </c>
    </row>
    <row r="28" spans="1:24">
      <c r="A28" t="s">
        <v>1347</v>
      </c>
      <c r="B28" s="229">
        <f>B27+B22</f>
        <v>9095.4330416549055</v>
      </c>
      <c r="C28" s="229">
        <f t="shared" ref="C28:L28" si="14">C27+C22</f>
        <v>7533.7896293557633</v>
      </c>
      <c r="D28" s="229">
        <f t="shared" si="14"/>
        <v>7442.4068888129968</v>
      </c>
      <c r="E28" s="229">
        <f t="shared" si="14"/>
        <v>5816.4188983667264</v>
      </c>
      <c r="F28" s="229">
        <f t="shared" si="14"/>
        <v>5446.7188481675394</v>
      </c>
      <c r="G28" s="229">
        <f t="shared" si="14"/>
        <v>5741.5020381785644</v>
      </c>
      <c r="H28" s="229">
        <f t="shared" si="14"/>
        <v>7672.6340206185569</v>
      </c>
      <c r="I28" s="229">
        <f t="shared" si="14"/>
        <v>5408.6491228070172</v>
      </c>
      <c r="J28" s="229">
        <f t="shared" si="14"/>
        <v>5851.6847672778558</v>
      </c>
      <c r="K28" s="229">
        <f t="shared" si="14"/>
        <v>6774.3450201391433</v>
      </c>
      <c r="L28" s="229">
        <f t="shared" si="14"/>
        <v>7285.9549583792614</v>
      </c>
      <c r="M28" s="229">
        <f t="shared" ref="M28:W28" si="15">M27+M22</f>
        <v>7500.7430128030383</v>
      </c>
      <c r="N28" s="229">
        <f t="shared" si="15"/>
        <v>7797.475009773505</v>
      </c>
      <c r="O28" s="229">
        <f t="shared" si="15"/>
        <v>8354.993378726509</v>
      </c>
      <c r="P28" s="229">
        <f t="shared" si="15"/>
        <v>8758.208676769269</v>
      </c>
      <c r="Q28" s="229">
        <f t="shared" si="15"/>
        <v>9087.7231079110079</v>
      </c>
      <c r="R28" s="229">
        <f t="shared" si="15"/>
        <v>9429.8354057391371</v>
      </c>
      <c r="S28" s="229">
        <f t="shared" si="15"/>
        <v>9804.1156838788593</v>
      </c>
      <c r="T28" s="229">
        <f t="shared" si="15"/>
        <v>10154.370741035975</v>
      </c>
      <c r="U28" s="229">
        <f t="shared" si="15"/>
        <v>10416.990143222407</v>
      </c>
      <c r="V28" s="229">
        <f t="shared" si="15"/>
        <v>10620.998959771307</v>
      </c>
      <c r="W28" s="229">
        <f t="shared" si="15"/>
        <v>10811.502648158677</v>
      </c>
    </row>
    <row r="29" spans="1:24">
      <c r="A29" s="17" t="s">
        <v>179</v>
      </c>
      <c r="B29" s="205">
        <f>B16-B28</f>
        <v>18301.026958345101</v>
      </c>
      <c r="C29" s="205">
        <f t="shared" ref="C29:L29" si="16">C16-C28</f>
        <v>17363.09037064424</v>
      </c>
      <c r="D29" s="205">
        <f t="shared" si="16"/>
        <v>15034.333111187008</v>
      </c>
      <c r="E29" s="205">
        <f t="shared" si="16"/>
        <v>17075.871101633267</v>
      </c>
      <c r="F29" s="205">
        <f t="shared" si="16"/>
        <v>16510.28115183246</v>
      </c>
      <c r="G29" s="205">
        <f t="shared" si="16"/>
        <v>15588.877961821439</v>
      </c>
      <c r="H29" s="205">
        <f t="shared" si="16"/>
        <v>23831.365979381444</v>
      </c>
      <c r="I29" s="205">
        <f t="shared" si="16"/>
        <v>21074.350877192985</v>
      </c>
      <c r="J29" s="205">
        <f t="shared" si="16"/>
        <v>18750.315232722143</v>
      </c>
      <c r="K29" s="205">
        <f t="shared" si="16"/>
        <v>20330.654979860858</v>
      </c>
      <c r="L29" s="205">
        <f t="shared" si="16"/>
        <v>22218.045041620739</v>
      </c>
      <c r="M29" s="205">
        <f t="shared" ref="M29:W29" si="17">M16-M28</f>
        <v>24945.680038434002</v>
      </c>
      <c r="N29" s="205">
        <f t="shared" si="17"/>
        <v>26109.037078769241</v>
      </c>
      <c r="O29" s="205">
        <f t="shared" si="17"/>
        <v>27077.311753800568</v>
      </c>
      <c r="P29" s="205">
        <f t="shared" si="17"/>
        <v>28268.550186721564</v>
      </c>
      <c r="Q29" s="205">
        <f t="shared" si="17"/>
        <v>29605.239904436952</v>
      </c>
      <c r="R29" s="205">
        <f t="shared" si="17"/>
        <v>31004.31094216448</v>
      </c>
      <c r="S29" s="205">
        <f t="shared" si="17"/>
        <v>32146.311152071139</v>
      </c>
      <c r="T29" s="205">
        <f t="shared" si="17"/>
        <v>33133.225950309876</v>
      </c>
      <c r="U29" s="205">
        <f t="shared" si="17"/>
        <v>34006.905961271266</v>
      </c>
      <c r="V29" s="205">
        <f t="shared" si="17"/>
        <v>34719.140001877553</v>
      </c>
      <c r="W29" s="205">
        <f t="shared" si="17"/>
        <v>35336.25753874459</v>
      </c>
    </row>
    <row r="44" spans="1:23">
      <c r="A44" t="s">
        <v>1381</v>
      </c>
    </row>
    <row r="46" spans="1:23">
      <c r="A46" s="211" t="s">
        <v>1382</v>
      </c>
      <c r="B46" s="54" t="s">
        <v>247</v>
      </c>
      <c r="C46" s="54" t="s">
        <v>248</v>
      </c>
      <c r="D46" s="54" t="s">
        <v>249</v>
      </c>
      <c r="E46" s="54" t="s">
        <v>250</v>
      </c>
      <c r="F46" s="54" t="s">
        <v>251</v>
      </c>
      <c r="G46" s="54" t="s">
        <v>252</v>
      </c>
      <c r="H46" s="54" t="s">
        <v>253</v>
      </c>
      <c r="I46" s="54" t="s">
        <v>254</v>
      </c>
      <c r="J46" s="54" t="s">
        <v>255</v>
      </c>
      <c r="K46" s="54" t="s">
        <v>256</v>
      </c>
      <c r="L46" s="54" t="s">
        <v>257</v>
      </c>
      <c r="M46" s="221" t="s">
        <v>1383</v>
      </c>
      <c r="N46" s="59">
        <v>2026</v>
      </c>
      <c r="O46" s="59">
        <v>2027</v>
      </c>
      <c r="P46" s="59">
        <v>2028</v>
      </c>
      <c r="Q46" s="59">
        <v>2029</v>
      </c>
      <c r="R46" s="59">
        <v>2030</v>
      </c>
      <c r="S46" s="57">
        <v>2031</v>
      </c>
      <c r="T46" s="57">
        <v>2032</v>
      </c>
      <c r="U46" s="57">
        <v>2033</v>
      </c>
      <c r="V46" s="57">
        <v>2034</v>
      </c>
      <c r="W46" s="57">
        <v>2035</v>
      </c>
    </row>
    <row r="47" spans="1:23">
      <c r="A47" s="212" t="s">
        <v>1349</v>
      </c>
    </row>
    <row r="48" spans="1:23" ht="18" customHeight="1">
      <c r="A48" s="213" t="s">
        <v>184</v>
      </c>
      <c r="B48" s="216">
        <f>'A. Raw Historical Data - BS'!L7+'A. Raw Historical Data - BS'!L10+'A. Raw Historical Data - BS'!L13+'A. Raw Historical Data - BS'!L22+'A. Raw Historical Data - BS'!L18</f>
        <v>64774</v>
      </c>
      <c r="C48" s="216">
        <f>'A. Raw Historical Data - BS'!M7+'A. Raw Historical Data - BS'!M10+'A. Raw Historical Data - BS'!M13+'A. Raw Historical Data - BS'!M22+'A. Raw Historical Data - BS'!M18</f>
        <v>61680</v>
      </c>
      <c r="D48" s="216">
        <f>'A. Raw Historical Data - BS'!N7+'A. Raw Historical Data - BS'!N10+'A. Raw Historical Data - BS'!N13+'A. Raw Historical Data - BS'!N22+'A. Raw Historical Data - BS'!N18</f>
        <v>59630</v>
      </c>
      <c r="E48" s="216">
        <f>'A. Raw Historical Data - BS'!O7+'A. Raw Historical Data - BS'!O10+'A. Raw Historical Data - BS'!O13+'A. Raw Historical Data - BS'!O22+'A. Raw Historical Data - BS'!O18</f>
        <v>63175</v>
      </c>
      <c r="F48" s="216">
        <f>'A. Raw Historical Data - BS'!P7+'A. Raw Historical Data - BS'!P10+'A. Raw Historical Data - BS'!P13+'A. Raw Historical Data - BS'!P22+'A. Raw Historical Data - BS'!P18</f>
        <v>65520</v>
      </c>
      <c r="G48" s="216">
        <f>'A. Raw Historical Data - BS'!Q7+'A. Raw Historical Data - BS'!Q10+'A. Raw Historical Data - BS'!Q13+'A. Raw Historical Data - BS'!Q22+'A. Raw Historical Data - BS'!Q18</f>
        <v>63428</v>
      </c>
      <c r="H48" s="216">
        <f>'A. Raw Historical Data - BS'!R7+'A. Raw Historical Data - BS'!R10+'A. Raw Historical Data - BS'!R13+'A. Raw Historical Data - BS'!R22+'A. Raw Historical Data - BS'!R18</f>
        <v>110928</v>
      </c>
      <c r="I48" s="216">
        <f>'A. Raw Historical Data - BS'!S7+'A. Raw Historical Data - BS'!S10+'A. Raw Historical Data - BS'!S13+'A. Raw Historical Data - BS'!S22+'A. Raw Historical Data - BS'!S18</f>
        <v>82589</v>
      </c>
      <c r="J48" s="216">
        <f>'A. Raw Historical Data - BS'!T7+'A. Raw Historical Data - BS'!T10+'A. Raw Historical Data - BS'!T13+'A. Raw Historical Data - BS'!T22+'A. Raw Historical Data - BS'!T18</f>
        <v>78176</v>
      </c>
      <c r="K48" s="216">
        <f>'A. Raw Historical Data - BS'!U7+'A. Raw Historical Data - BS'!U10+'A. Raw Historical Data - BS'!U13+'A. Raw Historical Data - BS'!U22+'A. Raw Historical Data - BS'!U18</f>
        <v>80199</v>
      </c>
      <c r="L48" s="216">
        <f>'A. Raw Historical Data - BS'!V7+'A. Raw Historical Data - BS'!V10+'A. Raw Historical Data - BS'!V13+'A. Raw Historical Data - BS'!V22+'A. Raw Historical Data - BS'!V18</f>
        <v>83469</v>
      </c>
    </row>
    <row r="49" spans="1:12">
      <c r="A49" s="213" t="s">
        <v>1351</v>
      </c>
      <c r="B49" s="216">
        <f>'A. Raw Historical Data - BS'!L40+'A. Raw Historical Data - BS'!L47+'A. Raw Historical Data - BS'!L41+'A. Raw Historical Data - BS'!L42+'A. Raw Historical Data - BS'!L50+'A. Raw Historical Data - BS'!L51+'A. Raw Historical Data - BS'!L54</f>
        <v>59293</v>
      </c>
      <c r="C49" s="216">
        <f>'A. Raw Historical Data - BS'!M40+'A. Raw Historical Data - BS'!M47+'A. Raw Historical Data - BS'!M41+'A. Raw Historical Data - BS'!M42+'A. Raw Historical Data - BS'!M50+'A. Raw Historical Data - BS'!M51+'A. Raw Historical Data - BS'!M54</f>
        <v>58615</v>
      </c>
      <c r="D49" s="216">
        <f>'A. Raw Historical Data - BS'!N40+'A. Raw Historical Data - BS'!N47+'A. Raw Historical Data - BS'!N41+'A. Raw Historical Data - BS'!N42+'A. Raw Historical Data - BS'!N50+'A. Raw Historical Data - BS'!N51+'A. Raw Historical Data - BS'!N54</f>
        <v>63008</v>
      </c>
      <c r="E49" s="216">
        <f>'A. Raw Historical Data - BS'!O40+'A. Raw Historical Data - BS'!O47+'A. Raw Historical Data - BS'!O41+'A. Raw Historical Data - BS'!O42+'A. Raw Historical Data - BS'!O50+'A. Raw Historical Data - BS'!O51+'A. Raw Historical Data - BS'!O54</f>
        <v>68859</v>
      </c>
      <c r="F49" s="216">
        <f>'A. Raw Historical Data - BS'!P40+'A. Raw Historical Data - BS'!P47+'A. Raw Historical Data - BS'!P41+'A. Raw Historical Data - BS'!P42+'A. Raw Historical Data - BS'!P50+'A. Raw Historical Data - BS'!P51+'A. Raw Historical Data - BS'!P54</f>
        <v>69647</v>
      </c>
      <c r="G49" s="216">
        <f>'A. Raw Historical Data - BS'!Q40+'A. Raw Historical Data - BS'!Q47+'A. Raw Historical Data - BS'!Q41+'A. Raw Historical Data - BS'!Q42+'A. Raw Historical Data - BS'!Q50+'A. Raw Historical Data - BS'!Q51+'A. Raw Historical Data - BS'!Q54</f>
        <v>71342</v>
      </c>
      <c r="H49" s="216">
        <f>'A. Raw Historical Data - BS'!R40+'A. Raw Historical Data - BS'!R47+'A. Raw Historical Data - BS'!R41+'A. Raw Historical Data - BS'!R42+'A. Raw Historical Data - BS'!R50+'A. Raw Historical Data - BS'!R51+'A. Raw Historical Data - BS'!R54</f>
        <v>88815</v>
      </c>
      <c r="I49" s="216">
        <f>'A. Raw Historical Data - BS'!S40+'A. Raw Historical Data - BS'!S47+'A. Raw Historical Data - BS'!S41+'A. Raw Historical Data - BS'!S42+'A. Raw Historical Data - BS'!S50+'A. Raw Historical Data - BS'!S51+'A. Raw Historical Data - BS'!S54</f>
        <v>83655</v>
      </c>
      <c r="J49" s="216">
        <f>'A. Raw Historical Data - BS'!T40+'A. Raw Historical Data - BS'!T47+'A. Raw Historical Data - BS'!T41+'A. Raw Historical Data - BS'!T42+'A. Raw Historical Data - BS'!T50+'A. Raw Historical Data - BS'!T51+'A. Raw Historical Data - BS'!T54</f>
        <v>87068</v>
      </c>
      <c r="K49" s="216">
        <f>'A. Raw Historical Data - BS'!U40+'A. Raw Historical Data - BS'!U47+'A. Raw Historical Data - BS'!U41+'A. Raw Historical Data - BS'!U42+'A. Raw Historical Data - BS'!U50+'A. Raw Historical Data - BS'!U51+'A. Raw Historical Data - BS'!U54</f>
        <v>87365</v>
      </c>
      <c r="L49" s="216">
        <f>'A. Raw Historical Data - BS'!V40+'A. Raw Historical Data - BS'!V47+'A. Raw Historical Data - BS'!V41+'A. Raw Historical Data - BS'!V42+'A. Raw Historical Data - BS'!V50+'A. Raw Historical Data - BS'!V51+'A. Raw Historical Data - BS'!V54</f>
        <v>90118</v>
      </c>
    </row>
    <row r="50" spans="1:12">
      <c r="A50" s="213" t="s">
        <v>1352</v>
      </c>
      <c r="B50" s="208">
        <f t="shared" ref="B50:L50" si="18">B48-B49</f>
        <v>5481</v>
      </c>
      <c r="C50" s="208">
        <f t="shared" si="18"/>
        <v>3065</v>
      </c>
      <c r="D50" s="208">
        <f t="shared" si="18"/>
        <v>-3378</v>
      </c>
      <c r="E50" s="208">
        <f t="shared" si="18"/>
        <v>-5684</v>
      </c>
      <c r="F50" s="208">
        <f t="shared" si="18"/>
        <v>-4127</v>
      </c>
      <c r="G50" s="208">
        <f t="shared" si="18"/>
        <v>-7914</v>
      </c>
      <c r="H50" s="208">
        <f t="shared" si="18"/>
        <v>22113</v>
      </c>
      <c r="I50" s="208">
        <f t="shared" si="18"/>
        <v>-1066</v>
      </c>
      <c r="J50" s="208">
        <f t="shared" si="18"/>
        <v>-8892</v>
      </c>
      <c r="K50" s="208">
        <f t="shared" si="18"/>
        <v>-7166</v>
      </c>
      <c r="L50" s="208">
        <f t="shared" si="18"/>
        <v>-6649</v>
      </c>
    </row>
    <row r="51" spans="1:12">
      <c r="A51" s="213"/>
    </row>
    <row r="52" spans="1:12">
      <c r="A52" s="213" t="s">
        <v>1353</v>
      </c>
      <c r="B52" s="208">
        <f>'A. Raw Historical Data - BS'!L24+'A. Raw Historical Data - BS'!L26+'A. Raw Historical Data - BS'!L28+'A. Raw Historical Data - BS'!L33+'A. Raw Historical Data - BS'!L34</f>
        <v>78655</v>
      </c>
      <c r="C52" s="208">
        <f>'A. Raw Historical Data - BS'!M24+'A. Raw Historical Data - BS'!M26+'A. Raw Historical Data - BS'!M28+'A. Raw Historical Data - BS'!M33+'A. Raw Historical Data - BS'!M34</f>
        <v>215507</v>
      </c>
      <c r="D52" s="208">
        <f>'A. Raw Historical Data - BS'!N24+'A. Raw Historical Data - BS'!N26+'A. Raw Historical Data - BS'!N28+'A. Raw Historical Data - BS'!N33+'A. Raw Historical Data - BS'!N34</f>
        <v>226443</v>
      </c>
      <c r="E52" s="208">
        <f>'A. Raw Historical Data - BS'!O24+'A. Raw Historical Data - BS'!O26+'A. Raw Historical Data - BS'!O28+'A. Raw Historical Data - BS'!O33+'A. Raw Historical Data - BS'!O34</f>
        <v>237816</v>
      </c>
      <c r="F52" s="208">
        <f>'A. Raw Historical Data - BS'!P24+'A. Raw Historical Data - BS'!P26+'A. Raw Historical Data - BS'!P28+'A. Raw Historical Data - BS'!P33+'A. Raw Historical Data - BS'!P34</f>
        <v>251917</v>
      </c>
      <c r="G52" s="208">
        <f>'A. Raw Historical Data - BS'!Q24+'A. Raw Historical Data - BS'!Q26+'A. Raw Historical Data - BS'!Q28+'A. Raw Historical Data - BS'!Q33+'A. Raw Historical Data - BS'!Q34</f>
        <v>279162</v>
      </c>
      <c r="H52" s="208">
        <f>'A. Raw Historical Data - BS'!R24+'A. Raw Historical Data - BS'!R26+'A. Raw Historical Data - BS'!R28+'A. Raw Historical Data - BS'!R33+'A. Raw Historical Data - BS'!R34</f>
        <v>267661</v>
      </c>
      <c r="I52" s="208">
        <f>'A. Raw Historical Data - BS'!S24+'A. Raw Historical Data - BS'!S26+'A. Raw Historical Data - BS'!S28+'A. Raw Historical Data - BS'!S33+'A. Raw Historical Data - BS'!S34</f>
        <v>274478</v>
      </c>
      <c r="J52" s="208">
        <f>'A. Raw Historical Data - BS'!T24+'A. Raw Historical Data - BS'!T26+'A. Raw Historical Data - BS'!T28+'A. Raw Historical Data - BS'!T33+'A. Raw Historical Data - BS'!T34</f>
        <v>283483</v>
      </c>
      <c r="K52" s="208">
        <f>'A. Raw Historical Data - BS'!U24+'A. Raw Historical Data - BS'!U26+'A. Raw Historical Data - BS'!U28+'A. Raw Historical Data - BS'!U33+'A. Raw Historical Data - BS'!U34</f>
        <v>295879</v>
      </c>
      <c r="L52" s="208">
        <f>'A. Raw Historical Data - BS'!V24+'A. Raw Historical Data - BS'!V26+'A. Raw Historical Data - BS'!V28+'A. Raw Historical Data - BS'!V33+'A. Raw Historical Data - BS'!V34</f>
        <v>299610</v>
      </c>
    </row>
    <row r="53" spans="1:12">
      <c r="A53" s="213" t="s">
        <v>1354</v>
      </c>
      <c r="B53" s="208">
        <f>'A. Raw Historical Data - BS'!L58+'A. Raw Historical Data - BS'!L67+'A. Raw Historical Data - BS'!L69</f>
        <v>10801</v>
      </c>
      <c r="C53" s="208">
        <f>'A. Raw Historical Data - BS'!M58+'A. Raw Historical Data - BS'!M67+'A. Raw Historical Data - BS'!M69</f>
        <v>12399</v>
      </c>
      <c r="D53" s="208">
        <f>'A. Raw Historical Data - BS'!N58+'A. Raw Historical Data - BS'!N67+'A. Raw Historical Data - BS'!N69</f>
        <v>14717</v>
      </c>
      <c r="E53" s="208">
        <f>'A. Raw Historical Data - BS'!O58+'A. Raw Historical Data - BS'!O67+'A. Raw Historical Data - BS'!O69</f>
        <v>14948</v>
      </c>
      <c r="F53" s="208">
        <f>'A. Raw Historical Data - BS'!P58+'A. Raw Historical Data - BS'!P67+'A. Raw Historical Data - BS'!P69</f>
        <v>18236</v>
      </c>
      <c r="G53" s="208">
        <f>'A. Raw Historical Data - BS'!Q58+'A. Raw Historical Data - BS'!Q67+'A. Raw Historical Data - BS'!Q69</f>
        <v>33295</v>
      </c>
      <c r="H53" s="208">
        <f>'A. Raw Historical Data - BS'!R58+'A. Raw Historical Data - BS'!R67+'A. Raw Historical Data - BS'!R69</f>
        <v>31043</v>
      </c>
      <c r="I53" s="208">
        <f>'A. Raw Historical Data - BS'!S58+'A. Raw Historical Data - BS'!S67+'A. Raw Historical Data - BS'!S69</f>
        <v>29631</v>
      </c>
      <c r="J53" s="208">
        <f>'A. Raw Historical Data - BS'!T58+'A. Raw Historical Data - BS'!T67+'A. Raw Historical Data - BS'!T69</f>
        <v>30247</v>
      </c>
      <c r="K53" s="208">
        <f>'A. Raw Historical Data - BS'!U58+'A. Raw Historical Data - BS'!U67+'A. Raw Historical Data - BS'!U69</f>
        <v>31325</v>
      </c>
      <c r="L53" s="208">
        <f>'A. Raw Historical Data - BS'!V58+'A. Raw Historical Data - BS'!V67+'A. Raw Historical Data - BS'!V69</f>
        <v>31147</v>
      </c>
    </row>
    <row r="54" spans="1:12">
      <c r="A54" s="213" t="s">
        <v>1355</v>
      </c>
      <c r="B54" s="208">
        <f t="shared" ref="B54:L54" si="19">B52-B53</f>
        <v>67854</v>
      </c>
      <c r="C54" s="208">
        <f t="shared" si="19"/>
        <v>203108</v>
      </c>
      <c r="D54" s="208">
        <f t="shared" si="19"/>
        <v>211726</v>
      </c>
      <c r="E54" s="208">
        <f t="shared" si="19"/>
        <v>222868</v>
      </c>
      <c r="F54" s="208">
        <f t="shared" si="19"/>
        <v>233681</v>
      </c>
      <c r="G54" s="208">
        <f t="shared" si="19"/>
        <v>245867</v>
      </c>
      <c r="H54" s="208">
        <f t="shared" si="19"/>
        <v>236618</v>
      </c>
      <c r="I54" s="208">
        <f t="shared" si="19"/>
        <v>244847</v>
      </c>
      <c r="J54" s="208">
        <f t="shared" si="19"/>
        <v>253236</v>
      </c>
      <c r="K54" s="208">
        <f t="shared" si="19"/>
        <v>264554</v>
      </c>
      <c r="L54" s="208">
        <f t="shared" si="19"/>
        <v>268463</v>
      </c>
    </row>
    <row r="55" spans="1:12">
      <c r="A55" s="213"/>
    </row>
    <row r="56" spans="1:12">
      <c r="A56" s="213" t="s">
        <v>1356</v>
      </c>
      <c r="B56" s="208">
        <f>'A. Raw Historical Data - BS'!K29</f>
        <v>19510</v>
      </c>
      <c r="C56" s="208">
        <f>'A. Raw Historical Data - BS'!L29</f>
        <v>18102</v>
      </c>
      <c r="D56" s="208">
        <f>'A. Raw Historical Data - BS'!M29</f>
        <v>16695</v>
      </c>
      <c r="E56" s="208">
        <f>'A. Raw Historical Data - BS'!N29</f>
        <v>17037</v>
      </c>
      <c r="F56" s="208">
        <f>'A. Raw Historical Data - BS'!O29</f>
        <v>18242</v>
      </c>
      <c r="G56" s="208">
        <f>'A. Raw Historical Data - BS'!P29</f>
        <v>31181</v>
      </c>
      <c r="H56" s="208">
        <f>'A. Raw Historical Data - BS'!Q29</f>
        <v>31073</v>
      </c>
      <c r="I56" s="208">
        <f>'A. Raw Historical Data - BS'!R29</f>
        <v>33883</v>
      </c>
      <c r="J56" s="208">
        <f>'A. Raw Historical Data - BS'!S29</f>
        <v>33814</v>
      </c>
      <c r="K56" s="208">
        <f>'A. Raw Historical Data - BS'!T29</f>
        <v>32474</v>
      </c>
      <c r="L56" s="208">
        <f>'A. Raw Historical Data - BS'!U29</f>
        <v>32213</v>
      </c>
    </row>
    <row r="57" spans="1:12">
      <c r="A57" s="214" t="s">
        <v>1357</v>
      </c>
      <c r="B57" s="208">
        <f t="shared" ref="B57:L57" si="20">B50+B54+B56</f>
        <v>92845</v>
      </c>
      <c r="C57" s="208">
        <f t="shared" si="20"/>
        <v>224275</v>
      </c>
      <c r="D57" s="208">
        <f t="shared" si="20"/>
        <v>225043</v>
      </c>
      <c r="E57" s="208">
        <f t="shared" si="20"/>
        <v>234221</v>
      </c>
      <c r="F57" s="208">
        <f t="shared" si="20"/>
        <v>247796</v>
      </c>
      <c r="G57" s="208">
        <f t="shared" si="20"/>
        <v>269134</v>
      </c>
      <c r="H57" s="208">
        <f t="shared" si="20"/>
        <v>289804</v>
      </c>
      <c r="I57" s="208">
        <f t="shared" si="20"/>
        <v>277664</v>
      </c>
      <c r="J57" s="208">
        <f t="shared" si="20"/>
        <v>278158</v>
      </c>
      <c r="K57" s="208">
        <f t="shared" si="20"/>
        <v>289862</v>
      </c>
      <c r="L57" s="208">
        <f t="shared" si="20"/>
        <v>294027</v>
      </c>
    </row>
    <row r="58" spans="1:12">
      <c r="A58" s="213"/>
    </row>
    <row r="59" spans="1:12">
      <c r="A59" s="213" t="s">
        <v>1384</v>
      </c>
      <c r="B59" s="208">
        <f>'A. Raw Historical Data - BS'!K18</f>
        <v>2369</v>
      </c>
      <c r="C59" s="208">
        <f>'A. Raw Historical Data - BS'!L18</f>
        <v>2224</v>
      </c>
      <c r="D59" s="208">
        <f>'A. Raw Historical Data - BS'!M18</f>
        <v>1441</v>
      </c>
      <c r="E59" s="208">
        <f>'A. Raw Historical Data - BS'!N18</f>
        <v>1941</v>
      </c>
      <c r="F59" s="208">
        <f>'A. Raw Historical Data - BS'!O18</f>
        <v>3511</v>
      </c>
      <c r="G59" s="208">
        <f>'A. Raw Historical Data - BS'!P18</f>
        <v>3623</v>
      </c>
      <c r="H59" s="208">
        <f>'A. Raw Historical Data - BS'!Q18</f>
        <v>1622</v>
      </c>
      <c r="I59" s="208">
        <f>'A. Raw Historical Data - BS'!R18</f>
        <v>20861</v>
      </c>
      <c r="J59" s="208">
        <f>'A. Raw Historical Data - BS'!S18</f>
        <v>1519</v>
      </c>
      <c r="K59" s="208">
        <f>'A. Raw Historical Data - BS'!T18</f>
        <v>2521</v>
      </c>
      <c r="L59" s="208">
        <f>'A. Raw Historical Data - BS'!U18</f>
        <v>3322</v>
      </c>
    </row>
    <row r="60" spans="1:12">
      <c r="A60" s="213" t="s">
        <v>1359</v>
      </c>
      <c r="B60" s="208">
        <f>'A. Raw Historical Data - BS'!K49+'A. Raw Historical Data - BS'!K52</f>
        <v>90</v>
      </c>
      <c r="C60" s="208">
        <f>'A. Raw Historical Data - BS'!L49+'A. Raw Historical Data - BS'!L52</f>
        <v>879</v>
      </c>
      <c r="D60" s="208">
        <f>'A. Raw Historical Data - BS'!M49+'A. Raw Historical Data - BS'!M52</f>
        <v>0</v>
      </c>
      <c r="E60" s="208">
        <f>'A. Raw Historical Data - BS'!N49+'A. Raw Historical Data - BS'!N52</f>
        <v>0</v>
      </c>
      <c r="F60" s="208">
        <f>'A. Raw Historical Data - BS'!O49+'A. Raw Historical Data - BS'!O52</f>
        <v>0</v>
      </c>
      <c r="G60" s="208">
        <f>'A. Raw Historical Data - BS'!P49+'A. Raw Historical Data - BS'!P52</f>
        <v>1932</v>
      </c>
      <c r="H60" s="208">
        <f>'A. Raw Historical Data - BS'!Q49+'A. Raw Historical Data - BS'!Q52</f>
        <v>1990</v>
      </c>
      <c r="I60" s="208">
        <f>'A. Raw Historical Data - BS'!R49+'A. Raw Historical Data - BS'!R52</f>
        <v>2310</v>
      </c>
      <c r="J60" s="208">
        <f>'A. Raw Historical Data - BS'!S49+'A. Raw Historical Data - BS'!S52</f>
        <v>2559</v>
      </c>
      <c r="K60" s="208">
        <f>'A. Raw Historical Data - BS'!T49+'A. Raw Historical Data - BS'!T52</f>
        <v>2488</v>
      </c>
      <c r="L60" s="208">
        <f>'A. Raw Historical Data - BS'!U49+'A. Raw Historical Data - BS'!U52</f>
        <v>2664</v>
      </c>
    </row>
    <row r="61" spans="1:12">
      <c r="A61" s="213" t="s">
        <v>1360</v>
      </c>
      <c r="B61" s="208">
        <f t="shared" ref="B61:L61" si="21">B59-B60</f>
        <v>2279</v>
      </c>
      <c r="C61" s="208">
        <f t="shared" si="21"/>
        <v>1345</v>
      </c>
      <c r="D61" s="208">
        <f t="shared" si="21"/>
        <v>1441</v>
      </c>
      <c r="E61" s="208">
        <f t="shared" si="21"/>
        <v>1941</v>
      </c>
      <c r="F61" s="208">
        <f t="shared" si="21"/>
        <v>3511</v>
      </c>
      <c r="G61" s="208">
        <f t="shared" si="21"/>
        <v>1691</v>
      </c>
      <c r="H61" s="208">
        <f t="shared" si="21"/>
        <v>-368</v>
      </c>
      <c r="I61" s="208">
        <f t="shared" si="21"/>
        <v>18551</v>
      </c>
      <c r="J61" s="208">
        <f t="shared" si="21"/>
        <v>-1040</v>
      </c>
      <c r="K61" s="208">
        <f t="shared" si="21"/>
        <v>33</v>
      </c>
      <c r="L61" s="208">
        <f t="shared" si="21"/>
        <v>658</v>
      </c>
    </row>
    <row r="62" spans="1:12">
      <c r="A62" s="213"/>
    </row>
    <row r="63" spans="1:12">
      <c r="A63" s="215" t="s">
        <v>1361</v>
      </c>
    </row>
    <row r="64" spans="1:12">
      <c r="A64" s="213"/>
    </row>
    <row r="65" spans="1:12">
      <c r="A65" s="214" t="s">
        <v>1362</v>
      </c>
      <c r="B65" s="208">
        <f t="shared" ref="B65:L65" si="22">B57+B61</f>
        <v>95124</v>
      </c>
      <c r="C65" s="208">
        <f t="shared" si="22"/>
        <v>225620</v>
      </c>
      <c r="D65" s="208">
        <f t="shared" si="22"/>
        <v>226484</v>
      </c>
      <c r="E65" s="208">
        <f t="shared" si="22"/>
        <v>236162</v>
      </c>
      <c r="F65" s="208">
        <f t="shared" si="22"/>
        <v>251307</v>
      </c>
      <c r="G65" s="208">
        <f t="shared" si="22"/>
        <v>270825</v>
      </c>
      <c r="H65" s="208">
        <f t="shared" si="22"/>
        <v>289436</v>
      </c>
      <c r="I65" s="208">
        <f t="shared" si="22"/>
        <v>296215</v>
      </c>
      <c r="J65" s="208">
        <f t="shared" si="22"/>
        <v>277118</v>
      </c>
      <c r="K65" s="208">
        <f t="shared" si="22"/>
        <v>289895</v>
      </c>
      <c r="L65" s="208">
        <f t="shared" si="22"/>
        <v>294685</v>
      </c>
    </row>
    <row r="67" spans="1:12">
      <c r="A67" s="218" t="s">
        <v>118</v>
      </c>
    </row>
    <row r="68" spans="1:12">
      <c r="A68" s="219" t="s">
        <v>1363</v>
      </c>
      <c r="B68" s="208">
        <f>'A. Raw Historical Data - BS'!K77</f>
        <v>76566</v>
      </c>
      <c r="C68" s="208">
        <f>'A. Raw Historical Data - BS'!L77</f>
        <v>85777</v>
      </c>
      <c r="D68" s="208">
        <f>'A. Raw Historical Data - BS'!M77</f>
        <v>90021</v>
      </c>
      <c r="E68" s="208">
        <f>'A. Raw Historical Data - BS'!N77</f>
        <v>89354</v>
      </c>
      <c r="F68" s="208">
        <f>'A. Raw Historical Data - BS'!O77</f>
        <v>85107</v>
      </c>
      <c r="G68" s="208">
        <f>'A. Raw Historical Data - BS'!P77</f>
        <v>80785</v>
      </c>
      <c r="H68" s="208">
        <f>'A. Raw Historical Data - BS'!Q77</f>
        <v>83943</v>
      </c>
      <c r="I68" s="208">
        <f>'A. Raw Historical Data - BS'!R77</f>
        <v>88763</v>
      </c>
      <c r="J68" s="208">
        <f>'A. Raw Historical Data - BS'!S77</f>
        <v>86904</v>
      </c>
      <c r="K68" s="208">
        <f>'A. Raw Historical Data - BS'!T77</f>
        <v>83135</v>
      </c>
      <c r="L68" s="208">
        <f>'A. Raw Historical Data - BS'!U77</f>
        <v>89814</v>
      </c>
    </row>
    <row r="69" spans="1:12">
      <c r="A69" s="219" t="s">
        <v>1364</v>
      </c>
      <c r="B69" s="205">
        <f>'B. Integrated Fin - Income St.'!B7</f>
        <v>120565</v>
      </c>
      <c r="C69" s="205">
        <f>'B. Integrated Fin - Income St.'!C7</f>
        <v>121146</v>
      </c>
      <c r="D69" s="205">
        <f>'B. Integrated Fin - Income St.'!D7</f>
        <v>124617</v>
      </c>
      <c r="E69" s="205">
        <f>'B. Integrated Fin - Income St.'!E7</f>
        <v>126947</v>
      </c>
      <c r="F69" s="205">
        <f>'B. Integrated Fin - Income St.'!F7</f>
        <v>129104</v>
      </c>
      <c r="G69" s="205">
        <f>'B. Integrated Fin - Income St.'!G7</f>
        <v>129359</v>
      </c>
      <c r="H69" s="205">
        <f>'B. Integrated Fin - Income St.'!H7</f>
        <v>138836</v>
      </c>
      <c r="I69" s="205">
        <f>'B. Integrated Fin - Income St.'!I7</f>
        <v>143754</v>
      </c>
      <c r="J69" s="205">
        <f>'B. Integrated Fin - Income St.'!J7</f>
        <v>147568</v>
      </c>
      <c r="K69" s="205">
        <f>'B. Integrated Fin - Income St.'!K7</f>
        <v>157983</v>
      </c>
      <c r="L69" s="205">
        <f>'B. Integrated Fin - Income St.'!L7</f>
        <v>169232</v>
      </c>
    </row>
    <row r="70" spans="1:12">
      <c r="A70" s="219" t="s">
        <v>1365</v>
      </c>
      <c r="B70" s="208">
        <f>'A. Raw Historical Data - IS'!I76</f>
        <v>6100</v>
      </c>
      <c r="C70" s="208">
        <f>'A. Raw Historical Data - IS'!J76</f>
        <v>6185</v>
      </c>
      <c r="D70" s="208">
        <f>'A. Raw Historical Data - IS'!K76</f>
        <v>6294</v>
      </c>
      <c r="E70" s="208">
        <f>'A. Raw Historical Data - IS'!L76</f>
        <v>6216</v>
      </c>
      <c r="F70" s="208">
        <f>'A. Raw Historical Data - IS'!M76</f>
        <v>6124</v>
      </c>
      <c r="G70" s="208">
        <f>'A. Raw Historical Data - IS'!N76</f>
        <v>6102</v>
      </c>
      <c r="H70" s="208">
        <f>'A. Raw Historical Data - IS'!O76</f>
        <v>6048</v>
      </c>
      <c r="I70" s="208">
        <f>'A. Raw Historical Data - IS'!P76</f>
        <v>6116</v>
      </c>
      <c r="J70" s="208">
        <f>'A. Raw Historical Data - IS'!Q76</f>
        <v>6152</v>
      </c>
      <c r="K70" s="208">
        <f>'A. Raw Historical Data - IS'!R76</f>
        <v>6114</v>
      </c>
      <c r="L70" s="208">
        <f>'A. Raw Historical Data - IS'!S76</f>
        <v>6140</v>
      </c>
    </row>
    <row r="71" spans="1:12">
      <c r="A71" s="219" t="s">
        <v>1366</v>
      </c>
      <c r="B71" s="208">
        <f t="shared" ref="B71:L71" si="23">B68+B69-B70</f>
        <v>191031</v>
      </c>
      <c r="C71" s="208">
        <f t="shared" si="23"/>
        <v>200738</v>
      </c>
      <c r="D71" s="208">
        <f t="shared" si="23"/>
        <v>208344</v>
      </c>
      <c r="E71" s="208">
        <f t="shared" si="23"/>
        <v>210085</v>
      </c>
      <c r="F71" s="208">
        <f t="shared" si="23"/>
        <v>208087</v>
      </c>
      <c r="G71" s="208">
        <f t="shared" si="23"/>
        <v>204042</v>
      </c>
      <c r="H71" s="208">
        <f t="shared" si="23"/>
        <v>216731</v>
      </c>
      <c r="I71" s="208">
        <f t="shared" si="23"/>
        <v>226401</v>
      </c>
      <c r="J71" s="208">
        <f t="shared" si="23"/>
        <v>228320</v>
      </c>
      <c r="K71" s="208">
        <f t="shared" si="23"/>
        <v>235004</v>
      </c>
      <c r="L71" s="208">
        <f t="shared" si="23"/>
        <v>252906</v>
      </c>
    </row>
    <row r="72" spans="1:12">
      <c r="A72" s="213"/>
    </row>
    <row r="73" spans="1:12">
      <c r="A73" s="212" t="s">
        <v>1367</v>
      </c>
    </row>
    <row r="74" spans="1:12">
      <c r="A74" s="213" t="s">
        <v>201</v>
      </c>
      <c r="B74" s="208">
        <f>'A. Raw Historical Data - BS'!L93</f>
        <v>36414</v>
      </c>
      <c r="C74" s="208">
        <f>'A. Raw Historical Data - BS'!M93</f>
        <v>37685</v>
      </c>
      <c r="D74" s="208">
        <f>'A. Raw Historical Data - BS'!N93</f>
        <v>35862</v>
      </c>
      <c r="E74" s="208">
        <f>'A. Raw Historical Data - BS'!O93</f>
        <v>35690</v>
      </c>
      <c r="F74" s="208">
        <f>'A. Raw Historical Data - BS'!P93</f>
        <v>46448</v>
      </c>
      <c r="G74" s="208">
        <f>'A. Raw Historical Data - BS'!Q93</f>
        <v>62968</v>
      </c>
      <c r="H74" s="208">
        <f>'A. Raw Historical Data - BS'!R93</f>
        <v>45505</v>
      </c>
      <c r="I74" s="208">
        <f>'A. Raw Historical Data - BS'!S93</f>
        <v>42563</v>
      </c>
      <c r="J74" s="208">
        <f>'A. Raw Historical Data - BS'!T93</f>
        <v>50298</v>
      </c>
      <c r="K74" s="208">
        <f>'A. Raw Historical Data - BS'!U93</f>
        <v>51454</v>
      </c>
      <c r="L74" s="208">
        <f>'A. Raw Historical Data - BS'!V93</f>
        <v>51077</v>
      </c>
    </row>
    <row r="75" spans="1:12">
      <c r="A75" s="213" t="s">
        <v>203</v>
      </c>
    </row>
    <row r="76" spans="1:12">
      <c r="A76" s="212"/>
    </row>
    <row r="77" spans="1:12">
      <c r="A77" s="213" t="s">
        <v>205</v>
      </c>
      <c r="B77" s="208">
        <f>'A. Raw Historical Data - BS'!L81</f>
        <v>85937</v>
      </c>
      <c r="C77" s="208">
        <f>'A. Raw Historical Data - BS'!M81</f>
        <v>83611</v>
      </c>
      <c r="D77" s="208">
        <f>'A. Raw Historical Data - BS'!N81</f>
        <v>80535</v>
      </c>
      <c r="E77" s="208">
        <f>'A. Raw Historical Data - BS'!O81</f>
        <v>80822</v>
      </c>
      <c r="F77" s="208">
        <f>'A. Raw Historical Data - BS'!P81</f>
        <v>79634</v>
      </c>
      <c r="G77" s="208">
        <f>'A. Raw Historical Data - BS'!Q81</f>
        <v>81552</v>
      </c>
      <c r="H77" s="208">
        <f>'A. Raw Historical Data - BS'!R81</f>
        <v>87531</v>
      </c>
      <c r="I77" s="208">
        <f>'A. Raw Historical Data - BS'!S81</f>
        <v>91891</v>
      </c>
      <c r="J77" s="208">
        <f>'A. Raw Historical Data - BS'!T81</f>
        <v>83991</v>
      </c>
      <c r="K77" s="208">
        <f>'A. Raw Historical Data - BS'!U81</f>
        <v>90571</v>
      </c>
      <c r="L77" s="208">
        <f>'A. Raw Historical Data - BS'!V81</f>
        <v>97692</v>
      </c>
    </row>
    <row r="78" spans="1:12">
      <c r="A78" s="213" t="s">
        <v>1368</v>
      </c>
      <c r="B78" s="208">
        <f t="shared" ref="B78:L78" si="24">B71</f>
        <v>191031</v>
      </c>
      <c r="C78" s="208">
        <f t="shared" si="24"/>
        <v>200738</v>
      </c>
      <c r="D78" s="208">
        <f t="shared" si="24"/>
        <v>208344</v>
      </c>
      <c r="E78" s="208">
        <f t="shared" si="24"/>
        <v>210085</v>
      </c>
      <c r="F78" s="208">
        <f t="shared" si="24"/>
        <v>208087</v>
      </c>
      <c r="G78" s="208">
        <f t="shared" si="24"/>
        <v>204042</v>
      </c>
      <c r="H78" s="208">
        <f t="shared" si="24"/>
        <v>216731</v>
      </c>
      <c r="I78" s="208">
        <f t="shared" si="24"/>
        <v>226401</v>
      </c>
      <c r="J78" s="208">
        <f t="shared" si="24"/>
        <v>228320</v>
      </c>
      <c r="K78" s="208">
        <f t="shared" si="24"/>
        <v>235004</v>
      </c>
      <c r="L78" s="208">
        <f t="shared" si="24"/>
        <v>252906</v>
      </c>
    </row>
    <row r="79" spans="1:12">
      <c r="A79" s="212"/>
    </row>
    <row r="80" spans="1:12">
      <c r="A80" s="214" t="s">
        <v>199</v>
      </c>
      <c r="B80" s="208">
        <f t="shared" ref="B80:L80" si="25">B74+B77+B78</f>
        <v>313382</v>
      </c>
      <c r="C80" s="208">
        <f t="shared" si="25"/>
        <v>322034</v>
      </c>
      <c r="D80" s="208">
        <f t="shared" si="25"/>
        <v>324741</v>
      </c>
      <c r="E80" s="208">
        <f t="shared" si="25"/>
        <v>326597</v>
      </c>
      <c r="F80" s="208">
        <f t="shared" si="25"/>
        <v>334169</v>
      </c>
      <c r="G80" s="208">
        <f t="shared" si="25"/>
        <v>348562</v>
      </c>
      <c r="H80" s="208">
        <f t="shared" si="25"/>
        <v>349767</v>
      </c>
      <c r="I80" s="208">
        <f t="shared" si="25"/>
        <v>360855</v>
      </c>
      <c r="J80" s="208">
        <f t="shared" si="25"/>
        <v>362609</v>
      </c>
      <c r="K80" s="208">
        <f t="shared" si="25"/>
        <v>377029</v>
      </c>
      <c r="L80" s="208">
        <f t="shared" si="25"/>
        <v>401675</v>
      </c>
    </row>
    <row r="100" spans="1:17">
      <c r="N100" s="155" t="s">
        <v>254</v>
      </c>
      <c r="O100" s="155" t="s">
        <v>255</v>
      </c>
      <c r="P100" s="155" t="s">
        <v>256</v>
      </c>
      <c r="Q100" s="155" t="s">
        <v>257</v>
      </c>
    </row>
    <row r="101" spans="1:17">
      <c r="N101" s="155" t="s">
        <v>270</v>
      </c>
      <c r="O101" s="155" t="s">
        <v>271</v>
      </c>
      <c r="P101" s="155" t="s">
        <v>272</v>
      </c>
      <c r="Q101" s="155" t="s">
        <v>273</v>
      </c>
    </row>
    <row r="102" spans="1:17">
      <c r="A102" t="s">
        <v>1385</v>
      </c>
      <c r="N102" s="161">
        <v>572754</v>
      </c>
      <c r="O102" s="161">
        <v>611289</v>
      </c>
      <c r="P102" s="161">
        <v>648125</v>
      </c>
      <c r="Q102" s="161">
        <v>680985</v>
      </c>
    </row>
    <row r="103" spans="1:17">
      <c r="A103" s="154" t="s">
        <v>242</v>
      </c>
      <c r="B103" s="154"/>
      <c r="C103" s="155" t="s">
        <v>243</v>
      </c>
      <c r="D103" s="155" t="s">
        <v>244</v>
      </c>
      <c r="E103" s="155" t="s">
        <v>245</v>
      </c>
      <c r="F103" s="155" t="s">
        <v>246</v>
      </c>
      <c r="G103" s="155" t="s">
        <v>247</v>
      </c>
      <c r="H103" s="155" t="s">
        <v>248</v>
      </c>
      <c r="I103" s="155" t="s">
        <v>249</v>
      </c>
      <c r="J103" s="155" t="s">
        <v>250</v>
      </c>
      <c r="K103" s="155" t="s">
        <v>251</v>
      </c>
      <c r="L103" s="155" t="s">
        <v>252</v>
      </c>
      <c r="M103" s="155" t="s">
        <v>253</v>
      </c>
      <c r="N103" s="160">
        <v>429000</v>
      </c>
      <c r="O103" s="160">
        <v>463721</v>
      </c>
      <c r="P103" s="160">
        <v>490142</v>
      </c>
      <c r="Q103" s="160">
        <v>511753</v>
      </c>
    </row>
    <row r="104" spans="1:17">
      <c r="A104" s="154" t="s">
        <v>258</v>
      </c>
      <c r="B104" s="154"/>
      <c r="C104" s="155" t="s">
        <v>259</v>
      </c>
      <c r="D104" s="155" t="s">
        <v>260</v>
      </c>
      <c r="E104" s="155" t="s">
        <v>261</v>
      </c>
      <c r="F104" s="155" t="s">
        <v>262</v>
      </c>
      <c r="G104" s="155" t="s">
        <v>263</v>
      </c>
      <c r="H104" s="155" t="s">
        <v>264</v>
      </c>
      <c r="I104" s="155" t="s">
        <v>265</v>
      </c>
      <c r="J104" s="155" t="s">
        <v>266</v>
      </c>
      <c r="K104" s="155" t="s">
        <v>267</v>
      </c>
      <c r="L104" s="155" t="s">
        <v>268</v>
      </c>
      <c r="M104" s="155" t="s">
        <v>269</v>
      </c>
      <c r="N104" s="182">
        <f t="shared" ref="D104:Q107" si="26">N102-N103</f>
        <v>143754</v>
      </c>
      <c r="O104" s="182">
        <f t="shared" si="26"/>
        <v>147568</v>
      </c>
      <c r="P104" s="182">
        <f t="shared" si="26"/>
        <v>157983</v>
      </c>
      <c r="Q104" s="182">
        <f t="shared" si="26"/>
        <v>169232</v>
      </c>
    </row>
    <row r="105" spans="1:17">
      <c r="A105" s="156" t="s">
        <v>280</v>
      </c>
      <c r="B105" s="156" t="s">
        <v>281</v>
      </c>
      <c r="C105" s="161">
        <v>421849</v>
      </c>
      <c r="D105" s="161">
        <v>446509</v>
      </c>
      <c r="E105" s="161">
        <v>468651</v>
      </c>
      <c r="F105" s="161">
        <v>476294</v>
      </c>
      <c r="G105" s="161">
        <v>485651</v>
      </c>
      <c r="H105" s="161">
        <v>482130</v>
      </c>
      <c r="I105" s="161">
        <v>485873</v>
      </c>
      <c r="J105" s="161">
        <v>500343</v>
      </c>
      <c r="K105" s="161">
        <v>514405</v>
      </c>
      <c r="L105" s="161">
        <v>523964</v>
      </c>
      <c r="M105" s="161">
        <v>559151</v>
      </c>
      <c r="N105" s="160">
        <v>25942</v>
      </c>
      <c r="O105" s="160">
        <v>20428</v>
      </c>
      <c r="P105" s="160">
        <v>27012</v>
      </c>
      <c r="Q105" s="160">
        <v>29348</v>
      </c>
    </row>
    <row r="106" spans="1:17">
      <c r="A106" s="158" t="s">
        <v>283</v>
      </c>
      <c r="B106" s="158" t="s">
        <v>284</v>
      </c>
      <c r="C106" s="160">
        <v>314946</v>
      </c>
      <c r="D106" s="160">
        <v>334993</v>
      </c>
      <c r="E106" s="160">
        <v>352297</v>
      </c>
      <c r="F106" s="160">
        <v>358069</v>
      </c>
      <c r="G106" s="160">
        <v>365086</v>
      </c>
      <c r="H106" s="160">
        <v>360984</v>
      </c>
      <c r="I106" s="160">
        <v>361256</v>
      </c>
      <c r="J106" s="160">
        <v>373396</v>
      </c>
      <c r="K106" s="160">
        <v>385301</v>
      </c>
      <c r="L106" s="160">
        <v>394605</v>
      </c>
      <c r="M106" s="160">
        <v>420315</v>
      </c>
      <c r="N106" s="182">
        <f t="shared" ref="D106:Q109" si="27">N102-N103-N105</f>
        <v>117812</v>
      </c>
      <c r="O106" s="182">
        <f t="shared" si="27"/>
        <v>127140</v>
      </c>
      <c r="P106" s="182">
        <f t="shared" si="27"/>
        <v>130971</v>
      </c>
      <c r="Q106" s="182">
        <f t="shared" si="27"/>
        <v>139884</v>
      </c>
    </row>
    <row r="107" spans="1:17">
      <c r="A107" t="s">
        <v>1386</v>
      </c>
      <c r="C107" s="182">
        <f>C105-C106</f>
        <v>106903</v>
      </c>
      <c r="D107" s="182">
        <f t="shared" si="26"/>
        <v>111516</v>
      </c>
      <c r="E107" s="182">
        <f t="shared" si="26"/>
        <v>116354</v>
      </c>
      <c r="F107" s="182">
        <f t="shared" si="26"/>
        <v>118225</v>
      </c>
      <c r="G107" s="182">
        <f t="shared" si="26"/>
        <v>120565</v>
      </c>
      <c r="H107" s="182">
        <f t="shared" si="26"/>
        <v>121146</v>
      </c>
      <c r="I107" s="182">
        <f t="shared" si="26"/>
        <v>124617</v>
      </c>
      <c r="J107" s="182">
        <f t="shared" si="26"/>
        <v>126947</v>
      </c>
      <c r="K107" s="182">
        <f t="shared" si="26"/>
        <v>129104</v>
      </c>
      <c r="L107" s="182">
        <f t="shared" si="26"/>
        <v>129359</v>
      </c>
      <c r="M107" s="182">
        <f t="shared" si="26"/>
        <v>138836</v>
      </c>
      <c r="N107" s="160">
        <v>10658</v>
      </c>
      <c r="O107" s="160">
        <v>10945</v>
      </c>
      <c r="P107" s="160">
        <v>11853</v>
      </c>
      <c r="Q107" s="160" t="s">
        <v>296</v>
      </c>
    </row>
    <row r="108" spans="1:17">
      <c r="A108" s="158" t="s">
        <v>287</v>
      </c>
      <c r="B108" s="158" t="s">
        <v>288</v>
      </c>
      <c r="C108" s="160">
        <v>25542</v>
      </c>
      <c r="D108" s="160">
        <v>26491</v>
      </c>
      <c r="E108" s="160">
        <v>27725</v>
      </c>
      <c r="F108" s="160">
        <v>26872</v>
      </c>
      <c r="G108" s="160">
        <v>27147</v>
      </c>
      <c r="H108" s="160">
        <v>24105</v>
      </c>
      <c r="I108" s="160">
        <v>22764</v>
      </c>
      <c r="J108" s="160">
        <v>20437</v>
      </c>
      <c r="K108" s="160">
        <v>21957</v>
      </c>
      <c r="L108" s="160">
        <v>20568</v>
      </c>
      <c r="M108" s="160">
        <v>22548</v>
      </c>
      <c r="N108" s="182">
        <f>'A.Raw Historical data - IS'!N16+'A.Raw Historical data - IS'!N21+'A.Raw Historical data - IS'!N24</f>
        <v>5252</v>
      </c>
      <c r="O108" s="182">
        <f>'A.Raw Historical data - IS'!O16+'A.Raw Historical data - IS'!O21+'A.Raw Historical data - IS'!O24</f>
        <v>1284</v>
      </c>
      <c r="P108" s="182">
        <f>'A.Raw Historical data - IS'!P16+'A.Raw Historical data - IS'!P21+'A.Raw Historical data - IS'!P24</f>
        <v>2481</v>
      </c>
      <c r="Q108" s="182" t="e">
        <f>'A.Raw Historical data - IS'!Q16+'A.Raw Historical data - IS'!Q21+'A.Raw Historical data - IS'!Q24</f>
        <v>#VALUE!</v>
      </c>
    </row>
    <row r="109" spans="1:17">
      <c r="A109" t="s">
        <v>1337</v>
      </c>
      <c r="C109" s="182">
        <f>C105-C106-C108</f>
        <v>81361</v>
      </c>
      <c r="D109" s="182">
        <f t="shared" si="27"/>
        <v>85025</v>
      </c>
      <c r="E109" s="182">
        <f t="shared" si="27"/>
        <v>88629</v>
      </c>
      <c r="F109" s="182">
        <f t="shared" si="27"/>
        <v>91353</v>
      </c>
      <c r="G109" s="182">
        <f t="shared" si="27"/>
        <v>93418</v>
      </c>
      <c r="H109" s="182">
        <f t="shared" si="27"/>
        <v>97041</v>
      </c>
      <c r="I109" s="182">
        <f t="shared" si="27"/>
        <v>101853</v>
      </c>
      <c r="J109" s="182">
        <f t="shared" si="27"/>
        <v>106510</v>
      </c>
      <c r="K109" s="182">
        <f t="shared" si="27"/>
        <v>107147</v>
      </c>
      <c r="L109" s="182">
        <f t="shared" si="27"/>
        <v>108791</v>
      </c>
      <c r="M109" s="182">
        <f t="shared" si="27"/>
        <v>116288</v>
      </c>
      <c r="N109" s="160">
        <v>1674</v>
      </c>
      <c r="O109" s="160">
        <v>1787</v>
      </c>
      <c r="P109" s="160">
        <v>2259</v>
      </c>
      <c r="Q109" s="160">
        <v>2249</v>
      </c>
    </row>
    <row r="110" spans="1:17">
      <c r="A110" s="158" t="s">
        <v>351</v>
      </c>
      <c r="B110" s="158" t="s">
        <v>352</v>
      </c>
      <c r="C110" s="160">
        <v>7600</v>
      </c>
      <c r="D110" s="160">
        <v>8100</v>
      </c>
      <c r="E110" s="160">
        <v>8400</v>
      </c>
      <c r="F110" s="160">
        <v>8800</v>
      </c>
      <c r="G110" s="160">
        <v>9100</v>
      </c>
      <c r="H110" s="160">
        <v>9454</v>
      </c>
      <c r="I110" s="160">
        <v>10080</v>
      </c>
      <c r="J110" s="160">
        <v>10500</v>
      </c>
      <c r="K110" s="160">
        <v>10678</v>
      </c>
      <c r="L110" s="160">
        <v>10987</v>
      </c>
      <c r="M110" s="160">
        <v>11152</v>
      </c>
    </row>
    <row r="111" spans="1:17" ht="15.95">
      <c r="A111" s="181" t="s">
        <v>1339</v>
      </c>
      <c r="C111" s="182" t="e">
        <f>'A.Raw Historical data - IS'!C16+'A.Raw Historical data - IS'!C21+'A.Raw Historical data - IS'!C24</f>
        <v>#VALUE!</v>
      </c>
      <c r="D111" s="182" t="e">
        <f>'A.Raw Historical data - IS'!D16+'A.Raw Historical data - IS'!D21+'A.Raw Historical data - IS'!D24</f>
        <v>#VALUE!</v>
      </c>
      <c r="E111" s="182" t="e">
        <f>'A.Raw Historical data - IS'!E16+'A.Raw Historical data - IS'!E21+'A.Raw Historical data - IS'!E24</f>
        <v>#VALUE!</v>
      </c>
      <c r="F111" s="182" t="e">
        <f>'A.Raw Historical data - IS'!F16+'A.Raw Historical data - IS'!F21+'A.Raw Historical data - IS'!F24</f>
        <v>#VALUE!</v>
      </c>
      <c r="G111" s="182" t="e">
        <f>'A.Raw Historical data - IS'!G16+'A.Raw Historical data - IS'!G21+'A.Raw Historical data - IS'!G24</f>
        <v>#VALUE!</v>
      </c>
      <c r="H111" s="182" t="e">
        <f>'A.Raw Historical data - IS'!H16+'A.Raw Historical data - IS'!H21+'A.Raw Historical data - IS'!H24</f>
        <v>#VALUE!</v>
      </c>
      <c r="I111" s="182">
        <f>'A.Raw Historical data - IS'!I16+'A.Raw Historical data - IS'!I21+'A.Raw Historical data - IS'!I24</f>
        <v>-100</v>
      </c>
      <c r="J111" s="182">
        <f>'A.Raw Historical data - IS'!J16+'A.Raw Historical data - IS'!J21+'A.Raw Historical data - IS'!J24</f>
        <v>2984</v>
      </c>
      <c r="K111" s="182">
        <f>'A.Raw Historical data - IS'!K16+'A.Raw Historical data - IS'!K21+'A.Raw Historical data - IS'!K24</f>
        <v>8151</v>
      </c>
      <c r="L111" s="182" t="e">
        <f>'A.Raw Historical data - IS'!L16+'A.Raw Historical data - IS'!L21+'A.Raw Historical data - IS'!L24</f>
        <v>#VALUE!</v>
      </c>
      <c r="M111" s="182">
        <f>'A.Raw Historical data - IS'!M16+'A.Raw Historical data - IS'!M21+'A.Raw Historical data - IS'!M24</f>
        <v>-331</v>
      </c>
    </row>
    <row r="112" spans="1:17">
      <c r="A112" t="s">
        <v>1387</v>
      </c>
      <c r="C112" s="160">
        <v>2205</v>
      </c>
      <c r="D112" s="160">
        <v>2320</v>
      </c>
      <c r="E112" s="160">
        <v>1977</v>
      </c>
      <c r="F112" s="160">
        <v>2072</v>
      </c>
      <c r="G112" s="160">
        <v>2161</v>
      </c>
      <c r="H112" s="160">
        <v>2027</v>
      </c>
      <c r="I112" s="160">
        <v>2044</v>
      </c>
      <c r="J112" s="160">
        <v>1978</v>
      </c>
      <c r="K112" s="160">
        <v>1975</v>
      </c>
      <c r="L112" s="160">
        <v>2262</v>
      </c>
      <c r="M112" s="160">
        <v>1976</v>
      </c>
    </row>
    <row r="114" spans="1:1">
      <c r="A114" t="s">
        <v>1148</v>
      </c>
    </row>
    <row r="115" spans="1:1">
      <c r="A115" t="s">
        <v>1149</v>
      </c>
    </row>
    <row r="116" spans="1:1">
      <c r="A116" t="s">
        <v>1345</v>
      </c>
    </row>
    <row r="117" spans="1:1">
      <c r="A117" t="s">
        <v>1344</v>
      </c>
    </row>
    <row r="118" spans="1:1" ht="32.1">
      <c r="A118" s="181" t="s">
        <v>1388</v>
      </c>
    </row>
    <row r="119" spans="1:1">
      <c r="A119" t="s">
        <v>1389</v>
      </c>
    </row>
    <row r="120" spans="1:1" ht="32.1">
      <c r="A120" s="181" t="s">
        <v>1390</v>
      </c>
    </row>
    <row r="121" spans="1:1">
      <c r="A121" t="s">
        <v>1391</v>
      </c>
    </row>
    <row r="122" spans="1:1" ht="32.1">
      <c r="A122" s="183" t="s">
        <v>1392</v>
      </c>
    </row>
    <row r="130" spans="1:23">
      <c r="A130" t="str">
        <f>'B. Integrated Fin - Balance S.'!A3</f>
        <v>12 Months Ending</v>
      </c>
      <c r="B130" t="str">
        <f>'B. Integrated Fin - Balance S.'!B3</f>
        <v>FY 2015</v>
      </c>
      <c r="C130" t="str">
        <f>'B. Integrated Fin - Balance S.'!C3</f>
        <v>FY 2016</v>
      </c>
      <c r="D130" t="str">
        <f>'B. Integrated Fin - Balance S.'!D3</f>
        <v>FY 2017</v>
      </c>
      <c r="E130" t="str">
        <f>'B. Integrated Fin - Balance S.'!E3</f>
        <v>FY 2018</v>
      </c>
      <c r="F130" t="str">
        <f>'B. Integrated Fin - Balance S.'!F3</f>
        <v>FY 2019</v>
      </c>
      <c r="G130" t="str">
        <f>'B. Integrated Fin - Balance S.'!G3</f>
        <v>FY 2020</v>
      </c>
      <c r="H130" t="str">
        <f>'B. Integrated Fin - Balance S.'!H3</f>
        <v>FY 2021</v>
      </c>
      <c r="I130" t="str">
        <f>'B. Integrated Fin - Balance S.'!I3</f>
        <v>FY 2022</v>
      </c>
      <c r="J130" t="str">
        <f>'B. Integrated Fin - Balance S.'!J3</f>
        <v>FY 2023</v>
      </c>
      <c r="K130" t="str">
        <f>'B. Integrated Fin - Balance S.'!K3</f>
        <v>FY 2024</v>
      </c>
      <c r="L130" t="str">
        <f>'B. Integrated Fin - Balance S.'!L3</f>
        <v>FY 2025</v>
      </c>
      <c r="M130">
        <f>'B. Integrated Fin - Balance S.'!M3</f>
        <v>2026</v>
      </c>
      <c r="N130">
        <f>'B. Integrated Fin - Balance S.'!N3</f>
        <v>2027</v>
      </c>
      <c r="O130">
        <f>'B. Integrated Fin - Balance S.'!O3</f>
        <v>2028</v>
      </c>
      <c r="P130">
        <f>'B. Integrated Fin - Balance S.'!P3</f>
        <v>2029</v>
      </c>
      <c r="Q130">
        <f>'B. Integrated Fin - Balance S.'!Q3</f>
        <v>2030</v>
      </c>
      <c r="R130">
        <f>'B. Integrated Fin - Balance S.'!R3</f>
        <v>2031</v>
      </c>
      <c r="S130">
        <f>'B. Integrated Fin - Balance S.'!S3</f>
        <v>2032</v>
      </c>
      <c r="T130">
        <f>'B. Integrated Fin - Balance S.'!T3</f>
        <v>2033</v>
      </c>
      <c r="U130">
        <f>'B. Integrated Fin - Balance S.'!U3</f>
        <v>2034</v>
      </c>
      <c r="V130">
        <f>'B. Integrated Fin - Balance S.'!V3</f>
        <v>2035</v>
      </c>
      <c r="W130" t="str">
        <f>'B. Integrated Fin - Balance S.'!W3</f>
        <v>CV</v>
      </c>
    </row>
    <row r="131" spans="1:23">
      <c r="A131" t="str">
        <f>'B. Integrated Fin - Balance S.'!A4</f>
        <v>Assets</v>
      </c>
      <c r="B131">
        <f>'B. Integrated Fin - Balance S.'!B4</f>
        <v>0</v>
      </c>
      <c r="C131">
        <f>'B. Integrated Fin - Balance S.'!C4</f>
        <v>0</v>
      </c>
      <c r="D131">
        <f>'B. Integrated Fin - Balance S.'!D4</f>
        <v>0</v>
      </c>
      <c r="E131">
        <f>'B. Integrated Fin - Balance S.'!E4</f>
        <v>0</v>
      </c>
      <c r="F131">
        <f>'B. Integrated Fin - Balance S.'!F4</f>
        <v>0</v>
      </c>
      <c r="G131">
        <f>'B. Integrated Fin - Balance S.'!G4</f>
        <v>0</v>
      </c>
      <c r="H131">
        <f>'B. Integrated Fin - Balance S.'!H4</f>
        <v>0</v>
      </c>
      <c r="I131">
        <f>'B. Integrated Fin - Balance S.'!I4</f>
        <v>0</v>
      </c>
      <c r="J131">
        <f>'B. Integrated Fin - Balance S.'!J4</f>
        <v>0</v>
      </c>
      <c r="K131">
        <f>'B. Integrated Fin - Balance S.'!K4</f>
        <v>0</v>
      </c>
      <c r="L131">
        <f>'B. Integrated Fin - Balance S.'!L4</f>
        <v>0</v>
      </c>
      <c r="M131">
        <f>'B. Integrated Fin - Balance S.'!M4</f>
        <v>0</v>
      </c>
      <c r="N131">
        <f>'B. Integrated Fin - Balance S.'!N4</f>
        <v>0</v>
      </c>
      <c r="O131">
        <f>'B. Integrated Fin - Balance S.'!O4</f>
        <v>0</v>
      </c>
      <c r="P131">
        <f>'B. Integrated Fin - Balance S.'!P4</f>
        <v>0</v>
      </c>
      <c r="Q131">
        <f>'B. Integrated Fin - Balance S.'!Q4</f>
        <v>0</v>
      </c>
      <c r="R131">
        <f>'B. Integrated Fin - Balance S.'!R4</f>
        <v>0</v>
      </c>
      <c r="S131">
        <f>'B. Integrated Fin - Balance S.'!S4</f>
        <v>0</v>
      </c>
      <c r="T131">
        <f>'B. Integrated Fin - Balance S.'!T4</f>
        <v>0</v>
      </c>
      <c r="U131">
        <f>'B. Integrated Fin - Balance S.'!U4</f>
        <v>0</v>
      </c>
      <c r="V131">
        <f>'B. Integrated Fin - Balance S.'!V4</f>
        <v>0</v>
      </c>
      <c r="W131">
        <f>'B. Integrated Fin - Balance S.'!W4</f>
        <v>0</v>
      </c>
    </row>
    <row r="132" spans="1:23">
      <c r="A132" t="str">
        <f>'B. Integrated Fin - Balance S.'!A5</f>
        <v>Operating Current Asset</v>
      </c>
      <c r="B132">
        <f>'B. Integrated Fin - Balance S.'!B5</f>
        <v>54143</v>
      </c>
      <c r="C132">
        <f>'B. Integrated Fin - Balance S.'!C5</f>
        <v>51534</v>
      </c>
      <c r="D132">
        <f>'B. Integrated Fin - Balance S.'!D5</f>
        <v>50822</v>
      </c>
      <c r="E132">
        <f>'B. Integrated Fin - Balance S.'!E5</f>
        <v>52908</v>
      </c>
      <c r="F132">
        <f>'B. Integrated Fin - Balance S.'!F5</f>
        <v>54175</v>
      </c>
      <c r="G132">
        <f>'B. Integrated Fin - Balance S.'!G5</f>
        <v>52341</v>
      </c>
      <c r="H132">
        <f>'B. Integrated Fin - Balance S.'!H5</f>
        <v>72326</v>
      </c>
      <c r="I132">
        <f>'B. Integrated Fin - Balance S.'!I5</f>
        <v>66310</v>
      </c>
      <c r="J132">
        <f>'B. Integrated Fin - Balance S.'!J5</f>
        <v>67030</v>
      </c>
      <c r="K132">
        <f>'B. Integrated Fin - Balance S.'!K5</f>
        <v>67010</v>
      </c>
      <c r="L132">
        <f>'B. Integrated Fin - Balance S.'!L5</f>
        <v>70421</v>
      </c>
      <c r="M132">
        <f>'B. Integrated Fin - Balance S.'!M5</f>
        <v>78453.870336761378</v>
      </c>
      <c r="N132">
        <f>'B. Integrated Fin - Balance S.'!N5</f>
        <v>81984.294501915647</v>
      </c>
      <c r="O132">
        <f>'B. Integrated Fin - Balance S.'!O5</f>
        <v>85673.58775450183</v>
      </c>
      <c r="P132">
        <f>'B. Integrated Fin - Balance S.'!P5</f>
        <v>89528.899203454421</v>
      </c>
      <c r="Q132">
        <f>'B. Integrated Fin - Balance S.'!Q5</f>
        <v>93557.69966760985</v>
      </c>
      <c r="R132">
        <f>'B. Integrated Fin - Balance S.'!R5</f>
        <v>97767.796152652285</v>
      </c>
      <c r="S132">
        <f>'B. Integrated Fin - Balance S.'!S5</f>
        <v>101434.08850837675</v>
      </c>
      <c r="T132">
        <f>'B. Integrated Fin - Balance S.'!T5</f>
        <v>104667.30007958124</v>
      </c>
      <c r="U132">
        <f>'B. Integrated Fin - Balance S.'!U5</f>
        <v>107414.81670667023</v>
      </c>
      <c r="V132">
        <f>'B. Integrated Fin - Balance S.'!V5</f>
        <v>109630.2473012453</v>
      </c>
      <c r="W132">
        <f>'B. Integrated Fin - Balance S.'!W5</f>
        <v>111583.03608129873</v>
      </c>
    </row>
    <row r="133" spans="1:23">
      <c r="A133" t="str">
        <f>'B. Integrated Fin - Balance S.'!A6</f>
        <v>Operating Current Liabilities</v>
      </c>
      <c r="B133">
        <f>'B. Integrated Fin - Balance S.'!B6</f>
        <v>58526</v>
      </c>
      <c r="C133">
        <f>'B. Integrated Fin - Balance S.'!C6</f>
        <v>58615</v>
      </c>
      <c r="D133">
        <f>'B. Integrated Fin - Balance S.'!D6</f>
        <v>63008</v>
      </c>
      <c r="E133">
        <f>'B. Integrated Fin - Balance S.'!E6</f>
        <v>68859</v>
      </c>
      <c r="F133">
        <f>'B. Integrated Fin - Balance S.'!F6</f>
        <v>69647</v>
      </c>
      <c r="G133">
        <f>'B. Integrated Fin - Balance S.'!G6</f>
        <v>69549</v>
      </c>
      <c r="H133">
        <f>'B. Integrated Fin - Balance S.'!H6</f>
        <v>87349</v>
      </c>
      <c r="I133">
        <f>'B. Integrated Fin - Balance S.'!I6</f>
        <v>82172</v>
      </c>
      <c r="J133">
        <f>'B. Integrated Fin - Balance S.'!J6</f>
        <v>85595</v>
      </c>
      <c r="K133">
        <f>'B. Integrated Fin - Balance S.'!K6</f>
        <v>85878</v>
      </c>
      <c r="L133">
        <f>'B. Integrated Fin - Balance S.'!L6</f>
        <v>88619</v>
      </c>
      <c r="M133">
        <f>'B. Integrated Fin - Balance S.'!M6</f>
        <v>99877.296391072116</v>
      </c>
      <c r="N133">
        <f>'B. Integrated Fin - Balance S.'!N6</f>
        <v>104371.77472867035</v>
      </c>
      <c r="O133">
        <f>'B. Integrated Fin - Balance S.'!O6</f>
        <v>109068.50459146051</v>
      </c>
      <c r="P133">
        <f>'B. Integrated Fin - Balance S.'!P6</f>
        <v>113976.58729807624</v>
      </c>
      <c r="Q133">
        <f>'B. Integrated Fin - Balance S.'!Q6</f>
        <v>119105.53372648965</v>
      </c>
      <c r="R133">
        <f>'B. Integrated Fin - Balance S.'!R6</f>
        <v>124465.28274418168</v>
      </c>
      <c r="S133">
        <f>'B. Integrated Fin - Balance S.'!S6</f>
        <v>129132.73084708847</v>
      </c>
      <c r="T133">
        <f>'B. Integrated Fin - Balance S.'!T6</f>
        <v>133248.83664283942</v>
      </c>
      <c r="U133">
        <f>'B. Integrated Fin - Balance S.'!U6</f>
        <v>136746.61860471393</v>
      </c>
      <c r="V133">
        <f>'B. Integrated Fin - Balance S.'!V6</f>
        <v>139567.01761343612</v>
      </c>
      <c r="W133">
        <f>'B. Integrated Fin - Balance S.'!W6</f>
        <v>142053.05511467549</v>
      </c>
    </row>
    <row r="134" spans="1:23">
      <c r="A134" t="str">
        <f>'B. Integrated Fin - Balance S.'!A7</f>
        <v>Net Operating Working Capital</v>
      </c>
      <c r="B134">
        <f>'B. Integrated Fin - Balance S.'!B7</f>
        <v>-4383</v>
      </c>
      <c r="C134">
        <f>'B. Integrated Fin - Balance S.'!C7</f>
        <v>-7081</v>
      </c>
      <c r="D134">
        <f>'B. Integrated Fin - Balance S.'!D7</f>
        <v>-12186</v>
      </c>
      <c r="E134">
        <f>'B. Integrated Fin - Balance S.'!E7</f>
        <v>-15951</v>
      </c>
      <c r="F134">
        <f>'B. Integrated Fin - Balance S.'!F7</f>
        <v>-15472</v>
      </c>
      <c r="G134">
        <f>'B. Integrated Fin - Balance S.'!G7</f>
        <v>-17208</v>
      </c>
      <c r="H134">
        <f>'B. Integrated Fin - Balance S.'!H7</f>
        <v>-15023</v>
      </c>
      <c r="I134">
        <f>'B. Integrated Fin - Balance S.'!I7</f>
        <v>-15862</v>
      </c>
      <c r="J134">
        <f>'B. Integrated Fin - Balance S.'!J7</f>
        <v>-18565</v>
      </c>
      <c r="K134">
        <f>'B. Integrated Fin - Balance S.'!K7</f>
        <v>-18868</v>
      </c>
      <c r="L134">
        <f>'B. Integrated Fin - Balance S.'!L7</f>
        <v>-18198</v>
      </c>
      <c r="M134">
        <f>'B. Integrated Fin - Balance S.'!M7</f>
        <v>-20034.75033963118</v>
      </c>
      <c r="N134">
        <f>'B. Integrated Fin - Balance S.'!N7</f>
        <v>-20936.314104914585</v>
      </c>
      <c r="O134">
        <f>'B. Integrated Fin - Balance S.'!O7</f>
        <v>-21878.448239635738</v>
      </c>
      <c r="P134">
        <f>'B. Integrated Fin - Balance S.'!P7</f>
        <v>-22862.978410419346</v>
      </c>
      <c r="Q134">
        <f>'B. Integrated Fin - Balance S.'!Q7</f>
        <v>-23891.812438888213</v>
      </c>
      <c r="R134">
        <f>'B. Integrated Fin - Balance S.'!R7</f>
        <v>-24966.943998638184</v>
      </c>
      <c r="S134">
        <f>'B. Integrated Fin - Balance S.'!S7</f>
        <v>-25903.204398587113</v>
      </c>
      <c r="T134">
        <f>'B. Integrated Fin - Balance S.'!T7</f>
        <v>-26728.869038792076</v>
      </c>
      <c r="U134">
        <f>'B. Integrated Fin - Balance S.'!U7</f>
        <v>-27430.501851060362</v>
      </c>
      <c r="V134">
        <f>'B. Integrated Fin - Balance S.'!V7</f>
        <v>-27996.25595173848</v>
      </c>
      <c r="W134">
        <f>'B. Integrated Fin - Balance S.'!W7</f>
        <v>-28494.939260878822</v>
      </c>
    </row>
    <row r="135" spans="1:23">
      <c r="A135">
        <f>'B. Integrated Fin - Balance S.'!A8</f>
        <v>0</v>
      </c>
      <c r="B135">
        <f>'B. Integrated Fin - Balance S.'!B8</f>
        <v>0</v>
      </c>
      <c r="C135">
        <f>'B. Integrated Fin - Balance S.'!C8</f>
        <v>0</v>
      </c>
      <c r="D135">
        <f>'B. Integrated Fin - Balance S.'!D8</f>
        <v>0</v>
      </c>
      <c r="E135">
        <f>'B. Integrated Fin - Balance S.'!E8</f>
        <v>0</v>
      </c>
      <c r="F135">
        <f>'B. Integrated Fin - Balance S.'!F8</f>
        <v>0</v>
      </c>
      <c r="G135">
        <f>'B. Integrated Fin - Balance S.'!G8</f>
        <v>0</v>
      </c>
      <c r="H135">
        <f>'B. Integrated Fin - Balance S.'!H8</f>
        <v>0</v>
      </c>
      <c r="I135">
        <f>'B. Integrated Fin - Balance S.'!I8</f>
        <v>0</v>
      </c>
      <c r="J135">
        <f>'B. Integrated Fin - Balance S.'!J8</f>
        <v>0</v>
      </c>
      <c r="K135">
        <f>'B. Integrated Fin - Balance S.'!K8</f>
        <v>0</v>
      </c>
      <c r="L135">
        <f>'B. Integrated Fin - Balance S.'!L8</f>
        <v>0</v>
      </c>
      <c r="M135">
        <f>'B. Integrated Fin - Balance S.'!M8</f>
        <v>0</v>
      </c>
      <c r="N135">
        <f>'B. Integrated Fin - Balance S.'!N8</f>
        <v>0</v>
      </c>
      <c r="O135">
        <f>'B. Integrated Fin - Balance S.'!O8</f>
        <v>0</v>
      </c>
      <c r="P135">
        <f>'B. Integrated Fin - Balance S.'!P8</f>
        <v>0</v>
      </c>
      <c r="Q135">
        <f>'B. Integrated Fin - Balance S.'!Q8</f>
        <v>0</v>
      </c>
      <c r="R135">
        <f>'B. Integrated Fin - Balance S.'!R8</f>
        <v>0</v>
      </c>
      <c r="S135">
        <f>'B. Integrated Fin - Balance S.'!S8</f>
        <v>0</v>
      </c>
      <c r="T135">
        <f>'B. Integrated Fin - Balance S.'!T8</f>
        <v>0</v>
      </c>
      <c r="U135">
        <f>'B. Integrated Fin - Balance S.'!U8</f>
        <v>0</v>
      </c>
      <c r="V135">
        <f>'B. Integrated Fin - Balance S.'!V8</f>
        <v>0</v>
      </c>
      <c r="W135">
        <f>'B. Integrated Fin - Balance S.'!W8</f>
        <v>0</v>
      </c>
    </row>
    <row r="136" spans="1:23">
      <c r="A136" t="str">
        <f>'B. Integrated Fin - Balance S.'!A9</f>
        <v>Operating Long-Term Assets</v>
      </c>
      <c r="B136">
        <f>'B. Integrated Fin - Balance S.'!B9</f>
        <v>116655</v>
      </c>
      <c r="C136">
        <f>'B. Integrated Fin - Balance S.'!C9</f>
        <v>116516</v>
      </c>
      <c r="D136">
        <f>'B. Integrated Fin - Balance S.'!D9</f>
        <v>114178</v>
      </c>
      <c r="E136">
        <f>'B. Integrated Fin - Balance S.'!E9</f>
        <v>114818</v>
      </c>
      <c r="F136">
        <f>'B. Integrated Fin - Balance S.'!F9</f>
        <v>111395</v>
      </c>
      <c r="G136">
        <f>'B. Integrated Fin - Balance S.'!G9</f>
        <v>127049</v>
      </c>
      <c r="H136">
        <f>'B. Integrated Fin - Balance S.'!H9</f>
        <v>109848</v>
      </c>
      <c r="I136">
        <f>'B. Integrated Fin - Balance S.'!I9</f>
        <v>112624</v>
      </c>
      <c r="J136">
        <f>'B. Integrated Fin - Balance S.'!J9</f>
        <v>119234</v>
      </c>
      <c r="K136">
        <f>'B. Integrated Fin - Balance S.'!K9</f>
        <v>130338</v>
      </c>
      <c r="L136">
        <f>'B. Integrated Fin - Balance S.'!L9</f>
        <v>139704</v>
      </c>
      <c r="M136">
        <f>'B. Integrated Fin - Balance S.'!M9</f>
        <v>125722.17956629394</v>
      </c>
      <c r="N136">
        <f>'B. Integrated Fin - Balance S.'!N9</f>
        <v>131379.67764677716</v>
      </c>
      <c r="O136">
        <f>'B. Integrated Fin - Balance S.'!O9</f>
        <v>137291.76314088213</v>
      </c>
      <c r="P136">
        <f>'B. Integrated Fin - Balance S.'!P9</f>
        <v>143469.89248222183</v>
      </c>
      <c r="Q136">
        <f>'B. Integrated Fin - Balance S.'!Q9</f>
        <v>149926.03764392177</v>
      </c>
      <c r="R136">
        <f>'B. Integrated Fin - Balance S.'!R9</f>
        <v>156672.70933789824</v>
      </c>
      <c r="S136">
        <f>'B. Integrated Fin - Balance S.'!S9</f>
        <v>162547.93593806942</v>
      </c>
      <c r="T136">
        <f>'B. Integrated Fin - Balance S.'!T9</f>
        <v>167729.15139609537</v>
      </c>
      <c r="U136">
        <f>'B. Integrated Fin - Balance S.'!U9</f>
        <v>172132.04162024285</v>
      </c>
      <c r="V136">
        <f>'B. Integrated Fin - Balance S.'!V9</f>
        <v>175682.26497866033</v>
      </c>
      <c r="W136">
        <f>'B. Integrated Fin - Balance S.'!W9</f>
        <v>178811.60532359272</v>
      </c>
    </row>
    <row r="137" spans="1:23">
      <c r="A137" t="str">
        <f>'B. Integrated Fin - Balance S.'!A10</f>
        <v>Operating Long-Term Liabilities</v>
      </c>
      <c r="B137">
        <f>'B. Integrated Fin - Balance S.'!B10</f>
        <v>13478</v>
      </c>
      <c r="C137">
        <f>'B. Integrated Fin - Balance S.'!C10</f>
        <v>10965</v>
      </c>
      <c r="D137">
        <f>'B. Integrated Fin - Balance S.'!D10</f>
        <v>12553</v>
      </c>
      <c r="E137">
        <f>'B. Integrated Fin - Balance S.'!E10</f>
        <v>12395</v>
      </c>
      <c r="F137">
        <f>'B. Integrated Fin - Balance S.'!F10</f>
        <v>15844</v>
      </c>
      <c r="G137">
        <f>'B. Integrated Fin - Balance S.'!G10</f>
        <v>12961</v>
      </c>
      <c r="H137">
        <f>'B. Integrated Fin - Balance S.'!H10</f>
        <v>14370</v>
      </c>
      <c r="I137">
        <f>'B. Integrated Fin - Balance S.'!I10</f>
        <v>13474</v>
      </c>
      <c r="J137">
        <f>'B. Integrated Fin - Balance S.'!J10</f>
        <v>14688</v>
      </c>
      <c r="K137">
        <f>'B. Integrated Fin - Balance S.'!K10</f>
        <v>14629</v>
      </c>
      <c r="L137">
        <f>'B. Integrated Fin - Balance S.'!L10</f>
        <v>14398</v>
      </c>
      <c r="M137">
        <f>'B. Integrated Fin - Balance S.'!M10</f>
        <v>6960.4438393262099</v>
      </c>
      <c r="N137">
        <f>'B. Integrated Fin - Balance S.'!N10</f>
        <v>-12994.836621610171</v>
      </c>
      <c r="O137">
        <f>'B. Integrated Fin - Balance S.'!O10</f>
        <v>-13579.604269582604</v>
      </c>
      <c r="P137">
        <f>'B. Integrated Fin - Balance S.'!P10</f>
        <v>-14190.686461713834</v>
      </c>
      <c r="Q137">
        <f>'B. Integrated Fin - Balance S.'!Q10</f>
        <v>-14829.267352490919</v>
      </c>
      <c r="R137">
        <f>'B. Integrated Fin - Balance S.'!R10</f>
        <v>-15496.584383353067</v>
      </c>
      <c r="S137">
        <f>'B. Integrated Fin - Balance S.'!S10</f>
        <v>-14953.261015399359</v>
      </c>
      <c r="T137">
        <f>'B. Integrated Fin - Balance S.'!T10</f>
        <v>-14548.612220239535</v>
      </c>
      <c r="U137">
        <f>'B. Integrated Fin - Balance S.'!U10</f>
        <v>-14016.18115136915</v>
      </c>
      <c r="V137">
        <f>'B. Integrated Fin - Balance S.'!V10</f>
        <v>-13361.788411013142</v>
      </c>
      <c r="W137">
        <f>'B. Integrated Fin - Balance S.'!W10</f>
        <v>-13115.67390002741</v>
      </c>
    </row>
    <row r="138" spans="1:23">
      <c r="A138" t="str">
        <f>'B. Integrated Fin - Balance S.'!A11</f>
        <v>Net Op Long-Term Assets</v>
      </c>
      <c r="B138">
        <f>'B. Integrated Fin - Balance S.'!B11</f>
        <v>103177</v>
      </c>
      <c r="C138">
        <f>'B. Integrated Fin - Balance S.'!C11</f>
        <v>105551</v>
      </c>
      <c r="D138">
        <f>'B. Integrated Fin - Balance S.'!D11</f>
        <v>101625</v>
      </c>
      <c r="E138">
        <f>'B. Integrated Fin - Balance S.'!E11</f>
        <v>102423</v>
      </c>
      <c r="F138">
        <f>'B. Integrated Fin - Balance S.'!F11</f>
        <v>95551</v>
      </c>
      <c r="G138">
        <f>'B. Integrated Fin - Balance S.'!G11</f>
        <v>114088</v>
      </c>
      <c r="H138">
        <f>'B. Integrated Fin - Balance S.'!H11</f>
        <v>95478</v>
      </c>
      <c r="I138">
        <f>'B. Integrated Fin - Balance S.'!I11</f>
        <v>99150</v>
      </c>
      <c r="J138">
        <f>'B. Integrated Fin - Balance S.'!J11</f>
        <v>104546</v>
      </c>
      <c r="K138">
        <f>'B. Integrated Fin - Balance S.'!K11</f>
        <v>115709</v>
      </c>
      <c r="L138">
        <f>'B. Integrated Fin - Balance S.'!L11</f>
        <v>125306</v>
      </c>
      <c r="M138">
        <f>'B. Integrated Fin - Balance S.'!M11</f>
        <v>132743.55616067379</v>
      </c>
      <c r="N138">
        <f>'B. Integrated Fin - Balance S.'!N11</f>
        <v>138717.01618790411</v>
      </c>
      <c r="O138">
        <f>'B. Integrated Fin - Balance S.'!O11</f>
        <v>144959.28191635976</v>
      </c>
      <c r="P138">
        <f>'B. Integrated Fin - Balance S.'!P11</f>
        <v>151482.44960259597</v>
      </c>
      <c r="Q138">
        <f>'B. Integrated Fin - Balance S.'!Q11</f>
        <v>158299.15983471274</v>
      </c>
      <c r="R138">
        <f>'B. Integrated Fin - Balance S.'!R11</f>
        <v>165422.62202727483</v>
      </c>
      <c r="S138">
        <f>'B. Integrated Fin - Balance S.'!S11</f>
        <v>171625.9703532976</v>
      </c>
      <c r="T138">
        <f>'B. Integrated Fin - Balance S.'!T11</f>
        <v>177096.54815830896</v>
      </c>
      <c r="U138">
        <f>'B. Integrated Fin - Balance S.'!U11</f>
        <v>181745.33254746452</v>
      </c>
      <c r="V138">
        <f>'B. Integrated Fin - Balance S.'!V11</f>
        <v>185493.83003125599</v>
      </c>
      <c r="W138">
        <f>'B. Integrated Fin - Balance S.'!W11</f>
        <v>188797.93887868774</v>
      </c>
    </row>
    <row r="139" spans="1:23">
      <c r="A139">
        <f>'B. Integrated Fin - Balance S.'!A12</f>
        <v>0</v>
      </c>
      <c r="B139">
        <f>'B. Integrated Fin - Balance S.'!B12</f>
        <v>0</v>
      </c>
      <c r="C139">
        <f>'B. Integrated Fin - Balance S.'!C12</f>
        <v>0</v>
      </c>
      <c r="D139">
        <f>'B. Integrated Fin - Balance S.'!D12</f>
        <v>0</v>
      </c>
      <c r="E139">
        <f>'B. Integrated Fin - Balance S.'!E12</f>
        <v>0</v>
      </c>
      <c r="F139">
        <f>'B. Integrated Fin - Balance S.'!F12</f>
        <v>0</v>
      </c>
      <c r="G139">
        <f>'B. Integrated Fin - Balance S.'!G12</f>
        <v>0</v>
      </c>
      <c r="H139">
        <f>'B. Integrated Fin - Balance S.'!H12</f>
        <v>0</v>
      </c>
      <c r="I139">
        <f>'B. Integrated Fin - Balance S.'!I12</f>
        <v>0</v>
      </c>
      <c r="J139">
        <f>'B. Integrated Fin - Balance S.'!J12</f>
        <v>0</v>
      </c>
      <c r="K139">
        <f>'B. Integrated Fin - Balance S.'!K12</f>
        <v>0</v>
      </c>
      <c r="L139">
        <f>'B. Integrated Fin - Balance S.'!L12</f>
        <v>0</v>
      </c>
      <c r="M139">
        <f>'B. Integrated Fin - Balance S.'!M12</f>
        <v>0</v>
      </c>
      <c r="N139">
        <f>'B. Integrated Fin - Balance S.'!N12</f>
        <v>0</v>
      </c>
      <c r="O139">
        <f>'B. Integrated Fin - Balance S.'!O12</f>
        <v>0</v>
      </c>
      <c r="P139">
        <f>'B. Integrated Fin - Balance S.'!P12</f>
        <v>0</v>
      </c>
      <c r="Q139">
        <f>'B. Integrated Fin - Balance S.'!Q12</f>
        <v>0</v>
      </c>
      <c r="R139">
        <f>'B. Integrated Fin - Balance S.'!R12</f>
        <v>0</v>
      </c>
      <c r="S139">
        <f>'B. Integrated Fin - Balance S.'!S12</f>
        <v>0</v>
      </c>
      <c r="T139">
        <f>'B. Integrated Fin - Balance S.'!T12</f>
        <v>0</v>
      </c>
      <c r="U139">
        <f>'B. Integrated Fin - Balance S.'!U12</f>
        <v>0</v>
      </c>
      <c r="V139">
        <f>'B. Integrated Fin - Balance S.'!V12</f>
        <v>0</v>
      </c>
      <c r="W139">
        <f>'B. Integrated Fin - Balance S.'!W12</f>
        <v>0</v>
      </c>
    </row>
    <row r="140" spans="1:23">
      <c r="A140" t="str">
        <f>'B. Integrated Fin - Balance S.'!A13</f>
        <v>Goodwill &amp; Intangibles</v>
      </c>
      <c r="B140">
        <f>'B. Integrated Fin - Balance S.'!B13</f>
        <v>18102</v>
      </c>
      <c r="C140">
        <f>'B. Integrated Fin - Balance S.'!C13</f>
        <v>16695</v>
      </c>
      <c r="D140">
        <f>'B. Integrated Fin - Balance S.'!D13</f>
        <v>17037</v>
      </c>
      <c r="E140">
        <f>'B. Integrated Fin - Balance S.'!E13</f>
        <v>18242</v>
      </c>
      <c r="F140">
        <f>'B. Integrated Fin - Balance S.'!F13</f>
        <v>31181</v>
      </c>
      <c r="G140">
        <f>'B. Integrated Fin - Balance S.'!G13</f>
        <v>31073</v>
      </c>
      <c r="H140">
        <f>'B. Integrated Fin - Balance S.'!H13</f>
        <v>33883</v>
      </c>
      <c r="I140">
        <f>'B. Integrated Fin - Balance S.'!I13</f>
        <v>33814</v>
      </c>
      <c r="J140">
        <f>'B. Integrated Fin - Balance S.'!J13</f>
        <v>32474</v>
      </c>
      <c r="K140">
        <f>'B. Integrated Fin - Balance S.'!K13</f>
        <v>32213</v>
      </c>
      <c r="L140">
        <f>'B. Integrated Fin - Balance S.'!L13</f>
        <v>33292</v>
      </c>
      <c r="M140">
        <f>'B. Integrated Fin - Balance S.'!M13</f>
        <v>38619.901173421364</v>
      </c>
      <c r="N140">
        <f>'B. Integrated Fin - Balance S.'!N13</f>
        <v>40357.796726225322</v>
      </c>
      <c r="O140">
        <f>'B. Integrated Fin - Balance S.'!O13</f>
        <v>42173.89757890546</v>
      </c>
      <c r="P140">
        <f>'B. Integrated Fin - Balance S.'!P13</f>
        <v>44071.722969956201</v>
      </c>
      <c r="Q140">
        <f>'B. Integrated Fin - Balance S.'!Q13</f>
        <v>46054.950503604225</v>
      </c>
      <c r="R140">
        <f>'B. Integrated Fin - Balance S.'!R13</f>
        <v>48127.423276266411</v>
      </c>
      <c r="S140">
        <f>'B. Integrated Fin - Balance S.'!S13</f>
        <v>49932.2016491264</v>
      </c>
      <c r="T140">
        <f>'B. Integrated Fin - Balance S.'!T13</f>
        <v>51523.7905766923</v>
      </c>
      <c r="U140">
        <f>'B. Integrated Fin - Balance S.'!U13</f>
        <v>52876.290079330465</v>
      </c>
      <c r="V140">
        <f>'B. Integrated Fin - Balance S.'!V13</f>
        <v>53966.863562216648</v>
      </c>
      <c r="W140">
        <f>'B. Integrated Fin - Balance S.'!W13</f>
        <v>54928.148319418637</v>
      </c>
    </row>
    <row r="141" spans="1:23">
      <c r="A141" t="str">
        <f>'B. Integrated Fin - Balance S.'!A14</f>
        <v>Net Operating Assets [Invested Capital]</v>
      </c>
      <c r="B141">
        <f>'B. Integrated Fin - Balance S.'!B14</f>
        <v>116896</v>
      </c>
      <c r="C141">
        <f>'B. Integrated Fin - Balance S.'!C14</f>
        <v>115165</v>
      </c>
      <c r="D141">
        <f>'B. Integrated Fin - Balance S.'!D14</f>
        <v>106476</v>
      </c>
      <c r="E141">
        <f>'B. Integrated Fin - Balance S.'!E14</f>
        <v>104714</v>
      </c>
      <c r="F141">
        <f>'B. Integrated Fin - Balance S.'!F14</f>
        <v>111260</v>
      </c>
      <c r="G141">
        <f>'B. Integrated Fin - Balance S.'!G14</f>
        <v>127953</v>
      </c>
      <c r="H141">
        <f>'B. Integrated Fin - Balance S.'!H14</f>
        <v>114338</v>
      </c>
      <c r="I141">
        <f>'B. Integrated Fin - Balance S.'!I14</f>
        <v>117102</v>
      </c>
      <c r="J141">
        <f>'B. Integrated Fin - Balance S.'!J14</f>
        <v>118455</v>
      </c>
      <c r="K141">
        <f>'B. Integrated Fin - Balance S.'!K14</f>
        <v>129054</v>
      </c>
      <c r="L141">
        <f>'B. Integrated Fin - Balance S.'!L14</f>
        <v>140400</v>
      </c>
      <c r="M141">
        <f>'B. Integrated Fin - Balance S.'!M14</f>
        <v>151328.70699446398</v>
      </c>
      <c r="N141">
        <f>'B. Integrated Fin - Balance S.'!N14</f>
        <v>158138.49880921486</v>
      </c>
      <c r="O141">
        <f>'B. Integrated Fin - Balance S.'!O14</f>
        <v>165254.73125562948</v>
      </c>
      <c r="P141">
        <f>'B. Integrated Fin - Balance S.'!P14</f>
        <v>172691.19416213283</v>
      </c>
      <c r="Q141">
        <f>'B. Integrated Fin - Balance S.'!Q14</f>
        <v>180462.29789942876</v>
      </c>
      <c r="R141">
        <f>'B. Integrated Fin - Balance S.'!R14</f>
        <v>188583.10130490304</v>
      </c>
      <c r="S141">
        <f>'B. Integrated Fin - Balance S.'!S14</f>
        <v>195654.96760383688</v>
      </c>
      <c r="T141">
        <f>'B. Integrated Fin - Balance S.'!T14</f>
        <v>201891.46969620918</v>
      </c>
      <c r="U141">
        <f>'B. Integrated Fin - Balance S.'!U14</f>
        <v>207191.12077573463</v>
      </c>
      <c r="V141">
        <f>'B. Integrated Fin - Balance S.'!V14</f>
        <v>211464.43764173414</v>
      </c>
      <c r="W141">
        <f>'B. Integrated Fin - Balance S.'!W14</f>
        <v>215231.14793722754</v>
      </c>
    </row>
    <row r="142" spans="1:23">
      <c r="A142">
        <f>'B. Integrated Fin - Balance S.'!A15</f>
        <v>0</v>
      </c>
      <c r="B142">
        <f>'B. Integrated Fin - Balance S.'!B15</f>
        <v>0</v>
      </c>
      <c r="C142">
        <f>'B. Integrated Fin - Balance S.'!C15</f>
        <v>0</v>
      </c>
      <c r="D142">
        <f>'B. Integrated Fin - Balance S.'!D15</f>
        <v>0</v>
      </c>
      <c r="E142">
        <f>'B. Integrated Fin - Balance S.'!E15</f>
        <v>0</v>
      </c>
      <c r="F142">
        <f>'B. Integrated Fin - Balance S.'!F15</f>
        <v>0</v>
      </c>
      <c r="G142">
        <f>'B. Integrated Fin - Balance S.'!G15</f>
        <v>0</v>
      </c>
      <c r="H142">
        <f>'B. Integrated Fin - Balance S.'!H15</f>
        <v>0</v>
      </c>
      <c r="I142">
        <f>'B. Integrated Fin - Balance S.'!I15</f>
        <v>0</v>
      </c>
      <c r="J142">
        <f>'B. Integrated Fin - Balance S.'!J15</f>
        <v>0</v>
      </c>
      <c r="K142">
        <f>'B. Integrated Fin - Balance S.'!K15</f>
        <v>0</v>
      </c>
      <c r="L142">
        <f>'B. Integrated Fin - Balance S.'!L15</f>
        <v>0</v>
      </c>
      <c r="M142">
        <f>'B. Integrated Fin - Balance S.'!M15</f>
        <v>25122.339605106528</v>
      </c>
      <c r="N142">
        <f>'B. Integrated Fin - Balance S.'!N15</f>
        <v>23918.791339803094</v>
      </c>
      <c r="O142">
        <f>'B. Integrated Fin - Balance S.'!O15</f>
        <v>24995.136950094227</v>
      </c>
      <c r="P142">
        <f>'B. Integrated Fin - Balance S.'!P15</f>
        <v>26119.918112848471</v>
      </c>
      <c r="Q142">
        <f>'B. Integrated Fin - Balance S.'!Q15</f>
        <v>27295.314427926649</v>
      </c>
      <c r="R142">
        <f>'B. Integrated Fin - Balance S.'!R15</f>
        <v>28523.603577183341</v>
      </c>
      <c r="S142">
        <f>'B. Integrated Fin - Balance S.'!S15</f>
        <v>29722.726115135029</v>
      </c>
      <c r="T142">
        <f>'B. Integrated Fin - Balance S.'!T15</f>
        <v>30771.623762788939</v>
      </c>
      <c r="U142">
        <f>'B. Integrated Fin - Balance S.'!U15</f>
        <v>31684.670355023649</v>
      </c>
      <c r="V142">
        <f>'B. Integrated Fin - Balance S.'!V15</f>
        <v>32446.814315114723</v>
      </c>
      <c r="W142">
        <f>'B. Integrated Fin - Balance S.'!W15</f>
        <v>0</v>
      </c>
    </row>
    <row r="143" spans="1:23">
      <c r="A143" t="str">
        <f>'B. Integrated Fin - Balance S.'!A16</f>
        <v>NonOperating Assets (incl. investments)</v>
      </c>
      <c r="B143">
        <f>'B. Integrated Fin - Balance S.'!B16</f>
        <v>14590</v>
      </c>
      <c r="C143">
        <f>'B. Integrated Fin - Balance S.'!C16</f>
        <v>14836</v>
      </c>
      <c r="D143">
        <f>'B. Integrated Fin - Balance S.'!D16</f>
        <v>16788</v>
      </c>
      <c r="E143">
        <f>'B. Integrated Fin - Balance S.'!E16</f>
        <v>18554</v>
      </c>
      <c r="F143">
        <f>'B. Integrated Fin - Balance S.'!F16</f>
        <v>22544</v>
      </c>
      <c r="G143">
        <f>'B. Integrated Fin - Balance S.'!G16</f>
        <v>26032</v>
      </c>
      <c r="H143">
        <f>'B. Integrated Fin - Balance S.'!H16</f>
        <v>36439</v>
      </c>
      <c r="I143">
        <f>'B. Integrated Fin - Balance S.'!I16</f>
        <v>32112</v>
      </c>
      <c r="J143">
        <f>'B. Integrated Fin - Balance S.'!J16</f>
        <v>24459</v>
      </c>
      <c r="K143">
        <f>'B. Integrated Fin - Balance S.'!K16</f>
        <v>22838</v>
      </c>
      <c r="L143">
        <f>'B. Integrated Fin - Balance S.'!L16</f>
        <v>17406</v>
      </c>
      <c r="M143">
        <f>'B. Integrated Fin - Balance S.'!M16</f>
        <v>25122.339605106528</v>
      </c>
      <c r="N143">
        <f>'B. Integrated Fin - Balance S.'!N16</f>
        <v>23918.791339803094</v>
      </c>
      <c r="O143">
        <f>'B. Integrated Fin - Balance S.'!O16</f>
        <v>24995.136950094227</v>
      </c>
      <c r="P143">
        <f>'B. Integrated Fin - Balance S.'!P16</f>
        <v>26119.918112848471</v>
      </c>
      <c r="Q143">
        <f>'B. Integrated Fin - Balance S.'!Q16</f>
        <v>27295.314427926649</v>
      </c>
      <c r="R143">
        <f>'B. Integrated Fin - Balance S.'!R16</f>
        <v>28523.603577183341</v>
      </c>
      <c r="S143">
        <f>'B. Integrated Fin - Balance S.'!S16</f>
        <v>29722.726115135029</v>
      </c>
      <c r="T143">
        <f>'B. Integrated Fin - Balance S.'!T16</f>
        <v>30771.623762788939</v>
      </c>
      <c r="U143">
        <f>'B. Integrated Fin - Balance S.'!U16</f>
        <v>31684.670355023649</v>
      </c>
      <c r="V143">
        <f>'B. Integrated Fin - Balance S.'!V16</f>
        <v>32446.814315114723</v>
      </c>
      <c r="W143">
        <f>'B. Integrated Fin - Balance S.'!W16</f>
        <v>33080.523012308549</v>
      </c>
    </row>
    <row r="144" spans="1:23">
      <c r="A144" t="str">
        <f>'B. Integrated Fin - Balance S.'!A17</f>
        <v>NonOperating Liabs</v>
      </c>
      <c r="B144">
        <f>'B. Integrated Fin - Balance S.'!B17</f>
        <v>2893</v>
      </c>
      <c r="C144">
        <f>'B. Integrated Fin - Balance S.'!C17</f>
        <v>6367</v>
      </c>
      <c r="D144">
        <f>'B. Integrated Fin - Balance S.'!D17</f>
        <v>6568</v>
      </c>
      <c r="E144">
        <f>'B. Integrated Fin - Balance S.'!E17</f>
        <v>7447</v>
      </c>
      <c r="F144">
        <f>'B. Integrated Fin - Balance S.'!F17</f>
        <v>7412</v>
      </c>
      <c r="G144">
        <f>'B. Integrated Fin - Balance S.'!G17</f>
        <v>22782</v>
      </c>
      <c r="H144">
        <f>'B. Integrated Fin - Balance S.'!H17</f>
        <v>18713</v>
      </c>
      <c r="I144">
        <f>'B. Integrated Fin - Balance S.'!I17</f>
        <v>19246</v>
      </c>
      <c r="J144">
        <f>'B. Integrated Fin - Balance S.'!J17</f>
        <v>19711</v>
      </c>
      <c r="K144">
        <f>'B. Integrated Fin - Balance S.'!K17</f>
        <v>20864</v>
      </c>
      <c r="L144">
        <f>'B. Integrated Fin - Balance S.'!L17</f>
        <v>21047</v>
      </c>
      <c r="M144">
        <f>'B. Integrated Fin - Balance S.'!M17</f>
        <v>18732.683363190583</v>
      </c>
      <c r="N144">
        <f>'B. Integrated Fin - Balance S.'!N17</f>
        <v>16021.821919539114</v>
      </c>
      <c r="O144">
        <f>'B. Integrated Fin - Balance S.'!O17</f>
        <v>16742.803905918379</v>
      </c>
      <c r="P144">
        <f>'B. Integrated Fin - Balance S.'!P17</f>
        <v>17496.230081684702</v>
      </c>
      <c r="Q144">
        <f>'B. Integrated Fin - Balance S.'!Q17</f>
        <v>18283.560435360516</v>
      </c>
      <c r="R144">
        <f>'B. Integrated Fin - Balance S.'!R17</f>
        <v>19106.320654951731</v>
      </c>
      <c r="S144">
        <f>'B. Integrated Fin - Balance S.'!S17</f>
        <v>20019.965326123867</v>
      </c>
      <c r="T144">
        <f>'B. Integrated Fin - Balance S.'!T17</f>
        <v>20812.624026425787</v>
      </c>
      <c r="U144">
        <f>'B. Integrated Fin - Balance S.'!U17</f>
        <v>21519.272299108627</v>
      </c>
      <c r="V144">
        <f>'B. Integrated Fin - Balance S.'!V17</f>
        <v>22128.534283199046</v>
      </c>
      <c r="W144">
        <f>'B. Integrated Fin - Balance S.'!W17</f>
        <v>22607.583525861279</v>
      </c>
    </row>
    <row r="145" spans="1:23">
      <c r="A145" t="str">
        <f>'B. Integrated Fin - Balance S.'!A18</f>
        <v>Net NonOperating Assets</v>
      </c>
      <c r="B145">
        <f>'B. Integrated Fin - Balance S.'!B18</f>
        <v>11697</v>
      </c>
      <c r="C145">
        <f>'B. Integrated Fin - Balance S.'!C18</f>
        <v>8469</v>
      </c>
      <c r="D145">
        <f>'B. Integrated Fin - Balance S.'!D18</f>
        <v>10220</v>
      </c>
      <c r="E145">
        <f>'B. Integrated Fin - Balance S.'!E18</f>
        <v>11107</v>
      </c>
      <c r="F145">
        <f>'B. Integrated Fin - Balance S.'!F18</f>
        <v>15132</v>
      </c>
      <c r="G145">
        <f>'B. Integrated Fin - Balance S.'!G18</f>
        <v>3250</v>
      </c>
      <c r="H145">
        <f>'B. Integrated Fin - Balance S.'!H18</f>
        <v>17726</v>
      </c>
      <c r="I145">
        <f>'B. Integrated Fin - Balance S.'!I18</f>
        <v>12866</v>
      </c>
      <c r="J145">
        <f>'B. Integrated Fin - Balance S.'!J18</f>
        <v>4748</v>
      </c>
      <c r="K145">
        <f>'B. Integrated Fin - Balance S.'!K18</f>
        <v>1974</v>
      </c>
      <c r="L145">
        <f>'B. Integrated Fin - Balance S.'!L18</f>
        <v>-3641</v>
      </c>
      <c r="M145">
        <f>'B. Integrated Fin - Balance S.'!M18</f>
        <v>6389.6562419159454</v>
      </c>
      <c r="N145">
        <f>'B. Integrated Fin - Balance S.'!N18</f>
        <v>7896.9694202639803</v>
      </c>
      <c r="O145">
        <f>'B. Integrated Fin - Balance S.'!O18</f>
        <v>8252.333044175848</v>
      </c>
      <c r="P145">
        <f>'B. Integrated Fin - Balance S.'!P18</f>
        <v>8623.6880311637688</v>
      </c>
      <c r="Q145">
        <f>'B. Integrated Fin - Balance S.'!Q18</f>
        <v>9011.7539925661331</v>
      </c>
      <c r="R145">
        <f>'B. Integrated Fin - Balance S.'!R18</f>
        <v>9417.2829222316104</v>
      </c>
      <c r="S145">
        <f>'B. Integrated Fin - Balance S.'!S18</f>
        <v>9702.7607890111613</v>
      </c>
      <c r="T145">
        <f>'B. Integrated Fin - Balance S.'!T18</f>
        <v>9958.9997363631519</v>
      </c>
      <c r="U145">
        <f>'B. Integrated Fin - Balance S.'!U18</f>
        <v>10165.398055915022</v>
      </c>
      <c r="V145">
        <f>'B. Integrated Fin - Balance S.'!V18</f>
        <v>10318.280031915678</v>
      </c>
      <c r="W145">
        <f>'B. Integrated Fin - Balance S.'!W18</f>
        <v>10472.939486447271</v>
      </c>
    </row>
    <row r="146" spans="1:23">
      <c r="A146">
        <f>'B. Integrated Fin - Balance S.'!A19</f>
        <v>0</v>
      </c>
      <c r="B146">
        <f>'B. Integrated Fin - Balance S.'!B19</f>
        <v>0</v>
      </c>
      <c r="C146">
        <f>'B. Integrated Fin - Balance S.'!C19</f>
        <v>0</v>
      </c>
      <c r="D146">
        <f>'B. Integrated Fin - Balance S.'!D19</f>
        <v>0</v>
      </c>
      <c r="E146">
        <f>'B. Integrated Fin - Balance S.'!E19</f>
        <v>0</v>
      </c>
      <c r="F146">
        <f>'B. Integrated Fin - Balance S.'!F19</f>
        <v>0</v>
      </c>
      <c r="G146">
        <f>'B. Integrated Fin - Balance S.'!G19</f>
        <v>0</v>
      </c>
      <c r="H146">
        <f>'B. Integrated Fin - Balance S.'!H19</f>
        <v>0</v>
      </c>
      <c r="I146">
        <f>'B. Integrated Fin - Balance S.'!I19</f>
        <v>0</v>
      </c>
      <c r="J146">
        <f>'B. Integrated Fin - Balance S.'!J19</f>
        <v>0</v>
      </c>
      <c r="K146">
        <f>'B. Integrated Fin - Balance S.'!K19</f>
        <v>0</v>
      </c>
      <c r="L146">
        <f>'B. Integrated Fin - Balance S.'!L19</f>
        <v>0</v>
      </c>
      <c r="M146">
        <f>'B. Integrated Fin - Balance S.'!M19</f>
        <v>0</v>
      </c>
      <c r="N146">
        <f>'B. Integrated Fin - Balance S.'!N19</f>
        <v>0</v>
      </c>
      <c r="O146">
        <f>'B. Integrated Fin - Balance S.'!O19</f>
        <v>0</v>
      </c>
      <c r="P146">
        <f>'B. Integrated Fin - Balance S.'!P19</f>
        <v>0</v>
      </c>
      <c r="Q146">
        <f>'B. Integrated Fin - Balance S.'!Q19</f>
        <v>0</v>
      </c>
      <c r="R146">
        <f>'B. Integrated Fin - Balance S.'!R19</f>
        <v>0</v>
      </c>
      <c r="S146">
        <f>'B. Integrated Fin - Balance S.'!S19</f>
        <v>0</v>
      </c>
      <c r="T146">
        <f>'B. Integrated Fin - Balance S.'!T19</f>
        <v>0</v>
      </c>
      <c r="U146">
        <f>'B. Integrated Fin - Balance S.'!U19</f>
        <v>0</v>
      </c>
      <c r="V146">
        <f>'B. Integrated Fin - Balance S.'!V19</f>
        <v>0</v>
      </c>
      <c r="W146">
        <f>'B. Integrated Fin - Balance S.'!W19</f>
        <v>0</v>
      </c>
    </row>
    <row r="147" spans="1:23">
      <c r="A147" t="str">
        <f>'B. Integrated Fin - Balance S.'!A20</f>
        <v>Excess cash (plug)</v>
      </c>
      <c r="B147">
        <f>'B. Integrated Fin - Balance S.'!B20</f>
        <v>0</v>
      </c>
      <c r="C147">
        <f>'B. Integrated Fin - Balance S.'!C20</f>
        <v>0</v>
      </c>
      <c r="D147">
        <f>'B. Integrated Fin - Balance S.'!D20</f>
        <v>0</v>
      </c>
      <c r="E147">
        <f>'B. Integrated Fin - Balance S.'!E20</f>
        <v>0</v>
      </c>
      <c r="F147">
        <f>'B. Integrated Fin - Balance S.'!F20</f>
        <v>0</v>
      </c>
      <c r="G147">
        <f>'B. Integrated Fin - Balance S.'!G20</f>
        <v>0</v>
      </c>
      <c r="H147">
        <f>'B. Integrated Fin - Balance S.'!H20</f>
        <v>0</v>
      </c>
      <c r="I147">
        <f>'B. Integrated Fin - Balance S.'!I20</f>
        <v>0</v>
      </c>
      <c r="J147">
        <f>'B. Integrated Fin - Balance S.'!J20</f>
        <v>0</v>
      </c>
      <c r="K147">
        <f>'B. Integrated Fin - Balance S.'!K20</f>
        <v>0</v>
      </c>
      <c r="L147">
        <f>'B. Integrated Fin - Balance S.'!L20</f>
        <v>0</v>
      </c>
      <c r="M147">
        <f>'B. Integrated Fin - Balance S.'!M20</f>
        <v>12419.809056106111</v>
      </c>
      <c r="N147">
        <f>'B. Integrated Fin - Balance S.'!N20</f>
        <v>20390.999269169493</v>
      </c>
      <c r="O147">
        <f>'B. Integrated Fin - Balance S.'!O20</f>
        <v>29814.061434013856</v>
      </c>
      <c r="P147">
        <f>'B. Integrated Fin - Balance S.'!P20</f>
        <v>39631.685612477944</v>
      </c>
      <c r="Q147">
        <f>'B. Integrated Fin - Balance S.'!Q20</f>
        <v>49919.327104517608</v>
      </c>
      <c r="R147">
        <f>'B. Integrated Fin - Balance S.'!R20</f>
        <v>60704.329432333354</v>
      </c>
      <c r="S147">
        <f>'B. Integrated Fin - Balance S.'!S20</f>
        <v>73195.165275749372</v>
      </c>
      <c r="T147">
        <f>'B. Integrated Fin - Balance S.'!T20</f>
        <v>87030.524511272059</v>
      </c>
      <c r="U147">
        <f>'B. Integrated Fin - Balance S.'!U20</f>
        <v>102256.56575963699</v>
      </c>
      <c r="V147">
        <f>'B. Integrated Fin - Balance S.'!V20</f>
        <v>118865.6901627187</v>
      </c>
      <c r="W147">
        <f>'B. Integrated Fin - Balance S.'!W20</f>
        <v>136293.42489320663</v>
      </c>
    </row>
    <row r="148" spans="1:23">
      <c r="A148">
        <f>'B. Integrated Fin - Balance S.'!A21</f>
        <v>0</v>
      </c>
      <c r="B148">
        <f>'B. Integrated Fin - Balance S.'!B21</f>
        <v>0</v>
      </c>
      <c r="C148">
        <f>'B. Integrated Fin - Balance S.'!C21</f>
        <v>0</v>
      </c>
      <c r="D148">
        <f>'B. Integrated Fin - Balance S.'!D21</f>
        <v>0</v>
      </c>
      <c r="E148">
        <f>'B. Integrated Fin - Balance S.'!E21</f>
        <v>0</v>
      </c>
      <c r="F148">
        <f>'B. Integrated Fin - Balance S.'!F21</f>
        <v>0</v>
      </c>
      <c r="G148">
        <f>'B. Integrated Fin - Balance S.'!G21</f>
        <v>0</v>
      </c>
      <c r="H148">
        <f>'B. Integrated Fin - Balance S.'!H21</f>
        <v>0</v>
      </c>
      <c r="I148">
        <f>'B. Integrated Fin - Balance S.'!I21</f>
        <v>0</v>
      </c>
      <c r="J148">
        <f>'B. Integrated Fin - Balance S.'!J21</f>
        <v>0</v>
      </c>
      <c r="K148">
        <f>'B. Integrated Fin - Balance S.'!K21</f>
        <v>0</v>
      </c>
      <c r="L148">
        <f>'B. Integrated Fin - Balance S.'!L21</f>
        <v>0</v>
      </c>
      <c r="M148">
        <f>'B. Integrated Fin - Balance S.'!M21</f>
        <v>0</v>
      </c>
      <c r="N148">
        <f>'B. Integrated Fin - Balance S.'!N21</f>
        <v>0</v>
      </c>
      <c r="O148">
        <f>'B. Integrated Fin - Balance S.'!O21</f>
        <v>0</v>
      </c>
      <c r="P148">
        <f>'B. Integrated Fin - Balance S.'!P21</f>
        <v>0</v>
      </c>
      <c r="Q148">
        <f>'B. Integrated Fin - Balance S.'!Q21</f>
        <v>0</v>
      </c>
      <c r="R148">
        <f>'B. Integrated Fin - Balance S.'!R21</f>
        <v>0</v>
      </c>
      <c r="S148">
        <f>'B. Integrated Fin - Balance S.'!S21</f>
        <v>0</v>
      </c>
      <c r="T148">
        <f>'B. Integrated Fin - Balance S.'!T21</f>
        <v>0</v>
      </c>
      <c r="U148">
        <f>'B. Integrated Fin - Balance S.'!U21</f>
        <v>0</v>
      </c>
      <c r="V148">
        <f>'B. Integrated Fin - Balance S.'!V21</f>
        <v>0</v>
      </c>
      <c r="W148">
        <f>'B. Integrated Fin - Balance S.'!W21</f>
        <v>0</v>
      </c>
    </row>
    <row r="149" spans="1:23">
      <c r="A149" t="str">
        <f>'B. Integrated Fin - Balance S.'!A22</f>
        <v>Total Assets [Total Funds Invested]</v>
      </c>
      <c r="B149">
        <f>'B. Integrated Fin - Balance S.'!B22</f>
        <v>128593</v>
      </c>
      <c r="C149">
        <f>'B. Integrated Fin - Balance S.'!C22</f>
        <v>123634</v>
      </c>
      <c r="D149">
        <f>'B. Integrated Fin - Balance S.'!D22</f>
        <v>116696</v>
      </c>
      <c r="E149">
        <f>'B. Integrated Fin - Balance S.'!E22</f>
        <v>115821</v>
      </c>
      <c r="F149">
        <f>'B. Integrated Fin - Balance S.'!F22</f>
        <v>126392</v>
      </c>
      <c r="G149">
        <f>'B. Integrated Fin - Balance S.'!G22</f>
        <v>131203</v>
      </c>
      <c r="H149">
        <f>'B. Integrated Fin - Balance S.'!H22</f>
        <v>132064</v>
      </c>
      <c r="I149">
        <f>'B. Integrated Fin - Balance S.'!I22</f>
        <v>129968</v>
      </c>
      <c r="J149">
        <f>'B. Integrated Fin - Balance S.'!J22</f>
        <v>123203</v>
      </c>
      <c r="K149">
        <f>'B. Integrated Fin - Balance S.'!K22</f>
        <v>131028</v>
      </c>
      <c r="L149">
        <f>'B. Integrated Fin - Balance S.'!L22</f>
        <v>136759</v>
      </c>
      <c r="M149">
        <f>'B. Integrated Fin - Balance S.'!M22</f>
        <v>151553.02145869585</v>
      </c>
      <c r="N149">
        <f>'B. Integrated Fin - Balance S.'!N22</f>
        <v>167004.98487733759</v>
      </c>
      <c r="O149">
        <f>'B. Integrated Fin - Balance S.'!O22</f>
        <v>183025.67639454946</v>
      </c>
      <c r="P149">
        <f>'B. Integrated Fin - Balance S.'!P22</f>
        <v>199737.82324623768</v>
      </c>
      <c r="Q149">
        <f>'B. Integrated Fin - Balance S.'!Q22</f>
        <v>217230.24093179649</v>
      </c>
      <c r="R149">
        <f>'B. Integrated Fin - Balance S.'!R22</f>
        <v>235544.23438183981</v>
      </c>
      <c r="S149">
        <f>'B. Integrated Fin - Balance S.'!S22</f>
        <v>254523.89641805814</v>
      </c>
      <c r="T149">
        <f>'B. Integrated Fin - Balance S.'!T22</f>
        <v>274086.07240594417</v>
      </c>
      <c r="U149">
        <f>'B. Integrated Fin - Balance S.'!U22</f>
        <v>294167.29636301653</v>
      </c>
      <c r="V149">
        <f>'B. Integrated Fin - Balance S.'!V22</f>
        <v>314677.80022589036</v>
      </c>
      <c r="W149">
        <f>'B. Integrated Fin - Balance S.'!W22</f>
        <v>335564.30325834162</v>
      </c>
    </row>
    <row r="150" spans="1:23">
      <c r="A150">
        <f>'B. Integrated Fin - Balance S.'!A23</f>
        <v>0</v>
      </c>
      <c r="B150">
        <f>'B. Integrated Fin - Balance S.'!B23</f>
        <v>0</v>
      </c>
      <c r="C150">
        <f>'B. Integrated Fin - Balance S.'!C23</f>
        <v>0</v>
      </c>
      <c r="D150">
        <f>'B. Integrated Fin - Balance S.'!D23</f>
        <v>0</v>
      </c>
      <c r="E150">
        <f>'B. Integrated Fin - Balance S.'!E23</f>
        <v>0</v>
      </c>
      <c r="F150">
        <f>'B. Integrated Fin - Balance S.'!F23</f>
        <v>0</v>
      </c>
      <c r="G150">
        <f>'B. Integrated Fin - Balance S.'!G23</f>
        <v>0</v>
      </c>
      <c r="H150">
        <f>'B. Integrated Fin - Balance S.'!H23</f>
        <v>0</v>
      </c>
      <c r="I150">
        <f>'B. Integrated Fin - Balance S.'!I23</f>
        <v>0</v>
      </c>
      <c r="J150">
        <f>'B. Integrated Fin - Balance S.'!J23</f>
        <v>0</v>
      </c>
      <c r="K150">
        <f>'B. Integrated Fin - Balance S.'!K23</f>
        <v>0</v>
      </c>
      <c r="L150">
        <f>'B. Integrated Fin - Balance S.'!L23</f>
        <v>0</v>
      </c>
      <c r="M150">
        <f>'B. Integrated Fin - Balance S.'!M23</f>
        <v>0</v>
      </c>
      <c r="N150">
        <f>'B. Integrated Fin - Balance S.'!N23</f>
        <v>0</v>
      </c>
      <c r="O150">
        <f>'B. Integrated Fin - Balance S.'!O23</f>
        <v>0</v>
      </c>
      <c r="P150">
        <f>'B. Integrated Fin - Balance S.'!P23</f>
        <v>0</v>
      </c>
      <c r="Q150">
        <f>'B. Integrated Fin - Balance S.'!Q23</f>
        <v>0</v>
      </c>
      <c r="R150">
        <f>'B. Integrated Fin - Balance S.'!R23</f>
        <v>0</v>
      </c>
      <c r="S150">
        <f>'B. Integrated Fin - Balance S.'!S23</f>
        <v>0</v>
      </c>
      <c r="T150">
        <f>'B. Integrated Fin - Balance S.'!T23</f>
        <v>0</v>
      </c>
      <c r="U150">
        <f>'B. Integrated Fin - Balance S.'!U23</f>
        <v>0</v>
      </c>
      <c r="V150">
        <f>'B. Integrated Fin - Balance S.'!V23</f>
        <v>0</v>
      </c>
      <c r="W150">
        <f>'B. Integrated Fin - Balance S.'!W23</f>
        <v>0</v>
      </c>
    </row>
    <row r="151" spans="1:23">
      <c r="A151">
        <f>'B. Integrated Fin - Balance S.'!A24</f>
        <v>0</v>
      </c>
      <c r="B151">
        <f>'B. Integrated Fin - Balance S.'!B24</f>
        <v>0</v>
      </c>
      <c r="C151">
        <f>'B. Integrated Fin - Balance S.'!C24</f>
        <v>0</v>
      </c>
      <c r="D151">
        <f>'B. Integrated Fin - Balance S.'!D24</f>
        <v>0</v>
      </c>
      <c r="E151">
        <f>'B. Integrated Fin - Balance S.'!E24</f>
        <v>0</v>
      </c>
      <c r="F151">
        <f>'B. Integrated Fin - Balance S.'!F24</f>
        <v>0</v>
      </c>
      <c r="G151">
        <f>'B. Integrated Fin - Balance S.'!G24</f>
        <v>0</v>
      </c>
      <c r="H151">
        <f>'B. Integrated Fin - Balance S.'!H24</f>
        <v>0</v>
      </c>
      <c r="I151">
        <f>'B. Integrated Fin - Balance S.'!I24</f>
        <v>0</v>
      </c>
      <c r="J151">
        <f>'B. Integrated Fin - Balance S.'!J24</f>
        <v>0</v>
      </c>
      <c r="K151">
        <f>'B. Integrated Fin - Balance S.'!K24</f>
        <v>0</v>
      </c>
      <c r="L151">
        <f>'B. Integrated Fin - Balance S.'!L24</f>
        <v>0</v>
      </c>
      <c r="M151">
        <f>'B. Integrated Fin - Balance S.'!M24</f>
        <v>0</v>
      </c>
      <c r="N151">
        <f>'B. Integrated Fin - Balance S.'!N24</f>
        <v>0</v>
      </c>
      <c r="O151">
        <f>'B. Integrated Fin - Balance S.'!O24</f>
        <v>0</v>
      </c>
      <c r="P151">
        <f>'B. Integrated Fin - Balance S.'!P24</f>
        <v>0</v>
      </c>
      <c r="Q151">
        <f>'B. Integrated Fin - Balance S.'!Q24</f>
        <v>0</v>
      </c>
      <c r="R151">
        <f>'B. Integrated Fin - Balance S.'!R24</f>
        <v>0</v>
      </c>
      <c r="S151">
        <f>'B. Integrated Fin - Balance S.'!S24</f>
        <v>0</v>
      </c>
      <c r="T151">
        <f>'B. Integrated Fin - Balance S.'!T24</f>
        <v>0</v>
      </c>
      <c r="U151">
        <f>'B. Integrated Fin - Balance S.'!U24</f>
        <v>0</v>
      </c>
      <c r="V151">
        <f>'B. Integrated Fin - Balance S.'!V24</f>
        <v>0</v>
      </c>
      <c r="W151">
        <f>'B. Integrated Fin - Balance S.'!W24</f>
        <v>0</v>
      </c>
    </row>
    <row r="152" spans="1:23">
      <c r="A152" t="str">
        <f>'B. Integrated Fin - Balance S.'!A25</f>
        <v>Reconcile Retained Earnings</v>
      </c>
      <c r="B152">
        <f>'B. Integrated Fin - Balance S.'!B25</f>
        <v>0</v>
      </c>
      <c r="C152">
        <f>'B. Integrated Fin - Balance S.'!C25</f>
        <v>0</v>
      </c>
      <c r="D152">
        <f>'B. Integrated Fin - Balance S.'!D25</f>
        <v>0</v>
      </c>
      <c r="E152">
        <f>'B. Integrated Fin - Balance S.'!E25</f>
        <v>0</v>
      </c>
      <c r="F152">
        <f>'B. Integrated Fin - Balance S.'!F25</f>
        <v>0</v>
      </c>
      <c r="G152">
        <f>'B. Integrated Fin - Balance S.'!G25</f>
        <v>0</v>
      </c>
      <c r="H152">
        <f>'B. Integrated Fin - Balance S.'!H25</f>
        <v>0</v>
      </c>
      <c r="I152">
        <f>'B. Integrated Fin - Balance S.'!I25</f>
        <v>0</v>
      </c>
      <c r="J152">
        <f>'B. Integrated Fin - Balance S.'!J25</f>
        <v>0</v>
      </c>
      <c r="K152">
        <f>'B. Integrated Fin - Balance S.'!K25</f>
        <v>0</v>
      </c>
      <c r="L152">
        <f>'B. Integrated Fin - Balance S.'!L25</f>
        <v>0</v>
      </c>
      <c r="M152">
        <f>'B. Integrated Fin - Balance S.'!M25</f>
        <v>0</v>
      </c>
      <c r="N152">
        <f>'B. Integrated Fin - Balance S.'!N25</f>
        <v>0</v>
      </c>
      <c r="O152">
        <f>'B. Integrated Fin - Balance S.'!O25</f>
        <v>0</v>
      </c>
      <c r="P152">
        <f>'B. Integrated Fin - Balance S.'!P25</f>
        <v>0</v>
      </c>
      <c r="Q152">
        <f>'B. Integrated Fin - Balance S.'!Q25</f>
        <v>0</v>
      </c>
      <c r="R152">
        <f>'B. Integrated Fin - Balance S.'!R25</f>
        <v>0</v>
      </c>
      <c r="S152">
        <f>'B. Integrated Fin - Balance S.'!S25</f>
        <v>0</v>
      </c>
      <c r="T152">
        <f>'B. Integrated Fin - Balance S.'!T25</f>
        <v>0</v>
      </c>
      <c r="U152">
        <f>'B. Integrated Fin - Balance S.'!U25</f>
        <v>0</v>
      </c>
      <c r="V152">
        <f>'B. Integrated Fin - Balance S.'!V25</f>
        <v>0</v>
      </c>
      <c r="W152">
        <f>'B. Integrated Fin - Balance S.'!W25</f>
        <v>0</v>
      </c>
    </row>
    <row r="153" spans="1:23">
      <c r="A153" t="str">
        <f>'B. Integrated Fin - Balance S.'!A26</f>
        <v>Beg. Retained Earnings</v>
      </c>
      <c r="B153">
        <f>'B. Integrated Fin - Balance S.'!B26</f>
        <v>76566</v>
      </c>
      <c r="C153">
        <f>'B. Integrated Fin - Balance S.'!C26</f>
        <v>85777</v>
      </c>
      <c r="D153">
        <f>'B. Integrated Fin - Balance S.'!D26</f>
        <v>90021</v>
      </c>
      <c r="E153">
        <f>'B. Integrated Fin - Balance S.'!E26</f>
        <v>89354</v>
      </c>
      <c r="F153">
        <f>'B. Integrated Fin - Balance S.'!F26</f>
        <v>85107</v>
      </c>
      <c r="G153">
        <f>'B. Integrated Fin - Balance S.'!G26</f>
        <v>80785</v>
      </c>
      <c r="H153">
        <f>'B. Integrated Fin - Balance S.'!H26</f>
        <v>83943</v>
      </c>
      <c r="I153">
        <f>'B. Integrated Fin - Balance S.'!I26</f>
        <v>88763</v>
      </c>
      <c r="J153">
        <f>'B. Integrated Fin - Balance S.'!J26</f>
        <v>86904</v>
      </c>
      <c r="K153">
        <f>'B. Integrated Fin - Balance S.'!K26</f>
        <v>83135</v>
      </c>
      <c r="L153">
        <f>'B. Integrated Fin - Balance S.'!L26</f>
        <v>89814</v>
      </c>
      <c r="M153">
        <f>'B. Integrated Fin - Balance S.'!M26</f>
        <v>98313</v>
      </c>
      <c r="N153">
        <f>'B. Integrated Fin - Balance S.'!N26</f>
        <v>111904.56839863342</v>
      </c>
      <c r="O153">
        <f>'B. Integrated Fin - Balance S.'!O26</f>
        <v>126117.06815077628</v>
      </c>
      <c r="P153">
        <f>'B. Integrated Fin - Balance S.'!P26</f>
        <v>140860.14623624959</v>
      </c>
      <c r="Q153">
        <f>'B. Integrated Fin - Balance S.'!Q26</f>
        <v>156255.3556696999</v>
      </c>
      <c r="R153">
        <f>'B. Integrated Fin - Balance S.'!R26</f>
        <v>172390.30158760899</v>
      </c>
      <c r="S153">
        <f>'B. Integrated Fin - Balance S.'!S26</f>
        <v>189305.04130361258</v>
      </c>
      <c r="T153">
        <f>'B. Integrated Fin - Balance S.'!T26</f>
        <v>206842.38162170484</v>
      </c>
      <c r="U153">
        <f>'B. Integrated Fin - Balance S.'!U26</f>
        <v>224917.84230701876</v>
      </c>
      <c r="V153">
        <f>'B. Integrated Fin - Balance S.'!V26</f>
        <v>243466.59097572486</v>
      </c>
      <c r="W153">
        <f>'B. Integrated Fin - Balance S.'!W26</f>
        <v>262397.45110627805</v>
      </c>
    </row>
    <row r="154" spans="1:23">
      <c r="A154" t="str">
        <f>'B. Integrated Fin - Balance S.'!A27</f>
        <v>Profit</v>
      </c>
      <c r="B154">
        <f>'B. Integrated Fin - Balance S.'!B27</f>
        <v>16363</v>
      </c>
      <c r="C154">
        <f>'B. Integrated Fin - Balance S.'!C27</f>
        <v>14694</v>
      </c>
      <c r="D154">
        <f>'B. Integrated Fin - Balance S.'!D27</f>
        <v>13643</v>
      </c>
      <c r="E154">
        <f>'B. Integrated Fin - Balance S.'!E27</f>
        <v>9862</v>
      </c>
      <c r="F154">
        <f>'B. Integrated Fin - Balance S.'!F27</f>
        <v>6670</v>
      </c>
      <c r="G154">
        <f>'B. Integrated Fin - Balance S.'!G27</f>
        <v>14881</v>
      </c>
      <c r="H154">
        <f>'B. Integrated Fin - Balance S.'!H27</f>
        <v>13510</v>
      </c>
      <c r="I154">
        <f>'B. Integrated Fin - Balance S.'!I27</f>
        <v>13673</v>
      </c>
      <c r="J154">
        <f>'B. Integrated Fin - Balance S.'!J27</f>
        <v>11680</v>
      </c>
      <c r="K154">
        <f>'B. Integrated Fin - Balance S.'!K27</f>
        <v>15511</v>
      </c>
      <c r="L154">
        <f>'B. Integrated Fin - Balance S.'!L27</f>
        <v>19436</v>
      </c>
      <c r="M154">
        <f>'B. Integrated Fin - Balance S.'!M27</f>
        <v>23979.903859134785</v>
      </c>
      <c r="N154">
        <f>'B. Integrated Fin - Balance S.'!N27</f>
        <v>25075.426739465256</v>
      </c>
      <c r="O154">
        <f>'B. Integrated Fin - Balance S.'!O27</f>
        <v>26011.537793748237</v>
      </c>
      <c r="P154">
        <f>'B. Integrated Fin - Balance S.'!P27</f>
        <v>27162.107512367962</v>
      </c>
      <c r="Q154">
        <f>'B. Integrated Fin - Balance S.'!Q27</f>
        <v>28467.24090522933</v>
      </c>
      <c r="R154">
        <f>'B. Integrated Fin - Balance S.'!R27</f>
        <v>29843.048299917915</v>
      </c>
      <c r="S154">
        <f>'B. Integrated Fin - Balance S.'!S27</f>
        <v>30941.516272328437</v>
      </c>
      <c r="T154">
        <f>'B. Integrated Fin - Balance S.'!T27</f>
        <v>31890.933903329398</v>
      </c>
      <c r="U154">
        <f>'B. Integrated Fin - Balance S.'!U27</f>
        <v>32725.966329798226</v>
      </c>
      <c r="V154">
        <f>'B. Integrated Fin - Balance S.'!V27</f>
        <v>33400.134008598841</v>
      </c>
      <c r="W154">
        <f>'B. Integrated Fin - Balance S.'!W27</f>
        <v>33977.735850056153</v>
      </c>
    </row>
    <row r="155" spans="1:23">
      <c r="A155" t="str">
        <f>'B. Integrated Fin - Balance S.'!A28</f>
        <v xml:space="preserve">   Less: Dividends</v>
      </c>
      <c r="B155">
        <f>'B. Integrated Fin - Balance S.'!B28</f>
        <v>-6185</v>
      </c>
      <c r="C155">
        <f>'B. Integrated Fin - Balance S.'!C28</f>
        <v>-6294</v>
      </c>
      <c r="D155">
        <f>'B. Integrated Fin - Balance S.'!D28</f>
        <v>-6216</v>
      </c>
      <c r="E155">
        <f>'B. Integrated Fin - Balance S.'!E28</f>
        <v>-6124</v>
      </c>
      <c r="F155">
        <f>'B. Integrated Fin - Balance S.'!F28</f>
        <v>-6102</v>
      </c>
      <c r="G155">
        <f>'B. Integrated Fin - Balance S.'!G28</f>
        <v>-6048</v>
      </c>
      <c r="H155">
        <f>'B. Integrated Fin - Balance S.'!H28</f>
        <v>-6116</v>
      </c>
      <c r="I155">
        <f>'B. Integrated Fin - Balance S.'!I28</f>
        <v>-6152</v>
      </c>
      <c r="J155">
        <f>'B. Integrated Fin - Balance S.'!J28</f>
        <v>-6114</v>
      </c>
      <c r="K155">
        <f>'B. Integrated Fin - Balance S.'!K28</f>
        <v>-6140</v>
      </c>
      <c r="L155">
        <f>'B. Integrated Fin - Balance S.'!L28</f>
        <v>-6688</v>
      </c>
      <c r="M155">
        <f>'B. Integrated Fin - Balance S.'!M28</f>
        <v>-10388.335460501377</v>
      </c>
      <c r="N155">
        <f>'B. Integrated Fin - Balance S.'!N28</f>
        <v>-10862.92698732238</v>
      </c>
      <c r="O155">
        <f>'B. Integrated Fin - Balance S.'!O28</f>
        <v>-11268.459708274919</v>
      </c>
      <c r="P155">
        <f>'B. Integrated Fin - Balance S.'!P28</f>
        <v>-11766.898078917646</v>
      </c>
      <c r="Q155">
        <f>'B. Integrated Fin - Balance S.'!Q28</f>
        <v>-12332.29498732024</v>
      </c>
      <c r="R155">
        <f>'B. Integrated Fin - Balance S.'!R28</f>
        <v>-12928.30858391433</v>
      </c>
      <c r="S155">
        <f>'B. Integrated Fin - Balance S.'!S28</f>
        <v>-13404.175954236181</v>
      </c>
      <c r="T155">
        <f>'B. Integrated Fin - Balance S.'!T28</f>
        <v>-13815.473218015468</v>
      </c>
      <c r="U155">
        <f>'B. Integrated Fin - Balance S.'!U28</f>
        <v>-14177.217661092131</v>
      </c>
      <c r="V155">
        <f>'B. Integrated Fin - Balance S.'!V28</f>
        <v>-14469.273878045664</v>
      </c>
      <c r="W155">
        <f>'B. Integrated Fin - Balance S.'!W28</f>
        <v>-14719.496803329668</v>
      </c>
    </row>
    <row r="156" spans="1:23">
      <c r="A156" t="str">
        <f>'B. Integrated Fin - Balance S.'!A29</f>
        <v xml:space="preserve">   Less: Other transactions</v>
      </c>
      <c r="B156">
        <f>'B. Integrated Fin - Balance S.'!B29</f>
        <v>967</v>
      </c>
      <c r="C156">
        <f>'B. Integrated Fin - Balance S.'!C29</f>
        <v>4156</v>
      </c>
      <c r="D156">
        <f>'B. Integrated Fin - Balance S.'!D29</f>
        <v>8094</v>
      </c>
      <c r="E156">
        <f>'B. Integrated Fin - Balance S.'!E29</f>
        <v>7985</v>
      </c>
      <c r="F156">
        <f>'B. Integrated Fin - Balance S.'!F29</f>
        <v>4890</v>
      </c>
      <c r="G156">
        <f>'B. Integrated Fin - Balance S.'!G29</f>
        <v>5675</v>
      </c>
      <c r="H156">
        <f>'B. Integrated Fin - Balance S.'!H29</f>
        <v>2574</v>
      </c>
      <c r="I156">
        <f>'B. Integrated Fin - Balance S.'!I29</f>
        <v>9380</v>
      </c>
      <c r="J156">
        <f>'B. Integrated Fin - Balance S.'!J29</f>
        <v>9335</v>
      </c>
      <c r="K156">
        <f>'B. Integrated Fin - Balance S.'!K29</f>
        <v>2692</v>
      </c>
      <c r="L156">
        <f>'B. Integrated Fin - Balance S.'!L29</f>
        <v>4249</v>
      </c>
      <c r="M156">
        <f>'B. Integrated Fin - Balance S.'!M29</f>
        <v>5646</v>
      </c>
      <c r="N156">
        <f>'B. Integrated Fin - Balance S.'!N29</f>
        <v>5646</v>
      </c>
      <c r="O156">
        <f>'B. Integrated Fin - Balance S.'!O29</f>
        <v>5646</v>
      </c>
      <c r="P156">
        <f>'B. Integrated Fin - Balance S.'!P29</f>
        <v>5646</v>
      </c>
      <c r="Q156">
        <f>'B. Integrated Fin - Balance S.'!Q29</f>
        <v>5646</v>
      </c>
      <c r="R156">
        <f>'B. Integrated Fin - Balance S.'!R29</f>
        <v>5646</v>
      </c>
      <c r="S156">
        <f>'B. Integrated Fin - Balance S.'!S29</f>
        <v>5646</v>
      </c>
      <c r="T156">
        <f>'B. Integrated Fin - Balance S.'!T29</f>
        <v>5646</v>
      </c>
      <c r="U156">
        <f>'B. Integrated Fin - Balance S.'!U29</f>
        <v>5646</v>
      </c>
      <c r="V156">
        <f>'B. Integrated Fin - Balance S.'!V29</f>
        <v>5646</v>
      </c>
      <c r="W156">
        <f>'B. Integrated Fin - Balance S.'!W29</f>
        <v>5646</v>
      </c>
    </row>
    <row r="157" spans="1:23">
      <c r="A157" t="str">
        <f>'B. Integrated Fin - Balance S.'!A30</f>
        <v>End Retained Earnings</v>
      </c>
      <c r="B157">
        <f>'B. Integrated Fin - Balance S.'!B30</f>
        <v>85777</v>
      </c>
      <c r="C157">
        <f>'B. Integrated Fin - Balance S.'!C30</f>
        <v>90021</v>
      </c>
      <c r="D157">
        <f>'B. Integrated Fin - Balance S.'!D30</f>
        <v>89354</v>
      </c>
      <c r="E157">
        <f>'B. Integrated Fin - Balance S.'!E30</f>
        <v>85107</v>
      </c>
      <c r="F157">
        <f>'B. Integrated Fin - Balance S.'!F30</f>
        <v>80785</v>
      </c>
      <c r="G157">
        <f>'B. Integrated Fin - Balance S.'!G30</f>
        <v>83943</v>
      </c>
      <c r="H157">
        <f>'B. Integrated Fin - Balance S.'!H30</f>
        <v>88763</v>
      </c>
      <c r="I157">
        <f>'B. Integrated Fin - Balance S.'!I30</f>
        <v>86904</v>
      </c>
      <c r="J157">
        <f>'B. Integrated Fin - Balance S.'!J30</f>
        <v>83135</v>
      </c>
      <c r="K157">
        <f>'B. Integrated Fin - Balance S.'!K30</f>
        <v>89814</v>
      </c>
      <c r="L157">
        <f>'B. Integrated Fin - Balance S.'!L30</f>
        <v>98313</v>
      </c>
      <c r="M157">
        <f>'B. Integrated Fin - Balance S.'!M30</f>
        <v>111904.56839863342</v>
      </c>
      <c r="N157">
        <f>'B. Integrated Fin - Balance S.'!N30</f>
        <v>126117.06815077628</v>
      </c>
      <c r="O157">
        <f>'B. Integrated Fin - Balance S.'!O30</f>
        <v>140860.14623624959</v>
      </c>
      <c r="P157">
        <f>'B. Integrated Fin - Balance S.'!P30</f>
        <v>156255.3556696999</v>
      </c>
      <c r="Q157">
        <f>'B. Integrated Fin - Balance S.'!Q30</f>
        <v>172390.30158760899</v>
      </c>
      <c r="R157">
        <f>'B. Integrated Fin - Balance S.'!R30</f>
        <v>189305.04130361258</v>
      </c>
      <c r="S157">
        <f>'B. Integrated Fin - Balance S.'!S30</f>
        <v>206842.38162170484</v>
      </c>
      <c r="T157">
        <f>'B. Integrated Fin - Balance S.'!T30</f>
        <v>224917.84230701876</v>
      </c>
      <c r="U157">
        <f>'B. Integrated Fin - Balance S.'!U30</f>
        <v>243466.59097572486</v>
      </c>
      <c r="V157">
        <f>'B. Integrated Fin - Balance S.'!V30</f>
        <v>262397.45110627805</v>
      </c>
      <c r="W157">
        <f>'B. Integrated Fin - Balance S.'!W30</f>
        <v>281655.69015300454</v>
      </c>
    </row>
    <row r="158" spans="1:23">
      <c r="A158">
        <f>'B. Integrated Fin - Balance S.'!A31</f>
        <v>0</v>
      </c>
      <c r="B158">
        <f>'B. Integrated Fin - Balance S.'!B31</f>
        <v>0</v>
      </c>
      <c r="C158">
        <f>'B. Integrated Fin - Balance S.'!C31</f>
        <v>0</v>
      </c>
      <c r="D158">
        <f>'B. Integrated Fin - Balance S.'!D31</f>
        <v>0</v>
      </c>
      <c r="E158">
        <f>'B. Integrated Fin - Balance S.'!E31</f>
        <v>0</v>
      </c>
      <c r="F158">
        <f>'B. Integrated Fin - Balance S.'!F31</f>
        <v>0</v>
      </c>
      <c r="G158">
        <f>'B. Integrated Fin - Balance S.'!G31</f>
        <v>0</v>
      </c>
      <c r="H158">
        <f>'B. Integrated Fin - Balance S.'!H31</f>
        <v>0</v>
      </c>
      <c r="I158">
        <f>'B. Integrated Fin - Balance S.'!I31</f>
        <v>0</v>
      </c>
      <c r="J158">
        <f>'B. Integrated Fin - Balance S.'!J31</f>
        <v>0</v>
      </c>
      <c r="K158">
        <f>'B. Integrated Fin - Balance S.'!K31</f>
        <v>0</v>
      </c>
      <c r="L158">
        <f>'B. Integrated Fin - Balance S.'!L31</f>
        <v>0</v>
      </c>
      <c r="M158">
        <f>'B. Integrated Fin - Balance S.'!M31</f>
        <v>0</v>
      </c>
      <c r="N158">
        <f>'B. Integrated Fin - Balance S.'!N31</f>
        <v>0</v>
      </c>
      <c r="O158">
        <f>'B. Integrated Fin - Balance S.'!O31</f>
        <v>0</v>
      </c>
      <c r="P158">
        <f>'B. Integrated Fin - Balance S.'!P31</f>
        <v>0</v>
      </c>
      <c r="Q158">
        <f>'B. Integrated Fin - Balance S.'!Q31</f>
        <v>0</v>
      </c>
      <c r="R158">
        <f>'B. Integrated Fin - Balance S.'!R31</f>
        <v>0</v>
      </c>
      <c r="S158">
        <f>'B. Integrated Fin - Balance S.'!S31</f>
        <v>0</v>
      </c>
      <c r="T158">
        <f>'B. Integrated Fin - Balance S.'!T31</f>
        <v>0</v>
      </c>
      <c r="U158">
        <f>'B. Integrated Fin - Balance S.'!U31</f>
        <v>0</v>
      </c>
      <c r="V158">
        <f>'B. Integrated Fin - Balance S.'!V31</f>
        <v>0</v>
      </c>
      <c r="W158">
        <f>'B. Integrated Fin - Balance S.'!W31</f>
        <v>0</v>
      </c>
    </row>
    <row r="159" spans="1:23">
      <c r="A159" t="str">
        <f>'B. Integrated Fin - Balance S.'!A32</f>
        <v>Liabilities &amp; Equity</v>
      </c>
      <c r="B159">
        <f>'B. Integrated Fin - Balance S.'!B32</f>
        <v>0</v>
      </c>
      <c r="C159">
        <f>'B. Integrated Fin - Balance S.'!C32</f>
        <v>0</v>
      </c>
      <c r="D159">
        <f>'B. Integrated Fin - Balance S.'!D32</f>
        <v>0</v>
      </c>
      <c r="E159">
        <f>'B. Integrated Fin - Balance S.'!E32</f>
        <v>0</v>
      </c>
      <c r="F159">
        <f>'B. Integrated Fin - Balance S.'!F32</f>
        <v>0</v>
      </c>
      <c r="G159">
        <f>'B. Integrated Fin - Balance S.'!G32</f>
        <v>0</v>
      </c>
      <c r="H159">
        <f>'B. Integrated Fin - Balance S.'!H32</f>
        <v>0</v>
      </c>
      <c r="I159">
        <f>'B. Integrated Fin - Balance S.'!I32</f>
        <v>0</v>
      </c>
      <c r="J159">
        <f>'B. Integrated Fin - Balance S.'!J32</f>
        <v>0</v>
      </c>
      <c r="K159">
        <f>'B. Integrated Fin - Balance S.'!K32</f>
        <v>0</v>
      </c>
      <c r="L159">
        <f>'B. Integrated Fin - Balance S.'!L32</f>
        <v>0</v>
      </c>
      <c r="M159">
        <f>'B. Integrated Fin - Balance S.'!M32</f>
        <v>0</v>
      </c>
      <c r="N159">
        <f>'B. Integrated Fin - Balance S.'!N32</f>
        <v>0</v>
      </c>
      <c r="O159">
        <f>'B. Integrated Fin - Balance S.'!O32</f>
        <v>0</v>
      </c>
      <c r="P159">
        <f>'B. Integrated Fin - Balance S.'!P32</f>
        <v>0</v>
      </c>
      <c r="Q159">
        <f>'B. Integrated Fin - Balance S.'!Q32</f>
        <v>0</v>
      </c>
      <c r="R159">
        <f>'B. Integrated Fin - Balance S.'!R32</f>
        <v>0</v>
      </c>
      <c r="S159">
        <f>'B. Integrated Fin - Balance S.'!S32</f>
        <v>0</v>
      </c>
      <c r="T159">
        <f>'B. Integrated Fin - Balance S.'!T32</f>
        <v>0</v>
      </c>
      <c r="U159">
        <f>'B. Integrated Fin - Balance S.'!U32</f>
        <v>0</v>
      </c>
      <c r="V159">
        <f>'B. Integrated Fin - Balance S.'!V32</f>
        <v>0</v>
      </c>
      <c r="W159">
        <f>'B. Integrated Fin - Balance S.'!W32</f>
        <v>0</v>
      </c>
    </row>
    <row r="160" spans="1:23">
      <c r="A160" t="str">
        <f>'B. Integrated Fin - Balance S.'!A33</f>
        <v>Debt</v>
      </c>
      <c r="B160">
        <f>'B. Integrated Fin - Balance S.'!B33</f>
        <v>42656</v>
      </c>
      <c r="C160">
        <f>'B. Integrated Fin - Balance S.'!C33</f>
        <v>40023</v>
      </c>
      <c r="D160">
        <f>'B. Integrated Fin - Balance S.'!D33</f>
        <v>36161</v>
      </c>
      <c r="E160">
        <f>'B. Integrated Fin - Balance S.'!E33</f>
        <v>34999</v>
      </c>
      <c r="F160">
        <f>'B. Integrated Fin - Balance S.'!F33</f>
        <v>46758</v>
      </c>
      <c r="G160">
        <f>'B. Integrated Fin - Balance S.'!G33</f>
        <v>49651</v>
      </c>
      <c r="H160">
        <f>'B. Integrated Fin - Balance S.'!H33</f>
        <v>44533</v>
      </c>
      <c r="I160">
        <f>'B. Integrated Fin - Balance S.'!I33</f>
        <v>38077</v>
      </c>
      <c r="J160">
        <f>'B. Integrated Fin - Balance S.'!J33</f>
        <v>39212</v>
      </c>
      <c r="K160">
        <f>'B. Integrated Fin - Balance S.'!K33</f>
        <v>40457</v>
      </c>
      <c r="L160">
        <f>'B. Integrated Fin - Balance S.'!L33</f>
        <v>39067</v>
      </c>
      <c r="M160">
        <f>'B. Integrated Fin - Balance S.'!M33</f>
        <v>40269.45306006242</v>
      </c>
      <c r="N160">
        <f>'B. Integrated Fin - Balance S.'!N33</f>
        <v>41508.916726561307</v>
      </c>
      <c r="O160">
        <f>'B. Integrated Fin - Balance S.'!O33</f>
        <v>42786.530158299858</v>
      </c>
      <c r="P160">
        <f>'B. Integrated Fin - Balance S.'!P33</f>
        <v>44103.467576537776</v>
      </c>
      <c r="Q160">
        <f>'B. Integrated Fin - Balance S.'!Q33</f>
        <v>45460.9393441875</v>
      </c>
      <c r="R160">
        <f>'B. Integrated Fin - Balance S.'!R33</f>
        <v>46860.193078227239</v>
      </c>
      <c r="S160">
        <f>'B. Integrated Fin - Balance S.'!S33</f>
        <v>48302.514796353287</v>
      </c>
      <c r="T160">
        <f>'B. Integrated Fin - Balance S.'!T33</f>
        <v>49789.230098925414</v>
      </c>
      <c r="U160">
        <f>'B. Integrated Fin - Balance S.'!U33</f>
        <v>51321.70538729168</v>
      </c>
      <c r="V160">
        <f>'B. Integrated Fin - Balance S.'!V33</f>
        <v>52901.349119612336</v>
      </c>
      <c r="W160">
        <f>'B. Integrated Fin - Balance S.'!W33</f>
        <v>54529.613105337077</v>
      </c>
    </row>
    <row r="161" spans="1:23">
      <c r="A161" t="str">
        <f>'B. Integrated Fin - Balance S.'!A34</f>
        <v>Debt Equivalent</v>
      </c>
      <c r="B161">
        <f>'B. Integrated Fin - Balance S.'!B34</f>
        <v>0</v>
      </c>
      <c r="C161">
        <f>'B. Integrated Fin - Balance S.'!C34</f>
        <v>0</v>
      </c>
      <c r="D161">
        <f>'B. Integrated Fin - Balance S.'!D34</f>
        <v>0</v>
      </c>
      <c r="E161">
        <f>'B. Integrated Fin - Balance S.'!E34</f>
        <v>0</v>
      </c>
      <c r="F161">
        <f>'B. Integrated Fin - Balance S.'!F34</f>
        <v>0</v>
      </c>
      <c r="G161">
        <f>'B. Integrated Fin - Balance S.'!G34</f>
        <v>0</v>
      </c>
      <c r="H161">
        <f>'B. Integrated Fin - Balance S.'!H34</f>
        <v>0</v>
      </c>
      <c r="I161">
        <f>'B. Integrated Fin - Balance S.'!I34</f>
        <v>0</v>
      </c>
      <c r="J161">
        <f>'B. Integrated Fin - Balance S.'!J34</f>
        <v>0</v>
      </c>
      <c r="K161">
        <f>'B. Integrated Fin - Balance S.'!K34</f>
        <v>0</v>
      </c>
      <c r="L161">
        <f>'B. Integrated Fin - Balance S.'!L34</f>
        <v>0</v>
      </c>
      <c r="M161">
        <f>'B. Integrated Fin - Balance S.'!M34</f>
        <v>0</v>
      </c>
      <c r="N161">
        <f>'B. Integrated Fin - Balance S.'!N34</f>
        <v>0</v>
      </c>
      <c r="O161">
        <f>'B. Integrated Fin - Balance S.'!O34</f>
        <v>0</v>
      </c>
      <c r="P161">
        <f>'B. Integrated Fin - Balance S.'!P34</f>
        <v>0</v>
      </c>
      <c r="Q161">
        <f>'B. Integrated Fin - Balance S.'!Q34</f>
        <v>0</v>
      </c>
      <c r="R161">
        <f>'B. Integrated Fin - Balance S.'!R34</f>
        <v>0</v>
      </c>
      <c r="S161">
        <f>'B. Integrated Fin - Balance S.'!S34</f>
        <v>0</v>
      </c>
      <c r="T161">
        <f>'B. Integrated Fin - Balance S.'!T34</f>
        <v>0</v>
      </c>
      <c r="U161">
        <f>'B. Integrated Fin - Balance S.'!U34</f>
        <v>0</v>
      </c>
      <c r="V161">
        <f>'B. Integrated Fin - Balance S.'!V34</f>
        <v>0</v>
      </c>
      <c r="W161">
        <f>'B. Integrated Fin - Balance S.'!W34</f>
        <v>0</v>
      </c>
    </row>
    <row r="162" spans="1:23">
      <c r="A162">
        <f>'B. Integrated Fin - Balance S.'!A35</f>
        <v>0</v>
      </c>
      <c r="B162">
        <f>'B. Integrated Fin - Balance S.'!B35</f>
        <v>0</v>
      </c>
      <c r="C162">
        <f>'B. Integrated Fin - Balance S.'!C35</f>
        <v>0</v>
      </c>
      <c r="D162">
        <f>'B. Integrated Fin - Balance S.'!D35</f>
        <v>0</v>
      </c>
      <c r="E162">
        <f>'B. Integrated Fin - Balance S.'!E35</f>
        <v>0</v>
      </c>
      <c r="F162">
        <f>'B. Integrated Fin - Balance S.'!F35</f>
        <v>0</v>
      </c>
      <c r="G162">
        <f>'B. Integrated Fin - Balance S.'!G35</f>
        <v>0</v>
      </c>
      <c r="H162">
        <f>'B. Integrated Fin - Balance S.'!H35</f>
        <v>0</v>
      </c>
      <c r="I162">
        <f>'B. Integrated Fin - Balance S.'!I35</f>
        <v>0</v>
      </c>
      <c r="J162">
        <f>'B. Integrated Fin - Balance S.'!J35</f>
        <v>0</v>
      </c>
      <c r="K162">
        <f>'B. Integrated Fin - Balance S.'!K35</f>
        <v>0</v>
      </c>
      <c r="L162">
        <f>'B. Integrated Fin - Balance S.'!L35</f>
        <v>0</v>
      </c>
      <c r="M162">
        <f>'B. Integrated Fin - Balance S.'!M35</f>
        <v>0</v>
      </c>
      <c r="N162">
        <f>'B. Integrated Fin - Balance S.'!N35</f>
        <v>0</v>
      </c>
      <c r="O162">
        <f>'B. Integrated Fin - Balance S.'!O35</f>
        <v>0</v>
      </c>
      <c r="P162">
        <f>'B. Integrated Fin - Balance S.'!P35</f>
        <v>0</v>
      </c>
      <c r="Q162">
        <f>'B. Integrated Fin - Balance S.'!Q35</f>
        <v>0</v>
      </c>
      <c r="R162">
        <f>'B. Integrated Fin - Balance S.'!R35</f>
        <v>0</v>
      </c>
      <c r="S162">
        <f>'B. Integrated Fin - Balance S.'!S35</f>
        <v>0</v>
      </c>
      <c r="T162">
        <f>'B. Integrated Fin - Balance S.'!T35</f>
        <v>0</v>
      </c>
      <c r="U162">
        <f>'B. Integrated Fin - Balance S.'!U35</f>
        <v>0</v>
      </c>
      <c r="V162">
        <f>'B. Integrated Fin - Balance S.'!V35</f>
        <v>0</v>
      </c>
      <c r="W162">
        <f>'B. Integrated Fin - Balance S.'!W35</f>
        <v>0</v>
      </c>
    </row>
    <row r="163" spans="1:23">
      <c r="A163" t="str">
        <f>'B. Integrated Fin - Balance S.'!A36</f>
        <v>Other Equity</v>
      </c>
      <c r="B163">
        <f>'B. Integrated Fin - Balance S.'!B36</f>
        <v>-4383</v>
      </c>
      <c r="C163">
        <f>'B. Integrated Fin - Balance S.'!C36</f>
        <v>-9475</v>
      </c>
      <c r="D163">
        <f>'B. Integrated Fin - Balance S.'!D36</f>
        <v>-11556</v>
      </c>
      <c r="E163">
        <f>'B. Integrated Fin - Balance S.'!E36</f>
        <v>-7238</v>
      </c>
      <c r="F163">
        <f>'B. Integrated Fin - Balance S.'!F36</f>
        <v>-8289</v>
      </c>
      <c r="G163">
        <f>'B. Integrated Fin - Balance S.'!G36</f>
        <v>-9274</v>
      </c>
      <c r="H163">
        <f>'B. Integrated Fin - Balance S.'!H36</f>
        <v>-7838</v>
      </c>
      <c r="I163">
        <f>'B. Integrated Fin - Balance S.'!I36</f>
        <v>-3651</v>
      </c>
      <c r="J163">
        <f>'B. Integrated Fin - Balance S.'!J36</f>
        <v>-6442</v>
      </c>
      <c r="K163">
        <f>'B. Integrated Fin - Balance S.'!K36</f>
        <v>-5953</v>
      </c>
      <c r="L163">
        <f>'B. Integrated Fin - Balance S.'!L36</f>
        <v>-7300</v>
      </c>
      <c r="M163">
        <f>'B. Integrated Fin - Balance S.'!M36</f>
        <v>-7300</v>
      </c>
      <c r="N163">
        <f>'B. Integrated Fin - Balance S.'!N36</f>
        <v>-7300</v>
      </c>
      <c r="O163">
        <f>'B. Integrated Fin - Balance S.'!O36</f>
        <v>-7300</v>
      </c>
      <c r="P163">
        <f>'B. Integrated Fin - Balance S.'!P36</f>
        <v>-7300</v>
      </c>
      <c r="Q163">
        <f>'B. Integrated Fin - Balance S.'!Q36</f>
        <v>-7300</v>
      </c>
      <c r="R163">
        <f>'B. Integrated Fin - Balance S.'!R36</f>
        <v>-7300</v>
      </c>
      <c r="S163">
        <f>'B. Integrated Fin - Balance S.'!S36</f>
        <v>-7300</v>
      </c>
      <c r="T163">
        <f>'B. Integrated Fin - Balance S.'!T36</f>
        <v>-7300</v>
      </c>
      <c r="U163">
        <f>'B. Integrated Fin - Balance S.'!U36</f>
        <v>-7300</v>
      </c>
      <c r="V163">
        <f>'B. Integrated Fin - Balance S.'!V36</f>
        <v>-7300</v>
      </c>
      <c r="W163">
        <f>'B. Integrated Fin - Balance S.'!W36</f>
        <v>-7300</v>
      </c>
    </row>
    <row r="164" spans="1:23">
      <c r="A164" t="str">
        <f>'B. Integrated Fin - Balance S.'!A37</f>
        <v>Retained Earnings</v>
      </c>
      <c r="B164">
        <f>'B. Integrated Fin - Balance S.'!B37</f>
        <v>85777</v>
      </c>
      <c r="C164">
        <f>'B. Integrated Fin - Balance S.'!C37</f>
        <v>90021</v>
      </c>
      <c r="D164">
        <f>'B. Integrated Fin - Balance S.'!D37</f>
        <v>89354</v>
      </c>
      <c r="E164">
        <f>'B. Integrated Fin - Balance S.'!E37</f>
        <v>85107</v>
      </c>
      <c r="F164">
        <f>'B. Integrated Fin - Balance S.'!F37</f>
        <v>80785</v>
      </c>
      <c r="G164">
        <f>'B. Integrated Fin - Balance S.'!G37</f>
        <v>83943</v>
      </c>
      <c r="H164">
        <f>'B. Integrated Fin - Balance S.'!H37</f>
        <v>88763</v>
      </c>
      <c r="I164">
        <f>'B. Integrated Fin - Balance S.'!I37</f>
        <v>86904</v>
      </c>
      <c r="J164">
        <f>'B. Integrated Fin - Balance S.'!J37</f>
        <v>83135</v>
      </c>
      <c r="K164">
        <f>'B. Integrated Fin - Balance S.'!K37</f>
        <v>89814</v>
      </c>
      <c r="L164">
        <f>'B. Integrated Fin - Balance S.'!L37</f>
        <v>98313</v>
      </c>
      <c r="M164">
        <f>'B. Integrated Fin - Balance S.'!M37</f>
        <v>111904.56839863342</v>
      </c>
      <c r="N164">
        <f>'B. Integrated Fin - Balance S.'!N37</f>
        <v>126117.06815077628</v>
      </c>
      <c r="O164">
        <f>'B. Integrated Fin - Balance S.'!O37</f>
        <v>140860.14623624959</v>
      </c>
      <c r="P164">
        <f>'B. Integrated Fin - Balance S.'!P37</f>
        <v>156255.3556696999</v>
      </c>
      <c r="Q164">
        <f>'B. Integrated Fin - Balance S.'!Q37</f>
        <v>172390.30158760899</v>
      </c>
      <c r="R164">
        <f>'B. Integrated Fin - Balance S.'!R37</f>
        <v>189305.04130361258</v>
      </c>
      <c r="S164">
        <f>'B. Integrated Fin - Balance S.'!S37</f>
        <v>206842.38162170484</v>
      </c>
      <c r="T164">
        <f>'B. Integrated Fin - Balance S.'!T37</f>
        <v>224917.84230701876</v>
      </c>
      <c r="U164">
        <f>'B. Integrated Fin - Balance S.'!U37</f>
        <v>243466.59097572486</v>
      </c>
      <c r="V164">
        <f>'B. Integrated Fin - Balance S.'!V37</f>
        <v>262397.45110627805</v>
      </c>
      <c r="W164">
        <f>'B. Integrated Fin - Balance S.'!W37</f>
        <v>281655.69015300454</v>
      </c>
    </row>
    <row r="165" spans="1:23">
      <c r="A165" t="str">
        <f>'B. Integrated Fin - Balance S.'!A38</f>
        <v>minority interest</v>
      </c>
      <c r="B165">
        <f>'B. Integrated Fin - Balance S.'!B38</f>
        <v>4543</v>
      </c>
      <c r="C165">
        <f>'B. Integrated Fin - Balance S.'!C38</f>
        <v>3065</v>
      </c>
      <c r="D165">
        <f>'B. Integrated Fin - Balance S.'!D38</f>
        <v>2737</v>
      </c>
      <c r="E165">
        <f>'B. Integrated Fin - Balance S.'!E38</f>
        <v>2953</v>
      </c>
      <c r="F165">
        <f>'B. Integrated Fin - Balance S.'!F38</f>
        <v>7138</v>
      </c>
      <c r="G165">
        <f>'B. Integrated Fin - Balance S.'!G38</f>
        <v>6883</v>
      </c>
      <c r="H165">
        <f>'B. Integrated Fin - Balance S.'!H38</f>
        <v>6606</v>
      </c>
      <c r="I165">
        <f>'B. Integrated Fin - Balance S.'!I38</f>
        <v>8638</v>
      </c>
      <c r="J165">
        <f>'B. Integrated Fin - Balance S.'!J38</f>
        <v>7298</v>
      </c>
      <c r="K165">
        <f>'B. Integrated Fin - Balance S.'!K38</f>
        <v>6710</v>
      </c>
      <c r="L165">
        <f>'B. Integrated Fin - Balance S.'!L38</f>
        <v>6679</v>
      </c>
      <c r="M165">
        <f>'B. Integrated Fin - Balance S.'!M38</f>
        <v>6679</v>
      </c>
      <c r="N165">
        <f>'B. Integrated Fin - Balance S.'!N38</f>
        <v>6679</v>
      </c>
      <c r="O165">
        <f>'B. Integrated Fin - Balance S.'!O38</f>
        <v>6679</v>
      </c>
      <c r="P165">
        <f>'B. Integrated Fin - Balance S.'!P38</f>
        <v>6679</v>
      </c>
      <c r="Q165">
        <f>'B. Integrated Fin - Balance S.'!Q38</f>
        <v>6679</v>
      </c>
      <c r="R165">
        <f>'B. Integrated Fin - Balance S.'!R38</f>
        <v>6679</v>
      </c>
      <c r="S165">
        <f>'B. Integrated Fin - Balance S.'!S38</f>
        <v>6679</v>
      </c>
      <c r="T165">
        <f>'B. Integrated Fin - Balance S.'!T38</f>
        <v>6679</v>
      </c>
      <c r="U165">
        <f>'B. Integrated Fin - Balance S.'!U38</f>
        <v>6679</v>
      </c>
      <c r="V165">
        <f>'B. Integrated Fin - Balance S.'!V38</f>
        <v>6679</v>
      </c>
      <c r="W165">
        <f>'B. Integrated Fin - Balance S.'!W38</f>
        <v>6679</v>
      </c>
    </row>
    <row r="166" spans="1:23">
      <c r="A166" t="str">
        <f>'B. Integrated Fin - Balance S.'!A39</f>
        <v>Total Funds Invested</v>
      </c>
      <c r="B166">
        <f>'B. Integrated Fin - Balance S.'!B39</f>
        <v>128593</v>
      </c>
      <c r="C166">
        <f>'B. Integrated Fin - Balance S.'!C39</f>
        <v>123634</v>
      </c>
      <c r="D166">
        <f>'B. Integrated Fin - Balance S.'!D39</f>
        <v>116696</v>
      </c>
      <c r="E166">
        <f>'B. Integrated Fin - Balance S.'!E39</f>
        <v>115821</v>
      </c>
      <c r="F166">
        <f>'B. Integrated Fin - Balance S.'!F39</f>
        <v>126392</v>
      </c>
      <c r="G166">
        <f>'B. Integrated Fin - Balance S.'!G39</f>
        <v>131203</v>
      </c>
      <c r="H166">
        <f>'B. Integrated Fin - Balance S.'!H39</f>
        <v>132064</v>
      </c>
      <c r="I166">
        <f>'B. Integrated Fin - Balance S.'!I39</f>
        <v>129968</v>
      </c>
      <c r="J166">
        <f>'B. Integrated Fin - Balance S.'!J39</f>
        <v>123203</v>
      </c>
      <c r="K166">
        <f>'B. Integrated Fin - Balance S.'!K39</f>
        <v>131028</v>
      </c>
      <c r="L166">
        <f>'B. Integrated Fin - Balance S.'!L39</f>
        <v>136759</v>
      </c>
      <c r="M166">
        <f>'B. Integrated Fin - Balance S.'!M39</f>
        <v>151553.02145869585</v>
      </c>
      <c r="N166">
        <f>'B. Integrated Fin - Balance S.'!N39</f>
        <v>167004.98487733759</v>
      </c>
      <c r="O166">
        <f>'B. Integrated Fin - Balance S.'!O39</f>
        <v>183025.67639454946</v>
      </c>
      <c r="P166">
        <f>'B. Integrated Fin - Balance S.'!P39</f>
        <v>199737.82324623768</v>
      </c>
      <c r="Q166">
        <f>'B. Integrated Fin - Balance S.'!Q39</f>
        <v>217230.24093179649</v>
      </c>
      <c r="R166">
        <f>'B. Integrated Fin - Balance S.'!R39</f>
        <v>235544.23438183981</v>
      </c>
      <c r="S166">
        <f>'B. Integrated Fin - Balance S.'!S39</f>
        <v>254523.89641805814</v>
      </c>
      <c r="T166">
        <f>'B. Integrated Fin - Balance S.'!T39</f>
        <v>274086.07240594417</v>
      </c>
      <c r="U166">
        <f>'B. Integrated Fin - Balance S.'!U39</f>
        <v>294167.29636301653</v>
      </c>
      <c r="V166">
        <f>'B. Integrated Fin - Balance S.'!V39</f>
        <v>314677.80022589036</v>
      </c>
      <c r="W166">
        <f>'B. Integrated Fin - Balance S.'!W39</f>
        <v>335564.30325834162</v>
      </c>
    </row>
    <row r="167" spans="1:23">
      <c r="A167">
        <f>'B. Integrated Fin - Balance S.'!A40</f>
        <v>0</v>
      </c>
      <c r="B167" t="b">
        <f>'B. Integrated Fin - Balance S.'!B40</f>
        <v>1</v>
      </c>
      <c r="C167" t="b">
        <f>'B. Integrated Fin - Balance S.'!C40</f>
        <v>1</v>
      </c>
      <c r="D167" t="b">
        <f>'B. Integrated Fin - Balance S.'!D40</f>
        <v>1</v>
      </c>
      <c r="E167" t="b">
        <f>'B. Integrated Fin - Balance S.'!E40</f>
        <v>1</v>
      </c>
      <c r="F167" t="b">
        <f>'B. Integrated Fin - Balance S.'!F40</f>
        <v>1</v>
      </c>
      <c r="G167" t="b">
        <f>'B. Integrated Fin - Balance S.'!G40</f>
        <v>1</v>
      </c>
      <c r="H167" t="b">
        <f>'B. Integrated Fin - Balance S.'!H40</f>
        <v>1</v>
      </c>
      <c r="I167" t="b">
        <f>'B. Integrated Fin - Balance S.'!I40</f>
        <v>1</v>
      </c>
      <c r="J167" t="b">
        <f>'B. Integrated Fin - Balance S.'!J40</f>
        <v>1</v>
      </c>
      <c r="K167" t="b">
        <f>'B. Integrated Fin - Balance S.'!K40</f>
        <v>1</v>
      </c>
      <c r="L167" t="b">
        <f>'B. Integrated Fin - Balance S.'!L40</f>
        <v>1</v>
      </c>
      <c r="M167" t="b">
        <f>'B. Integrated Fin - Balance S.'!M40</f>
        <v>1</v>
      </c>
      <c r="N167" t="b">
        <f>'B. Integrated Fin - Balance S.'!N40</f>
        <v>1</v>
      </c>
      <c r="O167" t="b">
        <f>'B. Integrated Fin - Balance S.'!O40</f>
        <v>1</v>
      </c>
      <c r="P167" t="b">
        <f>'B. Integrated Fin - Balance S.'!P40</f>
        <v>1</v>
      </c>
      <c r="Q167" t="b">
        <f>'B. Integrated Fin - Balance S.'!Q40</f>
        <v>1</v>
      </c>
      <c r="R167" t="b">
        <f>'B. Integrated Fin - Balance S.'!R40</f>
        <v>1</v>
      </c>
      <c r="S167" t="b">
        <f>'B. Integrated Fin - Balance S.'!S40</f>
        <v>1</v>
      </c>
      <c r="T167" t="b">
        <f>'B. Integrated Fin - Balance S.'!T40</f>
        <v>1</v>
      </c>
      <c r="U167" t="b">
        <f>'B. Integrated Fin - Balance S.'!U40</f>
        <v>1</v>
      </c>
      <c r="V167" t="b">
        <f>'B. Integrated Fin - Balance S.'!V40</f>
        <v>1</v>
      </c>
      <c r="W167" t="b">
        <f>'B. Integrated Fin - Balance S.'!W40</f>
        <v>1</v>
      </c>
    </row>
    <row r="168" spans="1:23">
      <c r="A168" t="str">
        <f>'B. Integrated Fin - Balance S.'!A41</f>
        <v>Stat of Accum Other Comprehensive Income for Y/E:</v>
      </c>
      <c r="B168">
        <f>'B. Integrated Fin - Balance S.'!B41</f>
        <v>0</v>
      </c>
      <c r="C168">
        <f>'B. Integrated Fin - Balance S.'!C41</f>
        <v>0</v>
      </c>
      <c r="D168">
        <f>'B. Integrated Fin - Balance S.'!D41</f>
        <v>0</v>
      </c>
      <c r="E168">
        <f>'B. Integrated Fin - Balance S.'!E41</f>
        <v>0</v>
      </c>
      <c r="F168">
        <f>'B. Integrated Fin - Balance S.'!F41</f>
        <v>0</v>
      </c>
      <c r="G168">
        <f>'B. Integrated Fin - Balance S.'!G41</f>
        <v>0</v>
      </c>
      <c r="H168">
        <f>'B. Integrated Fin - Balance S.'!H41</f>
        <v>0</v>
      </c>
      <c r="I168">
        <f>'B. Integrated Fin - Balance S.'!I41</f>
        <v>0</v>
      </c>
      <c r="J168">
        <f>'B. Integrated Fin - Balance S.'!J41</f>
        <v>0</v>
      </c>
      <c r="K168">
        <f>'B. Integrated Fin - Balance S.'!K41</f>
        <v>0</v>
      </c>
      <c r="L168">
        <f>'B. Integrated Fin - Balance S.'!L41</f>
        <v>0</v>
      </c>
      <c r="M168">
        <f>'B. Integrated Fin - Balance S.'!M41</f>
        <v>0</v>
      </c>
      <c r="N168">
        <f>'B. Integrated Fin - Balance S.'!N41</f>
        <v>0</v>
      </c>
      <c r="O168">
        <f>'B. Integrated Fin - Balance S.'!O41</f>
        <v>0</v>
      </c>
      <c r="P168">
        <f>'B. Integrated Fin - Balance S.'!P41</f>
        <v>0</v>
      </c>
      <c r="Q168">
        <f>'B. Integrated Fin - Balance S.'!Q41</f>
        <v>0</v>
      </c>
      <c r="R168">
        <f>'B. Integrated Fin - Balance S.'!R41</f>
        <v>0</v>
      </c>
      <c r="S168">
        <f>'B. Integrated Fin - Balance S.'!S41</f>
        <v>0</v>
      </c>
      <c r="T168">
        <f>'B. Integrated Fin - Balance S.'!T41</f>
        <v>0</v>
      </c>
      <c r="U168">
        <f>'B. Integrated Fin - Balance S.'!U41</f>
        <v>0</v>
      </c>
      <c r="V168">
        <f>'B. Integrated Fin - Balance S.'!V41</f>
        <v>0</v>
      </c>
      <c r="W168">
        <f>'B. Integrated Fin - Balance S.'!W41</f>
        <v>0</v>
      </c>
    </row>
    <row r="169" spans="1:23">
      <c r="A169" t="str">
        <f>'B. Integrated Fin - Balance S.'!A42</f>
        <v>Accum Other Comprehensive Loss</v>
      </c>
      <c r="B169">
        <f>'B. Integrated Fin - Balance S.'!B42</f>
        <v>0</v>
      </c>
      <c r="C169">
        <f>'B. Integrated Fin - Balance S.'!C42</f>
        <v>0</v>
      </c>
      <c r="D169">
        <f>'B. Integrated Fin - Balance S.'!D42</f>
        <v>0</v>
      </c>
      <c r="E169">
        <f>'B. Integrated Fin - Balance S.'!E42</f>
        <v>0</v>
      </c>
      <c r="F169">
        <f>'B. Integrated Fin - Balance S.'!F42</f>
        <v>0</v>
      </c>
      <c r="G169">
        <f>'B. Integrated Fin - Balance S.'!G42</f>
        <v>0</v>
      </c>
      <c r="H169">
        <f>'B. Integrated Fin - Balance S.'!H42</f>
        <v>0</v>
      </c>
      <c r="I169">
        <f>'B. Integrated Fin - Balance S.'!I42</f>
        <v>0</v>
      </c>
      <c r="J169">
        <f>'B. Integrated Fin - Balance S.'!J42</f>
        <v>0</v>
      </c>
      <c r="K169">
        <f>'B. Integrated Fin - Balance S.'!K42</f>
        <v>0</v>
      </c>
      <c r="L169">
        <f>'B. Integrated Fin - Balance S.'!L42</f>
        <v>0</v>
      </c>
      <c r="M169">
        <f>'B. Integrated Fin - Balance S.'!M42</f>
        <v>0</v>
      </c>
      <c r="N169">
        <f>'B. Integrated Fin - Balance S.'!N42</f>
        <v>0</v>
      </c>
      <c r="O169">
        <f>'B. Integrated Fin - Balance S.'!O42</f>
        <v>0</v>
      </c>
      <c r="P169">
        <f>'B. Integrated Fin - Balance S.'!P42</f>
        <v>0</v>
      </c>
      <c r="Q169">
        <f>'B. Integrated Fin - Balance S.'!Q42</f>
        <v>0</v>
      </c>
      <c r="R169">
        <f>'B. Integrated Fin - Balance S.'!R42</f>
        <v>0</v>
      </c>
      <c r="S169">
        <f>'B. Integrated Fin - Balance S.'!S42</f>
        <v>0</v>
      </c>
      <c r="T169">
        <f>'B. Integrated Fin - Balance S.'!T42</f>
        <v>0</v>
      </c>
      <c r="U169">
        <f>'B. Integrated Fin - Balance S.'!U42</f>
        <v>0</v>
      </c>
      <c r="V169">
        <f>'B. Integrated Fin - Balance S.'!V42</f>
        <v>0</v>
      </c>
      <c r="W169">
        <f>'B. Integrated Fin - Balance S.'!W42</f>
        <v>0</v>
      </c>
    </row>
    <row r="170" spans="1:23">
      <c r="A170" t="str">
        <f>'B. Integrated Fin - Balance S.'!A43</f>
        <v>Foreign Currency Translation Adj</v>
      </c>
      <c r="B170">
        <f>'B. Integrated Fin - Balance S.'!B43</f>
        <v>0</v>
      </c>
      <c r="C170">
        <f>'B. Integrated Fin - Balance S.'!C43</f>
        <v>0</v>
      </c>
      <c r="D170">
        <f>'B. Integrated Fin - Balance S.'!D43</f>
        <v>0</v>
      </c>
      <c r="E170">
        <f>'B. Integrated Fin - Balance S.'!E43</f>
        <v>0</v>
      </c>
      <c r="F170">
        <f>'B. Integrated Fin - Balance S.'!F43</f>
        <v>0</v>
      </c>
      <c r="G170">
        <f>'B. Integrated Fin - Balance S.'!G43</f>
        <v>0</v>
      </c>
      <c r="H170">
        <f>'B. Integrated Fin - Balance S.'!H43</f>
        <v>0</v>
      </c>
      <c r="I170">
        <f>'B. Integrated Fin - Balance S.'!I43</f>
        <v>0</v>
      </c>
      <c r="J170">
        <f>'B. Integrated Fin - Balance S.'!J43</f>
        <v>0</v>
      </c>
      <c r="K170">
        <f>'B. Integrated Fin - Balance S.'!K43</f>
        <v>0</v>
      </c>
      <c r="L170">
        <f>'B. Integrated Fin - Balance S.'!L43</f>
        <v>0</v>
      </c>
      <c r="M170">
        <f>'B. Integrated Fin - Balance S.'!M43</f>
        <v>0</v>
      </c>
      <c r="N170">
        <f>'B. Integrated Fin - Balance S.'!N43</f>
        <v>0</v>
      </c>
      <c r="O170">
        <f>'B. Integrated Fin - Balance S.'!O43</f>
        <v>0</v>
      </c>
      <c r="P170">
        <f>'B. Integrated Fin - Balance S.'!P43</f>
        <v>0</v>
      </c>
      <c r="Q170">
        <f>'B. Integrated Fin - Balance S.'!Q43</f>
        <v>0</v>
      </c>
      <c r="R170">
        <f>'B. Integrated Fin - Balance S.'!R43</f>
        <v>0</v>
      </c>
      <c r="S170">
        <f>'B. Integrated Fin - Balance S.'!S43</f>
        <v>0</v>
      </c>
      <c r="T170">
        <f>'B. Integrated Fin - Balance S.'!T43</f>
        <v>0</v>
      </c>
      <c r="U170">
        <f>'B. Integrated Fin - Balance S.'!U43</f>
        <v>0</v>
      </c>
      <c r="V170">
        <f>'B. Integrated Fin - Balance S.'!V43</f>
        <v>0</v>
      </c>
      <c r="W170">
        <f>'B. Integrated Fin - Balance S.'!W43</f>
        <v>0</v>
      </c>
    </row>
    <row r="175" spans="1:23">
      <c r="B175">
        <f>'B. Integrated Fin - Balance S.'!B2</f>
        <v>0</v>
      </c>
      <c r="C175">
        <f>'B. Integrated Fin - Balance S.'!C2</f>
        <v>0</v>
      </c>
      <c r="D175">
        <f>'B. Integrated Fin - Balance S.'!D2</f>
        <v>0</v>
      </c>
      <c r="E175">
        <f>'B. Integrated Fin - Balance S.'!E2</f>
        <v>0</v>
      </c>
      <c r="F175">
        <f>'B. Integrated Fin - Balance S.'!F2</f>
        <v>0</v>
      </c>
      <c r="G175">
        <f>'B. Integrated Fin - Balance S.'!G2</f>
        <v>0</v>
      </c>
      <c r="H175">
        <f>'B. Integrated Fin - Balance S.'!H2</f>
        <v>0</v>
      </c>
      <c r="I175">
        <f>'B. Integrated Fin - Balance S.'!I2</f>
        <v>0</v>
      </c>
      <c r="J175">
        <f>'B. Integrated Fin - Balance S.'!J2</f>
        <v>0</v>
      </c>
      <c r="K175">
        <f>'B. Integrated Fin - Balance S.'!K2</f>
        <v>0</v>
      </c>
      <c r="L175">
        <f>'B. Integrated Fin - Balance S.'!L2</f>
        <v>0</v>
      </c>
      <c r="M175" t="str">
        <f>'B. Integrated Fin - Balance S.'!M2</f>
        <v>Step 4: Forecast the Balance Sheet: Invested Capital and Nonoperating Asset</v>
      </c>
      <c r="N175">
        <f>'B. Integrated Fin - Balance S.'!N2</f>
        <v>0</v>
      </c>
      <c r="O175">
        <f>'B. Integrated Fin - Balance S.'!O2</f>
        <v>0</v>
      </c>
      <c r="P175">
        <f>'B. Integrated Fin - Balance S.'!P2</f>
        <v>0</v>
      </c>
      <c r="Q175">
        <f>'B. Integrated Fin - Balance S.'!Q2</f>
        <v>0</v>
      </c>
      <c r="R175">
        <f>'B. Integrated Fin - Balance S.'!R2</f>
        <v>0</v>
      </c>
      <c r="S175">
        <f>'B. Integrated Fin - Balance S.'!S2</f>
        <v>0</v>
      </c>
      <c r="T175">
        <f>'B. Integrated Fin - Balance S.'!T2</f>
        <v>0</v>
      </c>
      <c r="U175">
        <f>'B. Integrated Fin - Balance S.'!U2</f>
        <v>0</v>
      </c>
      <c r="V175">
        <f>'B. Integrated Fin - Balance S.'!V2</f>
        <v>0</v>
      </c>
      <c r="W175">
        <f>'B. Integrated Fin - Balance S.'!W2</f>
        <v>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81DCB-26F3-4A87-8454-198E0A47CBC1}">
  <dimension ref="A1:Z45"/>
  <sheetViews>
    <sheetView zoomScale="96" zoomScaleNormal="70" workbookViewId="0">
      <pane ySplit="3" topLeftCell="E4" activePane="bottomLeft" state="frozen"/>
      <selection pane="bottomLeft" activeCell="L33" sqref="L33"/>
    </sheetView>
  </sheetViews>
  <sheetFormatPr defaultColWidth="8.85546875" defaultRowHeight="15"/>
  <cols>
    <col min="1" max="1" width="33.42578125" customWidth="1"/>
    <col min="2" max="7" width="11.28515625" customWidth="1"/>
    <col min="8" max="11" width="11.28515625" bestFit="1" customWidth="1"/>
    <col min="12" max="12" width="11.28515625" customWidth="1"/>
    <col min="13" max="13" width="12.28515625" style="67" customWidth="1"/>
    <col min="14" max="14" width="12.140625" bestFit="1" customWidth="1"/>
    <col min="15" max="15" width="13.28515625" customWidth="1"/>
    <col min="16" max="23" width="11.85546875" bestFit="1" customWidth="1"/>
    <col min="26" max="26" width="10.7109375" bestFit="1" customWidth="1"/>
  </cols>
  <sheetData>
    <row r="1" spans="1:23">
      <c r="B1" s="31"/>
      <c r="C1" s="31"/>
      <c r="D1" s="31"/>
      <c r="E1" s="31"/>
      <c r="F1" s="31"/>
      <c r="G1" s="31"/>
      <c r="H1" s="31"/>
      <c r="I1" s="31"/>
      <c r="J1" s="31"/>
    </row>
    <row r="2" spans="1:23" ht="18.95">
      <c r="A2" s="167" t="s">
        <v>242</v>
      </c>
      <c r="M2" s="70" t="s">
        <v>1348</v>
      </c>
    </row>
    <row r="3" spans="1:23">
      <c r="A3" s="169" t="s">
        <v>258</v>
      </c>
      <c r="B3" s="168" t="s">
        <v>247</v>
      </c>
      <c r="C3" s="168" t="s">
        <v>248</v>
      </c>
      <c r="D3" s="168" t="s">
        <v>249</v>
      </c>
      <c r="E3" s="168" t="s">
        <v>250</v>
      </c>
      <c r="F3" s="168" t="s">
        <v>251</v>
      </c>
      <c r="G3" s="168" t="s">
        <v>252</v>
      </c>
      <c r="H3" s="168" t="s">
        <v>253</v>
      </c>
      <c r="I3" s="168" t="s">
        <v>254</v>
      </c>
      <c r="J3" s="168" t="s">
        <v>255</v>
      </c>
      <c r="K3" s="168" t="s">
        <v>256</v>
      </c>
      <c r="L3" s="168" t="s">
        <v>257</v>
      </c>
      <c r="M3" s="74">
        <v>2026</v>
      </c>
      <c r="N3" s="56">
        <f t="shared" ref="N3:V3" si="0">M3+1</f>
        <v>2027</v>
      </c>
      <c r="O3" s="56">
        <f t="shared" si="0"/>
        <v>2028</v>
      </c>
      <c r="P3" s="56">
        <f t="shared" si="0"/>
        <v>2029</v>
      </c>
      <c r="Q3" s="56">
        <f t="shared" si="0"/>
        <v>2030</v>
      </c>
      <c r="R3" s="57">
        <f t="shared" si="0"/>
        <v>2031</v>
      </c>
      <c r="S3" s="57">
        <f t="shared" si="0"/>
        <v>2032</v>
      </c>
      <c r="T3" s="57">
        <f t="shared" si="0"/>
        <v>2033</v>
      </c>
      <c r="U3" s="57">
        <f t="shared" si="0"/>
        <v>2034</v>
      </c>
      <c r="V3" s="57">
        <f t="shared" si="0"/>
        <v>2035</v>
      </c>
      <c r="W3" s="58" t="s">
        <v>1330</v>
      </c>
    </row>
    <row r="4" spans="1:23">
      <c r="A4" s="8" t="s">
        <v>1349</v>
      </c>
    </row>
    <row r="5" spans="1:23">
      <c r="A5" t="s">
        <v>1350</v>
      </c>
      <c r="B5" s="2">
        <f>SUM('A. Raw Historical Data - BS'!L10,'A. Raw Historical Data - BS'!L13,'A. Raw Historical Data - BS'!L20,'A. Raw Historical Data - BS'!L22)</f>
        <v>54143</v>
      </c>
      <c r="C5" s="2">
        <f>SUM('A. Raw Historical Data - BS'!M10,'A. Raw Historical Data - BS'!M13,'A. Raw Historical Data - BS'!M20,'A. Raw Historical Data - BS'!M22)</f>
        <v>51534</v>
      </c>
      <c r="D5" s="2">
        <f>SUM('A. Raw Historical Data - BS'!N10,'A. Raw Historical Data - BS'!N13,'A. Raw Historical Data - BS'!N20,'A. Raw Historical Data - BS'!N22)</f>
        <v>50822</v>
      </c>
      <c r="E5" s="2">
        <f>SUM('A. Raw Historical Data - BS'!O10,'A. Raw Historical Data - BS'!O13,'A. Raw Historical Data - BS'!O20,'A. Raw Historical Data - BS'!O22)</f>
        <v>52908</v>
      </c>
      <c r="F5" s="2">
        <f>SUM('A. Raw Historical Data - BS'!P10,'A. Raw Historical Data - BS'!P13,'A. Raw Historical Data - BS'!P20,'A. Raw Historical Data - BS'!P22)</f>
        <v>54175</v>
      </c>
      <c r="G5" s="2">
        <f>SUM('A. Raw Historical Data - BS'!Q10,'A. Raw Historical Data - BS'!Q13,'A. Raw Historical Data - BS'!Q20,'A. Raw Historical Data - BS'!Q22)</f>
        <v>52341</v>
      </c>
      <c r="H5" s="2">
        <f>SUM('A. Raw Historical Data - BS'!R10,'A. Raw Historical Data - BS'!R13,'A. Raw Historical Data - BS'!R20,'A. Raw Historical Data - BS'!R22)</f>
        <v>72326</v>
      </c>
      <c r="I5" s="2">
        <f>SUM('A. Raw Historical Data - BS'!S10,'A. Raw Historical Data - BS'!S13,'A. Raw Historical Data - BS'!S20,'A. Raw Historical Data - BS'!S22)</f>
        <v>66310</v>
      </c>
      <c r="J5" s="2">
        <f>SUM('A. Raw Historical Data - BS'!T10,'A. Raw Historical Data - BS'!T13,'A. Raw Historical Data - BS'!T20,'A. Raw Historical Data - BS'!T22)</f>
        <v>67030</v>
      </c>
      <c r="K5" s="2">
        <f>SUM('A. Raw Historical Data - BS'!U10,'A. Raw Historical Data - BS'!U13,'A. Raw Historical Data - BS'!U20,'A. Raw Historical Data - BS'!U22)</f>
        <v>67010</v>
      </c>
      <c r="L5" s="2">
        <f>SUM('A. Raw Historical Data - BS'!V10,'A. Raw Historical Data - BS'!V13,'A. Raw Historical Data - BS'!V20,'A. Raw Historical Data - BS'!V22)</f>
        <v>70421</v>
      </c>
      <c r="M5" s="68">
        <f>'B. Integrated Fin - Income St.'!M3*'C1.Hist. &amp; Forecast Ratio'!M26</f>
        <v>78453.870336761378</v>
      </c>
      <c r="N5" s="68">
        <f>'B. Integrated Fin - Income St.'!N3*'C1.Hist. &amp; Forecast Ratio'!N26</f>
        <v>81984.294501915647</v>
      </c>
      <c r="O5" s="68">
        <f>'B. Integrated Fin - Income St.'!O3*'C1.Hist. &amp; Forecast Ratio'!O26</f>
        <v>85673.58775450183</v>
      </c>
      <c r="P5" s="68">
        <f>'B. Integrated Fin - Income St.'!P3*'C1.Hist. &amp; Forecast Ratio'!P26</f>
        <v>89528.899203454421</v>
      </c>
      <c r="Q5" s="68">
        <f>'B. Integrated Fin - Income St.'!Q3*'C1.Hist. &amp; Forecast Ratio'!Q26</f>
        <v>93557.69966760985</v>
      </c>
      <c r="R5" s="68">
        <f>'B. Integrated Fin - Income St.'!R3*'C1.Hist. &amp; Forecast Ratio'!R26</f>
        <v>97767.796152652285</v>
      </c>
      <c r="S5" s="68">
        <f>'B. Integrated Fin - Income St.'!S3*'C1.Hist. &amp; Forecast Ratio'!S26</f>
        <v>101434.08850837675</v>
      </c>
      <c r="T5" s="68">
        <f>'B. Integrated Fin - Income St.'!T3*'C1.Hist. &amp; Forecast Ratio'!T26</f>
        <v>104667.30007958124</v>
      </c>
      <c r="U5" s="68">
        <f>'B. Integrated Fin - Income St.'!U3*'C1.Hist. &amp; Forecast Ratio'!U26</f>
        <v>107414.81670667023</v>
      </c>
      <c r="V5" s="68">
        <f>'B. Integrated Fin - Income St.'!V3*'C1.Hist. &amp; Forecast Ratio'!V26</f>
        <v>109630.2473012453</v>
      </c>
      <c r="W5" s="68">
        <f>'B. Integrated Fin - Income St.'!W3*'C1.Hist. &amp; Forecast Ratio'!W26</f>
        <v>111583.03608129873</v>
      </c>
    </row>
    <row r="6" spans="1:23">
      <c r="A6" t="s">
        <v>1351</v>
      </c>
      <c r="B6" s="3">
        <f>SUM('A. Raw Historical Data - BS'!L40,'A. Raw Historical Data - BS'!L41,'A. Raw Historical Data - BS'!L42)</f>
        <v>58526</v>
      </c>
      <c r="C6" s="3">
        <f>SUM('A. Raw Historical Data - BS'!M40,'A. Raw Historical Data - BS'!M41,'A. Raw Historical Data - BS'!M42)</f>
        <v>58615</v>
      </c>
      <c r="D6" s="3">
        <f>SUM('A. Raw Historical Data - BS'!N40,'A. Raw Historical Data - BS'!N41,'A. Raw Historical Data - BS'!N42)</f>
        <v>63008</v>
      </c>
      <c r="E6" s="3">
        <f>SUM('A. Raw Historical Data - BS'!O40,'A. Raw Historical Data - BS'!O41,'A. Raw Historical Data - BS'!O42)</f>
        <v>68859</v>
      </c>
      <c r="F6" s="3">
        <f>SUM('A. Raw Historical Data - BS'!P40,'A. Raw Historical Data - BS'!P41,'A. Raw Historical Data - BS'!P42+'A. Raw Historical Data - BS'!P49)</f>
        <v>69647</v>
      </c>
      <c r="G6" s="3">
        <f>SUM('A. Raw Historical Data - BS'!Q40,'A. Raw Historical Data - BS'!Q41,'A. Raw Historical Data - BS'!Q42+'A. Raw Historical Data - BS'!Q49)</f>
        <v>69549</v>
      </c>
      <c r="H6" s="3">
        <f>SUM('A. Raw Historical Data - BS'!R40,'A. Raw Historical Data - BS'!R41,'A. Raw Historical Data - BS'!R42+'A. Raw Historical Data - BS'!R49)</f>
        <v>87349</v>
      </c>
      <c r="I6" s="3">
        <f>SUM('A. Raw Historical Data - BS'!S40,'A. Raw Historical Data - BS'!S41,'A. Raw Historical Data - BS'!S42+'A. Raw Historical Data - BS'!S49)</f>
        <v>82172</v>
      </c>
      <c r="J6" s="3">
        <f>SUM('A. Raw Historical Data - BS'!T40,'A. Raw Historical Data - BS'!T41,'A. Raw Historical Data - BS'!T42+'A. Raw Historical Data - BS'!T49)</f>
        <v>85595</v>
      </c>
      <c r="K6" s="3">
        <f>SUM('A. Raw Historical Data - BS'!U40,'A. Raw Historical Data - BS'!U41,'A. Raw Historical Data - BS'!U42+'A. Raw Historical Data - BS'!U49)</f>
        <v>85878</v>
      </c>
      <c r="L6" s="3">
        <f>SUM('A. Raw Historical Data - BS'!V40,'A. Raw Historical Data - BS'!V41,'A. Raw Historical Data - BS'!V42+'A. Raw Historical Data - BS'!V49)</f>
        <v>88619</v>
      </c>
      <c r="M6" s="68">
        <f>'B. Integrated Fin - Income St.'!M3*'C1.Hist. &amp; Forecast Ratio'!M27</f>
        <v>99877.296391072116</v>
      </c>
      <c r="N6" s="68">
        <f>'B. Integrated Fin - Income St.'!N3*'C1.Hist. &amp; Forecast Ratio'!N27</f>
        <v>104371.77472867035</v>
      </c>
      <c r="O6" s="68">
        <f>'B. Integrated Fin - Income St.'!O3*'C1.Hist. &amp; Forecast Ratio'!O27</f>
        <v>109068.50459146051</v>
      </c>
      <c r="P6" s="68">
        <f>'B. Integrated Fin - Income St.'!P3*'C1.Hist. &amp; Forecast Ratio'!P27</f>
        <v>113976.58729807624</v>
      </c>
      <c r="Q6" s="68">
        <f>'B. Integrated Fin - Income St.'!Q3*'C1.Hist. &amp; Forecast Ratio'!Q27</f>
        <v>119105.53372648965</v>
      </c>
      <c r="R6" s="68">
        <f>'B. Integrated Fin - Income St.'!R3*'C1.Hist. &amp; Forecast Ratio'!R27</f>
        <v>124465.28274418168</v>
      </c>
      <c r="S6" s="68">
        <f>'B. Integrated Fin - Income St.'!S3*'C1.Hist. &amp; Forecast Ratio'!S27</f>
        <v>129132.73084708847</v>
      </c>
      <c r="T6" s="68">
        <f>'B. Integrated Fin - Income St.'!T3*'C1.Hist. &amp; Forecast Ratio'!T27</f>
        <v>133248.83664283942</v>
      </c>
      <c r="U6" s="68">
        <f>'B. Integrated Fin - Income St.'!U3*'C1.Hist. &amp; Forecast Ratio'!U27</f>
        <v>136746.61860471393</v>
      </c>
      <c r="V6" s="68">
        <f>'B. Integrated Fin - Income St.'!V3*'C1.Hist. &amp; Forecast Ratio'!V27</f>
        <v>139567.01761343612</v>
      </c>
      <c r="W6" s="68">
        <f>'B. Integrated Fin - Income St.'!W3*'C1.Hist. &amp; Forecast Ratio'!W27</f>
        <v>142053.05511467549</v>
      </c>
    </row>
    <row r="7" spans="1:23">
      <c r="A7" t="s">
        <v>1352</v>
      </c>
      <c r="B7" s="243">
        <f t="shared" ref="B7:K7" si="1">SUM(B5-B6)</f>
        <v>-4383</v>
      </c>
      <c r="C7" s="243">
        <f t="shared" si="1"/>
        <v>-7081</v>
      </c>
      <c r="D7" s="243">
        <f t="shared" si="1"/>
        <v>-12186</v>
      </c>
      <c r="E7" s="243">
        <f t="shared" si="1"/>
        <v>-15951</v>
      </c>
      <c r="F7" s="243">
        <f t="shared" si="1"/>
        <v>-15472</v>
      </c>
      <c r="G7" s="243">
        <f t="shared" si="1"/>
        <v>-17208</v>
      </c>
      <c r="H7" s="243">
        <f t="shared" si="1"/>
        <v>-15023</v>
      </c>
      <c r="I7" s="243">
        <f t="shared" si="1"/>
        <v>-15862</v>
      </c>
      <c r="J7" s="243">
        <f t="shared" si="1"/>
        <v>-18565</v>
      </c>
      <c r="K7" s="243">
        <f t="shared" si="1"/>
        <v>-18868</v>
      </c>
      <c r="L7" s="243">
        <f>SUM(L5-L6)</f>
        <v>-18198</v>
      </c>
      <c r="M7" s="131">
        <f>'B. Integrated Fin - Income St.'!M3*'C1.Hist. &amp; Forecast Ratio'!M21</f>
        <v>-20034.75033963118</v>
      </c>
      <c r="N7" s="131">
        <f>'B. Integrated Fin - Income St.'!N3*'C1.Hist. &amp; Forecast Ratio'!N21</f>
        <v>-20936.314104914585</v>
      </c>
      <c r="O7" s="131">
        <f>'B. Integrated Fin - Income St.'!O3*'C1.Hist. &amp; Forecast Ratio'!O21</f>
        <v>-21878.448239635738</v>
      </c>
      <c r="P7" s="131">
        <f>'B. Integrated Fin - Income St.'!P3*'C1.Hist. &amp; Forecast Ratio'!P21</f>
        <v>-22862.978410419346</v>
      </c>
      <c r="Q7" s="131">
        <f>'B. Integrated Fin - Income St.'!Q3*'C1.Hist. &amp; Forecast Ratio'!Q21</f>
        <v>-23891.812438888213</v>
      </c>
      <c r="R7" s="131">
        <f>'B. Integrated Fin - Income St.'!R3*'C1.Hist. &amp; Forecast Ratio'!R21</f>
        <v>-24966.943998638184</v>
      </c>
      <c r="S7" s="131">
        <f>'B. Integrated Fin - Income St.'!S3*'C1.Hist. &amp; Forecast Ratio'!S21</f>
        <v>-25903.204398587113</v>
      </c>
      <c r="T7" s="131">
        <f>'B. Integrated Fin - Income St.'!T3*'C1.Hist. &amp; Forecast Ratio'!T21</f>
        <v>-26728.869038792076</v>
      </c>
      <c r="U7" s="131">
        <f>'B. Integrated Fin - Income St.'!U3*'C1.Hist. &amp; Forecast Ratio'!U21</f>
        <v>-27430.501851060362</v>
      </c>
      <c r="V7" s="131">
        <f>'B. Integrated Fin - Income St.'!V3*'C1.Hist. &amp; Forecast Ratio'!V21</f>
        <v>-27996.25595173848</v>
      </c>
      <c r="W7" s="131">
        <f>'B. Integrated Fin - Income St.'!W3*'C1.Hist. &amp; Forecast Ratio'!W21</f>
        <v>-28494.939260878822</v>
      </c>
    </row>
    <row r="8" spans="1:23">
      <c r="M8" s="115"/>
      <c r="N8" s="43"/>
      <c r="O8" s="43"/>
      <c r="P8" s="43"/>
      <c r="Q8" s="43"/>
      <c r="R8" s="43"/>
      <c r="S8" s="43"/>
      <c r="T8" s="43"/>
      <c r="U8" s="43"/>
      <c r="V8" s="43"/>
      <c r="W8" s="43"/>
    </row>
    <row r="9" spans="1:23">
      <c r="A9" t="s">
        <v>1353</v>
      </c>
      <c r="B9" s="208">
        <f>'A. Raw Historical Data - BS'!L24</f>
        <v>116655</v>
      </c>
      <c r="C9" s="208">
        <f>'A. Raw Historical Data - BS'!M24</f>
        <v>116516</v>
      </c>
      <c r="D9" s="208">
        <f>'A. Raw Historical Data - BS'!N24</f>
        <v>114178</v>
      </c>
      <c r="E9" s="208">
        <f>'A. Raw Historical Data - BS'!O24</f>
        <v>114818</v>
      </c>
      <c r="F9" s="208">
        <f>'A. Raw Historical Data - BS'!P24</f>
        <v>111395</v>
      </c>
      <c r="G9" s="208">
        <f>'A. Raw Historical Data - BS'!Q24</f>
        <v>127049</v>
      </c>
      <c r="H9" s="208">
        <f>'A. Raw Historical Data - BS'!R24</f>
        <v>109848</v>
      </c>
      <c r="I9" s="208">
        <f>'A. Raw Historical Data - BS'!S24</f>
        <v>112624</v>
      </c>
      <c r="J9" s="208">
        <f>'A. Raw Historical Data - BS'!T24</f>
        <v>119234</v>
      </c>
      <c r="K9" s="208">
        <f>'A. Raw Historical Data - BS'!U24</f>
        <v>130338</v>
      </c>
      <c r="L9" s="208">
        <f>'A. Raw Historical Data - BS'!V24</f>
        <v>139704</v>
      </c>
      <c r="M9" s="241">
        <f>'B. Integrated Fin - Income St.'!M3*'C1.Hist. &amp; Forecast Ratio'!M22</f>
        <v>125722.17956629394</v>
      </c>
      <c r="N9" s="241">
        <f>'B. Integrated Fin - Income St.'!N3*'C1.Hist. &amp; Forecast Ratio'!N22</f>
        <v>131379.67764677716</v>
      </c>
      <c r="O9" s="241">
        <f>'B. Integrated Fin - Income St.'!O3*'C1.Hist. &amp; Forecast Ratio'!O22</f>
        <v>137291.76314088213</v>
      </c>
      <c r="P9" s="241">
        <f>'B. Integrated Fin - Income St.'!P3*'C1.Hist. &amp; Forecast Ratio'!P22</f>
        <v>143469.89248222183</v>
      </c>
      <c r="Q9" s="241">
        <f>'B. Integrated Fin - Income St.'!Q3*'C1.Hist. &amp; Forecast Ratio'!Q22</f>
        <v>149926.03764392177</v>
      </c>
      <c r="R9" s="241">
        <f>'B. Integrated Fin - Income St.'!R3*'C1.Hist. &amp; Forecast Ratio'!R22</f>
        <v>156672.70933789824</v>
      </c>
      <c r="S9" s="241">
        <f>'B. Integrated Fin - Income St.'!S3*'C1.Hist. &amp; Forecast Ratio'!S22</f>
        <v>162547.93593806942</v>
      </c>
      <c r="T9" s="241">
        <f>'B. Integrated Fin - Income St.'!T3*'C1.Hist. &amp; Forecast Ratio'!T22</f>
        <v>167729.15139609537</v>
      </c>
      <c r="U9" s="241">
        <f>'B. Integrated Fin - Income St.'!U3*'C1.Hist. &amp; Forecast Ratio'!U22</f>
        <v>172132.04162024285</v>
      </c>
      <c r="V9" s="241">
        <f>'B. Integrated Fin - Income St.'!V3*'C1.Hist. &amp; Forecast Ratio'!V22</f>
        <v>175682.26497866033</v>
      </c>
      <c r="W9" s="241">
        <f>'B. Integrated Fin - Income St.'!W3*'C1.Hist. &amp; Forecast Ratio'!W22</f>
        <v>178811.60532359272</v>
      </c>
    </row>
    <row r="10" spans="1:23">
      <c r="A10" t="s">
        <v>1354</v>
      </c>
      <c r="B10" s="3">
        <f>SUM('A. Raw Historical Data - BS'!L67,'A. Raw Historical Data - BS'!L52,'A. Raw Historical Data - BS'!L68,'A. Raw Historical Data - BS'!L51,'A. Raw Historical Data - BS'!L69)</f>
        <v>13478</v>
      </c>
      <c r="C10" s="3">
        <f>SUM('A. Raw Historical Data - BS'!M67,'A. Raw Historical Data - BS'!M52,'A. Raw Historical Data - BS'!M68,'A. Raw Historical Data - BS'!M51,'A. Raw Historical Data - BS'!M69)</f>
        <v>10965</v>
      </c>
      <c r="D10" s="3">
        <f>SUM('A. Raw Historical Data - BS'!N67,'A. Raw Historical Data - BS'!N52,'A. Raw Historical Data - BS'!N68,'A. Raw Historical Data - BS'!N51,'A. Raw Historical Data - BS'!N69)</f>
        <v>12553</v>
      </c>
      <c r="E10" s="3">
        <f>SUM('A. Raw Historical Data - BS'!O67,'A. Raw Historical Data - BS'!O52,'A. Raw Historical Data - BS'!O68,'A. Raw Historical Data - BS'!O51,'A. Raw Historical Data - BS'!O69)</f>
        <v>12395</v>
      </c>
      <c r="F10" s="3">
        <f>SUM('A. Raw Historical Data - BS'!P67,'A. Raw Historical Data - BS'!P52,'A. Raw Historical Data - BS'!P68,'A. Raw Historical Data - BS'!P51,'A. Raw Historical Data - BS'!P69)</f>
        <v>15844</v>
      </c>
      <c r="G10" s="3">
        <f>SUM('A. Raw Historical Data - BS'!Q67,'A. Raw Historical Data - BS'!Q52,'A. Raw Historical Data - BS'!Q68,'A. Raw Historical Data - BS'!Q51,'A. Raw Historical Data - BS'!Q69)</f>
        <v>12961</v>
      </c>
      <c r="H10" s="3">
        <f>SUM('A. Raw Historical Data - BS'!R67,'A. Raw Historical Data - BS'!R52,'A. Raw Historical Data - BS'!R68,'A. Raw Historical Data - BS'!R51,'A. Raw Historical Data - BS'!R69)</f>
        <v>14370</v>
      </c>
      <c r="I10" s="3">
        <f>SUM('A. Raw Historical Data - BS'!S67,'A. Raw Historical Data - BS'!S52,'A. Raw Historical Data - BS'!S68,'A. Raw Historical Data - BS'!S51,'A. Raw Historical Data - BS'!S69)</f>
        <v>13474</v>
      </c>
      <c r="J10" s="3">
        <f>SUM('A. Raw Historical Data - BS'!T67,'A. Raw Historical Data - BS'!T52,'A. Raw Historical Data - BS'!T68,'A. Raw Historical Data - BS'!T51,'A. Raw Historical Data - BS'!T69)</f>
        <v>14688</v>
      </c>
      <c r="K10" s="3">
        <f>SUM('A. Raw Historical Data - BS'!U67,'A. Raw Historical Data - BS'!U52,'A. Raw Historical Data - BS'!U68,'A. Raw Historical Data - BS'!U51,'A. Raw Historical Data - BS'!U69)</f>
        <v>14629</v>
      </c>
      <c r="L10" s="3">
        <f>SUM('A. Raw Historical Data - BS'!V67,'A. Raw Historical Data - BS'!V52,'A. Raw Historical Data - BS'!V68,'A. Raw Historical Data - BS'!V51,'A. Raw Historical Data - BS'!V69)</f>
        <v>14398</v>
      </c>
      <c r="M10" s="242">
        <f t="shared" ref="M10:W10" si="2">L9-M11</f>
        <v>6960.4438393262099</v>
      </c>
      <c r="N10" s="242">
        <f t="shared" si="2"/>
        <v>-12994.836621610171</v>
      </c>
      <c r="O10" s="242">
        <f t="shared" si="2"/>
        <v>-13579.604269582604</v>
      </c>
      <c r="P10" s="242">
        <f t="shared" si="2"/>
        <v>-14190.686461713834</v>
      </c>
      <c r="Q10" s="242">
        <f t="shared" si="2"/>
        <v>-14829.267352490919</v>
      </c>
      <c r="R10" s="242">
        <f t="shared" si="2"/>
        <v>-15496.584383353067</v>
      </c>
      <c r="S10" s="242">
        <f t="shared" si="2"/>
        <v>-14953.261015399359</v>
      </c>
      <c r="T10" s="242">
        <f t="shared" si="2"/>
        <v>-14548.612220239535</v>
      </c>
      <c r="U10" s="242">
        <f t="shared" si="2"/>
        <v>-14016.18115136915</v>
      </c>
      <c r="V10" s="242">
        <f t="shared" si="2"/>
        <v>-13361.788411013142</v>
      </c>
      <c r="W10" s="242">
        <f t="shared" si="2"/>
        <v>-13115.67390002741</v>
      </c>
    </row>
    <row r="11" spans="1:23">
      <c r="A11" t="s">
        <v>1355</v>
      </c>
      <c r="B11" s="62">
        <f t="shared" ref="B11:L11" si="3">SUM(B9-B10)</f>
        <v>103177</v>
      </c>
      <c r="C11" s="62">
        <f t="shared" si="3"/>
        <v>105551</v>
      </c>
      <c r="D11" s="62">
        <f t="shared" si="3"/>
        <v>101625</v>
      </c>
      <c r="E11" s="62">
        <f t="shared" si="3"/>
        <v>102423</v>
      </c>
      <c r="F11" s="62">
        <f t="shared" si="3"/>
        <v>95551</v>
      </c>
      <c r="G11" s="62">
        <f t="shared" si="3"/>
        <v>114088</v>
      </c>
      <c r="H11" s="62">
        <f t="shared" si="3"/>
        <v>95478</v>
      </c>
      <c r="I11" s="62">
        <f t="shared" si="3"/>
        <v>99150</v>
      </c>
      <c r="J11" s="62">
        <f t="shared" si="3"/>
        <v>104546</v>
      </c>
      <c r="K11" s="62">
        <f t="shared" si="3"/>
        <v>115709</v>
      </c>
      <c r="L11" s="62">
        <f t="shared" si="3"/>
        <v>125306</v>
      </c>
      <c r="M11" s="241">
        <f>'B. Integrated Fin - Income St.'!M3*'C1.Hist. &amp; Forecast Ratio'!M29</f>
        <v>132743.55616067379</v>
      </c>
      <c r="N11" s="241">
        <f>'B. Integrated Fin - Income St.'!N3*'C1.Hist. &amp; Forecast Ratio'!N29</f>
        <v>138717.01618790411</v>
      </c>
      <c r="O11" s="241">
        <f>'B. Integrated Fin - Income St.'!O3*'C1.Hist. &amp; Forecast Ratio'!O29</f>
        <v>144959.28191635976</v>
      </c>
      <c r="P11" s="241">
        <f>'B. Integrated Fin - Income St.'!P3*'C1.Hist. &amp; Forecast Ratio'!P29</f>
        <v>151482.44960259597</v>
      </c>
      <c r="Q11" s="241">
        <f>'B. Integrated Fin - Income St.'!Q3*'C1.Hist. &amp; Forecast Ratio'!Q29</f>
        <v>158299.15983471274</v>
      </c>
      <c r="R11" s="241">
        <f>'B. Integrated Fin - Income St.'!R3*'C1.Hist. &amp; Forecast Ratio'!R29</f>
        <v>165422.62202727483</v>
      </c>
      <c r="S11" s="241">
        <f>'B. Integrated Fin - Income St.'!S3*'C1.Hist. &amp; Forecast Ratio'!S29</f>
        <v>171625.9703532976</v>
      </c>
      <c r="T11" s="241">
        <f>'B. Integrated Fin - Income St.'!T3*'C1.Hist. &amp; Forecast Ratio'!T29</f>
        <v>177096.54815830896</v>
      </c>
      <c r="U11" s="241">
        <f>'B. Integrated Fin - Income St.'!U3*'C1.Hist. &amp; Forecast Ratio'!U29</f>
        <v>181745.33254746452</v>
      </c>
      <c r="V11" s="241">
        <f>'B. Integrated Fin - Income St.'!V3*'C1.Hist. &amp; Forecast Ratio'!V29</f>
        <v>185493.83003125599</v>
      </c>
      <c r="W11" s="241">
        <f>'B. Integrated Fin - Income St.'!W3*'C1.Hist. &amp; Forecast Ratio'!W29</f>
        <v>188797.93887868774</v>
      </c>
    </row>
    <row r="12" spans="1:23">
      <c r="M12" s="115"/>
      <c r="N12" s="43"/>
      <c r="O12" s="43"/>
      <c r="P12" s="43"/>
      <c r="Q12" s="43"/>
      <c r="R12" s="43"/>
      <c r="S12" s="43"/>
      <c r="T12" s="43"/>
      <c r="U12" s="43"/>
      <c r="V12" s="43"/>
      <c r="W12" s="43"/>
    </row>
    <row r="13" spans="1:23">
      <c r="A13" t="s">
        <v>1356</v>
      </c>
      <c r="B13" s="3">
        <f>SUM('A. Raw Historical Data - BS'!L30)</f>
        <v>18102</v>
      </c>
      <c r="C13" s="3">
        <f>SUM('A. Raw Historical Data - BS'!M30)</f>
        <v>16695</v>
      </c>
      <c r="D13" s="3">
        <f>SUM('A. Raw Historical Data - BS'!N30)</f>
        <v>17037</v>
      </c>
      <c r="E13" s="3">
        <f>SUM('A. Raw Historical Data - BS'!O30)</f>
        <v>18242</v>
      </c>
      <c r="F13" s="3">
        <f>SUM('A. Raw Historical Data - BS'!P30)</f>
        <v>31181</v>
      </c>
      <c r="G13" s="3">
        <f>SUM('A. Raw Historical Data - BS'!Q30)</f>
        <v>31073</v>
      </c>
      <c r="H13" s="3">
        <f>'A. Raw Historical Data - BS'!R29</f>
        <v>33883</v>
      </c>
      <c r="I13" s="3">
        <f>'A. Raw Historical Data - BS'!S29</f>
        <v>33814</v>
      </c>
      <c r="J13" s="3">
        <f>'A. Raw Historical Data - BS'!T29</f>
        <v>32474</v>
      </c>
      <c r="K13" s="3">
        <f>'A. Raw Historical Data - BS'!U29</f>
        <v>32213</v>
      </c>
      <c r="L13" s="3">
        <f>'A. Raw Historical Data - BS'!V29</f>
        <v>33292</v>
      </c>
      <c r="M13" s="120">
        <f>'B. Integrated Fin - Income St.'!M3*'C1.Hist. &amp; Forecast Ratio'!M23</f>
        <v>38619.901173421364</v>
      </c>
      <c r="N13" s="120">
        <f>'B. Integrated Fin - Income St.'!N3*'C1.Hist. &amp; Forecast Ratio'!N23</f>
        <v>40357.796726225322</v>
      </c>
      <c r="O13" s="120">
        <f>'B. Integrated Fin - Income St.'!O3*'C1.Hist. &amp; Forecast Ratio'!O23</f>
        <v>42173.89757890546</v>
      </c>
      <c r="P13" s="120">
        <f>'B. Integrated Fin - Income St.'!P3*'C1.Hist. &amp; Forecast Ratio'!P23</f>
        <v>44071.722969956201</v>
      </c>
      <c r="Q13" s="120">
        <f>'B. Integrated Fin - Income St.'!Q3*'C1.Hist. &amp; Forecast Ratio'!Q23</f>
        <v>46054.950503604225</v>
      </c>
      <c r="R13" s="120">
        <f>'B. Integrated Fin - Income St.'!R3*'C1.Hist. &amp; Forecast Ratio'!R23</f>
        <v>48127.423276266411</v>
      </c>
      <c r="S13" s="120">
        <f>'B. Integrated Fin - Income St.'!S3*'C1.Hist. &amp; Forecast Ratio'!S23</f>
        <v>49932.2016491264</v>
      </c>
      <c r="T13" s="120">
        <f>'B. Integrated Fin - Income St.'!T3*'C1.Hist. &amp; Forecast Ratio'!T23</f>
        <v>51523.7905766923</v>
      </c>
      <c r="U13" s="120">
        <f>'B. Integrated Fin - Income St.'!U3*'C1.Hist. &amp; Forecast Ratio'!U23</f>
        <v>52876.290079330465</v>
      </c>
      <c r="V13" s="120">
        <f>'B. Integrated Fin - Income St.'!V3*'C1.Hist. &amp; Forecast Ratio'!V23</f>
        <v>53966.863562216648</v>
      </c>
      <c r="W13" s="120">
        <f>'B. Integrated Fin - Income St.'!W3*'C1.Hist. &amp; Forecast Ratio'!W23</f>
        <v>54928.148319418637</v>
      </c>
    </row>
    <row r="14" spans="1:23">
      <c r="A14" s="17" t="s">
        <v>1357</v>
      </c>
      <c r="B14" s="3">
        <f t="shared" ref="B14:L14" si="4">SUM(B7,B11,B13)</f>
        <v>116896</v>
      </c>
      <c r="C14" s="3">
        <f t="shared" si="4"/>
        <v>115165</v>
      </c>
      <c r="D14" s="3">
        <f t="shared" si="4"/>
        <v>106476</v>
      </c>
      <c r="E14" s="3">
        <f t="shared" si="4"/>
        <v>104714</v>
      </c>
      <c r="F14" s="3">
        <f t="shared" si="4"/>
        <v>111260</v>
      </c>
      <c r="G14" s="3">
        <f t="shared" si="4"/>
        <v>127953</v>
      </c>
      <c r="H14" s="3">
        <f t="shared" si="4"/>
        <v>114338</v>
      </c>
      <c r="I14" s="3">
        <f t="shared" si="4"/>
        <v>117102</v>
      </c>
      <c r="J14" s="3">
        <f t="shared" si="4"/>
        <v>118455</v>
      </c>
      <c r="K14" s="3">
        <f t="shared" si="4"/>
        <v>129054</v>
      </c>
      <c r="L14" s="3">
        <f t="shared" si="4"/>
        <v>140400</v>
      </c>
      <c r="M14" s="132">
        <f>M7+M11+M13</f>
        <v>151328.70699446398</v>
      </c>
      <c r="N14" s="132">
        <f t="shared" ref="N14:W14" si="5">N7+N11+N13</f>
        <v>158138.49880921486</v>
      </c>
      <c r="O14" s="132">
        <f t="shared" si="5"/>
        <v>165254.73125562948</v>
      </c>
      <c r="P14" s="132">
        <f t="shared" si="5"/>
        <v>172691.19416213283</v>
      </c>
      <c r="Q14" s="132">
        <f t="shared" si="5"/>
        <v>180462.29789942876</v>
      </c>
      <c r="R14" s="132">
        <f t="shared" si="5"/>
        <v>188583.10130490304</v>
      </c>
      <c r="S14" s="132">
        <f t="shared" si="5"/>
        <v>195654.96760383688</v>
      </c>
      <c r="T14" s="132">
        <f t="shared" si="5"/>
        <v>201891.46969620918</v>
      </c>
      <c r="U14" s="132">
        <f t="shared" si="5"/>
        <v>207191.12077573463</v>
      </c>
      <c r="V14" s="132">
        <f t="shared" si="5"/>
        <v>211464.43764173414</v>
      </c>
      <c r="W14" s="132">
        <f t="shared" si="5"/>
        <v>215231.14793722754</v>
      </c>
    </row>
    <row r="15" spans="1:23">
      <c r="M15" s="105">
        <f>(M5+L9)*'C1.Hist. &amp; Forecast Ratio'!M31</f>
        <v>25122.339605106528</v>
      </c>
      <c r="N15" s="105">
        <f>(N5+M9)*'C1.Hist. &amp; Forecast Ratio'!N31</f>
        <v>23918.791339803094</v>
      </c>
      <c r="O15" s="105">
        <f>(O5+N9)*'C1.Hist. &amp; Forecast Ratio'!O31</f>
        <v>24995.136950094227</v>
      </c>
      <c r="P15" s="105">
        <f>(P5+O9)*'C1.Hist. &amp; Forecast Ratio'!P31</f>
        <v>26119.918112848471</v>
      </c>
      <c r="Q15" s="105">
        <f>(Q5+P9)*'C1.Hist. &amp; Forecast Ratio'!Q31</f>
        <v>27295.314427926649</v>
      </c>
      <c r="R15" s="105">
        <f>(R5+Q9)*'C1.Hist. &amp; Forecast Ratio'!R31</f>
        <v>28523.603577183341</v>
      </c>
      <c r="S15" s="105">
        <f>(S5+R9)*'C1.Hist. &amp; Forecast Ratio'!S31</f>
        <v>29722.726115135029</v>
      </c>
      <c r="T15" s="105">
        <f>(T5+S9)*'C1.Hist. &amp; Forecast Ratio'!T31</f>
        <v>30771.623762788939</v>
      </c>
      <c r="U15" s="105">
        <f>(U5+T9)*'C1.Hist. &amp; Forecast Ratio'!U31</f>
        <v>31684.670355023649</v>
      </c>
      <c r="V15" s="105">
        <f>(V5+U9)*'C1.Hist. &amp; Forecast Ratio'!V31</f>
        <v>32446.814315114723</v>
      </c>
      <c r="W15" s="107"/>
    </row>
    <row r="16" spans="1:23">
      <c r="A16" t="s">
        <v>1358</v>
      </c>
      <c r="B16" s="2">
        <f>SUM('A. Raw Historical Data - BS'!L8,'A. Raw Historical Data - BS'!L32,'A. Raw Historical Data - BS'!L33,'A. Raw Historical Data - BS'!L34)</f>
        <v>14590</v>
      </c>
      <c r="C16" s="2">
        <f>SUM('A. Raw Historical Data - BS'!M8,'A. Raw Historical Data - BS'!M32,'A. Raw Historical Data - BS'!M33,'A. Raw Historical Data - BS'!M34)</f>
        <v>14836</v>
      </c>
      <c r="D16" s="2">
        <f>SUM('A. Raw Historical Data - BS'!N8,'A. Raw Historical Data - BS'!N32,'A. Raw Historical Data - BS'!N33,'A. Raw Historical Data - BS'!N34)</f>
        <v>16788</v>
      </c>
      <c r="E16" s="2">
        <f>SUM('A. Raw Historical Data - BS'!O8,'A. Raw Historical Data - BS'!O32,'A. Raw Historical Data - BS'!O33,'A. Raw Historical Data - BS'!O34)</f>
        <v>18554</v>
      </c>
      <c r="F16" s="2">
        <f>SUM('A. Raw Historical Data - BS'!P8,'A. Raw Historical Data - BS'!P32,'A. Raw Historical Data - BS'!P33,'A. Raw Historical Data - BS'!P34)</f>
        <v>22544</v>
      </c>
      <c r="G16" s="2">
        <f>SUM('A. Raw Historical Data - BS'!Q8,'A. Raw Historical Data - BS'!Q32,'A. Raw Historical Data - BS'!Q33,'A. Raw Historical Data - BS'!Q34)</f>
        <v>26032</v>
      </c>
      <c r="H16" s="2">
        <f>SUM('A. Raw Historical Data - BS'!R8,'A. Raw Historical Data - BS'!R32,'A. Raw Historical Data - BS'!R33,'A. Raw Historical Data - BS'!R34)</f>
        <v>36439</v>
      </c>
      <c r="I16" s="2">
        <f>SUM('A. Raw Historical Data - BS'!S8,'A. Raw Historical Data - BS'!S32,'A. Raw Historical Data - BS'!S33,'A. Raw Historical Data - BS'!S34)</f>
        <v>32112</v>
      </c>
      <c r="J16" s="2">
        <f>SUM('A. Raw Historical Data - BS'!T8,'A. Raw Historical Data - BS'!T32,'A. Raw Historical Data - BS'!T33,'A. Raw Historical Data - BS'!T34)</f>
        <v>24459</v>
      </c>
      <c r="K16" s="2">
        <f>SUM('A. Raw Historical Data - BS'!U8,'A. Raw Historical Data - BS'!U32,'A. Raw Historical Data - BS'!U33,'A. Raw Historical Data - BS'!U34)</f>
        <v>22838</v>
      </c>
      <c r="L16" s="2">
        <f>SUM('A. Raw Historical Data - BS'!V8,'A. Raw Historical Data - BS'!V32,'A. Raw Historical Data - BS'!V33,'A. Raw Historical Data - BS'!V34)</f>
        <v>17406</v>
      </c>
      <c r="M16" s="242">
        <f>(M5+L9)*('C1.Hist. &amp; Forecast Ratio'!M31)</f>
        <v>25122.339605106528</v>
      </c>
      <c r="N16" s="242">
        <f>(N5+M9)*('C1.Hist. &amp; Forecast Ratio'!N31)</f>
        <v>23918.791339803094</v>
      </c>
      <c r="O16" s="242">
        <f>(O5+N9)*('C1.Hist. &amp; Forecast Ratio'!O31)</f>
        <v>24995.136950094227</v>
      </c>
      <c r="P16" s="242">
        <f>(P5+O9)*('C1.Hist. &amp; Forecast Ratio'!P31)</f>
        <v>26119.918112848471</v>
      </c>
      <c r="Q16" s="242">
        <f>(Q5+P9)*('C1.Hist. &amp; Forecast Ratio'!Q31)</f>
        <v>27295.314427926649</v>
      </c>
      <c r="R16" s="242">
        <f>(R5+Q9)*('C1.Hist. &amp; Forecast Ratio'!R31)</f>
        <v>28523.603577183341</v>
      </c>
      <c r="S16" s="242">
        <f>(S5+R9)*('C1.Hist. &amp; Forecast Ratio'!S31)</f>
        <v>29722.726115135029</v>
      </c>
      <c r="T16" s="242">
        <f>(T5+S9)*('C1.Hist. &amp; Forecast Ratio'!T31)</f>
        <v>30771.623762788939</v>
      </c>
      <c r="U16" s="242">
        <f>(U5+T9)*('C1.Hist. &amp; Forecast Ratio'!U31)</f>
        <v>31684.670355023649</v>
      </c>
      <c r="V16" s="242">
        <f>(V5+U9)*('C1.Hist. &amp; Forecast Ratio'!V31)</f>
        <v>32446.814315114723</v>
      </c>
      <c r="W16" s="242">
        <f>(W5+V9)*('C1.Hist. &amp; Forecast Ratio'!W31)</f>
        <v>33080.523012308549</v>
      </c>
    </row>
    <row r="17" spans="1:26">
      <c r="A17" t="s">
        <v>1359</v>
      </c>
      <c r="B17" s="3">
        <f>SUM('A. Raw Historical Data - BS'!L45,'A. Raw Historical Data - BS'!L58)</f>
        <v>2893</v>
      </c>
      <c r="C17" s="3">
        <f>SUM('A. Raw Historical Data - BS'!M45,'A. Raw Historical Data - BS'!M58)</f>
        <v>6367</v>
      </c>
      <c r="D17" s="3">
        <f>SUM('A. Raw Historical Data - BS'!N45,'A. Raw Historical Data - BS'!N58)</f>
        <v>6568</v>
      </c>
      <c r="E17" s="3">
        <f>SUM('A. Raw Historical Data - BS'!O45,'A. Raw Historical Data - BS'!O58)</f>
        <v>7447</v>
      </c>
      <c r="F17" s="3">
        <f>SUM('A. Raw Historical Data - BS'!P45,'A. Raw Historical Data - BS'!P58)</f>
        <v>7412</v>
      </c>
      <c r="G17" s="3">
        <f>SUM('A. Raw Historical Data - BS'!Q45,'A. Raw Historical Data - BS'!Q58)</f>
        <v>22782</v>
      </c>
      <c r="H17" s="3">
        <f>SUM('A. Raw Historical Data - BS'!R45,'A. Raw Historical Data - BS'!R58)</f>
        <v>18713</v>
      </c>
      <c r="I17" s="3">
        <f>SUM('A. Raw Historical Data - BS'!S45,'A. Raw Historical Data - BS'!S58)</f>
        <v>19246</v>
      </c>
      <c r="J17" s="3">
        <f>SUM('A. Raw Historical Data - BS'!T45,'A. Raw Historical Data - BS'!T58)</f>
        <v>19711</v>
      </c>
      <c r="K17" s="3">
        <f>SUM('A. Raw Historical Data - BS'!U45,'A. Raw Historical Data - BS'!U58)</f>
        <v>20864</v>
      </c>
      <c r="L17" s="3">
        <f>SUM('A. Raw Historical Data - BS'!V45,'A. Raw Historical Data - BS'!V58)</f>
        <v>21047</v>
      </c>
      <c r="M17" s="242">
        <f>(M6+M10)*('C1.Hist. &amp; Forecast Ratio'!M30)</f>
        <v>18732.683363190583</v>
      </c>
      <c r="N17" s="242">
        <f>(N6+N10)*('C1.Hist. &amp; Forecast Ratio'!N30)</f>
        <v>16021.821919539114</v>
      </c>
      <c r="O17" s="242">
        <f>(O6+O10)*('C1.Hist. &amp; Forecast Ratio'!O30)</f>
        <v>16742.803905918379</v>
      </c>
      <c r="P17" s="242">
        <f>(P6+P10)*('C1.Hist. &amp; Forecast Ratio'!P30)</f>
        <v>17496.230081684702</v>
      </c>
      <c r="Q17" s="242">
        <f>(Q6+Q10)*('C1.Hist. &amp; Forecast Ratio'!Q30)</f>
        <v>18283.560435360516</v>
      </c>
      <c r="R17" s="242">
        <f>(R6+R10)*('C1.Hist. &amp; Forecast Ratio'!R30)</f>
        <v>19106.320654951731</v>
      </c>
      <c r="S17" s="242">
        <f>(S6+S10)*('C1.Hist. &amp; Forecast Ratio'!S30)</f>
        <v>20019.965326123867</v>
      </c>
      <c r="T17" s="242">
        <f>(T6+T10)*('C1.Hist. &amp; Forecast Ratio'!T30)</f>
        <v>20812.624026425787</v>
      </c>
      <c r="U17" s="242">
        <f>(U6+U10)*('C1.Hist. &amp; Forecast Ratio'!U30)</f>
        <v>21519.272299108627</v>
      </c>
      <c r="V17" s="242">
        <f>(V6+V10)*('C1.Hist. &amp; Forecast Ratio'!V30)</f>
        <v>22128.534283199046</v>
      </c>
      <c r="W17" s="242">
        <f>(W6+W10)*('C1.Hist. &amp; Forecast Ratio'!W30)</f>
        <v>22607.583525861279</v>
      </c>
    </row>
    <row r="18" spans="1:26">
      <c r="A18" t="s">
        <v>1360</v>
      </c>
      <c r="B18" s="244">
        <f>SUM(B16-B17)</f>
        <v>11697</v>
      </c>
      <c r="C18" s="244">
        <f t="shared" ref="C18:L18" si="6">SUM(C16-C17)</f>
        <v>8469</v>
      </c>
      <c r="D18" s="244">
        <f t="shared" si="6"/>
        <v>10220</v>
      </c>
      <c r="E18" s="244">
        <f t="shared" si="6"/>
        <v>11107</v>
      </c>
      <c r="F18" s="244">
        <f t="shared" si="6"/>
        <v>15132</v>
      </c>
      <c r="G18" s="244">
        <f t="shared" si="6"/>
        <v>3250</v>
      </c>
      <c r="H18" s="244">
        <f t="shared" si="6"/>
        <v>17726</v>
      </c>
      <c r="I18" s="244">
        <f t="shared" si="6"/>
        <v>12866</v>
      </c>
      <c r="J18" s="244">
        <f t="shared" si="6"/>
        <v>4748</v>
      </c>
      <c r="K18" s="244">
        <f t="shared" si="6"/>
        <v>1974</v>
      </c>
      <c r="L18" s="244">
        <f t="shared" si="6"/>
        <v>-3641</v>
      </c>
      <c r="M18" s="131">
        <f>M16-M17</f>
        <v>6389.6562419159454</v>
      </c>
      <c r="N18" s="131">
        <f t="shared" ref="N18:W18" si="7">N16-N17</f>
        <v>7896.9694202639803</v>
      </c>
      <c r="O18" s="131">
        <f t="shared" si="7"/>
        <v>8252.333044175848</v>
      </c>
      <c r="P18" s="131">
        <f t="shared" si="7"/>
        <v>8623.6880311637688</v>
      </c>
      <c r="Q18" s="131">
        <f t="shared" si="7"/>
        <v>9011.7539925661331</v>
      </c>
      <c r="R18" s="131">
        <f t="shared" si="7"/>
        <v>9417.2829222316104</v>
      </c>
      <c r="S18" s="131">
        <f t="shared" si="7"/>
        <v>9702.7607890111613</v>
      </c>
      <c r="T18" s="131">
        <f t="shared" si="7"/>
        <v>9958.9997363631519</v>
      </c>
      <c r="U18" s="131">
        <f t="shared" si="7"/>
        <v>10165.398055915022</v>
      </c>
      <c r="V18" s="131">
        <f t="shared" si="7"/>
        <v>10318.280031915678</v>
      </c>
      <c r="W18" s="131">
        <f t="shared" si="7"/>
        <v>10472.939486447271</v>
      </c>
      <c r="X18" s="188"/>
      <c r="Y18" s="188"/>
    </row>
    <row r="19" spans="1:26">
      <c r="M19" s="109"/>
      <c r="N19" s="107"/>
      <c r="O19" s="107"/>
      <c r="P19" s="107"/>
      <c r="Q19" s="107"/>
      <c r="R19" s="107"/>
      <c r="S19" s="107"/>
      <c r="T19" s="107"/>
      <c r="U19" s="107"/>
      <c r="V19" s="107"/>
      <c r="W19" s="107"/>
    </row>
    <row r="20" spans="1:26">
      <c r="A20" s="66" t="s">
        <v>1361</v>
      </c>
      <c r="B20" s="5">
        <f>SUM(B39-B22)</f>
        <v>0</v>
      </c>
      <c r="C20" s="5">
        <f t="shared" ref="C20:L20" si="8">SUM(C39-C22)</f>
        <v>0</v>
      </c>
      <c r="D20" s="5">
        <f t="shared" si="8"/>
        <v>0</v>
      </c>
      <c r="E20" s="5">
        <f t="shared" si="8"/>
        <v>0</v>
      </c>
      <c r="F20" s="5">
        <f t="shared" si="8"/>
        <v>0</v>
      </c>
      <c r="G20" s="5">
        <f t="shared" si="8"/>
        <v>0</v>
      </c>
      <c r="H20" s="5">
        <f t="shared" si="8"/>
        <v>0</v>
      </c>
      <c r="I20" s="5">
        <f t="shared" si="8"/>
        <v>0</v>
      </c>
      <c r="J20" s="5">
        <f t="shared" si="8"/>
        <v>0</v>
      </c>
      <c r="K20" s="5">
        <f t="shared" si="8"/>
        <v>0</v>
      </c>
      <c r="L20" s="5">
        <f t="shared" si="8"/>
        <v>0</v>
      </c>
      <c r="M20" s="242">
        <f>-(M11+M18+M21)+M39</f>
        <v>12419.809056106111</v>
      </c>
      <c r="N20" s="242">
        <f t="shared" ref="N20:W20" si="9">-(N11+N18+N21)+N39</f>
        <v>20390.999269169493</v>
      </c>
      <c r="O20" s="242">
        <f t="shared" si="9"/>
        <v>29814.061434013856</v>
      </c>
      <c r="P20" s="242">
        <f t="shared" si="9"/>
        <v>39631.685612477944</v>
      </c>
      <c r="Q20" s="242">
        <f t="shared" si="9"/>
        <v>49919.327104517608</v>
      </c>
      <c r="R20" s="242">
        <f t="shared" si="9"/>
        <v>60704.329432333354</v>
      </c>
      <c r="S20" s="242">
        <f t="shared" si="9"/>
        <v>73195.165275749372</v>
      </c>
      <c r="T20" s="242">
        <f t="shared" si="9"/>
        <v>87030.524511272059</v>
      </c>
      <c r="U20" s="242">
        <f t="shared" si="9"/>
        <v>102256.56575963699</v>
      </c>
      <c r="V20" s="242">
        <f t="shared" si="9"/>
        <v>118865.6901627187</v>
      </c>
      <c r="W20" s="242">
        <f t="shared" si="9"/>
        <v>136293.42489320663</v>
      </c>
    </row>
    <row r="21" spans="1:26">
      <c r="M21" s="5"/>
      <c r="N21" s="107"/>
      <c r="O21" s="107"/>
      <c r="P21" s="107"/>
      <c r="Q21" s="107"/>
      <c r="R21" s="107"/>
      <c r="S21" s="107"/>
      <c r="T21" s="107"/>
      <c r="U21" s="107"/>
      <c r="V21" s="107"/>
      <c r="W21" s="107"/>
    </row>
    <row r="22" spans="1:26">
      <c r="A22" s="17" t="s">
        <v>1362</v>
      </c>
      <c r="B22" s="126">
        <f>B18+B14</f>
        <v>128593</v>
      </c>
      <c r="C22" s="126">
        <f>C18+C14</f>
        <v>123634</v>
      </c>
      <c r="D22" s="126">
        <f t="shared" ref="D22:L22" si="10">D18+D14</f>
        <v>116696</v>
      </c>
      <c r="E22" s="126">
        <f t="shared" si="10"/>
        <v>115821</v>
      </c>
      <c r="F22" s="126">
        <f t="shared" si="10"/>
        <v>126392</v>
      </c>
      <c r="G22" s="126">
        <f t="shared" si="10"/>
        <v>131203</v>
      </c>
      <c r="H22" s="126">
        <f t="shared" si="10"/>
        <v>132064</v>
      </c>
      <c r="I22" s="126">
        <f t="shared" si="10"/>
        <v>129968</v>
      </c>
      <c r="J22" s="126">
        <f t="shared" si="10"/>
        <v>123203</v>
      </c>
      <c r="K22" s="126">
        <f t="shared" si="10"/>
        <v>131028</v>
      </c>
      <c r="L22" s="126">
        <f t="shared" si="10"/>
        <v>136759</v>
      </c>
      <c r="M22" s="145">
        <f t="shared" ref="M22:W22" si="11">M11+M18+M20</f>
        <v>151553.02145869585</v>
      </c>
      <c r="N22" s="145">
        <f t="shared" si="11"/>
        <v>167004.98487733759</v>
      </c>
      <c r="O22" s="145">
        <f t="shared" si="11"/>
        <v>183025.67639454946</v>
      </c>
      <c r="P22" s="145">
        <f t="shared" si="11"/>
        <v>199737.82324623768</v>
      </c>
      <c r="Q22" s="145">
        <f t="shared" si="11"/>
        <v>217230.24093179649</v>
      </c>
      <c r="R22" s="145">
        <f t="shared" si="11"/>
        <v>235544.23438183981</v>
      </c>
      <c r="S22" s="145">
        <f t="shared" si="11"/>
        <v>254523.89641805814</v>
      </c>
      <c r="T22" s="145">
        <f t="shared" si="11"/>
        <v>274086.07240594417</v>
      </c>
      <c r="U22" s="145">
        <f t="shared" si="11"/>
        <v>294167.29636301653</v>
      </c>
      <c r="V22" s="145">
        <f t="shared" si="11"/>
        <v>314677.80022589036</v>
      </c>
      <c r="W22" s="145">
        <f t="shared" si="11"/>
        <v>335564.30325834162</v>
      </c>
    </row>
    <row r="25" spans="1:26">
      <c r="A25" s="9" t="s">
        <v>118</v>
      </c>
      <c r="B25" s="10"/>
      <c r="C25" s="10"/>
      <c r="D25" s="10"/>
      <c r="E25" s="10"/>
      <c r="F25" s="10"/>
      <c r="G25" s="10"/>
      <c r="H25" s="10"/>
      <c r="I25" s="10"/>
      <c r="J25" s="10"/>
      <c r="K25" s="10"/>
      <c r="L25" s="10"/>
      <c r="M25" s="71"/>
      <c r="N25" s="10"/>
      <c r="O25" s="10"/>
      <c r="P25" s="10"/>
      <c r="Q25" s="10"/>
      <c r="R25" s="10"/>
      <c r="S25" s="10"/>
      <c r="T25" s="10"/>
      <c r="U25" s="10"/>
      <c r="V25" s="10"/>
      <c r="W25" s="10"/>
    </row>
    <row r="26" spans="1:26">
      <c r="A26" s="10" t="s">
        <v>1363</v>
      </c>
      <c r="B26" s="11">
        <v>76566</v>
      </c>
      <c r="C26" s="11">
        <v>85777</v>
      </c>
      <c r="D26" s="11">
        <v>90021</v>
      </c>
      <c r="E26" s="11">
        <v>89354</v>
      </c>
      <c r="F26" s="11">
        <v>85107</v>
      </c>
      <c r="G26" s="11">
        <v>80785</v>
      </c>
      <c r="H26" s="11">
        <v>83943</v>
      </c>
      <c r="I26" s="11">
        <v>88763</v>
      </c>
      <c r="J26" s="11">
        <v>86904</v>
      </c>
      <c r="K26" s="11">
        <v>83135</v>
      </c>
      <c r="L26" s="11">
        <v>89814</v>
      </c>
      <c r="M26" s="11">
        <v>98313</v>
      </c>
      <c r="N26" s="139">
        <f t="shared" ref="N26:W26" si="12">M30</f>
        <v>111904.56839863342</v>
      </c>
      <c r="O26" s="139">
        <f t="shared" si="12"/>
        <v>126117.06815077628</v>
      </c>
      <c r="P26" s="139">
        <f t="shared" si="12"/>
        <v>140860.14623624959</v>
      </c>
      <c r="Q26" s="139">
        <f t="shared" si="12"/>
        <v>156255.3556696999</v>
      </c>
      <c r="R26" s="139">
        <f t="shared" si="12"/>
        <v>172390.30158760899</v>
      </c>
      <c r="S26" s="139">
        <f t="shared" si="12"/>
        <v>189305.04130361258</v>
      </c>
      <c r="T26" s="139">
        <f t="shared" si="12"/>
        <v>206842.38162170484</v>
      </c>
      <c r="U26" s="139">
        <f t="shared" si="12"/>
        <v>224917.84230701876</v>
      </c>
      <c r="V26" s="139">
        <f t="shared" si="12"/>
        <v>243466.59097572486</v>
      </c>
      <c r="W26" s="139">
        <f t="shared" si="12"/>
        <v>262397.45110627805</v>
      </c>
    </row>
    <row r="27" spans="1:26">
      <c r="A27" s="10" t="s">
        <v>1364</v>
      </c>
      <c r="B27" s="61">
        <v>16363</v>
      </c>
      <c r="C27" s="61">
        <v>14694</v>
      </c>
      <c r="D27" s="61">
        <v>13643</v>
      </c>
      <c r="E27" s="61">
        <v>9862</v>
      </c>
      <c r="F27" s="61">
        <v>6670</v>
      </c>
      <c r="G27" s="61">
        <v>14881</v>
      </c>
      <c r="H27" s="61">
        <v>13510</v>
      </c>
      <c r="I27" s="61">
        <v>13673</v>
      </c>
      <c r="J27" s="61">
        <v>11680</v>
      </c>
      <c r="K27" s="61">
        <v>15511</v>
      </c>
      <c r="L27" s="61">
        <v>19436</v>
      </c>
      <c r="M27" s="137">
        <f>'B. Integrated Fin - Income St.'!M25</f>
        <v>23979.903859134785</v>
      </c>
      <c r="N27" s="137">
        <f>'B. Integrated Fin - Income St.'!N25</f>
        <v>25075.426739465256</v>
      </c>
      <c r="O27" s="137">
        <f>'B. Integrated Fin - Income St.'!O25</f>
        <v>26011.537793748237</v>
      </c>
      <c r="P27" s="137">
        <f>'B. Integrated Fin - Income St.'!P25</f>
        <v>27162.107512367962</v>
      </c>
      <c r="Q27" s="137">
        <f>'B. Integrated Fin - Income St.'!Q25</f>
        <v>28467.24090522933</v>
      </c>
      <c r="R27" s="137">
        <f>'B. Integrated Fin - Income St.'!R25</f>
        <v>29843.048299917915</v>
      </c>
      <c r="S27" s="137">
        <f>'B. Integrated Fin - Income St.'!S25</f>
        <v>30941.516272328437</v>
      </c>
      <c r="T27" s="137">
        <f>'B. Integrated Fin - Income St.'!T25</f>
        <v>31890.933903329398</v>
      </c>
      <c r="U27" s="137">
        <f>'B. Integrated Fin - Income St.'!U25</f>
        <v>32725.966329798226</v>
      </c>
      <c r="V27" s="137">
        <f>'B. Integrated Fin - Income St.'!V25</f>
        <v>33400.134008598841</v>
      </c>
      <c r="W27" s="137">
        <f>'B. Integrated Fin - Income St.'!W25</f>
        <v>33977.735850056153</v>
      </c>
    </row>
    <row r="28" spans="1:26">
      <c r="A28" s="10" t="s">
        <v>1365</v>
      </c>
      <c r="B28" s="245">
        <f>+'A. Raw Historical - CF'!K40</f>
        <v>-6185</v>
      </c>
      <c r="C28" s="245">
        <f>'A. Raw Historical - CF'!L40</f>
        <v>-6294</v>
      </c>
      <c r="D28" s="245">
        <f>'A. Raw Historical - CF'!M40</f>
        <v>-6216</v>
      </c>
      <c r="E28" s="245">
        <f>'A. Raw Historical - CF'!N40</f>
        <v>-6124</v>
      </c>
      <c r="F28" s="245">
        <f>'A. Raw Historical - CF'!O40</f>
        <v>-6102</v>
      </c>
      <c r="G28" s="245">
        <f>'A. Raw Historical - CF'!P40</f>
        <v>-6048</v>
      </c>
      <c r="H28" s="245">
        <f>'A. Raw Historical - CF'!Q40</f>
        <v>-6116</v>
      </c>
      <c r="I28" s="245">
        <f>'A. Raw Historical - CF'!R40</f>
        <v>-6152</v>
      </c>
      <c r="J28" s="245">
        <f>'A. Raw Historical - CF'!S40</f>
        <v>-6114</v>
      </c>
      <c r="K28" s="245">
        <f>'A. Raw Historical - CF'!T40</f>
        <v>-6140</v>
      </c>
      <c r="L28" s="245">
        <f>'A. Raw Historical - CF'!U40</f>
        <v>-6688</v>
      </c>
      <c r="M28" s="252">
        <f>M27*'C1.Hist. &amp; Forecast Ratio'!M32</f>
        <v>-10388.335460501377</v>
      </c>
      <c r="N28" s="252">
        <f>N27*'C1.Hist. &amp; Forecast Ratio'!N32</f>
        <v>-10862.92698732238</v>
      </c>
      <c r="O28" s="252">
        <f>O27*'C1.Hist. &amp; Forecast Ratio'!O32</f>
        <v>-11268.459708274919</v>
      </c>
      <c r="P28" s="252">
        <f>P27*'C1.Hist. &amp; Forecast Ratio'!P32</f>
        <v>-11766.898078917646</v>
      </c>
      <c r="Q28" s="252">
        <f>Q27*'C1.Hist. &amp; Forecast Ratio'!Q32</f>
        <v>-12332.29498732024</v>
      </c>
      <c r="R28" s="252">
        <f>R27*'C1.Hist. &amp; Forecast Ratio'!R32</f>
        <v>-12928.30858391433</v>
      </c>
      <c r="S28" s="252">
        <f>S27*'C1.Hist. &amp; Forecast Ratio'!S32</f>
        <v>-13404.175954236181</v>
      </c>
      <c r="T28" s="252">
        <f>T27*'C1.Hist. &amp; Forecast Ratio'!T32</f>
        <v>-13815.473218015468</v>
      </c>
      <c r="U28" s="252">
        <f>U27*'C1.Hist. &amp; Forecast Ratio'!U32</f>
        <v>-14177.217661092131</v>
      </c>
      <c r="V28" s="252">
        <f>V27*'C1.Hist. &amp; Forecast Ratio'!V32</f>
        <v>-14469.273878045664</v>
      </c>
      <c r="W28" s="252">
        <f>W27*'C1.Hist. &amp; Forecast Ratio'!W32</f>
        <v>-14719.496803329668</v>
      </c>
    </row>
    <row r="29" spans="1:26">
      <c r="A29" s="217" t="s">
        <v>1393</v>
      </c>
      <c r="B29" s="11">
        <v>967</v>
      </c>
      <c r="C29" s="11">
        <v>4156</v>
      </c>
      <c r="D29" s="11">
        <v>8094</v>
      </c>
      <c r="E29" s="11">
        <v>7985</v>
      </c>
      <c r="F29" s="11">
        <v>4890</v>
      </c>
      <c r="G29" s="11">
        <v>5675</v>
      </c>
      <c r="H29" s="11">
        <v>2574</v>
      </c>
      <c r="I29" s="11">
        <v>9380</v>
      </c>
      <c r="J29" s="11">
        <v>9335</v>
      </c>
      <c r="K29" s="11">
        <v>2692</v>
      </c>
      <c r="L29" s="11">
        <v>4249</v>
      </c>
      <c r="M29" s="137">
        <f>AVERAGE(H29:L29)</f>
        <v>5646</v>
      </c>
      <c r="N29" s="139">
        <f>M29</f>
        <v>5646</v>
      </c>
      <c r="O29" s="139">
        <f t="shared" ref="O29:W29" si="13">N29</f>
        <v>5646</v>
      </c>
      <c r="P29" s="139">
        <f t="shared" si="13"/>
        <v>5646</v>
      </c>
      <c r="Q29" s="139">
        <f t="shared" si="13"/>
        <v>5646</v>
      </c>
      <c r="R29" s="139">
        <f t="shared" si="13"/>
        <v>5646</v>
      </c>
      <c r="S29" s="139">
        <f t="shared" si="13"/>
        <v>5646</v>
      </c>
      <c r="T29" s="139">
        <f t="shared" si="13"/>
        <v>5646</v>
      </c>
      <c r="U29" s="139">
        <f t="shared" si="13"/>
        <v>5646</v>
      </c>
      <c r="V29" s="139">
        <f t="shared" si="13"/>
        <v>5646</v>
      </c>
      <c r="W29" s="139">
        <f t="shared" si="13"/>
        <v>5646</v>
      </c>
      <c r="Z29" s="251"/>
    </row>
    <row r="30" spans="1:26">
      <c r="A30" s="10" t="s">
        <v>1366</v>
      </c>
      <c r="B30" s="13">
        <f>SUM(B26,B27+B28-B29)</f>
        <v>85777</v>
      </c>
      <c r="C30" s="13">
        <f t="shared" ref="C30:L30" si="14">SUM(C26,C27+C28-C29)</f>
        <v>90021</v>
      </c>
      <c r="D30" s="13">
        <f t="shared" si="14"/>
        <v>89354</v>
      </c>
      <c r="E30" s="13">
        <f t="shared" si="14"/>
        <v>85107</v>
      </c>
      <c r="F30" s="13">
        <f t="shared" si="14"/>
        <v>80785</v>
      </c>
      <c r="G30" s="13">
        <f t="shared" si="14"/>
        <v>83943</v>
      </c>
      <c r="H30" s="13">
        <f t="shared" si="14"/>
        <v>88763</v>
      </c>
      <c r="I30" s="13">
        <f t="shared" si="14"/>
        <v>86904</v>
      </c>
      <c r="J30" s="13">
        <f t="shared" si="14"/>
        <v>83135</v>
      </c>
      <c r="K30" s="13">
        <f t="shared" si="14"/>
        <v>89814</v>
      </c>
      <c r="L30" s="13">
        <f t="shared" si="14"/>
        <v>98313</v>
      </c>
      <c r="M30" s="141">
        <f>SUM(M26:M28)</f>
        <v>111904.56839863342</v>
      </c>
      <c r="N30" s="141">
        <f t="shared" ref="N30:W30" si="15">SUM(N26:N28)</f>
        <v>126117.06815077628</v>
      </c>
      <c r="O30" s="141">
        <f t="shared" si="15"/>
        <v>140860.14623624959</v>
      </c>
      <c r="P30" s="141">
        <f t="shared" si="15"/>
        <v>156255.3556696999</v>
      </c>
      <c r="Q30" s="141">
        <f t="shared" si="15"/>
        <v>172390.30158760899</v>
      </c>
      <c r="R30" s="141">
        <f t="shared" si="15"/>
        <v>189305.04130361258</v>
      </c>
      <c r="S30" s="141">
        <f t="shared" si="15"/>
        <v>206842.38162170484</v>
      </c>
      <c r="T30" s="141">
        <f t="shared" si="15"/>
        <v>224917.84230701876</v>
      </c>
      <c r="U30" s="141">
        <f t="shared" si="15"/>
        <v>243466.59097572486</v>
      </c>
      <c r="V30" s="141">
        <f t="shared" si="15"/>
        <v>262397.45110627805</v>
      </c>
      <c r="W30" s="141">
        <f t="shared" si="15"/>
        <v>281655.69015300454</v>
      </c>
      <c r="Z30" s="251"/>
    </row>
    <row r="31" spans="1:26">
      <c r="C31" s="2"/>
      <c r="D31" s="2"/>
      <c r="E31" s="2"/>
      <c r="F31" s="2"/>
      <c r="G31" s="2"/>
      <c r="H31" s="2"/>
      <c r="I31" s="2"/>
      <c r="J31" s="2"/>
      <c r="K31" s="2"/>
      <c r="L31" s="2"/>
      <c r="Z31" s="251">
        <f t="shared" ref="Z31:Z32" si="16">(M41-M24)</f>
        <v>0</v>
      </c>
    </row>
    <row r="32" spans="1:26">
      <c r="A32" s="8" t="s">
        <v>1367</v>
      </c>
      <c r="Z32" s="251">
        <f t="shared" si="16"/>
        <v>0</v>
      </c>
    </row>
    <row r="33" spans="1:26">
      <c r="A33" t="s">
        <v>201</v>
      </c>
      <c r="B33" s="208">
        <f>SUM('A. Raw Historical Data - BS'!L44,'A. Raw Historical Data - BS'!L48,'A. Raw Historical Data - BS'!L57)</f>
        <v>42656</v>
      </c>
      <c r="C33" s="208">
        <f>SUM('A. Raw Historical Data - BS'!M44,'A. Raw Historical Data - BS'!M48,'A. Raw Historical Data - BS'!M57)</f>
        <v>40023</v>
      </c>
      <c r="D33" s="208">
        <f>SUM('A. Raw Historical Data - BS'!N44,'A. Raw Historical Data - BS'!N48,'A. Raw Historical Data - BS'!N57)</f>
        <v>36161</v>
      </c>
      <c r="E33" s="208">
        <f>SUM('A. Raw Historical Data - BS'!O44,'A. Raw Historical Data - BS'!O48,'A. Raw Historical Data - BS'!O57)</f>
        <v>34999</v>
      </c>
      <c r="F33" s="208">
        <f>SUM('A. Raw Historical Data - BS'!P44,'A. Raw Historical Data - BS'!P48,'A. Raw Historical Data - BS'!P57)</f>
        <v>46758</v>
      </c>
      <c r="G33" s="208">
        <f>SUM('A. Raw Historical Data - BS'!Q44,'A. Raw Historical Data - BS'!Q48,'A. Raw Historical Data - BS'!Q57)</f>
        <v>49651</v>
      </c>
      <c r="H33" s="208">
        <f>SUM('A. Raw Historical Data - BS'!R44,'A. Raw Historical Data - BS'!R48,'A. Raw Historical Data - BS'!R57)</f>
        <v>44533</v>
      </c>
      <c r="I33" s="208">
        <f>SUM('A. Raw Historical Data - BS'!S44,'A. Raw Historical Data - BS'!S48,'A. Raw Historical Data - BS'!S57)</f>
        <v>38077</v>
      </c>
      <c r="J33" s="208">
        <f>SUM('A. Raw Historical Data - BS'!T44,'A. Raw Historical Data - BS'!T48,'A. Raw Historical Data - BS'!T57)</f>
        <v>39212</v>
      </c>
      <c r="K33" s="208">
        <f>SUM('A. Raw Historical Data - BS'!U44,'A. Raw Historical Data - BS'!U48,'A. Raw Historical Data - BS'!U57)</f>
        <v>40457</v>
      </c>
      <c r="L33" s="208">
        <f>SUM('A. Raw Historical Data - BS'!V44,'A. Raw Historical Data - BS'!V48,'A. Raw Historical Data - BS'!V57)</f>
        <v>39067</v>
      </c>
      <c r="M33" s="116">
        <f>L33*(1+'C1.Hist. &amp; Forecast Ratio'!M25)</f>
        <v>40269.45306006242</v>
      </c>
      <c r="N33" s="116">
        <f>M33*(1+'C1.Hist. &amp; Forecast Ratio'!N25)</f>
        <v>41508.916726561307</v>
      </c>
      <c r="O33" s="116">
        <f>N33*(1+'C1.Hist. &amp; Forecast Ratio'!O25)</f>
        <v>42786.530158299858</v>
      </c>
      <c r="P33" s="116">
        <f>O33*(1+'C1.Hist. &amp; Forecast Ratio'!P25)</f>
        <v>44103.467576537776</v>
      </c>
      <c r="Q33" s="116">
        <f>P33*(1+'C1.Hist. &amp; Forecast Ratio'!Q25)</f>
        <v>45460.9393441875</v>
      </c>
      <c r="R33" s="116">
        <f>Q33*(1+'C1.Hist. &amp; Forecast Ratio'!R25)</f>
        <v>46860.193078227239</v>
      </c>
      <c r="S33" s="116">
        <f>R33*(1+'C1.Hist. &amp; Forecast Ratio'!S25)</f>
        <v>48302.514796353287</v>
      </c>
      <c r="T33" s="116">
        <f>S33*(1+'C1.Hist. &amp; Forecast Ratio'!T25)</f>
        <v>49789.230098925414</v>
      </c>
      <c r="U33" s="116">
        <f>T33*(1+'C1.Hist. &amp; Forecast Ratio'!U25)</f>
        <v>51321.70538729168</v>
      </c>
      <c r="V33" s="116">
        <f>U33*(1+'C1.Hist. &amp; Forecast Ratio'!V25)</f>
        <v>52901.349119612336</v>
      </c>
      <c r="W33" s="116">
        <f>V33*(1+'C1.Hist. &amp; Forecast Ratio'!W25)</f>
        <v>54529.613105337077</v>
      </c>
      <c r="Z33" s="251"/>
    </row>
    <row r="34" spans="1:26">
      <c r="A34" t="s">
        <v>203</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0</v>
      </c>
    </row>
    <row r="35" spans="1:26">
      <c r="A35" s="8"/>
      <c r="M35" s="115"/>
      <c r="N35" s="43"/>
      <c r="O35" s="43"/>
      <c r="P35" s="43"/>
      <c r="Q35" s="43"/>
      <c r="R35" s="43"/>
      <c r="S35" s="43"/>
      <c r="T35" s="43"/>
      <c r="U35" s="43"/>
      <c r="V35" s="43"/>
      <c r="W35" s="43"/>
    </row>
    <row r="36" spans="1:26">
      <c r="A36" t="s">
        <v>1394</v>
      </c>
      <c r="B36" s="246">
        <f>SUM('A. Raw Historical Data - BS'!L74,'A. Raw Historical Data - BS'!L75,'A. Raw Historical Data - BS'!L78)</f>
        <v>-4383</v>
      </c>
      <c r="C36" s="246">
        <f>SUM('A. Raw Historical Data - BS'!M74,'A. Raw Historical Data - BS'!M75,'A. Raw Historical Data - BS'!M78)</f>
        <v>-9475</v>
      </c>
      <c r="D36" s="246">
        <f>SUM('A. Raw Historical Data - BS'!N74,'A. Raw Historical Data - BS'!N75,'A. Raw Historical Data - BS'!N78)</f>
        <v>-11556</v>
      </c>
      <c r="E36" s="246">
        <f>SUM('A. Raw Historical Data - BS'!O74,'A. Raw Historical Data - BS'!O75,'A. Raw Historical Data - BS'!O78)</f>
        <v>-7238</v>
      </c>
      <c r="F36" s="246">
        <f>SUM('A. Raw Historical Data - BS'!P74,'A. Raw Historical Data - BS'!P75,'A. Raw Historical Data - BS'!P78)</f>
        <v>-8289</v>
      </c>
      <c r="G36" s="246">
        <f>SUM('A. Raw Historical Data - BS'!Q74,'A. Raw Historical Data - BS'!Q75,'A. Raw Historical Data - BS'!Q78)</f>
        <v>-9274</v>
      </c>
      <c r="H36" s="246">
        <f>SUM('A. Raw Historical Data - BS'!R74,'A. Raw Historical Data - BS'!R75,'A. Raw Historical Data - BS'!R78)</f>
        <v>-7838</v>
      </c>
      <c r="I36" s="246">
        <f>SUM('A. Raw Historical Data - BS'!S74,'A. Raw Historical Data - BS'!S75,'A. Raw Historical Data - BS'!S78)</f>
        <v>-3651</v>
      </c>
      <c r="J36" s="246">
        <f>SUM('A. Raw Historical Data - BS'!T74,'A. Raw Historical Data - BS'!T75,'A. Raw Historical Data - BS'!T78)</f>
        <v>-6442</v>
      </c>
      <c r="K36" s="246">
        <f>SUM('A. Raw Historical Data - BS'!U74,'A. Raw Historical Data - BS'!U75,'A. Raw Historical Data - BS'!U78)</f>
        <v>-5953</v>
      </c>
      <c r="L36" s="246">
        <f>SUM('A. Raw Historical Data - BS'!V74,'A. Raw Historical Data - BS'!V75,'A. Raw Historical Data - BS'!V78)</f>
        <v>-7300</v>
      </c>
      <c r="M36" s="241">
        <f>L36</f>
        <v>-7300</v>
      </c>
      <c r="N36" s="241">
        <f t="shared" ref="N36:W36" si="17">M36</f>
        <v>-7300</v>
      </c>
      <c r="O36" s="241">
        <f t="shared" si="17"/>
        <v>-7300</v>
      </c>
      <c r="P36" s="241">
        <f t="shared" si="17"/>
        <v>-7300</v>
      </c>
      <c r="Q36" s="241">
        <f t="shared" si="17"/>
        <v>-7300</v>
      </c>
      <c r="R36" s="241">
        <f t="shared" si="17"/>
        <v>-7300</v>
      </c>
      <c r="S36" s="241">
        <f t="shared" si="17"/>
        <v>-7300</v>
      </c>
      <c r="T36" s="241">
        <f t="shared" si="17"/>
        <v>-7300</v>
      </c>
      <c r="U36" s="241">
        <f t="shared" si="17"/>
        <v>-7300</v>
      </c>
      <c r="V36" s="241">
        <f t="shared" si="17"/>
        <v>-7300</v>
      </c>
      <c r="W36" s="241">
        <f t="shared" si="17"/>
        <v>-7300</v>
      </c>
    </row>
    <row r="37" spans="1:26">
      <c r="A37" t="s">
        <v>1368</v>
      </c>
      <c r="B37" s="2">
        <f>'A. Raw Historical Data - BS'!L77</f>
        <v>85777</v>
      </c>
      <c r="C37" s="2">
        <f>'A. Raw Historical Data - BS'!M77</f>
        <v>90021</v>
      </c>
      <c r="D37" s="2">
        <f>'A. Raw Historical Data - BS'!N77</f>
        <v>89354</v>
      </c>
      <c r="E37" s="2">
        <f>'A. Raw Historical Data - BS'!O77</f>
        <v>85107</v>
      </c>
      <c r="F37" s="2">
        <f>'A. Raw Historical Data - BS'!P77</f>
        <v>80785</v>
      </c>
      <c r="G37" s="2">
        <f>'A. Raw Historical Data - BS'!Q77</f>
        <v>83943</v>
      </c>
      <c r="H37" s="2">
        <f>'A. Raw Historical Data - BS'!R77</f>
        <v>88763</v>
      </c>
      <c r="I37" s="2">
        <f>'A. Raw Historical Data - BS'!S77</f>
        <v>86904</v>
      </c>
      <c r="J37" s="2">
        <f>'A. Raw Historical Data - BS'!T77</f>
        <v>83135</v>
      </c>
      <c r="K37" s="2">
        <f>'A. Raw Historical Data - BS'!U77</f>
        <v>89814</v>
      </c>
      <c r="L37" s="2">
        <f>'A. Raw Historical Data - BS'!V77</f>
        <v>98313</v>
      </c>
      <c r="M37" s="241">
        <f>M30</f>
        <v>111904.56839863342</v>
      </c>
      <c r="N37" s="241">
        <f t="shared" ref="N37:W37" si="18">N30</f>
        <v>126117.06815077628</v>
      </c>
      <c r="O37" s="241">
        <f t="shared" si="18"/>
        <v>140860.14623624959</v>
      </c>
      <c r="P37" s="241">
        <f t="shared" si="18"/>
        <v>156255.3556696999</v>
      </c>
      <c r="Q37" s="241">
        <f t="shared" si="18"/>
        <v>172390.30158760899</v>
      </c>
      <c r="R37" s="241">
        <f t="shared" si="18"/>
        <v>189305.04130361258</v>
      </c>
      <c r="S37" s="241">
        <f t="shared" si="18"/>
        <v>206842.38162170484</v>
      </c>
      <c r="T37" s="241">
        <f t="shared" si="18"/>
        <v>224917.84230701876</v>
      </c>
      <c r="U37" s="241">
        <f t="shared" si="18"/>
        <v>243466.59097572486</v>
      </c>
      <c r="V37" s="241">
        <f t="shared" si="18"/>
        <v>262397.45110627805</v>
      </c>
      <c r="W37" s="241">
        <f t="shared" si="18"/>
        <v>281655.69015300454</v>
      </c>
      <c r="X37" s="2"/>
      <c r="Y37" s="2"/>
    </row>
    <row r="38" spans="1:26">
      <c r="A38" s="8" t="s">
        <v>1395</v>
      </c>
      <c r="B38" s="208">
        <f>'A. Raw Historical Data - BS'!L80</f>
        <v>4543</v>
      </c>
      <c r="C38" s="208">
        <f>'A. Raw Historical Data - BS'!M80</f>
        <v>3065</v>
      </c>
      <c r="D38" s="208">
        <f>'A. Raw Historical Data - BS'!N80</f>
        <v>2737</v>
      </c>
      <c r="E38" s="208">
        <f>'A. Raw Historical Data - BS'!O80</f>
        <v>2953</v>
      </c>
      <c r="F38" s="208">
        <f>'A. Raw Historical Data - BS'!P80</f>
        <v>7138</v>
      </c>
      <c r="G38" s="208">
        <f>'A. Raw Historical Data - BS'!Q80</f>
        <v>6883</v>
      </c>
      <c r="H38" s="208">
        <f>'A. Raw Historical Data - BS'!R80</f>
        <v>6606</v>
      </c>
      <c r="I38" s="208">
        <f>'A. Raw Historical Data - BS'!S80</f>
        <v>8638</v>
      </c>
      <c r="J38" s="208">
        <f>'A. Raw Historical Data - BS'!T80</f>
        <v>7298</v>
      </c>
      <c r="K38" s="208">
        <f>'A. Raw Historical Data - BS'!U80</f>
        <v>6710</v>
      </c>
      <c r="L38" s="208">
        <f>'A. Raw Historical Data - BS'!V80</f>
        <v>6679</v>
      </c>
      <c r="M38" s="241">
        <f>L38</f>
        <v>6679</v>
      </c>
      <c r="N38" s="241">
        <f t="shared" ref="N38:W38" si="19">M38</f>
        <v>6679</v>
      </c>
      <c r="O38" s="241">
        <f t="shared" si="19"/>
        <v>6679</v>
      </c>
      <c r="P38" s="241">
        <f t="shared" si="19"/>
        <v>6679</v>
      </c>
      <c r="Q38" s="241">
        <f t="shared" si="19"/>
        <v>6679</v>
      </c>
      <c r="R38" s="241">
        <f t="shared" si="19"/>
        <v>6679</v>
      </c>
      <c r="S38" s="241">
        <f t="shared" si="19"/>
        <v>6679</v>
      </c>
      <c r="T38" s="241">
        <f t="shared" si="19"/>
        <v>6679</v>
      </c>
      <c r="U38" s="241">
        <f t="shared" si="19"/>
        <v>6679</v>
      </c>
      <c r="V38" s="241">
        <f t="shared" si="19"/>
        <v>6679</v>
      </c>
      <c r="W38" s="241">
        <f t="shared" si="19"/>
        <v>6679</v>
      </c>
    </row>
    <row r="39" spans="1:26">
      <c r="A39" s="17" t="s">
        <v>199</v>
      </c>
      <c r="B39" s="6">
        <f t="shared" ref="B39:K39" si="20">SUM(B33:B38)</f>
        <v>128593</v>
      </c>
      <c r="C39" s="6">
        <f t="shared" si="20"/>
        <v>123634</v>
      </c>
      <c r="D39" s="6">
        <f t="shared" si="20"/>
        <v>116696</v>
      </c>
      <c r="E39" s="6">
        <f t="shared" si="20"/>
        <v>115821</v>
      </c>
      <c r="F39" s="6">
        <f t="shared" si="20"/>
        <v>126392</v>
      </c>
      <c r="G39" s="6">
        <f t="shared" si="20"/>
        <v>131203</v>
      </c>
      <c r="H39" s="6">
        <f t="shared" si="20"/>
        <v>132064</v>
      </c>
      <c r="I39" s="6">
        <f t="shared" si="20"/>
        <v>129968</v>
      </c>
      <c r="J39" s="6">
        <f t="shared" si="20"/>
        <v>123203</v>
      </c>
      <c r="K39" s="6">
        <f t="shared" si="20"/>
        <v>131028</v>
      </c>
      <c r="L39" s="6">
        <f>SUM(L33:L38)</f>
        <v>136759</v>
      </c>
      <c r="M39" s="247">
        <f>SUM(M33:M38)</f>
        <v>151553.02145869585</v>
      </c>
      <c r="N39" s="247">
        <f t="shared" ref="N39:W39" si="21">SUM(N33:N38)</f>
        <v>167004.98487733759</v>
      </c>
      <c r="O39" s="247">
        <f t="shared" si="21"/>
        <v>183025.67639454946</v>
      </c>
      <c r="P39" s="247">
        <f t="shared" si="21"/>
        <v>199737.82324623768</v>
      </c>
      <c r="Q39" s="247">
        <f t="shared" si="21"/>
        <v>217230.24093179649</v>
      </c>
      <c r="R39" s="247">
        <f t="shared" si="21"/>
        <v>235544.23438183981</v>
      </c>
      <c r="S39" s="247">
        <f t="shared" si="21"/>
        <v>254523.89641805814</v>
      </c>
      <c r="T39" s="247">
        <f t="shared" si="21"/>
        <v>274086.07240594417</v>
      </c>
      <c r="U39" s="247">
        <f t="shared" si="21"/>
        <v>294167.29636301653</v>
      </c>
      <c r="V39" s="247">
        <f t="shared" si="21"/>
        <v>314677.80022589036</v>
      </c>
      <c r="W39" s="247">
        <f t="shared" si="21"/>
        <v>335564.30325834162</v>
      </c>
    </row>
    <row r="40" spans="1:26">
      <c r="B40" s="226" t="b">
        <f>IF(B39=B22,TRUE)</f>
        <v>1</v>
      </c>
      <c r="C40" s="226" t="b">
        <f t="shared" ref="C40:W40" si="22">IF(C39=C22,TRUE)</f>
        <v>1</v>
      </c>
      <c r="D40" s="226" t="b">
        <f t="shared" si="22"/>
        <v>1</v>
      </c>
      <c r="E40" s="226" t="b">
        <f t="shared" si="22"/>
        <v>1</v>
      </c>
      <c r="F40" s="226" t="b">
        <f t="shared" si="22"/>
        <v>1</v>
      </c>
      <c r="G40" s="226" t="b">
        <f t="shared" si="22"/>
        <v>1</v>
      </c>
      <c r="H40" s="226" t="b">
        <f t="shared" si="22"/>
        <v>1</v>
      </c>
      <c r="I40" s="226" t="b">
        <f t="shared" si="22"/>
        <v>1</v>
      </c>
      <c r="J40" s="226" t="b">
        <f t="shared" si="22"/>
        <v>1</v>
      </c>
      <c r="K40" s="226" t="b">
        <f t="shared" si="22"/>
        <v>1</v>
      </c>
      <c r="L40" s="226" t="b">
        <f t="shared" si="22"/>
        <v>1</v>
      </c>
      <c r="M40" s="226" t="b">
        <f t="shared" si="22"/>
        <v>1</v>
      </c>
      <c r="N40" s="226" t="b">
        <f t="shared" si="22"/>
        <v>1</v>
      </c>
      <c r="O40" s="226" t="b">
        <f t="shared" si="22"/>
        <v>1</v>
      </c>
      <c r="P40" s="226" t="b">
        <f t="shared" si="22"/>
        <v>1</v>
      </c>
      <c r="Q40" s="226" t="b">
        <f t="shared" si="22"/>
        <v>1</v>
      </c>
      <c r="R40" s="226" t="b">
        <f t="shared" si="22"/>
        <v>1</v>
      </c>
      <c r="S40" s="226" t="b">
        <f t="shared" si="22"/>
        <v>1</v>
      </c>
      <c r="T40" s="226" t="b">
        <f t="shared" si="22"/>
        <v>1</v>
      </c>
      <c r="U40" s="226" t="b">
        <f t="shared" si="22"/>
        <v>1</v>
      </c>
      <c r="V40" s="226" t="b">
        <f t="shared" si="22"/>
        <v>1</v>
      </c>
      <c r="W40" s="226" t="b">
        <f t="shared" si="22"/>
        <v>1</v>
      </c>
    </row>
    <row r="41" spans="1:26">
      <c r="A41" s="54" t="s">
        <v>1369</v>
      </c>
      <c r="B41" s="60"/>
      <c r="C41" s="60"/>
      <c r="D41" s="60"/>
      <c r="E41" s="60"/>
      <c r="F41" s="60"/>
      <c r="G41" s="60"/>
      <c r="H41" s="60"/>
      <c r="I41" s="60"/>
      <c r="J41" s="60"/>
      <c r="K41" s="60"/>
      <c r="L41" s="189"/>
    </row>
    <row r="42" spans="1:26">
      <c r="A42" t="s">
        <v>1370</v>
      </c>
      <c r="B42" s="5"/>
      <c r="C42" s="5"/>
      <c r="D42" s="5"/>
      <c r="E42" s="5"/>
      <c r="F42" s="5"/>
      <c r="G42" s="5"/>
      <c r="H42" s="5"/>
      <c r="I42" s="5"/>
      <c r="J42" s="5"/>
      <c r="K42" s="5"/>
      <c r="L42" s="5"/>
      <c r="N42" s="208"/>
    </row>
    <row r="43" spans="1:26">
      <c r="A43" t="s">
        <v>1371</v>
      </c>
      <c r="B43" s="2"/>
      <c r="C43" s="2"/>
      <c r="D43" s="2"/>
      <c r="E43" s="2"/>
      <c r="F43" s="2">
        <f>SUM(F22-F39)</f>
        <v>0</v>
      </c>
      <c r="G43" s="2"/>
      <c r="H43" s="2"/>
      <c r="I43" s="2"/>
      <c r="J43" s="2"/>
      <c r="K43" s="2"/>
      <c r="L43" s="2"/>
    </row>
    <row r="44" spans="1:26">
      <c r="B44" s="2"/>
      <c r="D44" s="2"/>
    </row>
    <row r="45" spans="1:26">
      <c r="B45" s="2"/>
    </row>
  </sheetData>
  <pageMargins left="0.7" right="0.7" top="0.75" bottom="0.75" header="0.3" footer="0.3"/>
  <pageSetup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31B0-13B7-4490-A90C-E03579754A19}">
  <dimension ref="A1:Z33"/>
  <sheetViews>
    <sheetView topLeftCell="C6" zoomScale="76" workbookViewId="0">
      <selection activeCell="B33" sqref="B33"/>
    </sheetView>
  </sheetViews>
  <sheetFormatPr defaultColWidth="8.85546875" defaultRowHeight="15"/>
  <cols>
    <col min="1" max="1" width="36.42578125" bestFit="1" customWidth="1"/>
    <col min="2" max="2" width="11.85546875" bestFit="1" customWidth="1"/>
    <col min="3" max="8" width="9" bestFit="1" customWidth="1"/>
    <col min="9" max="9" width="9.7109375" bestFit="1" customWidth="1"/>
    <col min="10" max="12" width="9" bestFit="1" customWidth="1"/>
    <col min="14" max="14" width="7.85546875" bestFit="1" customWidth="1"/>
    <col min="18" max="19" width="7.85546875" bestFit="1" customWidth="1"/>
    <col min="22" max="22" width="7.85546875" bestFit="1" customWidth="1"/>
    <col min="26" max="26" width="33.140625" bestFit="1" customWidth="1"/>
  </cols>
  <sheetData>
    <row r="1" spans="1:26">
      <c r="A1" s="54" t="s">
        <v>1329</v>
      </c>
      <c r="B1" s="54" t="s">
        <v>247</v>
      </c>
      <c r="C1" s="54" t="s">
        <v>248</v>
      </c>
      <c r="D1" s="54" t="s">
        <v>249</v>
      </c>
      <c r="E1" s="54" t="s">
        <v>250</v>
      </c>
      <c r="F1" s="54" t="s">
        <v>251</v>
      </c>
      <c r="G1" s="54" t="s">
        <v>252</v>
      </c>
      <c r="H1" s="54" t="s">
        <v>253</v>
      </c>
      <c r="I1" s="54" t="s">
        <v>254</v>
      </c>
      <c r="J1" s="54" t="s">
        <v>255</v>
      </c>
      <c r="K1" s="54" t="s">
        <v>256</v>
      </c>
      <c r="L1" s="54" t="s">
        <v>257</v>
      </c>
      <c r="M1" s="59">
        <v>2026</v>
      </c>
      <c r="N1" s="59">
        <v>2027</v>
      </c>
      <c r="O1" s="59">
        <v>2028</v>
      </c>
      <c r="P1" s="59">
        <v>2029</v>
      </c>
      <c r="Q1" s="59">
        <v>2030</v>
      </c>
      <c r="R1" s="57">
        <v>2031</v>
      </c>
      <c r="S1" s="57">
        <v>2032</v>
      </c>
      <c r="T1" s="57">
        <v>2033</v>
      </c>
      <c r="U1" s="57">
        <v>2034</v>
      </c>
      <c r="V1" s="57">
        <v>2035</v>
      </c>
      <c r="W1" s="58" t="s">
        <v>1330</v>
      </c>
    </row>
    <row r="2" spans="1:26">
      <c r="A2" t="s">
        <v>1396</v>
      </c>
      <c r="B2" s="231">
        <f>('A. Raw Historical Data - IS'!I5/'A. Raw Historical Data - IS'!H5)-1</f>
        <v>1.9645429083717136E-2</v>
      </c>
      <c r="C2" s="231">
        <f>('A. Raw Historical Data - IS'!J5/'A. Raw Historical Data - IS'!I5)-1</f>
        <v>-7.2500622875274479E-3</v>
      </c>
      <c r="D2" s="231">
        <f>('A. Raw Historical Data - IS'!K5/'A. Raw Historical Data - IS'!J5)-1</f>
        <v>7.7634662850267766E-3</v>
      </c>
      <c r="E2" s="231">
        <f>('A. Raw Historical Data - IS'!L5/'A. Raw Historical Data - IS'!K5)-1</f>
        <v>2.9781444945489843E-2</v>
      </c>
      <c r="F2" s="231">
        <f>('A. Raw Historical Data - IS'!M5/'A. Raw Historical Data - IS'!L5)-1</f>
        <v>2.8104720161968855E-2</v>
      </c>
      <c r="G2" s="231">
        <f>('A. Raw Historical Data - IS'!N5/'A. Raw Historical Data - IS'!M5)-1</f>
        <v>1.85826343056541E-2</v>
      </c>
      <c r="H2" s="231">
        <f>('A. Raw Historical Data - IS'!O5/'A. Raw Historical Data - IS'!N5)-1</f>
        <v>6.7155377086975498E-2</v>
      </c>
      <c r="I2" s="231">
        <f>('A. Raw Historical Data - IS'!P5/'A. Raw Historical Data - IS'!O5)-1</f>
        <v>2.4327954345069625E-2</v>
      </c>
      <c r="J2" s="231">
        <f>('A. Raw Historical Data - IS'!Q5/'A. Raw Historical Data - IS'!P5)-1</f>
        <v>6.7280193590965709E-2</v>
      </c>
      <c r="K2" s="231">
        <f>('A. Raw Historical Data - IS'!R5/'A. Raw Historical Data - IS'!Q5)-1</f>
        <v>6.02595499019285E-2</v>
      </c>
      <c r="L2" s="231">
        <f>('A. Raw Historical Data - IS'!S5/'A. Raw Historical Data - IS'!R5)-1</f>
        <v>5.0700096432015451E-2</v>
      </c>
      <c r="M2" s="32">
        <f>('B. Integrated Fin - Income St.'!M3/'A. Raw Historical Data - IS'!S5)-1</f>
        <v>4.4999999999999929E-2</v>
      </c>
      <c r="N2" s="231">
        <f>('B. Integrated Fin - Income St.'!N3/'B. Integrated Fin - Income St.'!M3)-1</f>
        <v>4.4999999999999929E-2</v>
      </c>
      <c r="O2" s="231">
        <f>('B. Integrated Fin - Income St.'!O3/'B. Integrated Fin - Income St.'!N3)-1</f>
        <v>4.4999999999999929E-2</v>
      </c>
      <c r="P2" s="231">
        <f>('B. Integrated Fin - Income St.'!P3/'B. Integrated Fin - Income St.'!O3)-1</f>
        <v>4.4999999999999929E-2</v>
      </c>
      <c r="Q2" s="231">
        <f>('B. Integrated Fin - Income St.'!Q3/'B. Integrated Fin - Income St.'!P3)-1</f>
        <v>4.4999999999999929E-2</v>
      </c>
      <c r="R2" s="32">
        <f>Q2-((Q2-$W$2)/4)</f>
        <v>3.749999999999995E-2</v>
      </c>
      <c r="S2" s="32">
        <f>R2-((R2-$W$2)/4)</f>
        <v>3.1874999999999959E-2</v>
      </c>
      <c r="T2" s="32">
        <f>S2-((S2-$W$2)/3)</f>
        <v>2.6249999999999971E-2</v>
      </c>
      <c r="U2" s="32">
        <f>T2-((T2-$W$2)/2)</f>
        <v>2.0624999999999984E-2</v>
      </c>
      <c r="V2" s="32">
        <f>U2-(U2-$W$2)/2</f>
        <v>1.7812499999999992E-2</v>
      </c>
      <c r="W2" s="32">
        <v>1.4999999999999999E-2</v>
      </c>
      <c r="Y2" s="148" t="s">
        <v>1397</v>
      </c>
    </row>
    <row r="3" spans="1:26">
      <c r="A3" t="s">
        <v>1398</v>
      </c>
      <c r="B3" s="232">
        <f>'A. Raw Historical Data - IS'!I9/'A. Raw Historical Data - IS'!I5</f>
        <v>0.75174559508783056</v>
      </c>
      <c r="C3" s="232">
        <f>'A. Raw Historical Data - IS'!J9/'A. Raw Historical Data - IS'!J5</f>
        <v>0.74872752162279888</v>
      </c>
      <c r="D3" s="232">
        <f>'A. Raw Historical Data - IS'!K9/'A. Raw Historical Data - IS'!K5</f>
        <v>0.74351939704408354</v>
      </c>
      <c r="E3" s="232">
        <f>'A. Raw Historical Data - IS'!L9/'A. Raw Historical Data - IS'!L5</f>
        <v>0.74628005188440727</v>
      </c>
      <c r="F3" s="232">
        <f>'A. Raw Historical Data - IS'!M9/'A. Raw Historical Data - IS'!M5</f>
        <v>0.7490226572447779</v>
      </c>
      <c r="G3" s="232">
        <f>'A. Raw Historical Data - IS'!N9/'A. Raw Historical Data - IS'!N5</f>
        <v>0.75311471780504002</v>
      </c>
      <c r="H3" s="232">
        <f>'A. Raw Historical Data - IS'!O9/'A. Raw Historical Data - IS'!O5</f>
        <v>0.75170213412834819</v>
      </c>
      <c r="I3" s="232">
        <f>'A. Raw Historical Data - IS'!P9/'A. Raw Historical Data - IS'!P5</f>
        <v>0.7490126651232466</v>
      </c>
      <c r="J3" s="232">
        <f>'A. Raw Historical Data - IS'!Q9/'A. Raw Historical Data - IS'!Q5</f>
        <v>0.75859536160474017</v>
      </c>
      <c r="K3" s="232">
        <f>'A. Raw Historical Data - IS'!R9/'A. Raw Historical Data - IS'!R5</f>
        <v>0.7562460945033751</v>
      </c>
      <c r="L3" s="232">
        <f>'A. Raw Historical Data - IS'!S9/'A. Raw Historical Data - IS'!S5</f>
        <v>0.75148938669721066</v>
      </c>
      <c r="M3" s="232">
        <f>AVERAGE('C1.Hist. &amp; Forecast Ratio'!H3:L3)</f>
        <v>0.75340912841138419</v>
      </c>
      <c r="N3" s="232">
        <f t="shared" ref="N3:W3" si="0">$M$3</f>
        <v>0.75340912841138419</v>
      </c>
      <c r="O3" s="232">
        <f t="shared" si="0"/>
        <v>0.75340912841138419</v>
      </c>
      <c r="P3" s="232">
        <f t="shared" si="0"/>
        <v>0.75340912841138419</v>
      </c>
      <c r="Q3" s="232">
        <f t="shared" si="0"/>
        <v>0.75340912841138419</v>
      </c>
      <c r="R3" s="232">
        <f t="shared" si="0"/>
        <v>0.75340912841138419</v>
      </c>
      <c r="S3" s="232">
        <f t="shared" si="0"/>
        <v>0.75340912841138419</v>
      </c>
      <c r="T3" s="232">
        <f t="shared" si="0"/>
        <v>0.75340912841138419</v>
      </c>
      <c r="U3" s="232">
        <f t="shared" si="0"/>
        <v>0.75340912841138419</v>
      </c>
      <c r="V3" s="232">
        <f t="shared" si="0"/>
        <v>0.75340912841138419</v>
      </c>
      <c r="W3" s="232">
        <f t="shared" si="0"/>
        <v>0.75340912841138419</v>
      </c>
      <c r="Y3" s="148" t="s">
        <v>1399</v>
      </c>
    </row>
    <row r="4" spans="1:26">
      <c r="A4" s="17" t="s">
        <v>1400</v>
      </c>
      <c r="B4" s="32">
        <f>'A. Raw Historical Data - IS'!I10/'A. Raw Historical Data - IS'!I5</f>
        <v>0.24825440491216944</v>
      </c>
      <c r="C4" s="32">
        <f>'A. Raw Historical Data - IS'!J10/'A. Raw Historical Data - IS'!J5</f>
        <v>0.25127247837720118</v>
      </c>
      <c r="D4" s="32">
        <f>'A. Raw Historical Data - IS'!K10/'A. Raw Historical Data - IS'!K5</f>
        <v>0.25648060295591646</v>
      </c>
      <c r="E4" s="32">
        <f>'A. Raw Historical Data - IS'!L10/'A. Raw Historical Data - IS'!L5</f>
        <v>0.25371994811559273</v>
      </c>
      <c r="F4" s="32">
        <f>'A. Raw Historical Data - IS'!M10/'A. Raw Historical Data - IS'!M5</f>
        <v>0.25097734275522204</v>
      </c>
      <c r="G4" s="32">
        <f>'A. Raw Historical Data - IS'!N10/'A. Raw Historical Data - IS'!N5</f>
        <v>0.24688528219495995</v>
      </c>
      <c r="H4" s="32">
        <f>'A. Raw Historical Data - IS'!O10/'A. Raw Historical Data - IS'!O5</f>
        <v>0.24829786587165184</v>
      </c>
      <c r="I4" s="32">
        <f>'A. Raw Historical Data - IS'!P10/'A. Raw Historical Data - IS'!P5</f>
        <v>0.25098733487675334</v>
      </c>
      <c r="J4" s="32">
        <f>'A. Raw Historical Data - IS'!Q10/'A. Raw Historical Data - IS'!Q5</f>
        <v>0.24140463839525986</v>
      </c>
      <c r="K4" s="32">
        <f>'A. Raw Historical Data - IS'!R10/'A. Raw Historical Data - IS'!R5</f>
        <v>0.24375390549662487</v>
      </c>
      <c r="L4" s="32">
        <f>'A. Raw Historical Data - IS'!S10/'A. Raw Historical Data - IS'!S5</f>
        <v>0.24851061330278934</v>
      </c>
      <c r="M4" s="32">
        <f t="shared" ref="M4:W4" si="1">1-M3</f>
        <v>0.24659087158861581</v>
      </c>
      <c r="N4" s="32">
        <f t="shared" si="1"/>
        <v>0.24659087158861581</v>
      </c>
      <c r="O4" s="32">
        <f t="shared" si="1"/>
        <v>0.24659087158861581</v>
      </c>
      <c r="P4" s="32">
        <f t="shared" si="1"/>
        <v>0.24659087158861581</v>
      </c>
      <c r="Q4" s="32">
        <f t="shared" si="1"/>
        <v>0.24659087158861581</v>
      </c>
      <c r="R4" s="32">
        <f t="shared" si="1"/>
        <v>0.24659087158861581</v>
      </c>
      <c r="S4" s="32">
        <f t="shared" si="1"/>
        <v>0.24659087158861581</v>
      </c>
      <c r="T4" s="32">
        <f t="shared" si="1"/>
        <v>0.24659087158861581</v>
      </c>
      <c r="U4" s="32">
        <f t="shared" si="1"/>
        <v>0.24659087158861581</v>
      </c>
      <c r="V4" s="32">
        <f t="shared" si="1"/>
        <v>0.24659087158861581</v>
      </c>
      <c r="W4" s="32">
        <f t="shared" si="1"/>
        <v>0.24659087158861581</v>
      </c>
    </row>
    <row r="5" spans="1:26">
      <c r="Z5" s="17" t="s">
        <v>1401</v>
      </c>
    </row>
    <row r="6" spans="1:26">
      <c r="A6" t="s">
        <v>1402</v>
      </c>
      <c r="B6" s="32">
        <f>'A. Raw Historical Data - IS'!I12/'A. Raw Historical Data - IS'!I5</f>
        <v>0.19184257831240953</v>
      </c>
      <c r="C6" s="32">
        <f>'A. Raw Historical Data - IS'!J12/'A. Raw Historical Data - IS'!J5</f>
        <v>0.19963312799452429</v>
      </c>
      <c r="D6" s="32">
        <f>'A. Raw Historical Data - IS'!K12/'A. Raw Historical Data - IS'!K5</f>
        <v>0.21022007808624887</v>
      </c>
      <c r="E6" s="32">
        <f>'A. Raw Historical Data - IS'!L12/'A. Raw Historical Data - IS'!L5</f>
        <v>0.20796675480620297</v>
      </c>
      <c r="F6" s="32">
        <f>'A. Raw Historical Data - IS'!M12/'A. Raw Historical Data - IS'!M5</f>
        <v>0.20829307646698614</v>
      </c>
      <c r="G6" s="32">
        <f>'A. Raw Historical Data - IS'!N12/'A. Raw Historical Data - IS'!N5</f>
        <v>0.20617565328915727</v>
      </c>
      <c r="H6" s="32">
        <f>'A. Raw Historical Data - IS'!O12/'A. Raw Historical Data - IS'!O5</f>
        <v>0.1919553036657361</v>
      </c>
      <c r="I6" s="32">
        <f>'A. Raw Historical Data - IS'!P12/'A. Raw Historical Data - IS'!P5</f>
        <v>0.20474933391997263</v>
      </c>
      <c r="J6" s="32">
        <f>'A. Raw Historical Data - IS'!Q12/'A. Raw Historical Data - IS'!Q5</f>
        <v>0.20115853548812426</v>
      </c>
      <c r="K6" s="32">
        <f>'A. Raw Historical Data - IS'!R12/'A. Raw Historical Data - IS'!R5</f>
        <v>0.20193326904532305</v>
      </c>
      <c r="L6" s="32">
        <f>'A. Raw Historical Data - IS'!S12/'A. Raw Historical Data - IS'!S5</f>
        <v>0.20518513623648099</v>
      </c>
      <c r="M6" s="32">
        <f>AVERAGE(H6:L6)</f>
        <v>0.20099631567112741</v>
      </c>
      <c r="N6" s="32">
        <f t="shared" ref="N6:W6" si="2">$M$6</f>
        <v>0.20099631567112741</v>
      </c>
      <c r="O6" s="32">
        <f t="shared" si="2"/>
        <v>0.20099631567112741</v>
      </c>
      <c r="P6" s="32">
        <f t="shared" si="2"/>
        <v>0.20099631567112741</v>
      </c>
      <c r="Q6" s="32">
        <f t="shared" si="2"/>
        <v>0.20099631567112741</v>
      </c>
      <c r="R6" s="32">
        <f t="shared" si="2"/>
        <v>0.20099631567112741</v>
      </c>
      <c r="S6" s="32">
        <f t="shared" si="2"/>
        <v>0.20099631567112741</v>
      </c>
      <c r="T6" s="32">
        <f t="shared" si="2"/>
        <v>0.20099631567112741</v>
      </c>
      <c r="U6" s="32">
        <f t="shared" si="2"/>
        <v>0.20099631567112741</v>
      </c>
      <c r="V6" s="32">
        <f t="shared" si="2"/>
        <v>0.20099631567112741</v>
      </c>
      <c r="W6" s="32">
        <f t="shared" si="2"/>
        <v>0.20099631567112741</v>
      </c>
      <c r="Z6" s="32">
        <f>AVERAGE(H2:L2)</f>
        <v>5.3944634271390957E-2</v>
      </c>
    </row>
    <row r="7" spans="1:26">
      <c r="A7" t="s">
        <v>1403</v>
      </c>
      <c r="B7" s="232">
        <f>'A. Raw Historical Data - IS'!I79/'A. Raw Historical Data - IS'!I5</f>
        <v>1.8120007989276248E-2</v>
      </c>
      <c r="C7" s="232">
        <f>'A. Raw Historical Data - IS'!J79/'A. Raw Historical Data - IS'!J5</f>
        <v>1.887457739613797E-2</v>
      </c>
      <c r="D7" s="232">
        <f>'A. Raw Historical Data - IS'!K79/'A. Raw Historical Data - IS'!K5</f>
        <v>1.9457759537986265E-2</v>
      </c>
      <c r="E7" s="232">
        <f>'A. Raw Historical Data - IS'!L79/'A. Raw Historical Data - IS'!L5</f>
        <v>2.0146179720711591E-2</v>
      </c>
      <c r="F7" s="232">
        <f>'A. Raw Historical Data - IS'!M79/'A. Raw Historical Data - IS'!M5</f>
        <v>2.0411932232384987E-2</v>
      </c>
      <c r="G7" s="232">
        <f>'A. Raw Historical Data - IS'!N79/'A. Raw Historical Data - IS'!N5</f>
        <v>2.0379262697437228E-2</v>
      </c>
      <c r="H7" s="232">
        <f>'A. Raw Historical Data - IS'!O79/'A. Raw Historical Data - IS'!O5</f>
        <v>1.9649432800799786E-2</v>
      </c>
      <c r="I7" s="232">
        <f>'A. Raw Historical Data - IS'!P79/'A. Raw Historical Data - IS'!P5</f>
        <v>1.9470837392667709E-2</v>
      </c>
      <c r="J7" s="232">
        <f>'A. Raw Historical Data - IS'!Q79/'A. Raw Historical Data - IS'!Q5</f>
        <v>1.7435288382418136E-2</v>
      </c>
      <c r="K7" s="232">
        <f>'A. Raw Historical Data - IS'!R79/'A. Raw Historical Data - IS'!R5</f>
        <v>1.6887174541947925E-2</v>
      </c>
      <c r="L7" s="232">
        <f>'A. Raw Historical Data - IS'!S79/'A. Raw Historical Data - IS'!S5</f>
        <v>1.7405669728408114E-2</v>
      </c>
      <c r="M7" s="32">
        <f>AVERAGE(H7:L7)</f>
        <v>1.816968056924833E-2</v>
      </c>
      <c r="N7" s="32">
        <f t="shared" ref="N7:W7" si="3">$M$7</f>
        <v>1.816968056924833E-2</v>
      </c>
      <c r="O7" s="32">
        <f t="shared" si="3"/>
        <v>1.816968056924833E-2</v>
      </c>
      <c r="P7" s="32">
        <f t="shared" si="3"/>
        <v>1.816968056924833E-2</v>
      </c>
      <c r="Q7" s="32">
        <f t="shared" si="3"/>
        <v>1.816968056924833E-2</v>
      </c>
      <c r="R7" s="32">
        <f t="shared" si="3"/>
        <v>1.816968056924833E-2</v>
      </c>
      <c r="S7" s="32">
        <f t="shared" si="3"/>
        <v>1.816968056924833E-2</v>
      </c>
      <c r="T7" s="32">
        <f t="shared" si="3"/>
        <v>1.816968056924833E-2</v>
      </c>
      <c r="U7" s="32">
        <f t="shared" si="3"/>
        <v>1.816968056924833E-2</v>
      </c>
      <c r="V7" s="32">
        <f t="shared" si="3"/>
        <v>1.816968056924833E-2</v>
      </c>
      <c r="W7" s="32">
        <f t="shared" si="3"/>
        <v>1.816968056924833E-2</v>
      </c>
      <c r="Z7" s="148" t="s">
        <v>1404</v>
      </c>
    </row>
    <row r="8" spans="1:26">
      <c r="A8" s="17" t="s">
        <v>1405</v>
      </c>
      <c r="B8" s="232">
        <f>'B. Integrated Fin - Income St.'!B12/'B. Integrated Fin - Income St.'!B3</f>
        <v>5.7179867847487201E-2</v>
      </c>
      <c r="C8" s="232">
        <f>'B. Integrated Fin - Income St.'!C12/'B. Integrated Fin - Income St.'!C3</f>
        <v>5.237359218468049E-2</v>
      </c>
      <c r="D8" s="232">
        <f>'B. Integrated Fin - Income St.'!D12/'B. Integrated Fin - Income St.'!D3</f>
        <v>4.754892739460724E-2</v>
      </c>
      <c r="E8" s="232">
        <f>'B. Integrated Fin - Income St.'!E12/'B. Integrated Fin - Income St.'!E3</f>
        <v>4.6650577703695253E-2</v>
      </c>
      <c r="F8" s="232">
        <f>'B. Integrated Fin - Income St.'!F12/'B. Integrated Fin - Income St.'!F3</f>
        <v>4.3030297139413497E-2</v>
      </c>
      <c r="G8" s="232">
        <f>'B. Integrated Fin - Income St.'!G12/'B. Integrated Fin - Income St.'!G3</f>
        <v>4.1299364078448149E-2</v>
      </c>
      <c r="H8" s="232">
        <f>'B. Integrated Fin - Income St.'!H12/'B. Integrated Fin - Income St.'!H3</f>
        <v>5.6637652440932773E-2</v>
      </c>
      <c r="I8" s="232">
        <f>'B. Integrated Fin - Income St.'!I12/'B. Integrated Fin - Income St.'!I3</f>
        <v>4.5375501524214587E-2</v>
      </c>
      <c r="J8" s="232">
        <f>'B. Integrated Fin - Income St.'!J12/'B. Integrated Fin - Income St.'!J3</f>
        <v>4.0715602603678458E-2</v>
      </c>
      <c r="K8" s="232">
        <f>'B. Integrated Fin - Income St.'!K12/'B. Integrated Fin - Income St.'!K3</f>
        <v>4.322160077145612E-2</v>
      </c>
      <c r="L8" s="232">
        <f>'B. Integrated Fin - Income St.'!L12/'B. Integrated Fin - Income St.'!L3</f>
        <v>4.4970153527610739E-2</v>
      </c>
      <c r="M8" s="248">
        <f>M4-M6</f>
        <v>4.55945559174884E-2</v>
      </c>
      <c r="N8" s="248">
        <f t="shared" ref="N8:W8" si="4">N4-N6</f>
        <v>4.55945559174884E-2</v>
      </c>
      <c r="O8" s="248">
        <f t="shared" si="4"/>
        <v>4.55945559174884E-2</v>
      </c>
      <c r="P8" s="248">
        <f t="shared" si="4"/>
        <v>4.55945559174884E-2</v>
      </c>
      <c r="Q8" s="248">
        <f t="shared" si="4"/>
        <v>4.55945559174884E-2</v>
      </c>
      <c r="R8" s="248">
        <f t="shared" si="4"/>
        <v>4.55945559174884E-2</v>
      </c>
      <c r="S8" s="248">
        <f t="shared" si="4"/>
        <v>4.55945559174884E-2</v>
      </c>
      <c r="T8" s="248">
        <f t="shared" si="4"/>
        <v>4.55945559174884E-2</v>
      </c>
      <c r="U8" s="248">
        <f t="shared" si="4"/>
        <v>4.55945559174884E-2</v>
      </c>
      <c r="V8" s="248">
        <f t="shared" si="4"/>
        <v>4.55945559174884E-2</v>
      </c>
      <c r="W8" s="248">
        <f t="shared" si="4"/>
        <v>4.55945559174884E-2</v>
      </c>
      <c r="Z8" s="148" t="s">
        <v>1406</v>
      </c>
    </row>
    <row r="9" spans="1:26">
      <c r="Z9" s="148" t="s">
        <v>1407</v>
      </c>
    </row>
    <row r="10" spans="1:26">
      <c r="A10" t="s">
        <v>1408</v>
      </c>
      <c r="B10" s="32">
        <f>'B. Integrated Fin - Income St.'!B22/'B. Integrated Fin - Income St.'!B16</f>
        <v>0.30792299443066723</v>
      </c>
      <c r="C10" s="32">
        <f>'B. Integrated Fin - Income St.'!C22/'B. Integrated Fin - Income St.'!C16</f>
        <v>0.27891044982343166</v>
      </c>
      <c r="D10" s="32">
        <f>'B. Integrated Fin - Income St.'!D22/'B. Integrated Fin - Income St.'!D16</f>
        <v>0.3049374597917669</v>
      </c>
      <c r="E10" s="32">
        <f>'B. Integrated Fin - Income St.'!E22/'B. Integrated Fin - Income St.'!E16</f>
        <v>0.22981536578472497</v>
      </c>
      <c r="F10" s="32">
        <f>'B. Integrated Fin - Income St.'!F22/'B. Integrated Fin - Income St.'!F16</f>
        <v>0.21815366397959648</v>
      </c>
      <c r="G10" s="32">
        <f>'B. Integrated Fin - Income St.'!G22/'B. Integrated Fin - Income St.'!G16</f>
        <v>0.24542460096819649</v>
      </c>
      <c r="H10" s="32">
        <f>'B. Integrated Fin - Income St.'!H22/'B. Integrated Fin - Income St.'!H16</f>
        <v>0.2239080751650584</v>
      </c>
      <c r="I10" s="32">
        <f>'B. Integrated Fin - Income St.'!I22/'B. Integrated Fin - Income St.'!I16</f>
        <v>0.18966884416418078</v>
      </c>
      <c r="J10" s="32">
        <f>'B. Integrated Fin - Income St.'!J22/'B. Integrated Fin - Income St.'!J16</f>
        <v>0.21689293553369646</v>
      </c>
      <c r="K10" s="32">
        <f>'B. Integrated Fin - Income St.'!K22/'B. Integrated Fin - Income St.'!K16</f>
        <v>0.23379450285925107</v>
      </c>
      <c r="L10" s="32">
        <f>'B. Integrated Fin - Income St.'!L22/'B. Integrated Fin - Income St.'!L16</f>
        <v>0.23295146420824295</v>
      </c>
      <c r="M10" s="32">
        <f t="shared" ref="M10:W10" si="5">AVERAGE(H10:L10)</f>
        <v>0.21944316438608591</v>
      </c>
      <c r="N10" s="32">
        <f t="shared" si="5"/>
        <v>0.21855018223029141</v>
      </c>
      <c r="O10" s="32">
        <f t="shared" si="5"/>
        <v>0.22432644984351358</v>
      </c>
      <c r="P10" s="32">
        <f t="shared" si="5"/>
        <v>0.22581315270547703</v>
      </c>
      <c r="Q10" s="32">
        <f t="shared" si="5"/>
        <v>0.22421688267472217</v>
      </c>
      <c r="R10" s="32">
        <f t="shared" si="5"/>
        <v>0.22246996636801802</v>
      </c>
      <c r="S10" s="32">
        <f t="shared" si="5"/>
        <v>0.22307532676440447</v>
      </c>
      <c r="T10" s="32">
        <f t="shared" si="5"/>
        <v>0.22398035567122707</v>
      </c>
      <c r="U10" s="32">
        <f t="shared" si="5"/>
        <v>0.22391113683676975</v>
      </c>
      <c r="V10" s="32">
        <f t="shared" si="5"/>
        <v>0.22353073366302828</v>
      </c>
      <c r="W10" s="32">
        <f t="shared" si="5"/>
        <v>0.22339350386068951</v>
      </c>
      <c r="Z10" s="148" t="s">
        <v>1409</v>
      </c>
    </row>
    <row r="11" spans="1:26" ht="17.100000000000001">
      <c r="A11" s="233" t="s">
        <v>1410</v>
      </c>
      <c r="C11" s="32">
        <f>-'B. Integrated Fin - Income St.'!C19/'B. Integrated Fin - Income St.'!B74</f>
        <v>5.3440984236831988E-2</v>
      </c>
      <c r="D11" s="32">
        <f>-'B. Integrated Fin - Income St.'!D19/'B. Integrated Fin - Income St.'!C74</f>
        <v>5.1585511476714876E-2</v>
      </c>
      <c r="E11" s="32">
        <f>-'B. Integrated Fin - Income St.'!E19/'B. Integrated Fin - Income St.'!D74</f>
        <v>5.0917405610395407E-2</v>
      </c>
      <c r="F11" s="32">
        <f>-'B. Integrated Fin - Income St.'!F19/'B. Integrated Fin - Income St.'!E74</f>
        <v>4.9257495096665729E-2</v>
      </c>
      <c r="G11" s="32">
        <f>-'B. Integrated Fin - Income St.'!G19/'B. Integrated Fin - Income St.'!F74</f>
        <v>4.4630554598691009E-2</v>
      </c>
      <c r="H11" s="32">
        <f>-'B. Integrated Fin - Income St.'!H19/'B. Integrated Fin - Income St.'!G74</f>
        <v>2.9459407953246093E-2</v>
      </c>
      <c r="I11" s="32">
        <f>-'B. Integrated Fin - Income St.'!I19/'B. Integrated Fin - Income St.'!H74</f>
        <v>3.3315020327436544E-2</v>
      </c>
      <c r="J11" s="32">
        <f>-'B. Integrated Fin - Income St.'!J19/'B. Integrated Fin - Income St.'!I74</f>
        <v>3.6017198035852738E-2</v>
      </c>
      <c r="K11" s="32">
        <f>-'B. Integrated Fin - Income St.'!K19/'B. Integrated Fin - Income St.'!J74</f>
        <v>3.4057020159847309E-2</v>
      </c>
      <c r="L11" s="32">
        <f>-'B. Integrated Fin - Income St.'!L19/'B. Integrated Fin - Income St.'!K74</f>
        <v>3.4321918606911028E-2</v>
      </c>
      <c r="M11" s="32">
        <f t="shared" ref="M11:W11" si="6">AVERAGE(H11:L11)</f>
        <v>3.3434113016658738E-2</v>
      </c>
      <c r="N11" s="32">
        <f t="shared" si="6"/>
        <v>3.4229054029341274E-2</v>
      </c>
      <c r="O11" s="32">
        <f t="shared" si="6"/>
        <v>3.4411860769722212E-2</v>
      </c>
      <c r="P11" s="32">
        <f t="shared" si="6"/>
        <v>3.4090793316496108E-2</v>
      </c>
      <c r="Q11" s="32">
        <f t="shared" si="6"/>
        <v>3.4097547947825872E-2</v>
      </c>
      <c r="R11" s="32">
        <f t="shared" si="6"/>
        <v>3.4052673816008842E-2</v>
      </c>
      <c r="S11" s="32">
        <f t="shared" si="6"/>
        <v>3.4176385975878867E-2</v>
      </c>
      <c r="T11" s="32">
        <f t="shared" si="6"/>
        <v>3.4165852365186378E-2</v>
      </c>
      <c r="U11" s="32">
        <f t="shared" si="6"/>
        <v>3.4116650684279215E-2</v>
      </c>
      <c r="V11" s="32">
        <f t="shared" si="6"/>
        <v>3.4121822157835838E-2</v>
      </c>
      <c r="W11" s="32">
        <f t="shared" si="6"/>
        <v>3.4126676999837825E-2</v>
      </c>
    </row>
    <row r="12" spans="1:26">
      <c r="A12" t="s">
        <v>1411</v>
      </c>
      <c r="B12" s="32" cm="1">
        <f t="array" ref="B12:L12">'B. Integrated Fin - Income St.'!B23:L23</f>
        <v>0.32198878987055929</v>
      </c>
      <c r="C12" s="32">
        <v>0.30307791847675386</v>
      </c>
      <c r="D12" s="32">
        <v>0.30267844074742645</v>
      </c>
      <c r="E12" s="32">
        <v>0.30417245255570985</v>
      </c>
      <c r="F12" s="32">
        <v>0.37356020942408374</v>
      </c>
      <c r="G12" s="32">
        <v>0.24433286935772519</v>
      </c>
      <c r="H12" s="32">
        <v>0.33349542890488232</v>
      </c>
      <c r="I12" s="32">
        <v>0.25438596491228072</v>
      </c>
      <c r="J12" s="32">
        <v>0.33638928067700985</v>
      </c>
      <c r="K12" s="32">
        <v>0.25530941047235445</v>
      </c>
      <c r="L12" s="32">
        <v>0.23383632977308144</v>
      </c>
      <c r="M12" s="32">
        <f>'B. Integrated Fin - Income St.'!M23</f>
        <v>0.28268328294792172</v>
      </c>
      <c r="N12" s="32">
        <f>'B. Integrated Fin - Income St.'!N23</f>
        <v>0.27252085375652962</v>
      </c>
      <c r="O12" s="32">
        <f>'B. Integrated Fin - Income St.'!O23</f>
        <v>0.27614783152537942</v>
      </c>
      <c r="P12" s="32">
        <f>'B. Integrated Fin - Income St.'!P23</f>
        <v>0.26409954169505329</v>
      </c>
      <c r="Q12" s="32">
        <f>'B. Integrated Fin - Income St.'!Q23</f>
        <v>0.26585756793959309</v>
      </c>
      <c r="R12" s="32">
        <f>'B. Integrated Fin - Income St.'!R23</f>
        <v>0.27226181557289542</v>
      </c>
      <c r="S12" s="32">
        <f>'B. Integrated Fin - Income St.'!S23</f>
        <v>0.27017752209789014</v>
      </c>
      <c r="T12" s="32">
        <f>'B. Integrated Fin - Income St.'!T23</f>
        <v>0.26970885576616227</v>
      </c>
      <c r="U12" s="32">
        <f>'B. Integrated Fin - Income St.'!U23</f>
        <v>0.26842106061431881</v>
      </c>
      <c r="V12" s="32">
        <f>'B. Integrated Fin - Income St.'!V23</f>
        <v>0.26928536439817191</v>
      </c>
      <c r="W12" s="32">
        <f>'B. Integrated Fin - Income St.'!W23</f>
        <v>0.26997092368988773</v>
      </c>
    </row>
    <row r="14" spans="1:26">
      <c r="A14" t="s">
        <v>1412</v>
      </c>
      <c r="B14" s="232">
        <f>'B. Integrated Fin - Income St.'!B28/'B. Integrated Fin - Income St.'!B12</f>
        <v>0.32753366618057761</v>
      </c>
      <c r="C14" s="232">
        <f>'B. Integrated Fin - Income St.'!C28/'B. Integrated Fin - Income St.'!C12</f>
        <v>0.29835750791084359</v>
      </c>
      <c r="D14" s="232">
        <f>'B. Integrated Fin - Income St.'!D28/'B. Integrated Fin - Income St.'!D12</f>
        <v>0.32214390539013965</v>
      </c>
      <c r="E14" s="232">
        <f>'B. Integrated Fin - Income St.'!E28/'B. Integrated Fin - Income St.'!E12</f>
        <v>0.24919012181275019</v>
      </c>
      <c r="F14" s="232">
        <f>'B. Integrated Fin - Income St.'!F28/'B. Integrated Fin - Income St.'!F12</f>
        <v>0.24606816571798235</v>
      </c>
      <c r="G14" s="232">
        <f>'B. Integrated Fin - Income St.'!G28/'B. Integrated Fin - Income St.'!G12</f>
        <v>0.26532654993713145</v>
      </c>
      <c r="H14" s="232">
        <f>'B. Integrated Fin - Income St.'!H28/'B. Integrated Fin - Income St.'!H12</f>
        <v>0.24227585400923796</v>
      </c>
      <c r="I14" s="232">
        <f>'B. Integrated Fin - Income St.'!I28/'B. Integrated Fin - Income St.'!I12</f>
        <v>0.20811301407545565</v>
      </c>
      <c r="J14" s="232">
        <f>'B. Integrated Fin - Income St.'!J28/'B. Integrated Fin - Income St.'!J12</f>
        <v>0.23511128479560672</v>
      </c>
      <c r="K14" s="232">
        <f>'B. Integrated Fin - Income St.'!K28/'B. Integrated Fin - Income St.'!K12</f>
        <v>0.24182861600468153</v>
      </c>
      <c r="L14" s="232">
        <f>'B. Integrated Fin - Income St.'!L28/'B. Integrated Fin - Income St.'!L12</f>
        <v>0.23791650203694034</v>
      </c>
      <c r="M14" s="361" t="s">
        <v>1413</v>
      </c>
      <c r="N14" s="362"/>
      <c r="O14" s="362"/>
      <c r="P14" s="362"/>
      <c r="Q14" s="362"/>
      <c r="R14" s="362"/>
      <c r="S14" s="362"/>
      <c r="T14" s="362"/>
      <c r="U14" s="362"/>
      <c r="V14" s="362"/>
      <c r="W14" s="362"/>
    </row>
    <row r="15" spans="1:26">
      <c r="A15" s="17" t="s">
        <v>1414</v>
      </c>
      <c r="B15" s="32">
        <f>'B. Integrated Fin - Income St.'!B29/'B. Integrated Fin - Income St.'!B3</f>
        <v>3.7683494851951507E-2</v>
      </c>
      <c r="C15" s="32">
        <f>'B. Integrated Fin - Income St.'!C29/'B. Integrated Fin - Income St.'!C3</f>
        <v>3.6013295938116772E-2</v>
      </c>
      <c r="D15" s="32">
        <f>'B. Integrated Fin - Income St.'!D29/'B. Integrated Fin - Income St.'!D3</f>
        <v>3.0942927701656624E-2</v>
      </c>
      <c r="E15" s="32">
        <f>'B. Integrated Fin - Income St.'!E29/'B. Integrated Fin - Income St.'!E3</f>
        <v>3.412833016877076E-2</v>
      </c>
      <c r="F15" s="32">
        <f>'B. Integrated Fin - Income St.'!F29/'B. Integrated Fin - Income St.'!F3</f>
        <v>3.2095880000840696E-2</v>
      </c>
      <c r="G15" s="32">
        <f>'B. Integrated Fin - Income St.'!G29/'B. Integrated Fin - Income St.'!G3</f>
        <v>2.9751811120270553E-2</v>
      </c>
      <c r="H15" s="32">
        <f>'B. Integrated Fin - Income St.'!H29/'B. Integrated Fin - Income St.'!H3</f>
        <v>4.262062659171037E-2</v>
      </c>
      <c r="I15" s="32">
        <f>'B. Integrated Fin - Income St.'!I29/'B. Integrated Fin - Income St.'!I3</f>
        <v>3.6794768569391019E-2</v>
      </c>
      <c r="J15" s="32">
        <f>'B. Integrated Fin - Income St.'!J29/'B. Integrated Fin - Income St.'!J3</f>
        <v>3.0673405267757383E-2</v>
      </c>
      <c r="K15" s="32">
        <f>'B. Integrated Fin - Income St.'!K29/'B. Integrated Fin - Income St.'!K3</f>
        <v>3.1368416555233723E-2</v>
      </c>
      <c r="L15" s="32">
        <f>'B. Integrated Fin - Income St.'!L29/'B. Integrated Fin - Income St.'!L3</f>
        <v>3.262633544295504E-2</v>
      </c>
      <c r="M15" s="361"/>
      <c r="N15" s="362"/>
      <c r="O15" s="362"/>
      <c r="P15" s="362"/>
      <c r="Q15" s="362"/>
      <c r="R15" s="362"/>
      <c r="S15" s="362"/>
      <c r="T15" s="362"/>
      <c r="U15" s="362"/>
      <c r="V15" s="362"/>
      <c r="W15" s="362"/>
    </row>
    <row r="17" spans="1:23">
      <c r="A17" t="s">
        <v>1415</v>
      </c>
      <c r="C17" s="32">
        <f>'B. Integrated Fin - Income St.'!B70/'B. Integrated Fin - Income St.'!B69</f>
        <v>5.0595114668436116E-2</v>
      </c>
      <c r="D17" s="32">
        <f>'B. Integrated Fin - Income St.'!C70/'B. Integrated Fin - Income St.'!C69</f>
        <v>5.1054100011556303E-2</v>
      </c>
      <c r="E17" s="32">
        <f>'B. Integrated Fin - Income St.'!D70/'B. Integrated Fin - Income St.'!D69</f>
        <v>5.0506752690242906E-2</v>
      </c>
      <c r="F17" s="32">
        <f>'B. Integrated Fin - Income St.'!E70/'B. Integrated Fin - Income St.'!E69</f>
        <v>4.8965316234334012E-2</v>
      </c>
      <c r="G17" s="32">
        <f>'B. Integrated Fin - Income St.'!F70/'B. Integrated Fin - Income St.'!F69</f>
        <v>4.7434626347750648E-2</v>
      </c>
      <c r="H17" s="32">
        <f>'B. Integrated Fin - Income St.'!G70/'B. Integrated Fin - Income St.'!G69</f>
        <v>4.717105110583724E-2</v>
      </c>
      <c r="I17" s="32">
        <f>'B. Integrated Fin - Income St.'!H70/'B. Integrated Fin - Income St.'!H69</f>
        <v>4.3562188481373706E-2</v>
      </c>
      <c r="J17" s="32">
        <f>'B. Integrated Fin - Income St.'!I70/'B. Integrated Fin - Income St.'!I69</f>
        <v>4.2544903098348567E-2</v>
      </c>
      <c r="K17" s="32">
        <f>'B. Integrated Fin - Income St.'!J70/'B. Integrated Fin - Income St.'!J69</f>
        <v>4.1689255123061909E-2</v>
      </c>
      <c r="L17" s="32">
        <f>'B. Integrated Fin - Income St.'!K70/'B. Integrated Fin - Income St.'!K69</f>
        <v>3.8700366495129222E-2</v>
      </c>
      <c r="M17" s="32">
        <f t="shared" ref="M17:W17" si="7">AVERAGE(H17:L17)</f>
        <v>4.2733552860750132E-2</v>
      </c>
      <c r="N17" s="32">
        <f t="shared" si="7"/>
        <v>4.1846053211732702E-2</v>
      </c>
      <c r="O17" s="32">
        <f t="shared" si="7"/>
        <v>4.1502826157804512E-2</v>
      </c>
      <c r="P17" s="32">
        <f t="shared" si="7"/>
        <v>4.1294410769695693E-2</v>
      </c>
      <c r="Q17" s="32">
        <f t="shared" si="7"/>
        <v>4.1215441899022452E-2</v>
      </c>
      <c r="R17" s="32">
        <f t="shared" si="7"/>
        <v>4.1718456979801102E-2</v>
      </c>
      <c r="S17" s="32">
        <f t="shared" si="7"/>
        <v>4.1515437803611298E-2</v>
      </c>
      <c r="T17" s="32">
        <f t="shared" si="7"/>
        <v>4.1449314721987013E-2</v>
      </c>
      <c r="U17" s="32">
        <f t="shared" si="7"/>
        <v>4.143861243482351E-2</v>
      </c>
      <c r="V17" s="32">
        <f t="shared" si="7"/>
        <v>4.1467452767849078E-2</v>
      </c>
      <c r="W17" s="32">
        <f t="shared" si="7"/>
        <v>4.1517854941614397E-2</v>
      </c>
    </row>
    <row r="19" spans="1:23">
      <c r="A19" s="222" t="s">
        <v>1416</v>
      </c>
      <c r="B19" s="54" t="s">
        <v>247</v>
      </c>
      <c r="C19" s="54" t="s">
        <v>248</v>
      </c>
      <c r="D19" s="54" t="s">
        <v>249</v>
      </c>
      <c r="E19" s="54" t="s">
        <v>250</v>
      </c>
      <c r="F19" s="54" t="s">
        <v>251</v>
      </c>
      <c r="G19" s="54" t="s">
        <v>252</v>
      </c>
      <c r="H19" s="54" t="s">
        <v>253</v>
      </c>
      <c r="I19" s="54" t="s">
        <v>254</v>
      </c>
      <c r="J19" s="54" t="s">
        <v>255</v>
      </c>
      <c r="K19" s="54" t="s">
        <v>256</v>
      </c>
      <c r="L19" s="54" t="s">
        <v>257</v>
      </c>
      <c r="M19" s="59">
        <v>2026</v>
      </c>
      <c r="N19" s="59">
        <v>2027</v>
      </c>
      <c r="O19" s="59">
        <v>2028</v>
      </c>
      <c r="P19" s="59">
        <v>2029</v>
      </c>
      <c r="Q19" s="59">
        <v>2030</v>
      </c>
      <c r="R19" s="57">
        <v>2031</v>
      </c>
      <c r="S19" s="57">
        <v>2032</v>
      </c>
      <c r="T19" s="57">
        <v>2033</v>
      </c>
      <c r="U19" s="57">
        <v>2034</v>
      </c>
      <c r="V19" s="57">
        <v>2035</v>
      </c>
      <c r="W19" s="58" t="s">
        <v>1330</v>
      </c>
    </row>
    <row r="20" spans="1:23">
      <c r="A20" s="212" t="s">
        <v>1349</v>
      </c>
    </row>
    <row r="21" spans="1:23">
      <c r="A21" s="148" t="s">
        <v>1417</v>
      </c>
      <c r="B21" s="32">
        <f>'B. Integrated Fin - Balance S.'!B7/'B. Integrated Fin - Income St.'!B3</f>
        <v>-9.0249994337497502E-3</v>
      </c>
      <c r="C21" s="32">
        <f>'B. Integrated Fin - Balance S.'!C7/'B. Integrated Fin - Income St.'!C3</f>
        <v>-1.468691016945637E-2</v>
      </c>
      <c r="D21" s="32">
        <f>'B. Integrated Fin - Balance S.'!D7/'B. Integrated Fin - Income St.'!D3</f>
        <v>-2.5080628065358643E-2</v>
      </c>
      <c r="E21" s="32">
        <f>'B. Integrated Fin - Balance S.'!E7/'B. Integrated Fin - Income St.'!E3</f>
        <v>-3.1880130230661767E-2</v>
      </c>
      <c r="F21" s="32">
        <f>'B. Integrated Fin - Balance S.'!F7/'B. Integrated Fin - Income St.'!F3</f>
        <v>-3.0077468142805767E-2</v>
      </c>
      <c r="G21" s="32">
        <f>'B. Integrated Fin - Balance S.'!G7/'B. Integrated Fin - Income St.'!G3</f>
        <v>-3.2841950973731021E-2</v>
      </c>
      <c r="H21" s="32">
        <f>'B. Integrated Fin - Balance S.'!H7/'B. Integrated Fin - Income St.'!H3</f>
        <v>-2.6867518791882695E-2</v>
      </c>
      <c r="I21" s="32">
        <f>'B. Integrated Fin - Balance S.'!I7/'B. Integrated Fin - Income St.'!I3</f>
        <v>-2.7694263156608247E-2</v>
      </c>
      <c r="J21" s="32">
        <f>'B. Integrated Fin - Balance S.'!J7/'B. Integrated Fin - Income St.'!J3</f>
        <v>-3.0370250405291115E-2</v>
      </c>
      <c r="K21" s="32">
        <f>'B. Integrated Fin - Balance S.'!K7/'B. Integrated Fin - Income St.'!K3</f>
        <v>-2.9111668273866922E-2</v>
      </c>
      <c r="L21" s="32">
        <f>'B. Integrated Fin - Balance S.'!L7/'B. Integrated Fin - Income St.'!L3</f>
        <v>-2.672305557391132E-2</v>
      </c>
      <c r="M21" s="32">
        <f>AVERAGE(H21:L21)</f>
        <v>-2.8153351240312059E-2</v>
      </c>
      <c r="N21" s="32">
        <f>M21</f>
        <v>-2.8153351240312059E-2</v>
      </c>
      <c r="O21" s="32">
        <f t="shared" ref="O21:W21" si="8">N21</f>
        <v>-2.8153351240312059E-2</v>
      </c>
      <c r="P21" s="32">
        <f t="shared" si="8"/>
        <v>-2.8153351240312059E-2</v>
      </c>
      <c r="Q21" s="32">
        <f t="shared" si="8"/>
        <v>-2.8153351240312059E-2</v>
      </c>
      <c r="R21" s="32">
        <f t="shared" si="8"/>
        <v>-2.8153351240312059E-2</v>
      </c>
      <c r="S21" s="32">
        <f t="shared" si="8"/>
        <v>-2.8153351240312059E-2</v>
      </c>
      <c r="T21" s="32">
        <f t="shared" si="8"/>
        <v>-2.8153351240312059E-2</v>
      </c>
      <c r="U21" s="32">
        <f t="shared" si="8"/>
        <v>-2.8153351240312059E-2</v>
      </c>
      <c r="V21" s="32">
        <f t="shared" si="8"/>
        <v>-2.8153351240312059E-2</v>
      </c>
      <c r="W21" s="32">
        <f t="shared" si="8"/>
        <v>-2.8153351240312059E-2</v>
      </c>
    </row>
    <row r="22" spans="1:23">
      <c r="A22" s="148" t="s">
        <v>1418</v>
      </c>
      <c r="B22" s="32">
        <f>'B. Integrated Fin - Balance S.'!B11/'B. Integrated Fin - Income St.'!B3</f>
        <v>0.21245091639881314</v>
      </c>
      <c r="C22" s="32">
        <f>'B. Integrated Fin - Balance S.'!C11/'B. Integrated Fin - Income St.'!C3</f>
        <v>0.21892643063074274</v>
      </c>
      <c r="D22" s="32">
        <f>'B. Integrated Fin - Balance S.'!D11/'B. Integrated Fin - Income St.'!D3</f>
        <v>0.20915959520286165</v>
      </c>
      <c r="E22" s="32">
        <f>'B. Integrated Fin - Balance S.'!E11/'B. Integrated Fin - Income St.'!E3</f>
        <v>0.20470557197762335</v>
      </c>
      <c r="F22" s="32">
        <f>'B. Integrated Fin - Balance S.'!F11/'B. Integrated Fin - Income St.'!F3</f>
        <v>0.18575052730824934</v>
      </c>
      <c r="G22" s="32">
        <f>'B. Integrated Fin - Balance S.'!G11/'B. Integrated Fin - Income St.'!G3</f>
        <v>0.21774015008664718</v>
      </c>
      <c r="H22" s="32">
        <f>'B. Integrated Fin - Balance S.'!H11/'B. Integrated Fin - Income St.'!H3</f>
        <v>0.17075530581184689</v>
      </c>
      <c r="I22" s="32">
        <f>'B. Integrated Fin - Balance S.'!I11/'B. Integrated Fin - Income St.'!I3</f>
        <v>0.17311096910715595</v>
      </c>
      <c r="J22" s="32">
        <f>'B. Integrated Fin - Balance S.'!J11/'B. Integrated Fin - Income St.'!J3</f>
        <v>0.17102548876227119</v>
      </c>
      <c r="K22" s="32">
        <f>'B. Integrated Fin - Balance S.'!K11/'B. Integrated Fin - Income St.'!K3</f>
        <v>0.17852883317261331</v>
      </c>
      <c r="L22" s="32">
        <f>'B. Integrated Fin - Balance S.'!L11/'B. Integrated Fin - Income St.'!L3</f>
        <v>0.18400698987496053</v>
      </c>
      <c r="M22" s="240">
        <f>AVERAGE(I22:L22)</f>
        <v>0.17666807022925024</v>
      </c>
      <c r="N22" s="240">
        <f>$M$22</f>
        <v>0.17666807022925024</v>
      </c>
      <c r="O22" s="240">
        <f t="shared" ref="O22:W22" si="9">$M$22</f>
        <v>0.17666807022925024</v>
      </c>
      <c r="P22" s="240">
        <f t="shared" si="9"/>
        <v>0.17666807022925024</v>
      </c>
      <c r="Q22" s="240">
        <f t="shared" si="9"/>
        <v>0.17666807022925024</v>
      </c>
      <c r="R22" s="240">
        <f t="shared" si="9"/>
        <v>0.17666807022925024</v>
      </c>
      <c r="S22" s="240">
        <f t="shared" si="9"/>
        <v>0.17666807022925024</v>
      </c>
      <c r="T22" s="240">
        <f t="shared" si="9"/>
        <v>0.17666807022925024</v>
      </c>
      <c r="U22" s="240">
        <f t="shared" si="9"/>
        <v>0.17666807022925024</v>
      </c>
      <c r="V22" s="240">
        <f t="shared" si="9"/>
        <v>0.17666807022925024</v>
      </c>
      <c r="W22" s="240">
        <f t="shared" si="9"/>
        <v>0.17666807022925024</v>
      </c>
    </row>
    <row r="23" spans="1:23">
      <c r="A23" s="148" t="s">
        <v>1419</v>
      </c>
      <c r="B23" s="32">
        <f>'B. Integrated Fin - Balance S.'!B13/'B. Integrated Fin - Income St.'!B3</f>
        <v>3.727368007066803E-2</v>
      </c>
      <c r="C23" s="32">
        <f>'B. Integrated Fin - Balance S.'!C13/'B. Integrated Fin - Income St.'!C3</f>
        <v>3.4627590069068508E-2</v>
      </c>
      <c r="D23" s="32">
        <f>'B. Integrated Fin - Balance S.'!D13/'B. Integrated Fin - Income St.'!D3</f>
        <v>3.5064718558141736E-2</v>
      </c>
      <c r="E23" s="32">
        <f>'B. Integrated Fin - Balance S.'!E13/'B. Integrated Fin - Income St.'!E3</f>
        <v>3.6458989133454453E-2</v>
      </c>
      <c r="F23" s="32">
        <f>'B. Integrated Fin - Balance S.'!F13/'B. Integrated Fin - Income St.'!F3</f>
        <v>6.0615662755999652E-2</v>
      </c>
      <c r="G23" s="32">
        <f>'B. Integrated Fin - Balance S.'!G13/'B. Integrated Fin - Income St.'!G3</f>
        <v>5.9303692620103668E-2</v>
      </c>
      <c r="H23" s="32">
        <f>'B. Integrated Fin - Balance S.'!H13/'B. Integrated Fin - Income St.'!H3</f>
        <v>6.0597226867161104E-2</v>
      </c>
      <c r="I23" s="32">
        <f>'B. Integrated Fin - Balance S.'!I13/'B. Integrated Fin - Income St.'!I3</f>
        <v>5.9037562374073337E-2</v>
      </c>
      <c r="J23" s="32">
        <f>'B. Integrated Fin - Balance S.'!J13/'B. Integrated Fin - Income St.'!J3</f>
        <v>5.3123808869454545E-2</v>
      </c>
      <c r="K23" s="32">
        <f>'B. Integrated Fin - Balance S.'!K13/'B. Integrated Fin - Income St.'!K3</f>
        <v>4.9701832208293155E-2</v>
      </c>
      <c r="L23" s="32">
        <f>'B. Integrated Fin - Balance S.'!L13/'B. Integrated Fin - Income St.'!L3</f>
        <v>4.888800781221319E-2</v>
      </c>
      <c r="M23" s="32">
        <f t="shared" ref="M23" si="10">AVERAGE(H23:L23)</f>
        <v>5.4269687626239071E-2</v>
      </c>
      <c r="N23" s="32">
        <f t="shared" ref="N23:W32" si="11">M23</f>
        <v>5.4269687626239071E-2</v>
      </c>
      <c r="O23" s="32">
        <f t="shared" si="11"/>
        <v>5.4269687626239071E-2</v>
      </c>
      <c r="P23" s="32">
        <f t="shared" si="11"/>
        <v>5.4269687626239071E-2</v>
      </c>
      <c r="Q23" s="32">
        <f t="shared" si="11"/>
        <v>5.4269687626239071E-2</v>
      </c>
      <c r="R23" s="32">
        <f t="shared" si="11"/>
        <v>5.4269687626239071E-2</v>
      </c>
      <c r="S23" s="32">
        <f t="shared" si="11"/>
        <v>5.4269687626239071E-2</v>
      </c>
      <c r="T23" s="32">
        <f t="shared" si="11"/>
        <v>5.4269687626239071E-2</v>
      </c>
      <c r="U23" s="32">
        <f t="shared" si="11"/>
        <v>5.4269687626239071E-2</v>
      </c>
      <c r="V23" s="32">
        <f t="shared" si="11"/>
        <v>5.4269687626239071E-2</v>
      </c>
      <c r="W23" s="32">
        <f t="shared" si="11"/>
        <v>5.4269687626239071E-2</v>
      </c>
    </row>
    <row r="24" spans="1:23">
      <c r="A24" s="213" t="s">
        <v>1420</v>
      </c>
      <c r="C24" s="114">
        <f>(('B. Integrated Fin - Balance S.'!C18/'B. Integrated Fin - Balance S.'!B18))-1</f>
        <v>-0.27596819697358299</v>
      </c>
      <c r="D24" s="114">
        <f>(('B. Integrated Fin - Balance S.'!D18/'B. Integrated Fin - Balance S.'!C18))-1</f>
        <v>0.20675404416105803</v>
      </c>
      <c r="E24" s="114">
        <f>(('B. Integrated Fin - Balance S.'!E18/'B. Integrated Fin - Balance S.'!D18))-1</f>
        <v>8.6790606653620372E-2</v>
      </c>
      <c r="F24" s="114">
        <f>(('B. Integrated Fin - Balance S.'!F18/'B. Integrated Fin - Balance S.'!E18))-1</f>
        <v>0.36238408211038076</v>
      </c>
      <c r="G24" s="114">
        <f>(('B. Integrated Fin - Balance S.'!G18/'B. Integrated Fin - Balance S.'!F18))-1</f>
        <v>-0.78522336769759449</v>
      </c>
      <c r="H24" s="114">
        <f>(('B. Integrated Fin - Balance S.'!H18/'B. Integrated Fin - Balance S.'!G18))-1</f>
        <v>4.4541538461538464</v>
      </c>
      <c r="I24" s="114">
        <f>(('B. Integrated Fin - Balance S.'!I18/'B. Integrated Fin - Balance S.'!H18))-1</f>
        <v>-0.27417353040731129</v>
      </c>
      <c r="J24" s="114">
        <f>(('B. Integrated Fin - Balance S.'!J18/'B. Integrated Fin - Balance S.'!I18))-1</f>
        <v>-0.63096533499145036</v>
      </c>
      <c r="K24" s="114">
        <f>(('B. Integrated Fin - Balance S.'!K18/'B. Integrated Fin - Balance S.'!J18))-1</f>
        <v>-0.58424599831508006</v>
      </c>
      <c r="L24" s="114">
        <f>(('B. Integrated Fin - Balance S.'!L18/'B. Integrated Fin - Balance S.'!K18))-1</f>
        <v>-2.8444782168186427</v>
      </c>
      <c r="M24" s="77">
        <f>AVERAGE(I24,G24)</f>
        <v>-0.52969844905245289</v>
      </c>
      <c r="N24" s="32">
        <f t="shared" si="11"/>
        <v>-0.52969844905245289</v>
      </c>
      <c r="O24" s="32">
        <f t="shared" si="11"/>
        <v>-0.52969844905245289</v>
      </c>
      <c r="P24" s="32">
        <f t="shared" si="11"/>
        <v>-0.52969844905245289</v>
      </c>
      <c r="Q24" s="32">
        <f t="shared" si="11"/>
        <v>-0.52969844905245289</v>
      </c>
      <c r="R24" s="32">
        <f t="shared" si="11"/>
        <v>-0.52969844905245289</v>
      </c>
      <c r="S24" s="32">
        <f t="shared" si="11"/>
        <v>-0.52969844905245289</v>
      </c>
      <c r="T24" s="32">
        <f t="shared" si="11"/>
        <v>-0.52969844905245289</v>
      </c>
      <c r="U24" s="32">
        <f t="shared" si="11"/>
        <v>-0.52969844905245289</v>
      </c>
      <c r="V24" s="32">
        <f t="shared" si="11"/>
        <v>-0.52969844905245289</v>
      </c>
      <c r="W24" s="32">
        <f t="shared" si="11"/>
        <v>-0.52969844905245289</v>
      </c>
    </row>
    <row r="25" spans="1:23">
      <c r="A25" s="213" t="s">
        <v>1421</v>
      </c>
      <c r="C25" s="32">
        <f>('B. Integrated Fin - Balance S.'!C33/'B. Integrated Fin - Balance S.'!B33)-1</f>
        <v>-6.1726369092273026E-2</v>
      </c>
      <c r="D25" s="32">
        <f>('B. Integrated Fin - Balance S.'!D33/'B. Integrated Fin - Balance S.'!C33)-1</f>
        <v>-9.6494515653499202E-2</v>
      </c>
      <c r="E25" s="32">
        <f>('B. Integrated Fin - Balance S.'!E33/'B. Integrated Fin - Balance S.'!D33)-1</f>
        <v>-3.213406708885258E-2</v>
      </c>
      <c r="F25" s="32">
        <f>('B. Integrated Fin - Balance S.'!F33/'B. Integrated Fin - Balance S.'!E33)-1</f>
        <v>0.33598102802937224</v>
      </c>
      <c r="G25" s="32">
        <f>('B. Integrated Fin - Balance S.'!G33/'B. Integrated Fin - Balance S.'!F33)-1</f>
        <v>6.1871765259420952E-2</v>
      </c>
      <c r="H25" s="32">
        <f>('B. Integrated Fin - Balance S.'!H33/'B. Integrated Fin - Balance S.'!G33)-1</f>
        <v>-0.10307949487422208</v>
      </c>
      <c r="I25" s="32">
        <f>('B. Integrated Fin - Balance S.'!I33/'B. Integrated Fin - Balance S.'!H33)-1</f>
        <v>-0.1449711449936002</v>
      </c>
      <c r="J25" s="32">
        <f>('B. Integrated Fin - Balance S.'!J33/'B. Integrated Fin - Balance S.'!I33)-1</f>
        <v>2.9808020589857431E-2</v>
      </c>
      <c r="K25" s="32">
        <f>('B. Integrated Fin - Balance S.'!K33/'B. Integrated Fin - Balance S.'!J33)-1</f>
        <v>3.1750484545547186E-2</v>
      </c>
      <c r="L25" s="32">
        <f>('B. Integrated Fin - Balance S.'!L33/'B. Integrated Fin - Balance S.'!K33)-1</f>
        <v>-3.4357465951504018E-2</v>
      </c>
      <c r="M25" s="32">
        <f>AVERAGE(K25,J25)</f>
        <v>3.0779252567702309E-2</v>
      </c>
      <c r="N25" s="32">
        <f t="shared" si="11"/>
        <v>3.0779252567702309E-2</v>
      </c>
      <c r="O25" s="32">
        <f t="shared" si="11"/>
        <v>3.0779252567702309E-2</v>
      </c>
      <c r="P25" s="32">
        <f t="shared" si="11"/>
        <v>3.0779252567702309E-2</v>
      </c>
      <c r="Q25" s="32">
        <f t="shared" si="11"/>
        <v>3.0779252567702309E-2</v>
      </c>
      <c r="R25" s="32">
        <f t="shared" si="11"/>
        <v>3.0779252567702309E-2</v>
      </c>
      <c r="S25" s="32">
        <f t="shared" si="11"/>
        <v>3.0779252567702309E-2</v>
      </c>
      <c r="T25" s="32">
        <f t="shared" si="11"/>
        <v>3.0779252567702309E-2</v>
      </c>
      <c r="U25" s="32">
        <f t="shared" si="11"/>
        <v>3.0779252567702309E-2</v>
      </c>
      <c r="V25" s="32">
        <f t="shared" si="11"/>
        <v>3.0779252567702309E-2</v>
      </c>
      <c r="W25" s="32">
        <f t="shared" si="11"/>
        <v>3.0779252567702309E-2</v>
      </c>
    </row>
    <row r="26" spans="1:23">
      <c r="A26" s="213" t="s">
        <v>1422</v>
      </c>
      <c r="B26" s="236">
        <f>'B. Integrated Fin - Balance S.'!B5/'B. Integrated Fin - Income St.'!B3</f>
        <v>0.11148540824583909</v>
      </c>
      <c r="C26" s="236">
        <f>'B. Integrated Fin - Balance S.'!C5/'B. Integrated Fin - Income St.'!C3</f>
        <v>0.10688818368489826</v>
      </c>
      <c r="D26" s="236">
        <f>'B. Integrated Fin - Balance S.'!D5/'B. Integrated Fin - Income St.'!D3</f>
        <v>0.10459935003591474</v>
      </c>
      <c r="E26" s="236">
        <f>'B. Integrated Fin - Balance S.'!E5/'B. Integrated Fin - Income St.'!E3</f>
        <v>0.1057434599864493</v>
      </c>
      <c r="F26" s="236">
        <f>'B. Integrated Fin - Balance S.'!F5/'B. Integrated Fin - Income St.'!F3</f>
        <v>0.10531585035137683</v>
      </c>
      <c r="G26" s="236">
        <f>'B. Integrated Fin - Balance S.'!G5/'B. Integrated Fin - Income St.'!G3</f>
        <v>9.9894267545098517E-2</v>
      </c>
      <c r="H26" s="236">
        <f>'B. Integrated Fin - Balance S.'!H5/'B. Integrated Fin - Income St.'!H3</f>
        <v>0.12934967477479251</v>
      </c>
      <c r="I26" s="236">
        <f>'B. Integrated Fin - Balance S.'!I5/'B. Integrated Fin - Income St.'!I3</f>
        <v>0.11577396229445801</v>
      </c>
      <c r="J26" s="236">
        <f>'B. Integrated Fin - Balance S.'!J5/'B. Integrated Fin - Income St.'!J3</f>
        <v>0.10965353539815047</v>
      </c>
      <c r="K26" s="236">
        <f>'B. Integrated Fin - Balance S.'!K5/'B. Integrated Fin - Income St.'!K3</f>
        <v>0.10339054966248795</v>
      </c>
      <c r="L26" s="236">
        <f>'B. Integrated Fin - Balance S.'!L5/'B. Integrated Fin - Income St.'!L3</f>
        <v>0.10341050096551319</v>
      </c>
      <c r="M26" s="237">
        <f>AVERAGE(G26:L26)</f>
        <v>0.11024541510675011</v>
      </c>
      <c r="N26" s="32">
        <f t="shared" si="11"/>
        <v>0.11024541510675011</v>
      </c>
      <c r="O26" s="32">
        <f t="shared" si="11"/>
        <v>0.11024541510675011</v>
      </c>
      <c r="P26" s="32">
        <f t="shared" si="11"/>
        <v>0.11024541510675011</v>
      </c>
      <c r="Q26" s="32">
        <f t="shared" si="11"/>
        <v>0.11024541510675011</v>
      </c>
      <c r="R26" s="32">
        <f t="shared" si="11"/>
        <v>0.11024541510675011</v>
      </c>
      <c r="S26" s="32">
        <f t="shared" si="11"/>
        <v>0.11024541510675011</v>
      </c>
      <c r="T26" s="32">
        <f t="shared" si="11"/>
        <v>0.11024541510675011</v>
      </c>
      <c r="U26" s="32">
        <f t="shared" si="11"/>
        <v>0.11024541510675011</v>
      </c>
      <c r="V26" s="32">
        <f t="shared" si="11"/>
        <v>0.11024541510675011</v>
      </c>
      <c r="W26" s="32">
        <f t="shared" si="11"/>
        <v>0.11024541510675011</v>
      </c>
    </row>
    <row r="27" spans="1:23">
      <c r="A27" s="213" t="s">
        <v>1423</v>
      </c>
      <c r="B27" s="236">
        <f>'B. Integrated Fin - Balance S.'!B6/'B. Integrated Fin - Income St.'!B4</f>
        <v>0.12136557527647653</v>
      </c>
      <c r="C27" s="236">
        <f>'B. Integrated Fin - Balance S.'!C6/'B. Integrated Fin - Income St.'!C4</f>
        <v>0.12246821029054729</v>
      </c>
      <c r="D27" s="236">
        <f>'B. Integrated Fin - Balance S.'!D6/'B. Integrated Fin - Income St.'!D4</f>
        <v>0.13090748924305604</v>
      </c>
      <c r="E27" s="236">
        <f>'B. Integrated Fin - Balance S.'!E6/'B. Integrated Fin - Income St.'!E4</f>
        <v>0.13889555652824648</v>
      </c>
      <c r="F27" s="236">
        <f>'B. Integrated Fin - Balance S.'!F6/'B. Integrated Fin - Income St.'!F4</f>
        <v>0.13647470553309729</v>
      </c>
      <c r="G27" s="236">
        <f>'B. Integrated Fin - Balance S.'!G6/'B. Integrated Fin - Income St.'!G4</f>
        <v>0.13376711301223634</v>
      </c>
      <c r="H27" s="236">
        <f>'B. Integrated Fin - Balance S.'!H6/'B. Integrated Fin - Income St.'!H4</f>
        <v>0.1573195397247642</v>
      </c>
      <c r="I27" s="236">
        <f>'B. Integrated Fin - Balance S.'!I6/'B. Integrated Fin - Income St.'!I4</f>
        <v>0.14472965784959191</v>
      </c>
      <c r="J27" s="236">
        <f>'B. Integrated Fin - Balance S.'!J6/'B. Integrated Fin - Income St.'!J4</f>
        <v>0.14127361643623088</v>
      </c>
      <c r="K27" s="236">
        <f>'B. Integrated Fin - Balance S.'!K6/'B. Integrated Fin - Income St.'!K4</f>
        <v>0.13363376213943487</v>
      </c>
      <c r="L27" s="236">
        <f>'B. Integrated Fin - Balance S.'!L6/'B. Integrated Fin - Income St.'!L4</f>
        <v>0.1313773278896074</v>
      </c>
      <c r="M27" s="237">
        <f>AVERAGE(G27:L27)</f>
        <v>0.14035016950864429</v>
      </c>
      <c r="N27" s="32">
        <f t="shared" si="11"/>
        <v>0.14035016950864429</v>
      </c>
      <c r="O27" s="32">
        <f t="shared" si="11"/>
        <v>0.14035016950864429</v>
      </c>
      <c r="P27" s="32">
        <f t="shared" si="11"/>
        <v>0.14035016950864429</v>
      </c>
      <c r="Q27" s="32">
        <f t="shared" si="11"/>
        <v>0.14035016950864429</v>
      </c>
      <c r="R27" s="32">
        <f t="shared" si="11"/>
        <v>0.14035016950864429</v>
      </c>
      <c r="S27" s="32">
        <f t="shared" si="11"/>
        <v>0.14035016950864429</v>
      </c>
      <c r="T27" s="32">
        <f t="shared" si="11"/>
        <v>0.14035016950864429</v>
      </c>
      <c r="U27" s="32">
        <f t="shared" si="11"/>
        <v>0.14035016950864429</v>
      </c>
      <c r="V27" s="32">
        <f t="shared" si="11"/>
        <v>0.14035016950864429</v>
      </c>
      <c r="W27" s="32">
        <f t="shared" si="11"/>
        <v>0.14035016950864429</v>
      </c>
    </row>
    <row r="28" spans="1:23">
      <c r="A28" s="238" t="s">
        <v>1424</v>
      </c>
      <c r="B28" s="239">
        <f>'A. Raw Historical Data - BS'!L24/'B. Integrated Fin - Income St.'!B3</f>
        <v>0.24020335590784328</v>
      </c>
      <c r="C28" s="239">
        <f>'A. Raw Historical Data - BS'!M24/'B. Integrated Fin - Income St.'!C3</f>
        <v>0.24166925932839692</v>
      </c>
      <c r="D28" s="239">
        <f>'A. Raw Historical Data - BS'!N24/'B. Integrated Fin - Income St.'!D3</f>
        <v>0.23499556468459865</v>
      </c>
      <c r="E28" s="239">
        <f>'A. Raw Historical Data - BS'!O24/'B. Integrated Fin - Income St.'!E3</f>
        <v>0.22947857769570074</v>
      </c>
      <c r="F28" s="239">
        <f>'A. Raw Historical Data - BS'!P24/'B. Integrated Fin - Income St.'!F3</f>
        <v>0.21655116105014532</v>
      </c>
      <c r="G28" s="239">
        <f>'A. Raw Historical Data - BS'!Q24/'B. Integrated Fin - Income St.'!G3</f>
        <v>0.2424765823606202</v>
      </c>
      <c r="H28" s="239">
        <f>'A. Raw Historical Data - BS'!R24/'B. Integrated Fin - Income St.'!H3</f>
        <v>0.19645498264332889</v>
      </c>
      <c r="I28" s="239">
        <f>'A. Raw Historical Data - BS'!S24/'B. Integrated Fin - Income St.'!I3</f>
        <v>0.19663590302293829</v>
      </c>
      <c r="J28" s="239">
        <f>'A. Raw Historical Data - BS'!T24/'B. Integrated Fin - Income St.'!J3</f>
        <v>0.19505340354562245</v>
      </c>
      <c r="K28" s="239">
        <f>'A. Raw Historical Data - BS'!U24/'B. Integrated Fin - Income St.'!K3</f>
        <v>0.20110009643201543</v>
      </c>
      <c r="L28" s="239">
        <f>'A. Raw Historical Data - BS'!V24/'B. Integrated Fin - Income St.'!L3</f>
        <v>0.20514989316945306</v>
      </c>
      <c r="M28" s="240">
        <f>AVERAGE(J28:L28)</f>
        <v>0.20043446438236365</v>
      </c>
      <c r="N28" s="32">
        <f t="shared" si="11"/>
        <v>0.20043446438236365</v>
      </c>
      <c r="O28" s="32">
        <f t="shared" si="11"/>
        <v>0.20043446438236365</v>
      </c>
      <c r="P28" s="32">
        <f t="shared" si="11"/>
        <v>0.20043446438236365</v>
      </c>
      <c r="Q28" s="32">
        <f t="shared" si="11"/>
        <v>0.20043446438236365</v>
      </c>
      <c r="R28" s="32">
        <f t="shared" si="11"/>
        <v>0.20043446438236365</v>
      </c>
      <c r="S28" s="32">
        <f t="shared" si="11"/>
        <v>0.20043446438236365</v>
      </c>
      <c r="T28" s="32">
        <f t="shared" si="11"/>
        <v>0.20043446438236365</v>
      </c>
      <c r="U28" s="32">
        <f t="shared" si="11"/>
        <v>0.20043446438236365</v>
      </c>
      <c r="V28" s="32">
        <f t="shared" si="11"/>
        <v>0.20043446438236365</v>
      </c>
      <c r="W28" s="32">
        <f t="shared" si="11"/>
        <v>0.20043446438236365</v>
      </c>
    </row>
    <row r="29" spans="1:23">
      <c r="A29" s="213" t="s">
        <v>1425</v>
      </c>
      <c r="B29" s="239">
        <f>'B. Integrated Fin - Balance S.'!B9/'B. Integrated Fin - Income St.'!B3</f>
        <v>0.24020335590784328</v>
      </c>
      <c r="C29" s="239">
        <f>'B. Integrated Fin - Balance S.'!C9/'B. Integrated Fin - Income St.'!C3</f>
        <v>0.24166925932839692</v>
      </c>
      <c r="D29" s="239">
        <f>'B. Integrated Fin - Balance S.'!D9/'B. Integrated Fin - Income St.'!D3</f>
        <v>0.23499556468459865</v>
      </c>
      <c r="E29" s="239">
        <f>'B. Integrated Fin - Balance S.'!E9/'B. Integrated Fin - Income St.'!E3</f>
        <v>0.22947857769570074</v>
      </c>
      <c r="F29" s="239">
        <f>'B. Integrated Fin - Balance S.'!F9/'B. Integrated Fin - Income St.'!F3</f>
        <v>0.21655116105014532</v>
      </c>
      <c r="G29" s="239">
        <f>'B. Integrated Fin - Balance S.'!G9/'B. Integrated Fin - Income St.'!G3</f>
        <v>0.2424765823606202</v>
      </c>
      <c r="H29" s="239">
        <f>'B. Integrated Fin - Balance S.'!H9/'B. Integrated Fin - Income St.'!H3</f>
        <v>0.19645498264332889</v>
      </c>
      <c r="I29" s="239">
        <f>'B. Integrated Fin - Balance S.'!I9/'B. Integrated Fin - Income St.'!I3</f>
        <v>0.19663590302293829</v>
      </c>
      <c r="J29" s="239">
        <f>'B. Integrated Fin - Balance S.'!I9/'B. Integrated Fin - Income St.'!J3</f>
        <v>0.18424018753813662</v>
      </c>
      <c r="K29" s="239">
        <f>'B. Integrated Fin - Balance S.'!J9/'B. Integrated Fin - Income St.'!K3</f>
        <v>0.18396759884281583</v>
      </c>
      <c r="L29" s="239">
        <f>'B. Integrated Fin - Balance S.'!K9/'B. Integrated Fin - Income St.'!L3</f>
        <v>0.19139628626181193</v>
      </c>
      <c r="M29" s="240">
        <f t="shared" ref="M29:M31" si="12">AVERAGE(J29:L29)</f>
        <v>0.18653469088092145</v>
      </c>
      <c r="N29" s="32">
        <f t="shared" si="11"/>
        <v>0.18653469088092145</v>
      </c>
      <c r="O29" s="32">
        <f t="shared" si="11"/>
        <v>0.18653469088092145</v>
      </c>
      <c r="P29" s="32">
        <f t="shared" si="11"/>
        <v>0.18653469088092145</v>
      </c>
      <c r="Q29" s="32">
        <f t="shared" si="11"/>
        <v>0.18653469088092145</v>
      </c>
      <c r="R29" s="32">
        <f t="shared" si="11"/>
        <v>0.18653469088092145</v>
      </c>
      <c r="S29" s="32">
        <f t="shared" si="11"/>
        <v>0.18653469088092145</v>
      </c>
      <c r="T29" s="32">
        <f t="shared" si="11"/>
        <v>0.18653469088092145</v>
      </c>
      <c r="U29" s="32">
        <f t="shared" si="11"/>
        <v>0.18653469088092145</v>
      </c>
      <c r="V29" s="32">
        <f t="shared" si="11"/>
        <v>0.18653469088092145</v>
      </c>
      <c r="W29" s="32">
        <f t="shared" si="11"/>
        <v>0.18653469088092145</v>
      </c>
    </row>
    <row r="30" spans="1:23">
      <c r="A30" s="213" t="s">
        <v>1426</v>
      </c>
      <c r="B30" s="239">
        <f>'B. Integrated Fin - Balance S.'!B17/('B. Integrated Fin - Balance S.'!C6+'B. Integrated Fin - Balance S.'!C10)</f>
        <v>4.1578039666570851E-2</v>
      </c>
      <c r="C30" s="239">
        <f>'B. Integrated Fin - Balance S.'!C17/('B. Integrated Fin - Balance S.'!D6+'B. Integrated Fin - Balance S.'!D10)</f>
        <v>8.4263045751114998E-2</v>
      </c>
      <c r="D30" s="239">
        <f>'B. Integrated Fin - Balance S.'!D17/('B. Integrated Fin - Balance S.'!E6+'B. Integrated Fin - Balance S.'!E10)</f>
        <v>8.0832943608930022E-2</v>
      </c>
      <c r="E30" s="239">
        <f>'B. Integrated Fin - Balance S.'!E17/('B. Integrated Fin - Balance S.'!F6+'B. Integrated Fin - Balance S.'!F10)</f>
        <v>8.7108584529365665E-2</v>
      </c>
      <c r="F30" s="239">
        <f>'B. Integrated Fin - Balance S.'!F17/('B. Integrated Fin - Balance S.'!G6+'B. Integrated Fin - Balance S.'!G10)</f>
        <v>8.9831535571445881E-2</v>
      </c>
      <c r="G30" s="239">
        <f>'B. Integrated Fin - Balance S.'!G17/('B. Integrated Fin - Balance S.'!H6+'B. Integrated Fin - Balance S.'!H10)</f>
        <v>0.22396995644864776</v>
      </c>
      <c r="H30" s="239">
        <f>'B. Integrated Fin - Balance S.'!H17/('B. Integrated Fin - Balance S.'!I6+'B. Integrated Fin - Balance S.'!I10)</f>
        <v>0.19564853731468121</v>
      </c>
      <c r="I30" s="239">
        <f>'B. Integrated Fin - Balance S.'!I17/('B. Integrated Fin - Balance S.'!J6+'B. Integrated Fin - Balance S.'!J10)</f>
        <v>0.19191687524306214</v>
      </c>
      <c r="J30" s="239">
        <f>'B. Integrated Fin - Balance S.'!J17/('B. Integrated Fin - Balance S.'!K6+'B. Integrated Fin - Balance S.'!K10)</f>
        <v>0.19611569343428817</v>
      </c>
      <c r="K30" s="239">
        <f>'B. Integrated Fin - Balance S.'!K17/('B. Integrated Fin - Balance S.'!L6+'B. Integrated Fin - Balance S.'!L10)</f>
        <v>0.20252967956745002</v>
      </c>
      <c r="L30" s="239">
        <f>'B. Integrated Fin - Balance S.'!L17/('B. Integrated Fin - Balance S.'!M6+'B. Integrated Fin - Balance S.'!M11)</f>
        <v>9.0477701242704156E-2</v>
      </c>
      <c r="M30" s="240">
        <f>AVERAGE(H30:L30)</f>
        <v>0.17533769736043714</v>
      </c>
      <c r="N30" s="32">
        <f t="shared" si="11"/>
        <v>0.17533769736043714</v>
      </c>
      <c r="O30" s="32">
        <f t="shared" si="11"/>
        <v>0.17533769736043714</v>
      </c>
      <c r="P30" s="32">
        <f t="shared" si="11"/>
        <v>0.17533769736043714</v>
      </c>
      <c r="Q30" s="32">
        <f t="shared" si="11"/>
        <v>0.17533769736043714</v>
      </c>
      <c r="R30" s="32">
        <f t="shared" si="11"/>
        <v>0.17533769736043714</v>
      </c>
      <c r="S30" s="32">
        <f t="shared" si="11"/>
        <v>0.17533769736043714</v>
      </c>
      <c r="T30" s="32">
        <f t="shared" si="11"/>
        <v>0.17533769736043714</v>
      </c>
      <c r="U30" s="32">
        <f t="shared" si="11"/>
        <v>0.17533769736043714</v>
      </c>
      <c r="V30" s="32">
        <f t="shared" si="11"/>
        <v>0.17533769736043714</v>
      </c>
      <c r="W30" s="32">
        <f t="shared" si="11"/>
        <v>0.17533769736043714</v>
      </c>
    </row>
    <row r="31" spans="1:23">
      <c r="A31" s="213" t="s">
        <v>1427</v>
      </c>
      <c r="B31" s="239">
        <f>'B. Integrated Fin - Balance S.'!B16/('B. Integrated Fin - Balance S.'!B5+'B. Integrated Fin - Balance S.'!B9)</f>
        <v>8.5422545931451183E-2</v>
      </c>
      <c r="C31" s="239">
        <f>'B. Integrated Fin - Balance S.'!C16/('B. Integrated Fin - Balance S.'!C5+'B. Integrated Fin - Balance S.'!C9)</f>
        <v>8.8283249033025882E-2</v>
      </c>
      <c r="D31" s="239">
        <f>'B. Integrated Fin - Balance S.'!D16/('B. Integrated Fin - Balance S.'!D5+'B. Integrated Fin - Balance S.'!D9)</f>
        <v>0.10174545454545454</v>
      </c>
      <c r="E31" s="239">
        <f>'B. Integrated Fin - Balance S.'!E16/('B. Integrated Fin - Balance S.'!E5+'B. Integrated Fin - Balance S.'!E9)</f>
        <v>0.11062089360027665</v>
      </c>
      <c r="F31" s="239">
        <f>'B. Integrated Fin - Balance S.'!F16/('B. Integrated Fin - Balance S.'!F5+'B. Integrated Fin - Balance S.'!F9)</f>
        <v>0.13615993235489521</v>
      </c>
      <c r="G31" s="239">
        <f>'B. Integrated Fin - Balance S.'!G16/('B. Integrated Fin - Balance S.'!G5+'B. Integrated Fin - Balance S.'!G9)</f>
        <v>0.14511399743575451</v>
      </c>
      <c r="H31" s="239">
        <f>'B. Integrated Fin - Balance S.'!H16/('B. Integrated Fin - Balance S.'!H5+'B. Integrated Fin - Balance S.'!H9)</f>
        <v>0.20002305488159672</v>
      </c>
      <c r="I31" s="239">
        <f>'B. Integrated Fin - Balance S.'!I16/('B. Integrated Fin - Balance S.'!I5+'B. Integrated Fin - Balance S.'!I9)</f>
        <v>0.17946281869292588</v>
      </c>
      <c r="J31" s="239">
        <f>'B. Integrated Fin - Balance S.'!J16/('B. Integrated Fin - Balance S.'!J5+'B. Integrated Fin - Balance S.'!I9)</f>
        <v>0.13614503434379419</v>
      </c>
      <c r="K31" s="239">
        <f>'B. Integrated Fin - Balance S.'!K16/('B. Integrated Fin - Balance S.'!K5+'B. Integrated Fin - Balance S.'!J9)</f>
        <v>0.12262408453426688</v>
      </c>
      <c r="L31" s="239">
        <f>'B. Integrated Fin - Balance S.'!L16/('B. Integrated Fin - Balance S.'!L5+'B. Integrated Fin - Balance S.'!K9)</f>
        <v>8.6700969819534859E-2</v>
      </c>
      <c r="M31" s="240">
        <f t="shared" si="12"/>
        <v>0.11515669623253198</v>
      </c>
      <c r="N31" s="32">
        <f t="shared" si="11"/>
        <v>0.11515669623253198</v>
      </c>
      <c r="O31" s="32">
        <f t="shared" si="11"/>
        <v>0.11515669623253198</v>
      </c>
      <c r="P31" s="32">
        <f t="shared" si="11"/>
        <v>0.11515669623253198</v>
      </c>
      <c r="Q31" s="32">
        <f t="shared" si="11"/>
        <v>0.11515669623253198</v>
      </c>
      <c r="R31" s="32">
        <f t="shared" si="11"/>
        <v>0.11515669623253198</v>
      </c>
      <c r="S31" s="32">
        <f t="shared" si="11"/>
        <v>0.11515669623253198</v>
      </c>
      <c r="T31" s="32">
        <f t="shared" si="11"/>
        <v>0.11515669623253198</v>
      </c>
      <c r="U31" s="32">
        <f t="shared" si="11"/>
        <v>0.11515669623253198</v>
      </c>
      <c r="V31" s="32">
        <f t="shared" si="11"/>
        <v>0.11515669623253198</v>
      </c>
      <c r="W31" s="32">
        <f t="shared" si="11"/>
        <v>0.11515669623253198</v>
      </c>
    </row>
    <row r="32" spans="1:23">
      <c r="A32" s="213" t="s">
        <v>1428</v>
      </c>
      <c r="B32" s="239">
        <f>'B. Integrated Fin - Balance S.'!B28/'B. Integrated Fin - Balance S.'!B27</f>
        <v>-0.37798692171362219</v>
      </c>
      <c r="C32" s="239">
        <f>'B. Integrated Fin - Balance S.'!C28/'B. Integrated Fin - Balance S.'!C27</f>
        <v>-0.42833809718252347</v>
      </c>
      <c r="D32" s="239">
        <f>'B. Integrated Fin - Balance S.'!D28/'B. Integrated Fin - Balance S.'!D27</f>
        <v>-0.45561826577732173</v>
      </c>
      <c r="E32" s="239">
        <f>'B. Integrated Fin - Balance S.'!E28/'B. Integrated Fin - Balance S.'!E27</f>
        <v>-0.62096937740823366</v>
      </c>
      <c r="F32" s="239">
        <f>'B. Integrated Fin - Balance S.'!F28/'B. Integrated Fin - Balance S.'!F27</f>
        <v>-0.91484257871064467</v>
      </c>
      <c r="G32" s="239">
        <f>'B. Integrated Fin - Balance S.'!G28/'B. Integrated Fin - Balance S.'!G27</f>
        <v>-0.40642429944224179</v>
      </c>
      <c r="H32" s="239">
        <f>'B. Integrated Fin - Balance S.'!H28/'B. Integrated Fin - Balance S.'!H27</f>
        <v>-0.45270170244263508</v>
      </c>
      <c r="I32" s="239">
        <f>'B. Integrated Fin - Balance S.'!I28/'B. Integrated Fin - Balance S.'!I27</f>
        <v>-0.44993783368682805</v>
      </c>
      <c r="J32" s="239">
        <f>'B. Integrated Fin - Balance S.'!J28/'B. Integrated Fin - Balance S.'!J27</f>
        <v>-0.52345890410958906</v>
      </c>
      <c r="K32" s="239">
        <f>'B. Integrated Fin - Balance S.'!K28/'B. Integrated Fin - Balance S.'!K27</f>
        <v>-0.39584810779446844</v>
      </c>
      <c r="L32" s="239">
        <f>'B. Integrated Fin - Balance S.'!L28/'B. Integrated Fin - Balance S.'!L27</f>
        <v>-0.34410372504630582</v>
      </c>
      <c r="M32" s="250">
        <f>AVERAGE(H32:L32)</f>
        <v>-0.43321005461596529</v>
      </c>
      <c r="N32" s="250">
        <f>M32</f>
        <v>-0.43321005461596529</v>
      </c>
      <c r="O32" s="32">
        <f t="shared" si="11"/>
        <v>-0.43321005461596529</v>
      </c>
      <c r="P32" s="32">
        <f t="shared" si="11"/>
        <v>-0.43321005461596529</v>
      </c>
      <c r="Q32" s="32">
        <f t="shared" si="11"/>
        <v>-0.43321005461596529</v>
      </c>
      <c r="R32" s="32">
        <f t="shared" si="11"/>
        <v>-0.43321005461596529</v>
      </c>
      <c r="S32" s="32">
        <f t="shared" si="11"/>
        <v>-0.43321005461596529</v>
      </c>
      <c r="T32" s="32">
        <f t="shared" si="11"/>
        <v>-0.43321005461596529</v>
      </c>
      <c r="U32" s="32">
        <f t="shared" si="11"/>
        <v>-0.43321005461596529</v>
      </c>
      <c r="V32" s="32">
        <f t="shared" si="11"/>
        <v>-0.43321005461596529</v>
      </c>
      <c r="W32" s="32">
        <f t="shared" si="11"/>
        <v>-0.43321005461596529</v>
      </c>
    </row>
    <row r="33" spans="1:1">
      <c r="A33" t="s">
        <v>1429</v>
      </c>
    </row>
  </sheetData>
  <mergeCells count="1">
    <mergeCell ref="M14:W15"/>
  </mergeCells>
  <hyperlinks>
    <hyperlink ref="A21" location="Steps!B99" display="Net Operating Working Capital % Rev" xr:uid="{817F3AC6-F761-4A99-8EAF-72CB70D491D1}"/>
    <hyperlink ref="A22" location="Steps!B102" display="Net Op Long-Term Assets % Rev" xr:uid="{E8821541-AA1B-47FD-A64D-A687A1D860B7}"/>
    <hyperlink ref="A23" location="Steps!B105" display="Goodwill &amp; Intangibles % Rev" xr:uid="{504D7B4E-9C52-4EB6-BB8F-D57F884EEBAC}"/>
    <hyperlink ref="Y2" r:id="rId1" xr:uid="{3B522725-68BD-4D9A-A2A3-F1DBFE6FB479}"/>
    <hyperlink ref="Y3" r:id="rId2" xr:uid="{6834A8B1-B539-40DC-9312-DC8C7F1DBBEA}"/>
    <hyperlink ref="Z7" r:id="rId3" location=":~:text=SHOPPERS%20ADJUST%20TO%20HIGHER%20PRICES&amp;text=Walmart%20expects%20annual%20sales%20to,range%20of%20%242.50%20to%20%242.60" display="https://www.reuters.com/business/retail-consumer/walmart-results-show-consumer-resilience-shares-down-after-recent-rally-2025-08-21/#:~:text=SHOPPERS%20ADJUST%20TO%20HIGHER%20PRICES&amp;text=Walmart%20expects%20annual%20sales%20to,range%20of%20%242.50%20to%20%242.60." xr:uid="{BAF8A83E-80FA-4DD1-9451-D846B65850A4}"/>
    <hyperlink ref="Z8" r:id="rId4" xr:uid="{8DEE1EC3-C810-442B-A381-958B7F228DA8}"/>
    <hyperlink ref="Z9" r:id="rId5" xr:uid="{CAEDDE83-D09F-4DC8-BFB7-11E69932FFC3}"/>
    <hyperlink ref="Z10" r:id="rId6" xr:uid="{44A97F90-29A3-46C0-8A57-B9481342F49F}"/>
  </hyperlinks>
  <pageMargins left="0.7" right="0.7" top="0.75" bottom="0.75" header="0.3" footer="0.3"/>
  <legacyDrawing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4"/>
  <sheetViews>
    <sheetView zoomScale="115" zoomScaleNormal="115" workbookViewId="0">
      <selection activeCell="D5" sqref="D5"/>
    </sheetView>
  </sheetViews>
  <sheetFormatPr defaultColWidth="8.85546875" defaultRowHeight="15"/>
  <cols>
    <col min="1" max="1" width="13" customWidth="1"/>
  </cols>
  <sheetData>
    <row r="1" spans="1:9">
      <c r="A1" t="s">
        <v>1430</v>
      </c>
    </row>
    <row r="2" spans="1:9">
      <c r="A2" s="66" t="s">
        <v>1431</v>
      </c>
    </row>
    <row r="3" spans="1:9">
      <c r="A3" s="17" t="s">
        <v>1432</v>
      </c>
      <c r="B3" s="32">
        <v>7.5022188126140199E-2</v>
      </c>
    </row>
    <row r="4" spans="1:9">
      <c r="A4" s="17" t="s">
        <v>1433</v>
      </c>
      <c r="B4" s="32">
        <v>8.02752753508226E-2</v>
      </c>
    </row>
    <row r="5" spans="1:9">
      <c r="A5" s="17" t="s">
        <v>1434</v>
      </c>
      <c r="B5" s="73">
        <v>0.1183333</v>
      </c>
    </row>
    <row r="6" spans="1:9">
      <c r="B6" s="32"/>
    </row>
    <row r="12" spans="1:9">
      <c r="F12" s="72"/>
      <c r="G12" s="72"/>
      <c r="H12" s="72"/>
      <c r="I12" s="72"/>
    </row>
    <row r="13" spans="1:9">
      <c r="F13" s="73"/>
      <c r="G13" s="73"/>
      <c r="H13" s="73"/>
      <c r="I13" s="73"/>
    </row>
    <row r="24" ht="14.1"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598A3-150F-7F45-B8AE-ACA797C344C2}">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93C8-564A-4989-A9B2-F7C1B9C122B5}">
  <dimension ref="A1:C40"/>
  <sheetViews>
    <sheetView workbookViewId="0">
      <selection activeCell="A26" sqref="A26"/>
    </sheetView>
  </sheetViews>
  <sheetFormatPr defaultColWidth="8.85546875" defaultRowHeight="15"/>
  <cols>
    <col min="1" max="1" width="72.7109375" customWidth="1"/>
    <col min="2" max="2" width="72.85546875" customWidth="1"/>
    <col min="3" max="3" width="54.140625" customWidth="1"/>
  </cols>
  <sheetData>
    <row r="1" spans="1:2">
      <c r="A1" s="254" t="s">
        <v>1435</v>
      </c>
      <c r="B1" s="254" t="s">
        <v>1436</v>
      </c>
    </row>
    <row r="2" spans="1:2">
      <c r="A2" s="258" t="s">
        <v>1437</v>
      </c>
      <c r="B2" s="254"/>
    </row>
    <row r="3" spans="1:2">
      <c r="A3" s="340" t="s">
        <v>1438</v>
      </c>
      <c r="B3" s="256" t="s">
        <v>1439</v>
      </c>
    </row>
    <row r="4" spans="1:2" ht="15.95">
      <c r="A4" s="255" t="s">
        <v>1440</v>
      </c>
      <c r="B4" s="256" t="s">
        <v>1441</v>
      </c>
    </row>
    <row r="5" spans="1:2" ht="15.95">
      <c r="A5" s="255" t="s">
        <v>1442</v>
      </c>
      <c r="B5" s="256"/>
    </row>
    <row r="6" spans="1:2" ht="15.95">
      <c r="A6" s="255" t="s">
        <v>1443</v>
      </c>
      <c r="B6" s="256" t="s">
        <v>1444</v>
      </c>
    </row>
    <row r="7" spans="1:2" ht="15.95">
      <c r="A7" s="326" t="s">
        <v>1445</v>
      </c>
      <c r="B7" s="256"/>
    </row>
    <row r="8" spans="1:2" ht="63.95">
      <c r="A8" s="255" t="s">
        <v>1446</v>
      </c>
      <c r="B8" s="257" t="s">
        <v>1447</v>
      </c>
    </row>
    <row r="9" spans="1:2" ht="32.1">
      <c r="A9" s="255" t="s">
        <v>1448</v>
      </c>
      <c r="B9" s="257" t="s">
        <v>1449</v>
      </c>
    </row>
    <row r="10" spans="1:2" ht="15.95">
      <c r="A10" s="255" t="s">
        <v>1450</v>
      </c>
      <c r="B10" s="256"/>
    </row>
    <row r="11" spans="1:2" ht="63.95">
      <c r="A11" s="326" t="s">
        <v>1451</v>
      </c>
      <c r="B11" s="257" t="s">
        <v>1452</v>
      </c>
    </row>
    <row r="12" spans="1:2" ht="15.95">
      <c r="A12" s="326" t="s">
        <v>1136</v>
      </c>
      <c r="B12" s="256"/>
    </row>
    <row r="13" spans="1:2" ht="15.95">
      <c r="A13" s="326" t="s">
        <v>1453</v>
      </c>
      <c r="B13" s="256"/>
    </row>
    <row r="14" spans="1:2" ht="32.1">
      <c r="A14" s="326" t="s">
        <v>1454</v>
      </c>
      <c r="B14" s="257" t="s">
        <v>1455</v>
      </c>
    </row>
    <row r="15" spans="1:2" ht="15.95">
      <c r="A15" s="326" t="s">
        <v>1456</v>
      </c>
      <c r="B15" s="256"/>
    </row>
    <row r="16" spans="1:2" ht="15.95">
      <c r="A16" s="326" t="s">
        <v>1457</v>
      </c>
      <c r="B16" s="256"/>
    </row>
    <row r="17" spans="1:2" ht="15.95">
      <c r="A17" s="326" t="s">
        <v>1458</v>
      </c>
      <c r="B17" s="256"/>
    </row>
    <row r="18" spans="1:2" ht="32.1">
      <c r="A18" s="326" t="s">
        <v>1459</v>
      </c>
      <c r="B18" s="257" t="s">
        <v>1460</v>
      </c>
    </row>
    <row r="19" spans="1:2" ht="15.95">
      <c r="A19" s="326" t="s">
        <v>1461</v>
      </c>
      <c r="B19" s="256"/>
    </row>
    <row r="20" spans="1:2" ht="15.95">
      <c r="A20" s="326" t="s">
        <v>1462</v>
      </c>
      <c r="B20" s="256"/>
    </row>
    <row r="21" spans="1:2" ht="15.95">
      <c r="A21" s="326" t="s">
        <v>1136</v>
      </c>
      <c r="B21" s="256"/>
    </row>
    <row r="22" spans="1:2">
      <c r="A22" s="258" t="s">
        <v>1463</v>
      </c>
      <c r="B22" s="256"/>
    </row>
    <row r="23" spans="1:2" ht="15.95">
      <c r="A23" s="255" t="s">
        <v>1464</v>
      </c>
      <c r="B23" s="256" t="s">
        <v>1465</v>
      </c>
    </row>
    <row r="24" spans="1:2" ht="15.95">
      <c r="A24" s="255" t="s">
        <v>1466</v>
      </c>
      <c r="B24" s="256" t="s">
        <v>1467</v>
      </c>
    </row>
    <row r="25" spans="1:2" ht="15.95">
      <c r="A25" s="255" t="s">
        <v>1468</v>
      </c>
      <c r="B25" s="256" t="s">
        <v>1465</v>
      </c>
    </row>
    <row r="26" spans="1:2" ht="63.95">
      <c r="A26" s="255" t="s">
        <v>1469</v>
      </c>
      <c r="B26" s="257" t="s">
        <v>1470</v>
      </c>
    </row>
    <row r="27" spans="1:2" ht="15.95">
      <c r="A27" s="326" t="s">
        <v>1445</v>
      </c>
      <c r="B27" s="256"/>
    </row>
    <row r="28" spans="1:2" ht="32.1">
      <c r="A28" s="263" t="s">
        <v>1471</v>
      </c>
      <c r="B28" s="256"/>
    </row>
    <row r="29" spans="1:2" ht="48">
      <c r="A29" s="255" t="s">
        <v>1472</v>
      </c>
      <c r="B29" s="262" t="s">
        <v>1473</v>
      </c>
    </row>
    <row r="30" spans="1:2" ht="15.95">
      <c r="A30" s="264" t="s">
        <v>1474</v>
      </c>
      <c r="B30" s="256" t="s">
        <v>1475</v>
      </c>
    </row>
    <row r="31" spans="1:2" ht="32.1">
      <c r="A31" s="326" t="s">
        <v>1476</v>
      </c>
      <c r="B31" s="256" t="s">
        <v>1477</v>
      </c>
    </row>
    <row r="32" spans="1:2" ht="15.95">
      <c r="A32" s="326" t="s">
        <v>1136</v>
      </c>
      <c r="B32" s="256"/>
    </row>
    <row r="33" spans="1:3" ht="15.95">
      <c r="A33" s="326" t="s">
        <v>1453</v>
      </c>
      <c r="B33" s="256"/>
    </row>
    <row r="34" spans="1:3" ht="15.95">
      <c r="A34" s="326" t="s">
        <v>1478</v>
      </c>
      <c r="B34" s="256" t="s">
        <v>1479</v>
      </c>
    </row>
    <row r="35" spans="1:3" ht="15.95">
      <c r="A35" s="326" t="s">
        <v>1456</v>
      </c>
      <c r="B35" s="256"/>
    </row>
    <row r="36" spans="1:3" ht="409.6">
      <c r="A36" s="327" t="s">
        <v>1480</v>
      </c>
      <c r="B36" s="265" t="s">
        <v>1481</v>
      </c>
      <c r="C36" s="266" t="s">
        <v>1482</v>
      </c>
    </row>
    <row r="37" spans="1:3" ht="48">
      <c r="A37" s="326" t="s">
        <v>1483</v>
      </c>
      <c r="B37" s="181" t="s">
        <v>1484</v>
      </c>
    </row>
    <row r="38" spans="1:3" ht="159.94999999999999">
      <c r="A38" s="255" t="s">
        <v>1485</v>
      </c>
      <c r="B38" s="181" t="s">
        <v>1486</v>
      </c>
      <c r="C38" s="181" t="s">
        <v>1487</v>
      </c>
    </row>
    <row r="39" spans="1:3" ht="15.95">
      <c r="A39" s="326" t="s">
        <v>1488</v>
      </c>
    </row>
    <row r="40" spans="1:3" ht="15.95">
      <c r="A40" s="326" t="s">
        <v>1489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3"/>
  <sheetViews>
    <sheetView zoomScale="85" zoomScaleNormal="85" workbookViewId="0">
      <pane xSplit="12" ySplit="2" topLeftCell="M3" activePane="bottomRight" state="frozen"/>
      <selection pane="bottomRight" activeCell="A7" sqref="A7"/>
      <selection pane="bottomLeft" activeCell="A3" sqref="A3"/>
      <selection pane="topRight" activeCell="L1" sqref="L1"/>
    </sheetView>
  </sheetViews>
  <sheetFormatPr defaultColWidth="8.85546875" defaultRowHeight="15" customHeight="1"/>
  <cols>
    <col min="1" max="1" width="32.28515625" customWidth="1"/>
    <col min="2" max="12" width="11" customWidth="1"/>
    <col min="13" max="13" width="20.85546875" bestFit="1" customWidth="1"/>
  </cols>
  <sheetData>
    <row r="1" spans="1:24">
      <c r="A1" t="s">
        <v>1490</v>
      </c>
    </row>
    <row r="2" spans="1:24">
      <c r="A2" t="s">
        <v>1491</v>
      </c>
    </row>
    <row r="3" spans="1:24" ht="15" customHeight="1">
      <c r="B3" s="261" t="s">
        <v>247</v>
      </c>
      <c r="C3" s="261" t="s">
        <v>248</v>
      </c>
      <c r="D3" s="261" t="s">
        <v>249</v>
      </c>
      <c r="E3" s="261" t="s">
        <v>250</v>
      </c>
      <c r="F3" s="261" t="s">
        <v>251</v>
      </c>
      <c r="G3" s="261" t="s">
        <v>252</v>
      </c>
      <c r="H3" s="261" t="s">
        <v>253</v>
      </c>
      <c r="I3" s="261" t="s">
        <v>254</v>
      </c>
      <c r="J3" s="261" t="s">
        <v>255</v>
      </c>
      <c r="K3" s="261" t="s">
        <v>256</v>
      </c>
      <c r="L3" s="260">
        <v>2025</v>
      </c>
    </row>
    <row r="4" spans="1:24">
      <c r="A4" s="54" t="s">
        <v>1329</v>
      </c>
      <c r="B4" s="60">
        <f>'A.Raw Historical data - IS'!C7</f>
        <v>418952</v>
      </c>
      <c r="C4" s="60">
        <f>'A.Raw Historical data - IS'!D7</f>
        <v>443416</v>
      </c>
      <c r="D4" s="60">
        <f>'A.Raw Historical data - IS'!E7</f>
        <v>465604</v>
      </c>
      <c r="E4" s="60">
        <f>'A.Raw Historical data - IS'!F7</f>
        <v>473076</v>
      </c>
      <c r="F4" s="60">
        <f>'A.Raw Historical data - IS'!G7</f>
        <v>482229</v>
      </c>
      <c r="G4" s="60">
        <f>'A.Raw Historical data - IS'!H7</f>
        <v>478614</v>
      </c>
      <c r="H4" s="60">
        <f>'A.Raw Historical data - IS'!I7</f>
        <v>481317</v>
      </c>
      <c r="I4" s="60">
        <f>'A.Raw Historical data - IS'!J7</f>
        <v>495761</v>
      </c>
      <c r="J4" s="60">
        <f>'A.Raw Historical data - IS'!K7</f>
        <v>510329</v>
      </c>
      <c r="K4" s="150">
        <f>'A.Raw Historical data - IS'!L7</f>
        <v>519926</v>
      </c>
      <c r="L4" s="259"/>
      <c r="M4" s="328">
        <v>2026</v>
      </c>
      <c r="N4" s="328">
        <v>2027</v>
      </c>
      <c r="O4" s="328">
        <v>2028</v>
      </c>
      <c r="P4" s="328">
        <v>2029</v>
      </c>
      <c r="Q4" s="328">
        <v>2030</v>
      </c>
      <c r="R4" s="329">
        <v>2031</v>
      </c>
      <c r="S4" s="329">
        <v>2032</v>
      </c>
      <c r="T4" s="329">
        <v>2033</v>
      </c>
      <c r="U4" s="329">
        <v>2034</v>
      </c>
      <c r="V4" s="329">
        <v>2035</v>
      </c>
      <c r="W4" s="330" t="s">
        <v>1330</v>
      </c>
    </row>
    <row r="5" spans="1:24">
      <c r="M5" s="14"/>
    </row>
    <row r="6" spans="1:24">
      <c r="A6" t="s">
        <v>1492</v>
      </c>
      <c r="B6" s="331">
        <f>'B. Integrated Fin - Income St.'!B16 * (1-'B. Integrated Fin - Income St.'!B23)</f>
        <v>18575.106997862818</v>
      </c>
      <c r="C6" s="331">
        <f>'B. Integrated Fin - Income St.'!C16 * (1-'B. Integrated Fin - Income St.'!C23)</f>
        <v>17351.18543303448</v>
      </c>
      <c r="D6" s="331">
        <f>'B. Integrated Fin - Income St.'!D16 * (1-'B. Integrated Fin - Income St.'!D23)</f>
        <v>15673.515383714694</v>
      </c>
      <c r="E6" s="331">
        <f>'B. Integrated Fin - Income St.'!E16 * (1-'B. Integrated Fin - Income St.'!E23)</f>
        <v>15929.086006083444</v>
      </c>
      <c r="F6" s="331">
        <f>'B. Integrated Fin - Income St.'!F16 * (1-'B. Integrated Fin - Income St.'!F23)</f>
        <v>13754.738481675393</v>
      </c>
      <c r="G6" s="331">
        <f>'B. Integrated Fin - Income St.'!G16 * (1-'B. Integrated Fin - Income St.'!G23)</f>
        <v>16118.66705010937</v>
      </c>
      <c r="H6" s="331">
        <f>'B. Integrated Fin - Income St.'!H16 * (1-'B. Integrated Fin - Income St.'!H23)</f>
        <v>20997.560007780587</v>
      </c>
      <c r="I6" s="331">
        <f>'B. Integrated Fin - Income St.'!I16 * (1-'B. Integrated Fin - Income St.'!I23)</f>
        <v>19746.096491228069</v>
      </c>
      <c r="J6" s="331">
        <f>'B. Integrated Fin - Income St.'!J16 * (1-'B. Integrated Fin - Income St.'!J23)</f>
        <v>16326.150916784201</v>
      </c>
      <c r="K6" s="331">
        <f>'B. Integrated Fin - Income St.'!K16 * (1-'B. Integrated Fin - Income St.'!K23)</f>
        <v>20184.838429146832</v>
      </c>
      <c r="L6" s="331">
        <f>'B. Integrated Fin - Income St.'!L16 * (1-'B. Integrated Fin - Income St.'!L23)</f>
        <v>22604.892926375007</v>
      </c>
      <c r="M6" s="76">
        <f>'B. Integrated Fin - Income St.'!M29</f>
        <v>24945.680038434002</v>
      </c>
      <c r="N6" s="76">
        <f>'B. Integrated Fin - Income St.'!N29</f>
        <v>26109.037078769241</v>
      </c>
      <c r="O6" s="76">
        <f>'B. Integrated Fin - Income St.'!O29</f>
        <v>27077.311753800568</v>
      </c>
      <c r="P6" s="76">
        <f>'B. Integrated Fin - Income St.'!P29</f>
        <v>28268.550186721564</v>
      </c>
      <c r="Q6" s="76">
        <f>'B. Integrated Fin - Income St.'!Q29</f>
        <v>29605.239904436952</v>
      </c>
      <c r="R6" s="76">
        <f>'B. Integrated Fin - Income St.'!R29</f>
        <v>31004.31094216448</v>
      </c>
      <c r="S6" s="76">
        <f>'B. Integrated Fin - Income St.'!S29</f>
        <v>32146.311152071139</v>
      </c>
      <c r="T6" s="76">
        <f>'B. Integrated Fin - Income St.'!T29</f>
        <v>33133.225950309876</v>
      </c>
      <c r="U6" s="76">
        <f>'B. Integrated Fin - Income St.'!U29</f>
        <v>34006.905961271266</v>
      </c>
      <c r="V6" s="76">
        <f>'B. Integrated Fin - Income St.'!V29</f>
        <v>34719.140001877553</v>
      </c>
      <c r="W6" s="76">
        <f>'B. Integrated Fin - Income St.'!W29</f>
        <v>35336.25753874459</v>
      </c>
      <c r="X6" s="2"/>
    </row>
    <row r="7" spans="1:24">
      <c r="A7" t="s">
        <v>1493</v>
      </c>
      <c r="B7" s="332">
        <f>'B. Integrated Fin - Income St.'!B18 * 'B. Integrated Fin - Income St.'!B23</f>
        <v>695.81777491027867</v>
      </c>
      <c r="C7" s="332">
        <f>'B. Integrated Fin - Income St.'!C18 * 'B. Integrated Fin - Income St.'!C23</f>
        <v>614.33894075238004</v>
      </c>
      <c r="D7" s="332">
        <f>'B. Integrated Fin - Income St.'!D18 * 'B. Integrated Fin - Income St.'!D23</f>
        <v>618.67473288773965</v>
      </c>
      <c r="E7" s="332">
        <f>'B. Integrated Fin - Income St.'!E18 * 'B. Integrated Fin - Income St.'!E23</f>
        <v>601.6531111551941</v>
      </c>
      <c r="F7" s="332">
        <f>'B. Integrated Fin - Income St.'!F18 * 'B. Integrated Fin - Income St.'!F23</f>
        <v>737.78141361256542</v>
      </c>
      <c r="G7" s="332">
        <f>'B. Integrated Fin - Income St.'!G18 * 'B. Integrated Fin - Income St.'!G23</f>
        <v>552.68095048717441</v>
      </c>
      <c r="H7" s="332">
        <f>'B. Integrated Fin - Income St.'!H18 * 'B. Integrated Fin - Income St.'!H23</f>
        <v>658.98696751604746</v>
      </c>
      <c r="I7" s="332">
        <f>'B. Integrated Fin - Income St.'!I18 * 'B. Integrated Fin - Income St.'!I23</f>
        <v>425.84210526315792</v>
      </c>
      <c r="J7" s="332">
        <f>'B. Integrated Fin - Income St.'!J18 * 'B. Integrated Fin - Income St.'!J23</f>
        <v>601.12764456981665</v>
      </c>
      <c r="K7" s="332">
        <f>'B. Integrated Fin - Income St.'!K18 * 'B. Integrated Fin - Income St.'!K23</f>
        <v>576.74395825704869</v>
      </c>
      <c r="L7" s="332">
        <f>'B. Integrated Fin - Income St.'!L18 * 'B. Integrated Fin - Income St.'!L23</f>
        <v>525.89790565966018</v>
      </c>
      <c r="M7" s="134">
        <f>'B. Integrated Fin - Income St.'!M27</f>
        <v>380.5972654299415</v>
      </c>
      <c r="N7" s="134">
        <f>'B. Integrated Fin - Income St.'!N27</f>
        <v>387.20061402890923</v>
      </c>
      <c r="O7" s="134">
        <f>'B. Integrated Fin - Income St.'!O27</f>
        <v>406.59015857460463</v>
      </c>
      <c r="P7" s="134">
        <f>'B. Integrated Fin - Income St.'!P27</f>
        <v>397.07952333893826</v>
      </c>
      <c r="Q7" s="134">
        <f>'B. Integrated Fin - Income St.'!Q27</f>
        <v>412.10755983402083</v>
      </c>
      <c r="R7" s="134">
        <f>'B. Integrated Fin - Income St.'!R27</f>
        <v>434.45222760150136</v>
      </c>
      <c r="S7" s="134">
        <f>'B. Integrated Fin - Income St.'!S27</f>
        <v>446.01050954307226</v>
      </c>
      <c r="T7" s="134">
        <f>'B. Integrated Fin - Income St.'!T27</f>
        <v>458.79943795569892</v>
      </c>
      <c r="U7" s="134">
        <f>'B. Integrated Fin - Income St.'!U27</f>
        <v>469.9850637466804</v>
      </c>
      <c r="V7" s="134">
        <f>'B. Integrated Fin - Income St.'!V27</f>
        <v>486.0844332902841</v>
      </c>
      <c r="W7" s="134">
        <f>'B. Integrated Fin - Income St.'!W27</f>
        <v>502.39280468352808</v>
      </c>
    </row>
    <row r="8" spans="1:24">
      <c r="A8" s="17" t="s">
        <v>179</v>
      </c>
      <c r="B8" s="333">
        <f>B6+B7</f>
        <v>19270.924772773098</v>
      </c>
      <c r="C8" s="333">
        <f t="shared" ref="C8:L8" si="0">C6+C7</f>
        <v>17965.524373786859</v>
      </c>
      <c r="D8" s="333">
        <f t="shared" si="0"/>
        <v>16292.190116602433</v>
      </c>
      <c r="E8" s="333">
        <f t="shared" si="0"/>
        <v>16530.739117238638</v>
      </c>
      <c r="F8" s="333">
        <f t="shared" si="0"/>
        <v>14492.519895287958</v>
      </c>
      <c r="G8" s="333">
        <f t="shared" si="0"/>
        <v>16671.348000596547</v>
      </c>
      <c r="H8" s="333">
        <f t="shared" si="0"/>
        <v>21656.546975296635</v>
      </c>
      <c r="I8" s="333">
        <f t="shared" si="0"/>
        <v>20171.938596491225</v>
      </c>
      <c r="J8" s="333">
        <f t="shared" si="0"/>
        <v>16927.278561354018</v>
      </c>
      <c r="K8" s="333">
        <f t="shared" si="0"/>
        <v>20761.58238740388</v>
      </c>
      <c r="L8" s="333">
        <f t="shared" si="0"/>
        <v>23130.790832034669</v>
      </c>
      <c r="M8" s="76">
        <f>'B. Integrated Fin - Income St.'!M29</f>
        <v>24945.680038434002</v>
      </c>
      <c r="N8" s="76">
        <f>'B. Integrated Fin - Income St.'!N29</f>
        <v>26109.037078769241</v>
      </c>
      <c r="O8" s="76">
        <f>'B. Integrated Fin - Income St.'!O29</f>
        <v>27077.311753800568</v>
      </c>
      <c r="P8" s="76">
        <f>'B. Integrated Fin - Income St.'!P29</f>
        <v>28268.550186721564</v>
      </c>
      <c r="Q8" s="76">
        <f>'B. Integrated Fin - Income St.'!Q29</f>
        <v>29605.239904436952</v>
      </c>
      <c r="R8" s="76">
        <f>'B. Integrated Fin - Income St.'!R29</f>
        <v>31004.31094216448</v>
      </c>
      <c r="S8" s="76">
        <f>'B. Integrated Fin - Income St.'!S29</f>
        <v>32146.311152071139</v>
      </c>
      <c r="T8" s="76">
        <f>'B. Integrated Fin - Income St.'!T29</f>
        <v>33133.225950309876</v>
      </c>
      <c r="U8" s="76">
        <f>'B. Integrated Fin - Income St.'!U29</f>
        <v>34006.905961271266</v>
      </c>
      <c r="V8" s="76">
        <f>'B. Integrated Fin - Income St.'!V29</f>
        <v>34719.140001877553</v>
      </c>
      <c r="W8" s="268">
        <f>'B. Integrated Fin - Income St.'!W29</f>
        <v>35336.25753874459</v>
      </c>
      <c r="X8" s="2"/>
    </row>
    <row r="9" spans="1:24">
      <c r="A9" t="s">
        <v>1494</v>
      </c>
      <c r="B9" s="333">
        <f>'B. Integrated Fin - Income St.'!B18 * (1- 'B. Integrated Fin - Income St.'!B23)</f>
        <v>1465.1822250897212</v>
      </c>
      <c r="C9" s="333">
        <f>'B. Integrated Fin - Income St.'!C18 * (1- 'B. Integrated Fin - Income St.'!C23)</f>
        <v>1412.66105924762</v>
      </c>
      <c r="D9" s="333">
        <f>'B. Integrated Fin - Income St.'!D18 * (1- 'B. Integrated Fin - Income St.'!D23)</f>
        <v>1425.3252671122602</v>
      </c>
      <c r="E9" s="333">
        <f>'B. Integrated Fin - Income St.'!E18 * (1- 'B. Integrated Fin - Income St.'!E23)</f>
        <v>1376.3468888448058</v>
      </c>
      <c r="F9" s="333">
        <f>'B. Integrated Fin - Income St.'!F18 * (1- 'B. Integrated Fin - Income St.'!F23)</f>
        <v>1237.2185863874347</v>
      </c>
      <c r="G9" s="333">
        <f>'B. Integrated Fin - Income St.'!G18 * (1- 'B. Integrated Fin - Income St.'!G23)</f>
        <v>1709.3190495128258</v>
      </c>
      <c r="H9" s="333">
        <f>'B. Integrated Fin - Income St.'!H18 * (1- 'B. Integrated Fin - Income St.'!H23)</f>
        <v>1317.0130324839524</v>
      </c>
      <c r="I9" s="333">
        <f>'B. Integrated Fin - Income St.'!I18 * (1- 'B. Integrated Fin - Income St.'!I23)</f>
        <v>1248.1578947368421</v>
      </c>
      <c r="J9" s="333">
        <f>'B. Integrated Fin - Income St.'!J18 * (1- 'B. Integrated Fin - Income St.'!J23)</f>
        <v>1185.8723554301832</v>
      </c>
      <c r="K9" s="333">
        <f>'B. Integrated Fin - Income St.'!K18 * (1- 'B. Integrated Fin - Income St.'!K23)</f>
        <v>1682.2560417429513</v>
      </c>
      <c r="L9" s="333">
        <f>'B. Integrated Fin - Income St.'!L18 * (1- 'B. Integrated Fin - Income St.'!L23)</f>
        <v>1723.1020943403398</v>
      </c>
      <c r="M9" s="82">
        <f xml:space="preserve"> -('B. Integrated Fin - Income St.'!M19) * (1 - 'B. Integrated Fin - Income St.'!M23)</f>
        <v>965.77617929921951</v>
      </c>
      <c r="N9" s="82">
        <f xml:space="preserve"> -('B. Integrated Fin - Income St.'!N19) * (1 - 'B. Integrated Fin - Income St.'!N23)</f>
        <v>1033.6103393039855</v>
      </c>
      <c r="O9" s="82">
        <f xml:space="preserve"> -('B. Integrated Fin - Income St.'!O19) * (1 - 'B. Integrated Fin - Income St.'!O23)</f>
        <v>1065.7739600523305</v>
      </c>
      <c r="P9" s="82">
        <f xml:space="preserve"> -('B. Integrated Fin - Income St.'!P19) * (1 - 'B. Integrated Fin - Income St.'!P23)</f>
        <v>1106.4426743535985</v>
      </c>
      <c r="Q9" s="82">
        <f xml:space="preserve"> -('B. Integrated Fin - Income St.'!Q19) * (1 - 'B. Integrated Fin - Income St.'!Q23)</f>
        <v>1137.998999207616</v>
      </c>
      <c r="R9" s="82">
        <f xml:space="preserve"> -('B. Integrated Fin - Income St.'!R19) * (1 - 'B. Integrated Fin - Income St.'!R23)</f>
        <v>1161.2626422465662</v>
      </c>
      <c r="S9" s="82">
        <f xml:space="preserve"> -('B. Integrated Fin - Income St.'!S19) * (1 - 'B. Integrated Fin - Income St.'!S23)</f>
        <v>1204.7948797426977</v>
      </c>
      <c r="T9" s="82">
        <f xml:space="preserve"> -('B. Integrated Fin - Income St.'!T19) * (1 - 'B. Integrated Fin - Income St.'!T23)</f>
        <v>1242.292046980481</v>
      </c>
      <c r="U9" s="82">
        <f xml:space="preserve"> -('B. Integrated Fin - Income St.'!U19) * (1 - 'B. Integrated Fin - Income St.'!U23)</f>
        <v>1280.9396314730404</v>
      </c>
      <c r="V9" s="82">
        <f xml:space="preserve"> -('B. Integrated Fin - Income St.'!V19) * (1 - 'B. Integrated Fin - Income St.'!V23)</f>
        <v>1319.0059932787135</v>
      </c>
      <c r="W9" s="82">
        <f xml:space="preserve"> -('B. Integrated Fin - Income St.'!W19) * (1 - 'B. Integrated Fin - Income St.'!W23)</f>
        <v>1358.5216886884341</v>
      </c>
      <c r="X9" s="2"/>
    </row>
    <row r="10" spans="1:24">
      <c r="A10" s="17"/>
      <c r="B10" s="213"/>
      <c r="C10" s="213"/>
      <c r="D10" s="213"/>
      <c r="E10" s="213"/>
      <c r="F10" s="213"/>
      <c r="G10" s="213"/>
      <c r="H10" s="213"/>
      <c r="I10" s="213"/>
      <c r="J10" s="213"/>
      <c r="K10" s="213"/>
      <c r="L10" s="213"/>
      <c r="M10" s="34"/>
      <c r="N10" s="5"/>
      <c r="O10" s="5"/>
      <c r="P10" s="5"/>
      <c r="Q10" s="5"/>
      <c r="R10" s="5"/>
      <c r="S10" s="5"/>
      <c r="T10" s="5"/>
      <c r="U10" s="5"/>
      <c r="V10" s="5"/>
      <c r="W10" s="5"/>
      <c r="X10" s="2"/>
    </row>
    <row r="11" spans="1:24">
      <c r="B11" s="213"/>
      <c r="C11" s="213"/>
      <c r="D11" s="213"/>
      <c r="E11" s="213"/>
      <c r="F11" s="213"/>
      <c r="G11" s="213"/>
      <c r="H11" s="213"/>
      <c r="I11" s="213"/>
      <c r="J11" s="213"/>
      <c r="K11" s="213"/>
      <c r="L11" s="213"/>
      <c r="M11" s="14"/>
    </row>
    <row r="12" spans="1:24">
      <c r="A12" s="54" t="s">
        <v>1382</v>
      </c>
      <c r="B12" s="334">
        <v>0</v>
      </c>
      <c r="C12" s="334">
        <v>0</v>
      </c>
      <c r="D12" s="334">
        <v>0</v>
      </c>
      <c r="E12" s="334">
        <v>0</v>
      </c>
      <c r="F12" s="334">
        <v>0</v>
      </c>
      <c r="G12" s="334">
        <v>0</v>
      </c>
      <c r="H12" s="334">
        <v>0</v>
      </c>
      <c r="I12" s="334">
        <v>0</v>
      </c>
      <c r="J12" s="334">
        <v>0</v>
      </c>
      <c r="K12" s="335">
        <v>0</v>
      </c>
      <c r="L12" s="336"/>
      <c r="M12" s="328">
        <v>2026</v>
      </c>
      <c r="N12" s="328">
        <v>2027</v>
      </c>
      <c r="O12" s="328">
        <v>2028</v>
      </c>
      <c r="P12" s="328">
        <v>2029</v>
      </c>
      <c r="Q12" s="328">
        <v>2030</v>
      </c>
      <c r="R12" s="329">
        <v>2031</v>
      </c>
      <c r="S12" s="329">
        <v>2032</v>
      </c>
      <c r="T12" s="329">
        <v>2033</v>
      </c>
      <c r="U12" s="329">
        <v>2034</v>
      </c>
      <c r="V12" s="329">
        <v>2035</v>
      </c>
      <c r="W12" s="330" t="s">
        <v>1330</v>
      </c>
    </row>
    <row r="13" spans="1:24">
      <c r="A13" t="s">
        <v>1495</v>
      </c>
      <c r="B13" s="331">
        <f>('A. Raw Historical Data - BS'!L11 + 'A. Raw Historical Data - BS'!L13 - 'A. Raw Historical Data - BS'!L40 - 'A. Raw Historical Data - BS'!L41 - 'A. Raw Historical Data - BS'!L42 )</f>
        <v>-6607</v>
      </c>
      <c r="C13" s="331">
        <f>('A. Raw Historical Data - BS'!M11 + 'A. Raw Historical Data - BS'!M13 - 'A. Raw Historical Data - BS'!M40 - 'A. Raw Historical Data - BS'!M41 - 'A. Raw Historical Data - BS'!M42 )</f>
        <v>-8522</v>
      </c>
      <c r="D13" s="331">
        <f>('A. Raw Historical Data - BS'!N11 + 'A. Raw Historical Data - BS'!N13 - 'A. Raw Historical Data - BS'!N40 - 'A. Raw Historical Data - BS'!N41 - 'A. Raw Historical Data - BS'!N42 )</f>
        <v>-14127</v>
      </c>
      <c r="E13" s="331">
        <f>('A. Raw Historical Data - BS'!O11 + 'A. Raw Historical Data - BS'!O13 - 'A. Raw Historical Data - BS'!O40 - 'A. Raw Historical Data - BS'!O41 - 'A. Raw Historical Data - BS'!O42 )</f>
        <v>-19462</v>
      </c>
      <c r="F13" s="331">
        <f>('A. Raw Historical Data - BS'!P11 + 'A. Raw Historical Data - BS'!P13 - 'A. Raw Historical Data - BS'!P40 - 'A. Raw Historical Data - BS'!P41 - 'A. Raw Historical Data - BS'!P42 )</f>
        <v>-17163</v>
      </c>
      <c r="G13" s="331">
        <f>('A. Raw Historical Data - BS'!Q11 + 'A. Raw Historical Data - BS'!Q13 - 'A. Raw Historical Data - BS'!Q40 - 'A. Raw Historical Data - BS'!Q41 - 'A. Raw Historical Data - BS'!Q42 )</f>
        <v>-16840</v>
      </c>
      <c r="H13" s="331">
        <f>('A. Raw Historical Data - BS'!R11 + 'A. Raw Historical Data - BS'!R13 - 'A. Raw Historical Data - BS'!R40 - 'A. Raw Historical Data - BS'!R41 - 'A. Raw Historical Data - BS'!R42 )</f>
        <v>-33574</v>
      </c>
      <c r="I13" s="331">
        <f>('A. Raw Historical Data - BS'!S11 + 'A. Raw Historical Data - BS'!S13 - 'A. Raw Historical Data - BS'!S40 - 'A. Raw Historical Data - BS'!S41 - 'A. Raw Historical Data - BS'!S42 )</f>
        <v>-14822</v>
      </c>
      <c r="J13" s="331">
        <f>('A. Raw Historical Data - BS'!T11 + 'A. Raw Historical Data - BS'!T13 - 'A. Raw Historical Data - BS'!T40 - 'A. Raw Historical Data - BS'!T41 - 'A. Raw Historical Data - BS'!T42 )</f>
        <v>-18598</v>
      </c>
      <c r="K13" s="331">
        <f>('A. Raw Historical Data - BS'!U11 + 'A. Raw Historical Data - BS'!U13 - 'A. Raw Historical Data - BS'!U40 - 'A. Raw Historical Data - BS'!U41 - 'A. Raw Historical Data - BS'!U42 )</f>
        <v>-19526</v>
      </c>
      <c r="L13" s="331">
        <f>('A. Raw Historical Data - BS'!V11 + 'A. Raw Historical Data - BS'!V13 - 'A. Raw Historical Data - BS'!V40 - 'A. Raw Historical Data - BS'!V41 - 'A. Raw Historical Data - BS'!V42 )</f>
        <v>-19454</v>
      </c>
      <c r="M13" s="267">
        <f>'B. Integrated Fin - Balance S.'!L7</f>
        <v>-18198</v>
      </c>
      <c r="N13" s="267">
        <f>'B. Integrated Fin - Balance S.'!M7</f>
        <v>-20034.75033963118</v>
      </c>
      <c r="O13" s="267">
        <f>'B. Integrated Fin - Balance S.'!N7</f>
        <v>-20936.314104914585</v>
      </c>
      <c r="P13" s="267">
        <f>'B. Integrated Fin - Balance S.'!O7</f>
        <v>-21878.448239635738</v>
      </c>
      <c r="Q13" s="267">
        <f>'B. Integrated Fin - Balance S.'!P7</f>
        <v>-22862.978410419346</v>
      </c>
      <c r="R13" s="267">
        <f>'B. Integrated Fin - Balance S.'!Q7</f>
        <v>-23891.812438888213</v>
      </c>
      <c r="S13" s="267">
        <f>'B. Integrated Fin - Balance S.'!R7</f>
        <v>-24966.943998638184</v>
      </c>
      <c r="T13" s="267">
        <f>'B. Integrated Fin - Balance S.'!S7</f>
        <v>-25903.204398587113</v>
      </c>
      <c r="U13" s="267">
        <f>'B. Integrated Fin - Balance S.'!T7</f>
        <v>-26728.869038792076</v>
      </c>
      <c r="V13" s="267">
        <f>'B. Integrated Fin - Balance S.'!U7</f>
        <v>-27430.501851060362</v>
      </c>
      <c r="W13" s="267">
        <f>'B. Integrated Fin - Balance S.'!V7</f>
        <v>-27996.25595173848</v>
      </c>
    </row>
    <row r="14" spans="1:24">
      <c r="A14" s="17" t="s">
        <v>1496</v>
      </c>
      <c r="B14" s="337">
        <v>0</v>
      </c>
      <c r="C14" s="331">
        <f>C13 - B13</f>
        <v>-1915</v>
      </c>
      <c r="D14" s="331">
        <f t="shared" ref="D14:L14" si="1">D13 - C13</f>
        <v>-5605</v>
      </c>
      <c r="E14" s="331">
        <f t="shared" si="1"/>
        <v>-5335</v>
      </c>
      <c r="F14" s="331">
        <f t="shared" si="1"/>
        <v>2299</v>
      </c>
      <c r="G14" s="331">
        <f t="shared" si="1"/>
        <v>323</v>
      </c>
      <c r="H14" s="331">
        <f t="shared" si="1"/>
        <v>-16734</v>
      </c>
      <c r="I14" s="331">
        <f t="shared" si="1"/>
        <v>18752</v>
      </c>
      <c r="J14" s="331">
        <f t="shared" si="1"/>
        <v>-3776</v>
      </c>
      <c r="K14" s="331">
        <f t="shared" si="1"/>
        <v>-928</v>
      </c>
      <c r="L14" s="331">
        <f t="shared" si="1"/>
        <v>72</v>
      </c>
      <c r="M14" s="82">
        <f>M13-'B. Integrated Fin - Balance S.'!M7</f>
        <v>1836.7503396311804</v>
      </c>
      <c r="N14" s="82">
        <f>N13-'B. Integrated Fin - Balance S.'!N7</f>
        <v>901.56376528340479</v>
      </c>
      <c r="O14" s="82">
        <f>O13-'B. Integrated Fin - Balance S.'!O7</f>
        <v>942.1341347211528</v>
      </c>
      <c r="P14" s="82">
        <f>P13-'B. Integrated Fin - Balance S.'!P7</f>
        <v>984.5301707836079</v>
      </c>
      <c r="Q14" s="82">
        <f>Q13-'B. Integrated Fin - Balance S.'!Q7</f>
        <v>1028.8340284688675</v>
      </c>
      <c r="R14" s="82">
        <f>R13-'B. Integrated Fin - Balance S.'!R7</f>
        <v>1075.1315597499706</v>
      </c>
      <c r="S14" s="82">
        <f>S13-'B. Integrated Fin - Balance S.'!S7</f>
        <v>936.26039994892926</v>
      </c>
      <c r="T14" s="82">
        <f>T13-'B. Integrated Fin - Balance S.'!T7</f>
        <v>825.66464020496278</v>
      </c>
      <c r="U14" s="82">
        <f>U13-'B. Integrated Fin - Balance S.'!U7</f>
        <v>701.63281226828622</v>
      </c>
      <c r="V14" s="82">
        <f>V13-'B. Integrated Fin - Balance S.'!V7</f>
        <v>565.75410067811754</v>
      </c>
      <c r="W14" s="82">
        <f>W13-'B. Integrated Fin - Balance S.'!W7</f>
        <v>498.68330914034232</v>
      </c>
    </row>
    <row r="15" spans="1:24">
      <c r="A15" t="s">
        <v>1497</v>
      </c>
      <c r="B15" s="331">
        <f>B13+B14</f>
        <v>-6607</v>
      </c>
      <c r="C15" s="331">
        <f t="shared" ref="C15:L15" si="2">C13+C14</f>
        <v>-10437</v>
      </c>
      <c r="D15" s="331">
        <f t="shared" si="2"/>
        <v>-19732</v>
      </c>
      <c r="E15" s="331">
        <f t="shared" si="2"/>
        <v>-24797</v>
      </c>
      <c r="F15" s="331">
        <f t="shared" si="2"/>
        <v>-14864</v>
      </c>
      <c r="G15" s="331">
        <f t="shared" si="2"/>
        <v>-16517</v>
      </c>
      <c r="H15" s="331">
        <f t="shared" si="2"/>
        <v>-50308</v>
      </c>
      <c r="I15" s="331">
        <f t="shared" si="2"/>
        <v>3930</v>
      </c>
      <c r="J15" s="331">
        <f t="shared" si="2"/>
        <v>-22374</v>
      </c>
      <c r="K15" s="331">
        <f t="shared" si="2"/>
        <v>-20454</v>
      </c>
      <c r="L15" s="331">
        <f t="shared" si="2"/>
        <v>-19382</v>
      </c>
      <c r="M15" s="267">
        <f>'B. Integrated Fin - Balance S.'!M7</f>
        <v>-20034.75033963118</v>
      </c>
      <c r="N15" s="267">
        <f>'B. Integrated Fin - Balance S.'!N7</f>
        <v>-20936.314104914585</v>
      </c>
      <c r="O15" s="267">
        <f>'B. Integrated Fin - Balance S.'!O7</f>
        <v>-21878.448239635738</v>
      </c>
      <c r="P15" s="267">
        <f>'B. Integrated Fin - Balance S.'!P7</f>
        <v>-22862.978410419346</v>
      </c>
      <c r="Q15" s="267">
        <f>'B. Integrated Fin - Balance S.'!Q7</f>
        <v>-23891.812438888213</v>
      </c>
      <c r="R15" s="267">
        <f>'B. Integrated Fin - Balance S.'!R7</f>
        <v>-24966.943998638184</v>
      </c>
      <c r="S15" s="267">
        <f>'B. Integrated Fin - Balance S.'!S7</f>
        <v>-25903.204398587113</v>
      </c>
      <c r="T15" s="267">
        <f>'B. Integrated Fin - Balance S.'!T7</f>
        <v>-26728.869038792076</v>
      </c>
      <c r="U15" s="267">
        <f>'B. Integrated Fin - Balance S.'!U7</f>
        <v>-27430.501851060362</v>
      </c>
      <c r="V15" s="267">
        <f>'B. Integrated Fin - Balance S.'!V7</f>
        <v>-27996.25595173848</v>
      </c>
      <c r="W15" s="267">
        <f>'B. Integrated Fin - Balance S.'!W7</f>
        <v>-28494.939260878822</v>
      </c>
    </row>
    <row r="16" spans="1:24">
      <c r="B16" s="253"/>
      <c r="C16" s="253"/>
      <c r="D16" s="253"/>
      <c r="E16" s="253"/>
      <c r="F16" s="253"/>
      <c r="G16" s="253"/>
      <c r="H16" s="253"/>
      <c r="I16" s="253"/>
      <c r="J16" s="253"/>
      <c r="K16" s="253"/>
      <c r="L16" s="253"/>
      <c r="M16" s="143"/>
      <c r="N16" s="112"/>
      <c r="O16" s="112"/>
      <c r="P16" s="112"/>
      <c r="Q16" s="112"/>
      <c r="R16" s="112"/>
      <c r="S16" s="112"/>
      <c r="T16" s="112"/>
      <c r="U16" s="112"/>
      <c r="V16" s="112"/>
      <c r="W16" s="112"/>
    </row>
    <row r="17" spans="1:23">
      <c r="A17" t="s">
        <v>1498</v>
      </c>
      <c r="B17" s="331">
        <f>'A. Raw Historical Data - BS'!K24+'A. Raw Historical Data - BS'!K28+'A. Raw Historical Data - BS'!K29+'A. Raw Historical Data - BS'!K32+'A. Raw Historical Data - BS'!K34</f>
        <v>168509</v>
      </c>
      <c r="C17" s="331">
        <f>'A. Raw Historical Data - BS'!L24+'A. Raw Historical Data - BS'!L28+'A. Raw Historical Data - BS'!L29+'A. Raw Historical Data - BS'!L32+'A. Raw Historical Data - BS'!L34</f>
        <v>163257</v>
      </c>
      <c r="D17" s="331">
        <f>'A. Raw Historical Data - BS'!M24+'A. Raw Historical Data - BS'!M28+'A. Raw Historical Data - BS'!M29+'A. Raw Historical Data - BS'!M32+'A. Raw Historical Data - BS'!M34</f>
        <v>161547</v>
      </c>
      <c r="E17" s="331">
        <f>'A. Raw Historical Data - BS'!N24+'A. Raw Historical Data - BS'!N28+'A. Raw Historical Data - BS'!N29+'A. Raw Historical Data - BS'!N32+'A. Raw Historical Data - BS'!N34</f>
        <v>167615</v>
      </c>
      <c r="F17" s="331">
        <f>'A. Raw Historical Data - BS'!O24+'A. Raw Historical Data - BS'!O28+'A. Raw Historical Data - BS'!O29+'A. Raw Historical Data - BS'!O32+'A. Raw Historical Data - BS'!O34</f>
        <v>174390</v>
      </c>
      <c r="G17" s="331">
        <f>'A. Raw Historical Data - BS'!P24+'A. Raw Historical Data - BS'!P28+'A. Raw Historical Data - BS'!P29+'A. Raw Historical Data - BS'!P32+'A. Raw Historical Data - BS'!P34</f>
        <v>202989</v>
      </c>
      <c r="H17" s="331">
        <f>'A. Raw Historical Data - BS'!Q24+'A. Raw Historical Data - BS'!Q28+'A. Raw Historical Data - BS'!Q29+'A. Raw Historical Data - BS'!Q32+'A. Raw Historical Data - BS'!Q34</f>
        <v>210512</v>
      </c>
      <c r="I17" s="331">
        <f>'A. Raw Historical Data - BS'!R24+'A. Raw Historical Data - BS'!R28+'A. Raw Historical Data - BS'!R29+'A. Raw Historical Data - BS'!R32+'A. Raw Historical Data - BS'!R34</f>
        <v>205437</v>
      </c>
      <c r="J17" s="331">
        <f>'A. Raw Historical Data - BS'!S24+'A. Raw Historical Data - BS'!S28+'A. Raw Historical Data - BS'!S29+'A. Raw Historical Data - BS'!S32+'A. Raw Historical Data - BS'!S34</f>
        <v>199080</v>
      </c>
      <c r="K17" s="331">
        <f>'A. Raw Historical Data - BS'!T24+'A. Raw Historical Data - BS'!T28+'A. Raw Historical Data - BS'!T29+'A. Raw Historical Data - BS'!T32+'A. Raw Historical Data - BS'!T34</f>
        <v>201929</v>
      </c>
      <c r="L17" s="331">
        <f>'A. Raw Historical Data - BS'!U24+'A. Raw Historical Data - BS'!U28+'A. Raw Historical Data - BS'!U29+'A. Raw Historical Data - BS'!U32+'A. Raw Historical Data - BS'!U34</f>
        <v>209398</v>
      </c>
      <c r="M17" s="82">
        <f>'B. Integrated Fin - Balance S.'!L11</f>
        <v>125306</v>
      </c>
      <c r="N17" s="82">
        <f>'B. Integrated Fin - Balance S.'!M11</f>
        <v>132743.55616067379</v>
      </c>
      <c r="O17" s="82">
        <f>'B. Integrated Fin - Balance S.'!N11</f>
        <v>138717.01618790411</v>
      </c>
      <c r="P17" s="82">
        <f>'B. Integrated Fin - Balance S.'!O11</f>
        <v>144959.28191635976</v>
      </c>
      <c r="Q17" s="82">
        <f>'B. Integrated Fin - Balance S.'!P11</f>
        <v>151482.44960259597</v>
      </c>
      <c r="R17" s="82">
        <f>'B. Integrated Fin - Balance S.'!Q11</f>
        <v>158299.15983471274</v>
      </c>
      <c r="S17" s="82">
        <f>'B. Integrated Fin - Balance S.'!R11</f>
        <v>165422.62202727483</v>
      </c>
      <c r="T17" s="82">
        <f>'B. Integrated Fin - Balance S.'!S11</f>
        <v>171625.9703532976</v>
      </c>
      <c r="U17" s="82">
        <f>'B. Integrated Fin - Balance S.'!T11</f>
        <v>177096.54815830896</v>
      </c>
      <c r="V17" s="82">
        <f>'B. Integrated Fin - Balance S.'!U11</f>
        <v>181745.33254746452</v>
      </c>
      <c r="W17" s="82">
        <f>'B. Integrated Fin - Balance S.'!V11</f>
        <v>185493.83003125599</v>
      </c>
    </row>
    <row r="18" spans="1:23">
      <c r="A18" s="17" t="s">
        <v>1499</v>
      </c>
      <c r="B18" s="331">
        <f>B19-B17</f>
        <v>-5252</v>
      </c>
      <c r="C18" s="331">
        <f t="shared" ref="C18:K18" si="3">C19-C17</f>
        <v>-1710</v>
      </c>
      <c r="D18" s="331">
        <f t="shared" si="3"/>
        <v>6068</v>
      </c>
      <c r="E18" s="331">
        <f t="shared" si="3"/>
        <v>6775</v>
      </c>
      <c r="F18" s="331">
        <f t="shared" si="3"/>
        <v>28599</v>
      </c>
      <c r="G18" s="331">
        <f t="shared" si="3"/>
        <v>7523</v>
      </c>
      <c r="H18" s="331">
        <f t="shared" si="3"/>
        <v>-5075</v>
      </c>
      <c r="I18" s="331">
        <f t="shared" si="3"/>
        <v>-6357</v>
      </c>
      <c r="J18" s="331">
        <f t="shared" si="3"/>
        <v>2849</v>
      </c>
      <c r="K18" s="331">
        <f t="shared" si="3"/>
        <v>7469</v>
      </c>
      <c r="L18" s="331">
        <f t="shared" ref="L18" si="4">L19-L17</f>
        <v>7007</v>
      </c>
      <c r="M18" s="331">
        <f t="shared" ref="M18" si="5">M19-M17</f>
        <v>7437.5561606737901</v>
      </c>
      <c r="N18" s="331">
        <f t="shared" ref="N18" si="6">N19-N17</f>
        <v>5973.4600272303214</v>
      </c>
      <c r="O18" s="331">
        <f t="shared" ref="O18" si="7">O19-O17</f>
        <v>6242.2657284556481</v>
      </c>
      <c r="P18" s="331">
        <f t="shared" ref="P18" si="8">P19-P17</f>
        <v>6523.1676862362074</v>
      </c>
      <c r="Q18" s="331">
        <f t="shared" ref="Q18" si="9">Q19-Q17</f>
        <v>6816.7102321167768</v>
      </c>
      <c r="R18" s="331">
        <f t="shared" ref="R18" si="10">R19-R17</f>
        <v>7123.4621925620886</v>
      </c>
      <c r="S18" s="331">
        <f t="shared" ref="S18" si="11">S19-S17</f>
        <v>6203.3483260227658</v>
      </c>
      <c r="T18" s="331">
        <f t="shared" ref="T18" si="12">T19-T17</f>
        <v>5470.5778050113586</v>
      </c>
      <c r="U18" s="331">
        <f t="shared" ref="U18" si="13">U19-U17</f>
        <v>4648.7843891555676</v>
      </c>
      <c r="V18" s="331">
        <f t="shared" ref="V18" si="14">V19-V17</f>
        <v>3748.4974837914633</v>
      </c>
      <c r="W18" s="331">
        <f t="shared" ref="W18" si="15">W19-W17</f>
        <v>3304.1088474317512</v>
      </c>
    </row>
    <row r="19" spans="1:23">
      <c r="A19" t="s">
        <v>1500</v>
      </c>
      <c r="B19" s="331">
        <f>'A. Raw Historical Data - BS'!L24+'A. Raw Historical Data - BS'!L28+'A. Raw Historical Data - BS'!L29+'A. Raw Historical Data - BS'!L32+'A. Raw Historical Data - BS'!L34</f>
        <v>163257</v>
      </c>
      <c r="C19" s="331">
        <f>'A. Raw Historical Data - BS'!M24+'A. Raw Historical Data - BS'!M28+'A. Raw Historical Data - BS'!M29+'A. Raw Historical Data - BS'!M32+'A. Raw Historical Data - BS'!M34</f>
        <v>161547</v>
      </c>
      <c r="D19" s="331">
        <f>'A. Raw Historical Data - BS'!N24+'A. Raw Historical Data - BS'!N28+'A. Raw Historical Data - BS'!N29+'A. Raw Historical Data - BS'!N32+'A. Raw Historical Data - BS'!N34</f>
        <v>167615</v>
      </c>
      <c r="E19" s="331">
        <f>'A. Raw Historical Data - BS'!O24+'A. Raw Historical Data - BS'!O28+'A. Raw Historical Data - BS'!O29+'A. Raw Historical Data - BS'!O32+'A. Raw Historical Data - BS'!O34</f>
        <v>174390</v>
      </c>
      <c r="F19" s="331">
        <f>'A. Raw Historical Data - BS'!P24+'A. Raw Historical Data - BS'!P28+'A. Raw Historical Data - BS'!P29+'A. Raw Historical Data - BS'!P32+'A. Raw Historical Data - BS'!P34</f>
        <v>202989</v>
      </c>
      <c r="G19" s="331">
        <f>'A. Raw Historical Data - BS'!Q24+'A. Raw Historical Data - BS'!Q28+'A. Raw Historical Data - BS'!Q29+'A. Raw Historical Data - BS'!Q32+'A. Raw Historical Data - BS'!Q34</f>
        <v>210512</v>
      </c>
      <c r="H19" s="331">
        <f>'A. Raw Historical Data - BS'!R24+'A. Raw Historical Data - BS'!R28+'A. Raw Historical Data - BS'!R29+'A. Raw Historical Data - BS'!R32+'A. Raw Historical Data - BS'!R34</f>
        <v>205437</v>
      </c>
      <c r="I19" s="331">
        <f>'A. Raw Historical Data - BS'!S24+'A. Raw Historical Data - BS'!S28+'A. Raw Historical Data - BS'!S29+'A. Raw Historical Data - BS'!S32+'A. Raw Historical Data - BS'!S34</f>
        <v>199080</v>
      </c>
      <c r="J19" s="331">
        <f>'A. Raw Historical Data - BS'!T24+'A. Raw Historical Data - BS'!T28+'A. Raw Historical Data - BS'!T29+'A. Raw Historical Data - BS'!T32+'A. Raw Historical Data - BS'!T34</f>
        <v>201929</v>
      </c>
      <c r="K19" s="331">
        <f>'A. Raw Historical Data - BS'!U24+'A. Raw Historical Data - BS'!U28+'A. Raw Historical Data - BS'!U29+'A. Raw Historical Data - BS'!U32+'A. Raw Historical Data - BS'!U34</f>
        <v>209398</v>
      </c>
      <c r="L19" s="331">
        <f>'A. Raw Historical Data - BS'!V24+'A. Raw Historical Data - BS'!V28+'A. Raw Historical Data - BS'!V29+'A. Raw Historical Data - BS'!V32+'A. Raw Historical Data - BS'!V34</f>
        <v>216405</v>
      </c>
      <c r="M19" s="82">
        <f>'B. Integrated Fin - Balance S.'!M11</f>
        <v>132743.55616067379</v>
      </c>
      <c r="N19" s="82">
        <f>'B. Integrated Fin - Balance S.'!N11</f>
        <v>138717.01618790411</v>
      </c>
      <c r="O19" s="82">
        <f>'B. Integrated Fin - Balance S.'!O11</f>
        <v>144959.28191635976</v>
      </c>
      <c r="P19" s="82">
        <f>'B. Integrated Fin - Balance S.'!P11</f>
        <v>151482.44960259597</v>
      </c>
      <c r="Q19" s="82">
        <f>'B. Integrated Fin - Balance S.'!Q11</f>
        <v>158299.15983471274</v>
      </c>
      <c r="R19" s="82">
        <f>'B. Integrated Fin - Balance S.'!R11</f>
        <v>165422.62202727483</v>
      </c>
      <c r="S19" s="82">
        <f>'B. Integrated Fin - Balance S.'!S11</f>
        <v>171625.9703532976</v>
      </c>
      <c r="T19" s="82">
        <f>'B. Integrated Fin - Balance S.'!T11</f>
        <v>177096.54815830896</v>
      </c>
      <c r="U19" s="82">
        <f>'B. Integrated Fin - Balance S.'!U11</f>
        <v>181745.33254746452</v>
      </c>
      <c r="V19" s="82">
        <f>'B. Integrated Fin - Balance S.'!V11</f>
        <v>185493.83003125599</v>
      </c>
      <c r="W19" s="82">
        <f>'B. Integrated Fin - Balance S.'!W11</f>
        <v>188797.93887868774</v>
      </c>
    </row>
    <row r="20" spans="1:23">
      <c r="B20" s="253"/>
      <c r="C20" s="253"/>
      <c r="D20" s="253"/>
      <c r="E20" s="253"/>
      <c r="F20" s="253"/>
      <c r="G20" s="253"/>
      <c r="H20" s="253"/>
      <c r="I20" s="253"/>
      <c r="J20" s="253"/>
      <c r="K20" s="253"/>
      <c r="L20" s="253"/>
      <c r="M20" s="143"/>
      <c r="N20" s="112"/>
      <c r="O20" s="112"/>
      <c r="P20" s="112"/>
      <c r="Q20" s="112"/>
      <c r="R20" s="112"/>
      <c r="S20" s="112"/>
      <c r="T20" s="112"/>
      <c r="U20" s="112"/>
      <c r="V20" s="112"/>
      <c r="W20" s="112"/>
    </row>
    <row r="21" spans="1:23">
      <c r="A21" t="s">
        <v>1338</v>
      </c>
      <c r="B21" s="331">
        <f>'B. Integrated Fin - Income St.'!B10</f>
        <v>8800</v>
      </c>
      <c r="C21" s="331">
        <f>'B. Integrated Fin - Income St.'!C10</f>
        <v>9100</v>
      </c>
      <c r="D21" s="331">
        <f>'B. Integrated Fin - Income St.'!D10</f>
        <v>9454</v>
      </c>
      <c r="E21" s="331">
        <f>'B. Integrated Fin - Income St.'!E10</f>
        <v>10080</v>
      </c>
      <c r="F21" s="331">
        <f>'B. Integrated Fin - Income St.'!F10</f>
        <v>10500</v>
      </c>
      <c r="G21" s="331">
        <f>'B. Integrated Fin - Income St.'!G10</f>
        <v>10678</v>
      </c>
      <c r="H21" s="331">
        <f>'B. Integrated Fin - Income St.'!H10</f>
        <v>10987</v>
      </c>
      <c r="I21" s="331">
        <f>'B. Integrated Fin - Income St.'!I10</f>
        <v>11152</v>
      </c>
      <c r="J21" s="331">
        <f>'B. Integrated Fin - Income St.'!J10</f>
        <v>10658</v>
      </c>
      <c r="K21" s="331">
        <f>'B. Integrated Fin - Income St.'!K10</f>
        <v>10945</v>
      </c>
      <c r="L21" s="331">
        <f>'B. Integrated Fin - Income St.'!L10</f>
        <v>11853</v>
      </c>
      <c r="M21" s="82">
        <f>'B. Integrated Fin - Balance S.'!L9 * 3.9166%</f>
        <v>5471.6468640000003</v>
      </c>
      <c r="N21" s="82">
        <f>'B. Integrated Fin - Balance S.'!M9 * 3.9166%</f>
        <v>4924.0348848934682</v>
      </c>
      <c r="O21" s="82">
        <f>'B. Integrated Fin - Balance S.'!N9 * 3.9166%</f>
        <v>5145.6164547136741</v>
      </c>
      <c r="P21" s="82">
        <f>'B. Integrated Fin - Balance S.'!O9 * 3.9166%</f>
        <v>5377.1691951757894</v>
      </c>
      <c r="Q21" s="82">
        <f>'B. Integrated Fin - Balance S.'!P9 * 3.9166%</f>
        <v>5619.1418089586996</v>
      </c>
      <c r="R21" s="82">
        <f>'B. Integrated Fin - Balance S.'!Q9 * 3.9166%</f>
        <v>5872.0031903618401</v>
      </c>
      <c r="S21" s="82">
        <f>'B. Integrated Fin - Balance S.'!R9 * 3.9166%</f>
        <v>6136.2433339281224</v>
      </c>
      <c r="T21" s="82">
        <f>'B. Integrated Fin - Balance S.'!S9 * 3.9166%</f>
        <v>6366.3524589504268</v>
      </c>
      <c r="U21" s="82">
        <f>'B. Integrated Fin - Balance S.'!T9 * 3.9166%</f>
        <v>6569.2799435794714</v>
      </c>
      <c r="V21" s="82">
        <f>'B. Integrated Fin - Balance S.'!U9 * 3.9166%</f>
        <v>6741.7235420984316</v>
      </c>
      <c r="W21" s="82">
        <f>'B. Integrated Fin - Balance S.'!V9 * 3.9166%</f>
        <v>6880.7715901542106</v>
      </c>
    </row>
    <row r="22" spans="1:23">
      <c r="B22" s="253"/>
      <c r="C22" s="253"/>
      <c r="D22" s="253"/>
      <c r="E22" s="253"/>
      <c r="F22" s="253"/>
      <c r="G22" s="253"/>
      <c r="H22" s="253"/>
      <c r="I22" s="253"/>
      <c r="J22" s="253"/>
      <c r="K22" s="253"/>
      <c r="L22" s="253"/>
      <c r="M22" s="338"/>
      <c r="N22" s="338"/>
      <c r="O22" s="338"/>
      <c r="P22" s="338"/>
      <c r="Q22" s="338"/>
      <c r="R22" s="338"/>
      <c r="S22" s="338"/>
      <c r="T22" s="338"/>
      <c r="U22" s="338"/>
      <c r="V22" s="338"/>
      <c r="W22" s="338"/>
    </row>
    <row r="23" spans="1:23">
      <c r="A23" t="s">
        <v>1501</v>
      </c>
      <c r="B23" s="331">
        <f>'A. Raw Historical - CF'!K21 +'A. Raw Historical - CF'!K22</f>
        <v>-11034</v>
      </c>
      <c r="C23" s="331">
        <f>'A. Raw Historical - CF'!L21 +'A. Raw Historical - CF'!L22</f>
        <v>-10207</v>
      </c>
      <c r="D23" s="331">
        <f>'A. Raw Historical - CF'!M21 +'A. Raw Historical - CF'!M22</f>
        <v>-9707</v>
      </c>
      <c r="E23" s="331">
        <f>'A. Raw Historical - CF'!N21 +'A. Raw Historical - CF'!N22</f>
        <v>-9295</v>
      </c>
      <c r="F23" s="331">
        <f>'A. Raw Historical - CF'!O21 +'A. Raw Historical - CF'!O22</f>
        <v>-9306</v>
      </c>
      <c r="G23" s="331">
        <f>'A. Raw Historical - CF'!P21 +'A. Raw Historical - CF'!P22</f>
        <v>-10063</v>
      </c>
      <c r="H23" s="331">
        <f>'A. Raw Historical - CF'!Q21 +'A. Raw Historical - CF'!Q22</f>
        <v>-9834</v>
      </c>
      <c r="I23" s="331">
        <f>'A. Raw Historical - CF'!R21 +'A. Raw Historical - CF'!R22</f>
        <v>-12318</v>
      </c>
      <c r="J23" s="331">
        <f>'A. Raw Historical - CF'!S21 +'A. Raw Historical - CF'!S22</f>
        <v>-16517</v>
      </c>
      <c r="K23" s="331">
        <f>'A. Raw Historical - CF'!T21 +'A. Raw Historical - CF'!T22</f>
        <v>-20106</v>
      </c>
      <c r="L23" s="331">
        <f>'A. Raw Historical - CF'!U21 +'A. Raw Historical - CF'!U22</f>
        <v>-22919</v>
      </c>
      <c r="M23" s="267">
        <f>((M19- M17) + M21) * -1</f>
        <v>-12909.20302467379</v>
      </c>
      <c r="N23" s="267">
        <f t="shared" ref="N23:W23" si="16">((N19- N17) + N21) * -1</f>
        <v>-10897.49491212379</v>
      </c>
      <c r="O23" s="267">
        <f t="shared" si="16"/>
        <v>-11387.882183169322</v>
      </c>
      <c r="P23" s="267">
        <f t="shared" si="16"/>
        <v>-11900.336881411997</v>
      </c>
      <c r="Q23" s="267">
        <f t="shared" si="16"/>
        <v>-12435.852041075475</v>
      </c>
      <c r="R23" s="267">
        <f t="shared" si="16"/>
        <v>-12995.465382923929</v>
      </c>
      <c r="S23" s="267">
        <f t="shared" si="16"/>
        <v>-12339.591659950889</v>
      </c>
      <c r="T23" s="267">
        <f t="shared" si="16"/>
        <v>-11836.930263961785</v>
      </c>
      <c r="U23" s="267">
        <f t="shared" si="16"/>
        <v>-11218.064332735039</v>
      </c>
      <c r="V23" s="267">
        <f t="shared" si="16"/>
        <v>-10490.221025889896</v>
      </c>
      <c r="W23" s="267">
        <f t="shared" si="16"/>
        <v>-10184.880437585962</v>
      </c>
    </row>
    <row r="24" spans="1:23">
      <c r="B24" s="253"/>
      <c r="C24" s="253"/>
      <c r="D24" s="253"/>
      <c r="E24" s="253"/>
      <c r="F24" s="253"/>
      <c r="G24" s="253"/>
      <c r="H24" s="253"/>
      <c r="I24" s="253"/>
      <c r="J24" s="253"/>
      <c r="K24" s="253"/>
      <c r="L24" s="253"/>
      <c r="M24" s="143"/>
      <c r="N24" s="112"/>
      <c r="O24" s="112"/>
      <c r="P24" s="112"/>
      <c r="Q24" s="112"/>
      <c r="R24" s="112"/>
      <c r="S24" s="112"/>
      <c r="T24" s="112"/>
      <c r="U24" s="112"/>
      <c r="V24" s="112"/>
      <c r="W24" s="112"/>
    </row>
    <row r="25" spans="1:23">
      <c r="A25" t="s">
        <v>1502</v>
      </c>
      <c r="B25" s="331">
        <f>'A. Raw Historical Data - BS'!K43 +'A. Raw Historical Data - BS'!K44 +'A. Raw Historical Data - BS'!K48 + 'A. Raw Historical Data - BS'!K56 + 'A. Raw Historical Data - BS'!K57</f>
        <v>98049</v>
      </c>
      <c r="C25" s="331">
        <f>'A. Raw Historical Data - BS'!L43 +'A. Raw Historical Data - BS'!L44 +'A. Raw Historical Data - BS'!L48 + 'A. Raw Historical Data - BS'!L56 + 'A. Raw Historical Data - BS'!L57</f>
        <v>88205</v>
      </c>
      <c r="D25" s="331">
        <f>'A. Raw Historical Data - BS'!M43 +'A. Raw Historical Data - BS'!M44 +'A. Raw Historical Data - BS'!M48 + 'A. Raw Historical Data - BS'!M56 + 'A. Raw Historical Data - BS'!M57</f>
        <v>86413</v>
      </c>
      <c r="E25" s="331">
        <f>'A. Raw Historical Data - BS'!N43 +'A. Raw Historical Data - BS'!N44 +'A. Raw Historical Data - BS'!N48 + 'A. Raw Historical Data - BS'!N56 + 'A. Raw Historical Data - BS'!N57</f>
        <v>78890</v>
      </c>
      <c r="F25" s="331">
        <f>'A. Raw Historical Data - BS'!O43 +'A. Raw Historical Data - BS'!O44 +'A. Raw Historical Data - BS'!O48 + 'A. Raw Historical Data - BS'!O56 + 'A. Raw Historical Data - BS'!O57</f>
        <v>77445</v>
      </c>
      <c r="G25" s="331">
        <f>'A. Raw Historical Data - BS'!P43 +'A. Raw Historical Data - BS'!P44 +'A. Raw Historical Data - BS'!P48 + 'A. Raw Historical Data - BS'!P56 + 'A. Raw Historical Data - BS'!P57</f>
        <v>100928</v>
      </c>
      <c r="H25" s="331">
        <f>'A. Raw Historical Data - BS'!Q43 +'A. Raw Historical Data - BS'!Q44 +'A. Raw Historical Data - BS'!Q48 + 'A. Raw Historical Data - BS'!Q56 + 'A. Raw Historical Data - BS'!Q57</f>
        <v>122084</v>
      </c>
      <c r="I25" s="331">
        <f>'A. Raw Historical Data - BS'!R43 +'A. Raw Historical Data - BS'!R44 +'A. Raw Historical Data - BS'!R48 + 'A. Raw Historical Data - BS'!R56 + 'A. Raw Historical Data - BS'!R57</f>
        <v>107779</v>
      </c>
      <c r="J25" s="331">
        <f>'A. Raw Historical Data - BS'!S43 +'A. Raw Historical Data - BS'!S44 +'A. Raw Historical Data - BS'!S48 + 'A. Raw Historical Data - BS'!S56 + 'A. Raw Historical Data - BS'!S57</f>
        <v>95400</v>
      </c>
      <c r="K25" s="331">
        <f>'A. Raw Historical Data - BS'!T43 +'A. Raw Historical Data - BS'!T44 +'A. Raw Historical Data - BS'!T48 + 'A. Raw Historical Data - BS'!T56 + 'A. Raw Historical Data - BS'!T57</f>
        <v>98135</v>
      </c>
      <c r="L25" s="331">
        <f>'A. Raw Historical Data - BS'!U43 +'A. Raw Historical Data - BS'!U44 +'A. Raw Historical Data - BS'!U48 + 'A. Raw Historical Data - BS'!U56 + 'A. Raw Historical Data - BS'!U57</f>
        <v>101778</v>
      </c>
      <c r="M25" s="331">
        <f>'A. Raw Historical Data - BS'!V44 +'A. Raw Historical Data - BS'!V48 + 'A. Raw Historical Data - BS'!V57</f>
        <v>39067</v>
      </c>
      <c r="N25" s="331">
        <f>M27</f>
        <v>40269.45306006242</v>
      </c>
      <c r="O25" s="331">
        <f t="shared" ref="O25:W25" si="17">N27</f>
        <v>41508.916726561307</v>
      </c>
      <c r="P25" s="331">
        <f t="shared" si="17"/>
        <v>42786.530158299858</v>
      </c>
      <c r="Q25" s="331">
        <f t="shared" si="17"/>
        <v>44103.467576537776</v>
      </c>
      <c r="R25" s="331">
        <f t="shared" si="17"/>
        <v>45460.9393441875</v>
      </c>
      <c r="S25" s="331">
        <f t="shared" si="17"/>
        <v>46860.193078227239</v>
      </c>
      <c r="T25" s="331">
        <f t="shared" si="17"/>
        <v>48302.514796353287</v>
      </c>
      <c r="U25" s="331">
        <f t="shared" si="17"/>
        <v>49789.230098925414</v>
      </c>
      <c r="V25" s="331">
        <f t="shared" si="17"/>
        <v>51321.70538729168</v>
      </c>
      <c r="W25" s="331">
        <f t="shared" si="17"/>
        <v>52901.349119612336</v>
      </c>
    </row>
    <row r="26" spans="1:23">
      <c r="A26" s="17" t="s">
        <v>1503</v>
      </c>
      <c r="B26" s="331">
        <f>'A. Raw Historical - CF'!K41 +'A. Raw Historical - CF'!K42</f>
        <v>-11306</v>
      </c>
      <c r="C26" s="331">
        <f>'A. Raw Historical - CF'!L41 +'A. Raw Historical - CF'!L42</f>
        <v>-1923</v>
      </c>
      <c r="D26" s="331">
        <f>'A. Raw Historical - CF'!M41 +'A. Raw Historical - CF'!M42</f>
        <v>-5264</v>
      </c>
      <c r="E26" s="331">
        <f>'A. Raw Historical - CF'!N41 +'A. Raw Historical - CF'!N42</f>
        <v>2711</v>
      </c>
      <c r="F26" s="331">
        <f>'A. Raw Historical - CF'!O41 +'A. Raw Historical - CF'!O42</f>
        <v>11982</v>
      </c>
      <c r="G26" s="331">
        <f>'A. Raw Historical - CF'!P41 +'A. Raw Historical - CF'!P42</f>
        <v>-5727</v>
      </c>
      <c r="H26" s="331">
        <f>'A. Raw Historical - CF'!Q41 +'A. Raw Historical - CF'!Q42</f>
        <v>-6030</v>
      </c>
      <c r="I26" s="331">
        <f>'A. Raw Historical - CF'!R41 +'A. Raw Historical - CF'!R42</f>
        <v>-5679</v>
      </c>
      <c r="J26" s="331">
        <f>'A. Raw Historical - CF'!S41 +'A. Raw Historical - CF'!S42</f>
        <v>2284</v>
      </c>
      <c r="K26" s="331">
        <f>'A. Raw Historical - CF'!T41 +'A. Raw Historical - CF'!T42</f>
        <v>1774</v>
      </c>
      <c r="L26" s="331">
        <f>'A. Raw Historical - CF'!U41 +'A. Raw Historical - CF'!U42</f>
        <v>956</v>
      </c>
      <c r="M26" s="267">
        <f>M27-M25</f>
        <v>1202.4530600624203</v>
      </c>
      <c r="N26" s="267">
        <f>'B. Integrated Fin - Balance S.'!N33 -'E.Reorg. fin. stmts (Shash)'!N25</f>
        <v>1239.4636664988866</v>
      </c>
      <c r="O26" s="267">
        <f>'B. Integrated Fin - Balance S.'!O33 -'E.Reorg. fin. stmts (Shash)'!O25</f>
        <v>1277.6134317385513</v>
      </c>
      <c r="P26" s="267">
        <f>'B. Integrated Fin - Balance S.'!P33 -'E.Reorg. fin. stmts (Shash)'!P25</f>
        <v>1316.9374182379179</v>
      </c>
      <c r="Q26" s="267">
        <f>'B. Integrated Fin - Balance S.'!Q33 -'E.Reorg. fin. stmts (Shash)'!Q25</f>
        <v>1357.4717676497239</v>
      </c>
      <c r="R26" s="267">
        <f>'B. Integrated Fin - Balance S.'!R33 -'E.Reorg. fin. stmts (Shash)'!R25</f>
        <v>1399.2537340397394</v>
      </c>
      <c r="S26" s="267">
        <f>'B. Integrated Fin - Balance S.'!S33 -'E.Reorg. fin. stmts (Shash)'!S25</f>
        <v>1442.3217181260479</v>
      </c>
      <c r="T26" s="267">
        <f>'B. Integrated Fin - Balance S.'!T33 -'E.Reorg. fin. stmts (Shash)'!T25</f>
        <v>1486.7153025721273</v>
      </c>
      <c r="U26" s="267">
        <f>'B. Integrated Fin - Balance S.'!U33 -'E.Reorg. fin. stmts (Shash)'!U25</f>
        <v>1532.4752883662659</v>
      </c>
      <c r="V26" s="267">
        <f>'B. Integrated Fin - Balance S.'!V33 -'E.Reorg. fin. stmts (Shash)'!V25</f>
        <v>1579.6437323206555</v>
      </c>
      <c r="W26" s="267">
        <f>'B. Integrated Fin - Balance S.'!W33 -'E.Reorg. fin. stmts (Shash)'!W25</f>
        <v>1628.2639857247414</v>
      </c>
    </row>
    <row r="27" spans="1:23">
      <c r="A27" t="s">
        <v>1504</v>
      </c>
      <c r="B27" s="331">
        <f>B25+B26</f>
        <v>86743</v>
      </c>
      <c r="C27" s="331">
        <f t="shared" ref="C27:L27" si="18">C25+C26</f>
        <v>86282</v>
      </c>
      <c r="D27" s="331">
        <f t="shared" si="18"/>
        <v>81149</v>
      </c>
      <c r="E27" s="331">
        <f t="shared" si="18"/>
        <v>81601</v>
      </c>
      <c r="F27" s="331">
        <f t="shared" si="18"/>
        <v>89427</v>
      </c>
      <c r="G27" s="331">
        <f t="shared" si="18"/>
        <v>95201</v>
      </c>
      <c r="H27" s="331">
        <f t="shared" si="18"/>
        <v>116054</v>
      </c>
      <c r="I27" s="331">
        <f t="shared" si="18"/>
        <v>102100</v>
      </c>
      <c r="J27" s="331">
        <f t="shared" si="18"/>
        <v>97684</v>
      </c>
      <c r="K27" s="331">
        <f t="shared" si="18"/>
        <v>99909</v>
      </c>
      <c r="L27" s="331">
        <f t="shared" si="18"/>
        <v>102734</v>
      </c>
      <c r="M27" s="82">
        <f>'B. Integrated Fin - Balance S.'!M33</f>
        <v>40269.45306006242</v>
      </c>
      <c r="N27" s="82">
        <f>'B. Integrated Fin - Balance S.'!N33</f>
        <v>41508.916726561307</v>
      </c>
      <c r="O27" s="82">
        <f>'B. Integrated Fin - Balance S.'!O33</f>
        <v>42786.530158299858</v>
      </c>
      <c r="P27" s="82">
        <f>'B. Integrated Fin - Balance S.'!P33</f>
        <v>44103.467576537776</v>
      </c>
      <c r="Q27" s="82">
        <f>'B. Integrated Fin - Balance S.'!Q33</f>
        <v>45460.9393441875</v>
      </c>
      <c r="R27" s="82">
        <f>'B. Integrated Fin - Balance S.'!R33</f>
        <v>46860.193078227239</v>
      </c>
      <c r="S27" s="82">
        <f>'B. Integrated Fin - Balance S.'!S33</f>
        <v>48302.514796353287</v>
      </c>
      <c r="T27" s="82">
        <f>'B. Integrated Fin - Balance S.'!T33</f>
        <v>49789.230098925414</v>
      </c>
      <c r="U27" s="82">
        <f>'B. Integrated Fin - Balance S.'!U33</f>
        <v>51321.70538729168</v>
      </c>
      <c r="V27" s="82">
        <f>'B. Integrated Fin - Balance S.'!V33</f>
        <v>52901.349119612336</v>
      </c>
      <c r="W27" s="82">
        <f>'B. Integrated Fin - Balance S.'!W33</f>
        <v>54529.613105337077</v>
      </c>
    </row>
    <row r="28" spans="1:23">
      <c r="M28" s="14"/>
    </row>
    <row r="29" spans="1:23">
      <c r="M29" s="14"/>
    </row>
    <row r="30" spans="1:23">
      <c r="M30" s="14"/>
    </row>
    <row r="31" spans="1:23">
      <c r="M31" s="14"/>
    </row>
    <row r="32" spans="1:23">
      <c r="M32" s="14"/>
    </row>
    <row r="33" spans="13:13">
      <c r="M33" s="51"/>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2"/>
  <sheetViews>
    <sheetView zoomScaleNormal="100" workbookViewId="0">
      <selection activeCell="B16" sqref="B16"/>
    </sheetView>
  </sheetViews>
  <sheetFormatPr defaultColWidth="8.85546875" defaultRowHeight="15"/>
  <cols>
    <col min="1" max="1" width="24.85546875" customWidth="1"/>
    <col min="2" max="12" width="10.7109375" customWidth="1"/>
  </cols>
  <sheetData>
    <row r="1" spans="1:23">
      <c r="A1" t="s">
        <v>1505</v>
      </c>
      <c r="K1" s="78"/>
    </row>
    <row r="2" spans="1:23">
      <c r="B2" s="261" t="s">
        <v>247</v>
      </c>
      <c r="C2" s="261" t="s">
        <v>248</v>
      </c>
      <c r="D2" s="261" t="s">
        <v>249</v>
      </c>
      <c r="E2" s="261" t="s">
        <v>250</v>
      </c>
      <c r="F2" s="261" t="s">
        <v>251</v>
      </c>
      <c r="G2" s="261" t="s">
        <v>252</v>
      </c>
      <c r="H2" s="261" t="s">
        <v>253</v>
      </c>
      <c r="I2" s="261" t="s">
        <v>254</v>
      </c>
      <c r="J2" s="261" t="s">
        <v>255</v>
      </c>
      <c r="K2" s="261" t="s">
        <v>256</v>
      </c>
      <c r="L2" s="260">
        <v>2025</v>
      </c>
    </row>
    <row r="3" spans="1:23">
      <c r="A3" s="17"/>
      <c r="B3" s="60">
        <f>'A.Raw Historical data - IS'!C7</f>
        <v>418952</v>
      </c>
      <c r="C3" s="60">
        <f>'A.Raw Historical data - IS'!D7</f>
        <v>443416</v>
      </c>
      <c r="D3" s="60">
        <f>'A.Raw Historical data - IS'!E7</f>
        <v>465604</v>
      </c>
      <c r="E3" s="60">
        <f>'A.Raw Historical data - IS'!F7</f>
        <v>473076</v>
      </c>
      <c r="F3" s="60">
        <f>'A.Raw Historical data - IS'!G7</f>
        <v>482229</v>
      </c>
      <c r="G3" s="60">
        <f>'A.Raw Historical data - IS'!H7</f>
        <v>478614</v>
      </c>
      <c r="H3" s="60">
        <f>'A.Raw Historical data - IS'!I7</f>
        <v>481317</v>
      </c>
      <c r="I3" s="60">
        <f>'A.Raw Historical data - IS'!J7</f>
        <v>495761</v>
      </c>
      <c r="J3" s="60">
        <f>'A.Raw Historical data - IS'!K7</f>
        <v>510329</v>
      </c>
      <c r="K3" s="150">
        <f>'A.Raw Historical data - IS'!L7</f>
        <v>519926</v>
      </c>
      <c r="L3" s="60"/>
      <c r="M3" s="328">
        <v>2026</v>
      </c>
      <c r="N3" s="328">
        <v>2027</v>
      </c>
      <c r="O3" s="328">
        <v>2028</v>
      </c>
      <c r="P3" s="328">
        <v>2029</v>
      </c>
      <c r="Q3" s="328">
        <v>2030</v>
      </c>
      <c r="R3" s="329">
        <v>2031</v>
      </c>
      <c r="S3" s="329">
        <v>2032</v>
      </c>
      <c r="T3" s="329">
        <v>2033</v>
      </c>
      <c r="U3" s="329">
        <v>2034</v>
      </c>
      <c r="V3" s="329">
        <v>2035</v>
      </c>
      <c r="W3" s="330" t="s">
        <v>1330</v>
      </c>
    </row>
    <row r="4" spans="1:23">
      <c r="A4" t="s">
        <v>179</v>
      </c>
      <c r="B4" s="5">
        <f>'E.Reorg. fin. stmts (Shash)'!B8</f>
        <v>19270.924772773098</v>
      </c>
      <c r="C4" s="5">
        <f>'E.Reorg. fin. stmts (Shash)'!C8</f>
        <v>17965.524373786859</v>
      </c>
      <c r="D4" s="5">
        <f>'E.Reorg. fin. stmts (Shash)'!D8</f>
        <v>16292.190116602433</v>
      </c>
      <c r="E4" s="5">
        <f>'E.Reorg. fin. stmts (Shash)'!E8</f>
        <v>16530.739117238638</v>
      </c>
      <c r="F4" s="5">
        <f>'E.Reorg. fin. stmts (Shash)'!F8</f>
        <v>14492.519895287958</v>
      </c>
      <c r="G4" s="5">
        <f>'E.Reorg. fin. stmts (Shash)'!G8</f>
        <v>16671.348000596547</v>
      </c>
      <c r="H4" s="5">
        <f>'E.Reorg. fin. stmts (Shash)'!H8</f>
        <v>21656.546975296635</v>
      </c>
      <c r="I4" s="5">
        <f>'E.Reorg. fin. stmts (Shash)'!I8</f>
        <v>20171.938596491225</v>
      </c>
      <c r="J4" s="5">
        <f>'E.Reorg. fin. stmts (Shash)'!J8</f>
        <v>16927.278561354018</v>
      </c>
      <c r="K4" s="5">
        <f>'E.Reorg. fin. stmts (Shash)'!K8</f>
        <v>20761.58238740388</v>
      </c>
      <c r="L4" s="5">
        <f>'E.Reorg. fin. stmts (Shash)'!L8</f>
        <v>23130.790832034669</v>
      </c>
      <c r="M4" s="5">
        <f>'E.Reorg. fin. stmts (Shash)'!M8</f>
        <v>24945.680038434002</v>
      </c>
      <c r="N4" s="5">
        <f>'E.Reorg. fin. stmts (Shash)'!N8</f>
        <v>26109.037078769241</v>
      </c>
      <c r="O4" s="5">
        <f>'E.Reorg. fin. stmts (Shash)'!O8</f>
        <v>27077.311753800568</v>
      </c>
      <c r="P4" s="5">
        <f>'E.Reorg. fin. stmts (Shash)'!P8</f>
        <v>28268.550186721564</v>
      </c>
      <c r="Q4" s="5">
        <f>'E.Reorg. fin. stmts (Shash)'!Q8</f>
        <v>29605.239904436952</v>
      </c>
      <c r="R4" s="5">
        <f>'E.Reorg. fin. stmts (Shash)'!R8</f>
        <v>31004.31094216448</v>
      </c>
      <c r="S4" s="5">
        <f>'E.Reorg. fin. stmts (Shash)'!S8</f>
        <v>32146.311152071139</v>
      </c>
      <c r="T4" s="5">
        <f>'E.Reorg. fin. stmts (Shash)'!T8</f>
        <v>33133.225950309876</v>
      </c>
      <c r="U4" s="5">
        <f>'E.Reorg. fin. stmts (Shash)'!U8</f>
        <v>34006.905961271266</v>
      </c>
      <c r="V4" s="5">
        <f>'E.Reorg. fin. stmts (Shash)'!V8</f>
        <v>34719.140001877553</v>
      </c>
      <c r="W4" s="5"/>
    </row>
    <row r="5" spans="1:23">
      <c r="A5" t="s">
        <v>1506</v>
      </c>
      <c r="B5" s="5">
        <f>'E.Reorg. fin. stmts (Shash)'!B14</f>
        <v>0</v>
      </c>
      <c r="C5" s="5">
        <f>'E.Reorg. fin. stmts (Shash)'!C14</f>
        <v>-1915</v>
      </c>
      <c r="D5" s="5">
        <f>'E.Reorg. fin. stmts (Shash)'!D14</f>
        <v>-5605</v>
      </c>
      <c r="E5" s="5">
        <f>'E.Reorg. fin. stmts (Shash)'!E14</f>
        <v>-5335</v>
      </c>
      <c r="F5" s="5">
        <f>'E.Reorg. fin. stmts (Shash)'!F14</f>
        <v>2299</v>
      </c>
      <c r="G5" s="5">
        <f>'E.Reorg. fin. stmts (Shash)'!G14</f>
        <v>323</v>
      </c>
      <c r="H5" s="5">
        <f>'E.Reorg. fin. stmts (Shash)'!H14</f>
        <v>-16734</v>
      </c>
      <c r="I5" s="5">
        <f>'E.Reorg. fin. stmts (Shash)'!I14</f>
        <v>18752</v>
      </c>
      <c r="J5" s="5">
        <f>'E.Reorg. fin. stmts (Shash)'!J14</f>
        <v>-3776</v>
      </c>
      <c r="K5" s="5">
        <f>'E.Reorg. fin. stmts (Shash)'!K14</f>
        <v>-928</v>
      </c>
      <c r="L5" s="5">
        <f>'E.Reorg. fin. stmts (Shash)'!L14</f>
        <v>72</v>
      </c>
      <c r="M5" s="5">
        <f>'E.Reorg. fin. stmts (Shash)'!M14</f>
        <v>1836.7503396311804</v>
      </c>
      <c r="N5" s="5">
        <f>'E.Reorg. fin. stmts (Shash)'!N14</f>
        <v>901.56376528340479</v>
      </c>
      <c r="O5" s="5">
        <f>'E.Reorg. fin. stmts (Shash)'!O14</f>
        <v>942.1341347211528</v>
      </c>
      <c r="P5" s="5">
        <f>'E.Reorg. fin. stmts (Shash)'!P14</f>
        <v>984.5301707836079</v>
      </c>
      <c r="Q5" s="5">
        <f>'E.Reorg. fin. stmts (Shash)'!Q14</f>
        <v>1028.8340284688675</v>
      </c>
      <c r="R5" s="5">
        <f>'E.Reorg. fin. stmts (Shash)'!R14</f>
        <v>1075.1315597499706</v>
      </c>
      <c r="S5" s="5">
        <f>'E.Reorg. fin. stmts (Shash)'!S14</f>
        <v>936.26039994892926</v>
      </c>
      <c r="T5" s="5">
        <f>'E.Reorg. fin. stmts (Shash)'!T14</f>
        <v>825.66464020496278</v>
      </c>
      <c r="U5" s="5">
        <f>'E.Reorg. fin. stmts (Shash)'!U14</f>
        <v>701.63281226828622</v>
      </c>
      <c r="V5" s="5">
        <f>'E.Reorg. fin. stmts (Shash)'!V14</f>
        <v>565.75410067811754</v>
      </c>
      <c r="W5" s="5"/>
    </row>
    <row r="6" spans="1:23">
      <c r="A6" t="s">
        <v>1501</v>
      </c>
      <c r="B6" s="269">
        <f>'E.Reorg. fin. stmts (Shash)'!B23</f>
        <v>-11034</v>
      </c>
      <c r="C6" s="269">
        <f>'E.Reorg. fin. stmts (Shash)'!C23</f>
        <v>-10207</v>
      </c>
      <c r="D6" s="269">
        <f>'E.Reorg. fin. stmts (Shash)'!D23</f>
        <v>-9707</v>
      </c>
      <c r="E6" s="269">
        <f>'E.Reorg. fin. stmts (Shash)'!E23</f>
        <v>-9295</v>
      </c>
      <c r="F6" s="269">
        <f>'E.Reorg. fin. stmts (Shash)'!F23</f>
        <v>-9306</v>
      </c>
      <c r="G6" s="269">
        <f>'E.Reorg. fin. stmts (Shash)'!G23</f>
        <v>-10063</v>
      </c>
      <c r="H6" s="269">
        <f>'E.Reorg. fin. stmts (Shash)'!H23</f>
        <v>-9834</v>
      </c>
      <c r="I6" s="269">
        <f>'E.Reorg. fin. stmts (Shash)'!I23</f>
        <v>-12318</v>
      </c>
      <c r="J6" s="269">
        <f>'E.Reorg. fin. stmts (Shash)'!J23</f>
        <v>-16517</v>
      </c>
      <c r="K6" s="269">
        <f>'E.Reorg. fin. stmts (Shash)'!K23</f>
        <v>-20106</v>
      </c>
      <c r="L6" s="269">
        <f>'E.Reorg. fin. stmts (Shash)'!L23</f>
        <v>-22919</v>
      </c>
      <c r="M6" s="269">
        <f>'E.Reorg. fin. stmts (Shash)'!M23</f>
        <v>-12909.20302467379</v>
      </c>
      <c r="N6" s="269">
        <f>'E.Reorg. fin. stmts (Shash)'!N23</f>
        <v>-10897.49491212379</v>
      </c>
      <c r="O6" s="269">
        <f>'E.Reorg. fin. stmts (Shash)'!O23</f>
        <v>-11387.882183169322</v>
      </c>
      <c r="P6" s="269">
        <f>'E.Reorg. fin. stmts (Shash)'!P23</f>
        <v>-11900.336881411997</v>
      </c>
      <c r="Q6" s="269">
        <f>'E.Reorg. fin. stmts (Shash)'!Q23</f>
        <v>-12435.852041075475</v>
      </c>
      <c r="R6" s="269">
        <f>'E.Reorg. fin. stmts (Shash)'!R23</f>
        <v>-12995.465382923929</v>
      </c>
      <c r="S6" s="269">
        <f>'E.Reorg. fin. stmts (Shash)'!S23</f>
        <v>-12339.591659950889</v>
      </c>
      <c r="T6" s="269">
        <f>'E.Reorg. fin. stmts (Shash)'!T23</f>
        <v>-11836.930263961785</v>
      </c>
      <c r="U6" s="269">
        <f>'E.Reorg. fin. stmts (Shash)'!U23</f>
        <v>-11218.064332735039</v>
      </c>
      <c r="V6" s="269">
        <f>'E.Reorg. fin. stmts (Shash)'!V23</f>
        <v>-10490.221025889896</v>
      </c>
      <c r="W6" s="269"/>
    </row>
    <row r="7" spans="1:23">
      <c r="A7" s="17" t="s">
        <v>1507</v>
      </c>
      <c r="B7" s="5">
        <f>B4-B5-B6</f>
        <v>30304.924772773098</v>
      </c>
      <c r="C7" s="5">
        <f t="shared" ref="C7:V7" si="0">C4-C5-C6</f>
        <v>30087.524373786859</v>
      </c>
      <c r="D7" s="5">
        <f t="shared" si="0"/>
        <v>31604.190116602433</v>
      </c>
      <c r="E7" s="5">
        <f t="shared" si="0"/>
        <v>31160.739117238638</v>
      </c>
      <c r="F7" s="5">
        <f t="shared" si="0"/>
        <v>21499.519895287958</v>
      </c>
      <c r="G7" s="5">
        <f t="shared" si="0"/>
        <v>26411.348000596547</v>
      </c>
      <c r="H7" s="5">
        <f t="shared" si="0"/>
        <v>48224.546975296631</v>
      </c>
      <c r="I7" s="5">
        <f t="shared" si="0"/>
        <v>13737.938596491225</v>
      </c>
      <c r="J7" s="5">
        <f t="shared" si="0"/>
        <v>37220.278561354018</v>
      </c>
      <c r="K7" s="5">
        <f t="shared" si="0"/>
        <v>41795.582387403876</v>
      </c>
      <c r="L7" s="5">
        <f t="shared" si="0"/>
        <v>45977.790832034669</v>
      </c>
      <c r="M7" s="5">
        <f t="shared" si="0"/>
        <v>36018.132723476614</v>
      </c>
      <c r="N7" s="5">
        <f t="shared" si="0"/>
        <v>36104.968225609628</v>
      </c>
      <c r="O7" s="5">
        <f t="shared" si="0"/>
        <v>37523.059802248739</v>
      </c>
      <c r="P7" s="5">
        <f t="shared" si="0"/>
        <v>39184.35689734995</v>
      </c>
      <c r="Q7" s="5">
        <f t="shared" si="0"/>
        <v>41012.257917043564</v>
      </c>
      <c r="R7" s="5">
        <f t="shared" si="0"/>
        <v>42924.644765338438</v>
      </c>
      <c r="S7" s="5">
        <f t="shared" si="0"/>
        <v>43549.642412073095</v>
      </c>
      <c r="T7" s="5">
        <f t="shared" si="0"/>
        <v>44144.491574066698</v>
      </c>
      <c r="U7" s="5">
        <f t="shared" si="0"/>
        <v>44523.337481738025</v>
      </c>
      <c r="V7" s="5">
        <f t="shared" si="0"/>
        <v>44643.606927089335</v>
      </c>
      <c r="W7" s="5">
        <f>IFERROR(
    V7 * (1 + G.Valuation!$L$6) /
    ('D.Market data &amp; WACC'!$B$3 - G.Valuation!$L$6),
    ""
)</f>
        <v>754941.83810438833</v>
      </c>
    </row>
    <row r="8" spans="1:23">
      <c r="D8" s="43"/>
      <c r="E8" s="43"/>
      <c r="F8" s="43"/>
      <c r="G8" s="43"/>
      <c r="H8" s="43"/>
      <c r="I8" s="43"/>
      <c r="J8" s="43"/>
      <c r="K8" s="144"/>
      <c r="L8" s="43"/>
      <c r="M8" s="43"/>
      <c r="N8" s="43"/>
      <c r="O8" s="43"/>
      <c r="P8" s="43"/>
      <c r="Q8" s="43"/>
      <c r="R8" s="43"/>
      <c r="S8" s="43"/>
      <c r="T8" s="43"/>
      <c r="U8" s="43"/>
      <c r="V8" s="43"/>
      <c r="W8" s="43"/>
    </row>
    <row r="9" spans="1:23">
      <c r="A9" t="s">
        <v>1508</v>
      </c>
      <c r="B9" s="5">
        <f>'E.Reorg. fin. stmts (Shash)'!B9</f>
        <v>1465.1822250897212</v>
      </c>
      <c r="C9" s="5">
        <f>'E.Reorg. fin. stmts (Shash)'!C9</f>
        <v>1412.66105924762</v>
      </c>
      <c r="D9" s="5">
        <f>'E.Reorg. fin. stmts (Shash)'!D9</f>
        <v>1425.3252671122602</v>
      </c>
      <c r="E9" s="5">
        <f>'E.Reorg. fin. stmts (Shash)'!E9</f>
        <v>1376.3468888448058</v>
      </c>
      <c r="F9" s="5">
        <f>'E.Reorg. fin. stmts (Shash)'!F9</f>
        <v>1237.2185863874347</v>
      </c>
      <c r="G9" s="5">
        <f>'E.Reorg. fin. stmts (Shash)'!G9</f>
        <v>1709.3190495128258</v>
      </c>
      <c r="H9" s="5">
        <f>'E.Reorg. fin. stmts (Shash)'!H9</f>
        <v>1317.0130324839524</v>
      </c>
      <c r="I9" s="5">
        <f>'E.Reorg. fin. stmts (Shash)'!I9</f>
        <v>1248.1578947368421</v>
      </c>
      <c r="J9" s="5">
        <f>'E.Reorg. fin. stmts (Shash)'!J9</f>
        <v>1185.8723554301832</v>
      </c>
      <c r="K9" s="5">
        <f>'E.Reorg. fin. stmts (Shash)'!K9</f>
        <v>1682.2560417429513</v>
      </c>
      <c r="L9" s="5">
        <f>'E.Reorg. fin. stmts (Shash)'!L9</f>
        <v>1723.1020943403398</v>
      </c>
      <c r="M9" s="5">
        <f>'E.Reorg. fin. stmts (Shash)'!M9</f>
        <v>965.77617929921951</v>
      </c>
      <c r="N9" s="5">
        <f>'E.Reorg. fin. stmts (Shash)'!N9</f>
        <v>1033.6103393039855</v>
      </c>
      <c r="O9" s="5">
        <f>'E.Reorg. fin. stmts (Shash)'!O9</f>
        <v>1065.7739600523305</v>
      </c>
      <c r="P9" s="5">
        <f>'E.Reorg. fin. stmts (Shash)'!P9</f>
        <v>1106.4426743535985</v>
      </c>
      <c r="Q9" s="5">
        <f>'E.Reorg. fin. stmts (Shash)'!Q9</f>
        <v>1137.998999207616</v>
      </c>
      <c r="R9" s="5">
        <f>'E.Reorg. fin. stmts (Shash)'!R9</f>
        <v>1161.2626422465662</v>
      </c>
      <c r="S9" s="5">
        <f>'E.Reorg. fin. stmts (Shash)'!S9</f>
        <v>1204.7948797426977</v>
      </c>
      <c r="T9" s="5">
        <f>'E.Reorg. fin. stmts (Shash)'!T9</f>
        <v>1242.292046980481</v>
      </c>
      <c r="U9" s="5">
        <f>'E.Reorg. fin. stmts (Shash)'!U9</f>
        <v>1280.9396314730404</v>
      </c>
      <c r="V9" s="5">
        <f>'E.Reorg. fin. stmts (Shash)'!V9</f>
        <v>1319.0059932787135</v>
      </c>
      <c r="W9" s="5"/>
    </row>
    <row r="10" spans="1:23">
      <c r="A10" t="s">
        <v>1509</v>
      </c>
      <c r="B10" s="205">
        <f>'E.Reorg. fin. stmts (Shash)'!B26</f>
        <v>-11306</v>
      </c>
      <c r="C10" s="205">
        <f>'E.Reorg. fin. stmts (Shash)'!C26</f>
        <v>-1923</v>
      </c>
      <c r="D10" s="205">
        <f>'E.Reorg. fin. stmts (Shash)'!D26</f>
        <v>-5264</v>
      </c>
      <c r="E10" s="205">
        <f>'E.Reorg. fin. stmts (Shash)'!E26</f>
        <v>2711</v>
      </c>
      <c r="F10" s="205">
        <f>'E.Reorg. fin. stmts (Shash)'!F26</f>
        <v>11982</v>
      </c>
      <c r="G10" s="205">
        <f>'E.Reorg. fin. stmts (Shash)'!G26</f>
        <v>-5727</v>
      </c>
      <c r="H10" s="205">
        <f>'E.Reorg. fin. stmts (Shash)'!H26</f>
        <v>-6030</v>
      </c>
      <c r="I10" s="205">
        <f>'E.Reorg. fin. stmts (Shash)'!I26</f>
        <v>-5679</v>
      </c>
      <c r="J10" s="205">
        <f>'E.Reorg. fin. stmts (Shash)'!J26</f>
        <v>2284</v>
      </c>
      <c r="K10" s="205">
        <f>'E.Reorg. fin. stmts (Shash)'!K26</f>
        <v>1774</v>
      </c>
      <c r="L10" s="205">
        <f>'E.Reorg. fin. stmts (Shash)'!L26</f>
        <v>956</v>
      </c>
      <c r="M10" s="205">
        <f>'E.Reorg. fin. stmts (Shash)'!M26</f>
        <v>1202.4530600624203</v>
      </c>
      <c r="N10" s="205">
        <f>'E.Reorg. fin. stmts (Shash)'!N26</f>
        <v>1239.4636664988866</v>
      </c>
      <c r="O10" s="205">
        <f>'E.Reorg. fin. stmts (Shash)'!O26</f>
        <v>1277.6134317385513</v>
      </c>
      <c r="P10" s="205">
        <f>'E.Reorg. fin. stmts (Shash)'!P26</f>
        <v>1316.9374182379179</v>
      </c>
      <c r="Q10" s="205">
        <f>'E.Reorg. fin. stmts (Shash)'!Q26</f>
        <v>1357.4717676497239</v>
      </c>
      <c r="R10" s="205">
        <f>'E.Reorg. fin. stmts (Shash)'!R26</f>
        <v>1399.2537340397394</v>
      </c>
      <c r="S10" s="205">
        <f>'E.Reorg. fin. stmts (Shash)'!S26</f>
        <v>1442.3217181260479</v>
      </c>
      <c r="T10" s="205">
        <f>'E.Reorg. fin. stmts (Shash)'!T26</f>
        <v>1486.7153025721273</v>
      </c>
      <c r="U10" s="205">
        <f>'E.Reorg. fin. stmts (Shash)'!U26</f>
        <v>1532.4752883662659</v>
      </c>
      <c r="V10" s="205">
        <f>'E.Reorg. fin. stmts (Shash)'!V26</f>
        <v>1579.6437323206555</v>
      </c>
      <c r="W10" s="205"/>
    </row>
    <row r="11" spans="1:23">
      <c r="A11" s="17" t="s">
        <v>1510</v>
      </c>
      <c r="B11" s="5">
        <f>B7-B9+B10</f>
        <v>17533.742547683378</v>
      </c>
      <c r="C11" s="5">
        <f t="shared" ref="C11:V11" si="1">C7-C9+C10</f>
        <v>26751.863314539238</v>
      </c>
      <c r="D11" s="5">
        <f t="shared" si="1"/>
        <v>24914.864849490172</v>
      </c>
      <c r="E11" s="5">
        <f t="shared" si="1"/>
        <v>32495.392228393834</v>
      </c>
      <c r="F11" s="5">
        <f t="shared" si="1"/>
        <v>32244.301308900525</v>
      </c>
      <c r="G11" s="5">
        <f t="shared" si="1"/>
        <v>18975.028951083721</v>
      </c>
      <c r="H11" s="5">
        <f t="shared" si="1"/>
        <v>40877.533942812675</v>
      </c>
      <c r="I11" s="5">
        <f t="shared" si="1"/>
        <v>6810.7807017543837</v>
      </c>
      <c r="J11" s="5">
        <f t="shared" si="1"/>
        <v>38318.406205923835</v>
      </c>
      <c r="K11" s="5">
        <f t="shared" si="1"/>
        <v>41887.326345660927</v>
      </c>
      <c r="L11" s="5">
        <f t="shared" si="1"/>
        <v>45210.688737694327</v>
      </c>
      <c r="M11" s="5">
        <f t="shared" si="1"/>
        <v>36254.809604239817</v>
      </c>
      <c r="N11" s="5">
        <f t="shared" si="1"/>
        <v>36310.821552804526</v>
      </c>
      <c r="O11" s="5">
        <f t="shared" si="1"/>
        <v>37734.899273934963</v>
      </c>
      <c r="P11" s="5">
        <f t="shared" si="1"/>
        <v>39394.851641234272</v>
      </c>
      <c r="Q11" s="5">
        <f t="shared" si="1"/>
        <v>41231.730685485672</v>
      </c>
      <c r="R11" s="5">
        <f t="shared" si="1"/>
        <v>43162.635857131609</v>
      </c>
      <c r="S11" s="5">
        <f t="shared" si="1"/>
        <v>43787.169250456449</v>
      </c>
      <c r="T11" s="5">
        <f t="shared" si="1"/>
        <v>44388.914829658344</v>
      </c>
      <c r="U11" s="5">
        <f t="shared" si="1"/>
        <v>44774.87313863125</v>
      </c>
      <c r="V11" s="5">
        <f t="shared" si="1"/>
        <v>44904.244666131279</v>
      </c>
      <c r="W11" s="5"/>
    </row>
    <row r="12" spans="1:23">
      <c r="D12" s="43"/>
      <c r="E12" s="43"/>
      <c r="F12" s="43"/>
      <c r="G12" s="43"/>
      <c r="H12" s="43"/>
      <c r="I12" s="43"/>
      <c r="J12" s="43"/>
      <c r="K12" s="144"/>
      <c r="L12" s="43"/>
      <c r="M12" s="43"/>
      <c r="N12" s="43"/>
      <c r="O12" s="43"/>
      <c r="P12" s="43"/>
      <c r="Q12" s="43"/>
      <c r="R12" s="43"/>
      <c r="S12" s="43"/>
      <c r="T12" s="43"/>
      <c r="U12" s="43"/>
      <c r="V12" s="43"/>
      <c r="W12" s="43"/>
    </row>
    <row r="13" spans="1:23">
      <c r="D13" s="43"/>
      <c r="E13" s="43"/>
      <c r="F13" s="43"/>
      <c r="G13" s="43"/>
      <c r="H13" s="43"/>
      <c r="I13" s="43"/>
      <c r="J13" s="43"/>
      <c r="K13" s="144"/>
      <c r="L13" s="43"/>
      <c r="M13" s="43"/>
      <c r="N13" s="43"/>
      <c r="O13" s="43"/>
      <c r="P13" s="43"/>
      <c r="Q13" s="43"/>
      <c r="R13" s="43"/>
      <c r="S13" s="43"/>
      <c r="T13" s="43"/>
      <c r="U13" s="43"/>
      <c r="V13" s="43"/>
      <c r="W13" s="43"/>
    </row>
    <row r="14" spans="1:23">
      <c r="A14" t="s">
        <v>179</v>
      </c>
      <c r="B14" s="5">
        <f>B4</f>
        <v>19270.924772773098</v>
      </c>
      <c r="C14" s="5">
        <f t="shared" ref="C14:V14" si="2">C4</f>
        <v>17965.524373786859</v>
      </c>
      <c r="D14" s="5">
        <f t="shared" si="2"/>
        <v>16292.190116602433</v>
      </c>
      <c r="E14" s="5">
        <f t="shared" si="2"/>
        <v>16530.739117238638</v>
      </c>
      <c r="F14" s="5">
        <f t="shared" si="2"/>
        <v>14492.519895287958</v>
      </c>
      <c r="G14" s="5">
        <f t="shared" si="2"/>
        <v>16671.348000596547</v>
      </c>
      <c r="H14" s="5">
        <f t="shared" si="2"/>
        <v>21656.546975296635</v>
      </c>
      <c r="I14" s="5">
        <f t="shared" si="2"/>
        <v>20171.938596491225</v>
      </c>
      <c r="J14" s="5">
        <f t="shared" si="2"/>
        <v>16927.278561354018</v>
      </c>
      <c r="K14" s="5">
        <f t="shared" si="2"/>
        <v>20761.58238740388</v>
      </c>
      <c r="L14" s="5">
        <f t="shared" si="2"/>
        <v>23130.790832034669</v>
      </c>
      <c r="M14" s="5">
        <f t="shared" si="2"/>
        <v>24945.680038434002</v>
      </c>
      <c r="N14" s="5">
        <f t="shared" si="2"/>
        <v>26109.037078769241</v>
      </c>
      <c r="O14" s="5">
        <f t="shared" si="2"/>
        <v>27077.311753800568</v>
      </c>
      <c r="P14" s="5">
        <f t="shared" si="2"/>
        <v>28268.550186721564</v>
      </c>
      <c r="Q14" s="5">
        <f t="shared" si="2"/>
        <v>29605.239904436952</v>
      </c>
      <c r="R14" s="5">
        <f t="shared" si="2"/>
        <v>31004.31094216448</v>
      </c>
      <c r="S14" s="5">
        <f t="shared" si="2"/>
        <v>32146.311152071139</v>
      </c>
      <c r="T14" s="5">
        <f t="shared" si="2"/>
        <v>33133.225950309876</v>
      </c>
      <c r="U14" s="5">
        <f t="shared" si="2"/>
        <v>34006.905961271266</v>
      </c>
      <c r="V14" s="5">
        <f t="shared" si="2"/>
        <v>34719.140001877553</v>
      </c>
      <c r="W14" s="5"/>
    </row>
    <row r="15" spans="1:23">
      <c r="A15" t="s">
        <v>195</v>
      </c>
      <c r="B15" s="5">
        <f>'E.Reorg. fin. stmts (Shash)'!B15 + 'E.Reorg. fin. stmts (Shash)'!B19</f>
        <v>156650</v>
      </c>
      <c r="C15" s="5">
        <f>'E.Reorg. fin. stmts (Shash)'!C15 + 'E.Reorg. fin. stmts (Shash)'!C19</f>
        <v>151110</v>
      </c>
      <c r="D15" s="5">
        <f>'E.Reorg. fin. stmts (Shash)'!D15 + 'E.Reorg. fin. stmts (Shash)'!D19</f>
        <v>147883</v>
      </c>
      <c r="E15" s="5">
        <f>'E.Reorg. fin. stmts (Shash)'!E15 + 'E.Reorg. fin. stmts (Shash)'!E19</f>
        <v>149593</v>
      </c>
      <c r="F15" s="5">
        <f>'E.Reorg. fin. stmts (Shash)'!F15 + 'E.Reorg. fin. stmts (Shash)'!F19</f>
        <v>188125</v>
      </c>
      <c r="G15" s="5">
        <f>'E.Reorg. fin. stmts (Shash)'!G15 + 'E.Reorg. fin. stmts (Shash)'!G19</f>
        <v>193995</v>
      </c>
      <c r="H15" s="5">
        <f>'E.Reorg. fin. stmts (Shash)'!H15 + 'E.Reorg. fin. stmts (Shash)'!H19</f>
        <v>155129</v>
      </c>
      <c r="I15" s="5">
        <f>'E.Reorg. fin. stmts (Shash)'!I15 + 'E.Reorg. fin. stmts (Shash)'!I19</f>
        <v>203010</v>
      </c>
      <c r="J15" s="5">
        <f>'E.Reorg. fin. stmts (Shash)'!J15 + 'E.Reorg. fin. stmts (Shash)'!J19</f>
        <v>179555</v>
      </c>
      <c r="K15" s="5">
        <f>'E.Reorg. fin. stmts (Shash)'!K15 + 'E.Reorg. fin. stmts (Shash)'!K19</f>
        <v>188944</v>
      </c>
      <c r="L15" s="5">
        <f>'E.Reorg. fin. stmts (Shash)'!L15 + 'E.Reorg. fin. stmts (Shash)'!L19</f>
        <v>197023</v>
      </c>
      <c r="M15" s="5">
        <f>'E.Reorg. fin. stmts (Shash)'!M15 + 'E.Reorg. fin. stmts (Shash)'!M19</f>
        <v>112708.80582104261</v>
      </c>
      <c r="N15" s="5">
        <f>'E.Reorg. fin. stmts (Shash)'!N15 + 'E.Reorg. fin. stmts (Shash)'!N19</f>
        <v>117780.70208298953</v>
      </c>
      <c r="O15" s="5">
        <f>'E.Reorg. fin. stmts (Shash)'!O15 + 'E.Reorg. fin. stmts (Shash)'!O19</f>
        <v>123080.83367672403</v>
      </c>
      <c r="P15" s="5">
        <f>'E.Reorg. fin. stmts (Shash)'!P15 + 'E.Reorg. fin. stmts (Shash)'!P19</f>
        <v>128619.47119217663</v>
      </c>
      <c r="Q15" s="5">
        <f>'E.Reorg. fin. stmts (Shash)'!Q15 + 'E.Reorg. fin. stmts (Shash)'!Q19</f>
        <v>134407.34739582453</v>
      </c>
      <c r="R15" s="5">
        <f>'E.Reorg. fin. stmts (Shash)'!R15 + 'E.Reorg. fin. stmts (Shash)'!R19</f>
        <v>140455.67802863664</v>
      </c>
      <c r="S15" s="5">
        <f>'E.Reorg. fin. stmts (Shash)'!S15 + 'E.Reorg. fin. stmts (Shash)'!S19</f>
        <v>145722.76595471048</v>
      </c>
      <c r="T15" s="5">
        <f>'E.Reorg. fin. stmts (Shash)'!T15 + 'E.Reorg. fin. stmts (Shash)'!T19</f>
        <v>150367.67911951689</v>
      </c>
      <c r="U15" s="5">
        <f>'E.Reorg. fin. stmts (Shash)'!U15 + 'E.Reorg. fin. stmts (Shash)'!U19</f>
        <v>154314.83069640415</v>
      </c>
      <c r="V15" s="5">
        <f>'E.Reorg. fin. stmts (Shash)'!V15 + 'E.Reorg. fin. stmts (Shash)'!V19</f>
        <v>157497.57407951751</v>
      </c>
      <c r="W15" s="5"/>
    </row>
    <row r="16" spans="1:23">
      <c r="A16" s="17" t="s">
        <v>1511</v>
      </c>
      <c r="B16" s="7">
        <f>IFERROR(B14/B15,"")</f>
        <v>0.12301898993152313</v>
      </c>
      <c r="C16" s="7">
        <f>IFERROR(C14/((C15+B15)/2),"")</f>
        <v>0.11675022338047088</v>
      </c>
      <c r="D16" s="7">
        <f t="shared" ref="D16:V16" si="3">IFERROR(D14/((D15+C15)/2),"")</f>
        <v>0.1089804116925977</v>
      </c>
      <c r="E16" s="7">
        <f t="shared" si="3"/>
        <v>0.11113998519032553</v>
      </c>
      <c r="F16" s="7">
        <f t="shared" si="3"/>
        <v>8.5826162036302237E-2</v>
      </c>
      <c r="G16" s="7">
        <f t="shared" si="3"/>
        <v>8.7257133887765861E-2</v>
      </c>
      <c r="H16" s="7">
        <f t="shared" si="3"/>
        <v>0.12406220698260008</v>
      </c>
      <c r="I16" s="7">
        <f t="shared" si="3"/>
        <v>0.11264865650761981</v>
      </c>
      <c r="J16" s="7">
        <f t="shared" si="3"/>
        <v>8.8493607942984942E-2</v>
      </c>
      <c r="K16" s="7">
        <f t="shared" si="3"/>
        <v>0.11268189269118169</v>
      </c>
      <c r="L16" s="7">
        <f t="shared" si="3"/>
        <v>0.11985890416556166</v>
      </c>
      <c r="M16" s="7">
        <f t="shared" si="3"/>
        <v>0.16107922770351302</v>
      </c>
      <c r="N16" s="7">
        <f t="shared" si="3"/>
        <v>0.2265529335039419</v>
      </c>
      <c r="O16" s="7">
        <f t="shared" si="3"/>
        <v>0.22483715939445997</v>
      </c>
      <c r="P16" s="7">
        <f t="shared" si="3"/>
        <v>0.2246207067682765</v>
      </c>
      <c r="Q16" s="7">
        <f t="shared" si="3"/>
        <v>0.22511194914165678</v>
      </c>
      <c r="R16" s="7">
        <f t="shared" si="3"/>
        <v>0.22559826585831708</v>
      </c>
      <c r="S16" s="7">
        <f t="shared" si="3"/>
        <v>0.22465920706411938</v>
      </c>
      <c r="T16" s="7">
        <f t="shared" si="3"/>
        <v>0.22380476304801833</v>
      </c>
      <c r="U16" s="7">
        <f t="shared" si="3"/>
        <v>0.2232284746624747</v>
      </c>
      <c r="V16" s="7">
        <f t="shared" si="3"/>
        <v>0.22269248734236749</v>
      </c>
      <c r="W16" s="7"/>
    </row>
    <row r="17" spans="11:23">
      <c r="K17" s="78"/>
    </row>
    <row r="18" spans="11:23">
      <c r="K18" s="78"/>
    </row>
    <row r="19" spans="11:23">
      <c r="K19" s="78"/>
    </row>
    <row r="20" spans="11:23">
      <c r="K20" s="78"/>
    </row>
    <row r="21" spans="11:23">
      <c r="K21" s="78"/>
      <c r="N21" s="7"/>
      <c r="O21" s="7"/>
      <c r="P21" s="7"/>
      <c r="Q21" s="7"/>
      <c r="R21" s="7"/>
      <c r="S21" s="7"/>
      <c r="T21" s="7"/>
      <c r="U21" s="7"/>
      <c r="V21" s="7"/>
      <c r="W21" s="7"/>
    </row>
    <row r="22" spans="11:23">
      <c r="K22" s="78"/>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21B4-4B77-4796-B75C-7ABD1643F089}">
  <dimension ref="A1:M36"/>
  <sheetViews>
    <sheetView tabSelected="1" zoomScaleNormal="100" workbookViewId="0">
      <selection activeCell="M11" sqref="M11"/>
    </sheetView>
  </sheetViews>
  <sheetFormatPr defaultColWidth="8.85546875" defaultRowHeight="15"/>
  <cols>
    <col min="1" max="1" width="34.7109375" customWidth="1"/>
    <col min="2" max="2" width="17" customWidth="1"/>
    <col min="12" max="12" width="13.28515625" customWidth="1"/>
  </cols>
  <sheetData>
    <row r="1" spans="1:13">
      <c r="A1" t="s">
        <v>1512</v>
      </c>
    </row>
    <row r="3" spans="1:13">
      <c r="A3" s="35" t="s">
        <v>1513</v>
      </c>
      <c r="K3" s="78"/>
    </row>
    <row r="4" spans="1:13">
      <c r="B4" s="74">
        <v>2026</v>
      </c>
      <c r="C4" s="56">
        <f t="shared" ref="C4:K4" si="0">B4+1</f>
        <v>2027</v>
      </c>
      <c r="D4" s="56">
        <f t="shared" si="0"/>
        <v>2028</v>
      </c>
      <c r="E4" s="56">
        <f t="shared" si="0"/>
        <v>2029</v>
      </c>
      <c r="F4" s="56">
        <f t="shared" si="0"/>
        <v>2030</v>
      </c>
      <c r="G4" s="57">
        <f t="shared" si="0"/>
        <v>2031</v>
      </c>
      <c r="H4" s="57">
        <f t="shared" si="0"/>
        <v>2032</v>
      </c>
      <c r="I4" s="57">
        <f t="shared" si="0"/>
        <v>2033</v>
      </c>
      <c r="J4" s="57">
        <f t="shared" si="0"/>
        <v>2034</v>
      </c>
      <c r="K4" s="57">
        <f t="shared" si="0"/>
        <v>2035</v>
      </c>
      <c r="L4" s="15" t="s">
        <v>1330</v>
      </c>
    </row>
    <row r="5" spans="1:13">
      <c r="A5" t="s">
        <v>1514</v>
      </c>
      <c r="B5" s="344">
        <v>1</v>
      </c>
      <c r="C5" s="341">
        <v>2</v>
      </c>
      <c r="D5" s="341">
        <v>3</v>
      </c>
      <c r="E5" s="341">
        <v>4</v>
      </c>
      <c r="F5" s="341">
        <v>5</v>
      </c>
      <c r="G5" s="341">
        <v>6</v>
      </c>
      <c r="H5" s="341">
        <v>7</v>
      </c>
      <c r="I5" s="341">
        <v>8</v>
      </c>
      <c r="J5" s="341">
        <v>9</v>
      </c>
      <c r="K5" s="342">
        <v>10</v>
      </c>
      <c r="L5" s="341">
        <v>11</v>
      </c>
    </row>
    <row r="6" spans="1:13">
      <c r="A6" t="s">
        <v>1515</v>
      </c>
      <c r="K6" s="78"/>
      <c r="L6" s="80">
        <v>1.4999999999999999E-2</v>
      </c>
    </row>
    <row r="7" spans="1:13">
      <c r="A7" t="s">
        <v>1432</v>
      </c>
      <c r="B7" s="32">
        <f>$L$7</f>
        <v>7.5022188126140199E-2</v>
      </c>
      <c r="C7" s="32">
        <f t="shared" ref="C7:K7" si="1">$L$7</f>
        <v>7.5022188126140199E-2</v>
      </c>
      <c r="D7" s="32">
        <f t="shared" si="1"/>
        <v>7.5022188126140199E-2</v>
      </c>
      <c r="E7" s="32">
        <f t="shared" si="1"/>
        <v>7.5022188126140199E-2</v>
      </c>
      <c r="F7" s="32">
        <f t="shared" si="1"/>
        <v>7.5022188126140199E-2</v>
      </c>
      <c r="G7" s="32">
        <f t="shared" si="1"/>
        <v>7.5022188126140199E-2</v>
      </c>
      <c r="H7" s="32">
        <f t="shared" si="1"/>
        <v>7.5022188126140199E-2</v>
      </c>
      <c r="I7" s="32">
        <f t="shared" si="1"/>
        <v>7.5022188126140199E-2</v>
      </c>
      <c r="J7" s="32">
        <f t="shared" si="1"/>
        <v>7.5022188126140199E-2</v>
      </c>
      <c r="K7" s="32">
        <f t="shared" si="1"/>
        <v>7.5022188126140199E-2</v>
      </c>
      <c r="L7" s="81">
        <f>'D.Market data &amp; WACC'!B3</f>
        <v>7.5022188126140199E-2</v>
      </c>
      <c r="M7" s="31"/>
    </row>
    <row r="8" spans="1:13">
      <c r="A8" t="s">
        <v>1507</v>
      </c>
      <c r="B8" s="5">
        <f>'F.ROIC &amp; FCF (Shash)'!M7</f>
        <v>36018.132723476614</v>
      </c>
      <c r="C8" s="5">
        <f>'F.ROIC &amp; FCF (Shash)'!N7</f>
        <v>36104.968225609628</v>
      </c>
      <c r="D8" s="5">
        <f>'F.ROIC &amp; FCF (Shash)'!O7</f>
        <v>37523.059802248739</v>
      </c>
      <c r="E8" s="5">
        <f>'F.ROIC &amp; FCF (Shash)'!P7</f>
        <v>39184.35689734995</v>
      </c>
      <c r="F8" s="5">
        <f>'F.ROIC &amp; FCF (Shash)'!Q7</f>
        <v>41012.257917043564</v>
      </c>
      <c r="G8" s="5">
        <f>'F.ROIC &amp; FCF (Shash)'!R7</f>
        <v>42924.644765338438</v>
      </c>
      <c r="H8" s="5">
        <f>'F.ROIC &amp; FCF (Shash)'!S7</f>
        <v>43549.642412073095</v>
      </c>
      <c r="I8" s="5">
        <f>'F.ROIC &amp; FCF (Shash)'!T7</f>
        <v>44144.491574066698</v>
      </c>
      <c r="J8" s="5">
        <f>'F.ROIC &amp; FCF (Shash)'!U7</f>
        <v>44523.337481738025</v>
      </c>
      <c r="K8" s="5">
        <f>'F.ROIC &amp; FCF (Shash)'!V7</f>
        <v>44643.606927089335</v>
      </c>
      <c r="L8" s="5">
        <f>'F.ROIC &amp; FCF (Shash)'!W7</f>
        <v>754941.83810438833</v>
      </c>
    </row>
    <row r="9" spans="1:13">
      <c r="A9" s="346" t="s">
        <v>1516</v>
      </c>
      <c r="B9" s="37">
        <f xml:space="preserve"> B8 / (1 + $B$7) ^ B5</f>
        <v>33504.548204962579</v>
      </c>
      <c r="C9" s="37">
        <f t="shared" ref="C9:L9" si="2" xml:space="preserve"> C8 / (1 + $B$7) ^ C5</f>
        <v>31241.516798434292</v>
      </c>
      <c r="D9" s="37">
        <f t="shared" si="2"/>
        <v>30202.71338691554</v>
      </c>
      <c r="E9" s="37">
        <f t="shared" si="2"/>
        <v>29338.844899883152</v>
      </c>
      <c r="F9" s="37">
        <f t="shared" si="2"/>
        <v>28564.494290025232</v>
      </c>
      <c r="G9" s="37">
        <f t="shared" si="2"/>
        <v>27810.073804892399</v>
      </c>
      <c r="H9" s="37">
        <f t="shared" si="2"/>
        <v>26245.968122382721</v>
      </c>
      <c r="I9" s="37">
        <f t="shared" si="2"/>
        <v>24747.828337733794</v>
      </c>
      <c r="J9" s="37">
        <f t="shared" si="2"/>
        <v>23218.323573483201</v>
      </c>
      <c r="K9" s="37">
        <f t="shared" si="2"/>
        <v>21656.336710003616</v>
      </c>
      <c r="L9" s="37">
        <f xml:space="preserve"> L8 / (1 + $B$7) ^ K5</f>
        <v>366217.60130535241</v>
      </c>
    </row>
    <row r="10" spans="1:13">
      <c r="A10" t="s">
        <v>1517</v>
      </c>
      <c r="B10" s="345"/>
      <c r="K10" s="79"/>
      <c r="L10" s="43">
        <f xml:space="preserve"> K8 * (1 + L6) / ($B$7 - L6)</f>
        <v>754941.83810438833</v>
      </c>
      <c r="M10" s="343"/>
    </row>
    <row r="11" spans="1:13">
      <c r="A11" s="17" t="s">
        <v>1518</v>
      </c>
      <c r="K11" s="86"/>
      <c r="L11" s="43">
        <f xml:space="preserve"> L10 / POWER(1 + $B$7, K5)</f>
        <v>366217.60130535241</v>
      </c>
    </row>
    <row r="12" spans="1:13">
      <c r="A12" t="s">
        <v>1519</v>
      </c>
      <c r="B12" s="5">
        <f xml:space="preserve"> SUM(B9:K9) + L11</f>
        <v>642748.24943406903</v>
      </c>
      <c r="K12" s="78"/>
      <c r="L12" s="43"/>
    </row>
    <row r="13" spans="1:13">
      <c r="A13" t="s">
        <v>1520</v>
      </c>
      <c r="B13" s="5">
        <f>'B. Integrated Fin - Balance S.'!L33</f>
        <v>39067</v>
      </c>
      <c r="C13" s="2"/>
      <c r="K13" s="78"/>
      <c r="L13" s="43"/>
    </row>
    <row r="14" spans="1:13">
      <c r="A14" t="s">
        <v>1293</v>
      </c>
      <c r="B14" s="5">
        <f>B12-B13</f>
        <v>603681.24943406903</v>
      </c>
      <c r="C14" s="5"/>
      <c r="D14" s="5"/>
      <c r="K14" s="78"/>
      <c r="L14" s="43"/>
    </row>
    <row r="15" spans="1:13">
      <c r="A15" t="s">
        <v>1521</v>
      </c>
      <c r="B15" s="205">
        <v>7973</v>
      </c>
      <c r="K15" s="78"/>
      <c r="L15" s="43"/>
    </row>
    <row r="16" spans="1:13">
      <c r="A16" s="17" t="s">
        <v>1522</v>
      </c>
      <c r="B16" s="347">
        <f>B14/B15</f>
        <v>75.715696655470836</v>
      </c>
      <c r="K16" s="78"/>
      <c r="L16" s="43"/>
    </row>
    <row r="17" spans="1:12">
      <c r="A17" t="s">
        <v>1523</v>
      </c>
      <c r="B17" s="347">
        <v>101.96</v>
      </c>
      <c r="K17" s="78"/>
      <c r="L17" s="43"/>
    </row>
    <row r="18" spans="1:12">
      <c r="B18" s="36"/>
      <c r="K18" s="78"/>
      <c r="L18" s="43"/>
    </row>
    <row r="19" spans="1:12">
      <c r="A19" s="35" t="s">
        <v>1524</v>
      </c>
      <c r="K19" s="78"/>
      <c r="L19" s="43"/>
    </row>
    <row r="20" spans="1:12">
      <c r="B20" s="74">
        <v>2026</v>
      </c>
      <c r="C20" s="56">
        <f t="shared" ref="C20:K20" si="3">B20+1</f>
        <v>2027</v>
      </c>
      <c r="D20" s="56">
        <f t="shared" si="3"/>
        <v>2028</v>
      </c>
      <c r="E20" s="56">
        <f t="shared" si="3"/>
        <v>2029</v>
      </c>
      <c r="F20" s="56">
        <f t="shared" si="3"/>
        <v>2030</v>
      </c>
      <c r="G20" s="57">
        <f t="shared" si="3"/>
        <v>2031</v>
      </c>
      <c r="H20" s="57">
        <f t="shared" si="3"/>
        <v>2032</v>
      </c>
      <c r="I20" s="57">
        <f t="shared" si="3"/>
        <v>2033</v>
      </c>
      <c r="J20" s="57">
        <f t="shared" si="3"/>
        <v>2034</v>
      </c>
      <c r="K20" s="57">
        <f t="shared" si="3"/>
        <v>2035</v>
      </c>
      <c r="L20" s="15" t="s">
        <v>1330</v>
      </c>
    </row>
    <row r="21" spans="1:12">
      <c r="A21" t="s">
        <v>1514</v>
      </c>
      <c r="B21" s="16">
        <v>1</v>
      </c>
      <c r="C21" s="16">
        <v>2</v>
      </c>
      <c r="D21" s="16">
        <v>3</v>
      </c>
      <c r="E21" s="16">
        <v>4</v>
      </c>
      <c r="F21" s="16">
        <v>5</v>
      </c>
      <c r="G21" s="16">
        <v>6</v>
      </c>
      <c r="H21" s="16">
        <v>7</v>
      </c>
      <c r="I21" s="16">
        <v>8</v>
      </c>
      <c r="J21" s="16">
        <v>9</v>
      </c>
      <c r="K21" s="84">
        <v>10</v>
      </c>
      <c r="L21" s="83">
        <v>11</v>
      </c>
    </row>
    <row r="22" spans="1:12">
      <c r="A22" t="s">
        <v>1515</v>
      </c>
      <c r="K22" s="78"/>
      <c r="L22" s="80">
        <v>1.4999999999999999E-2</v>
      </c>
    </row>
    <row r="23" spans="1:12">
      <c r="A23" t="s">
        <v>1433</v>
      </c>
      <c r="B23" s="31">
        <v>8.02752753508226E-2</v>
      </c>
      <c r="C23" s="31">
        <v>8.02752753508226E-2</v>
      </c>
      <c r="D23" s="31">
        <v>8.02752753508226E-2</v>
      </c>
      <c r="E23" s="31">
        <v>8.02752753508226E-2</v>
      </c>
      <c r="F23" s="31">
        <v>8.02752753508226E-2</v>
      </c>
      <c r="G23" s="31">
        <v>8.02752753508226E-2</v>
      </c>
      <c r="H23" s="31">
        <v>8.02752753508226E-2</v>
      </c>
      <c r="I23" s="31">
        <v>8.02752753508226E-2</v>
      </c>
      <c r="J23" s="31">
        <v>8.02752753508226E-2</v>
      </c>
      <c r="K23" s="31">
        <v>8.02752753508226E-2</v>
      </c>
      <c r="L23" s="33">
        <f>'D.Market data &amp; WACC'!B4</f>
        <v>8.02752753508226E-2</v>
      </c>
    </row>
    <row r="24" spans="1:12">
      <c r="A24" t="s">
        <v>1510</v>
      </c>
      <c r="B24" s="5">
        <f>'F.ROIC &amp; FCF (Shash)'!M11</f>
        <v>36254.809604239817</v>
      </c>
      <c r="C24" s="5">
        <f>'F.ROIC &amp; FCF (Shash)'!N11</f>
        <v>36310.821552804526</v>
      </c>
      <c r="D24" s="5">
        <f>'F.ROIC &amp; FCF (Shash)'!O11</f>
        <v>37734.899273934963</v>
      </c>
      <c r="E24" s="5">
        <f>'F.ROIC &amp; FCF (Shash)'!P11</f>
        <v>39394.851641234272</v>
      </c>
      <c r="F24" s="5">
        <f>'F.ROIC &amp; FCF (Shash)'!Q11</f>
        <v>41231.730685485672</v>
      </c>
      <c r="G24" s="5">
        <f>'F.ROIC &amp; FCF (Shash)'!R11</f>
        <v>43162.635857131609</v>
      </c>
      <c r="H24" s="5">
        <f>'F.ROIC &amp; FCF (Shash)'!S11</f>
        <v>43787.169250456449</v>
      </c>
      <c r="I24" s="5">
        <f>'F.ROIC &amp; FCF (Shash)'!T11</f>
        <v>44388.914829658344</v>
      </c>
      <c r="J24" s="5">
        <f>'F.ROIC &amp; FCF (Shash)'!U11</f>
        <v>44774.87313863125</v>
      </c>
      <c r="K24" s="5">
        <f>'F.ROIC &amp; FCF (Shash)'!V11</f>
        <v>44904.244666131279</v>
      </c>
      <c r="L24" s="5">
        <f xml:space="preserve"> K24 * (1 + L22) / ($B$23 - L22)</f>
        <v>698240.00115150597</v>
      </c>
    </row>
    <row r="25" spans="1:12">
      <c r="A25" s="346" t="s">
        <v>1525</v>
      </c>
      <c r="B25" s="37">
        <f xml:space="preserve"> B24 / (1 + $B$23) ^ B21</f>
        <v>33560.714043433014</v>
      </c>
      <c r="C25" s="37">
        <f t="shared" ref="C25:L25" si="4" xml:space="preserve"> C24 / (1 + $B$23) ^ C21</f>
        <v>31114.813520253709</v>
      </c>
      <c r="D25" s="37">
        <f t="shared" si="4"/>
        <v>29932.285986252406</v>
      </c>
      <c r="E25" s="37">
        <f t="shared" si="4"/>
        <v>28926.888653332429</v>
      </c>
      <c r="F25" s="37">
        <f t="shared" si="4"/>
        <v>28025.888043091585</v>
      </c>
      <c r="G25" s="37">
        <f t="shared" si="4"/>
        <v>27158.22238560121</v>
      </c>
      <c r="H25" s="37">
        <f t="shared" si="4"/>
        <v>25503.854109209777</v>
      </c>
      <c r="I25" s="37">
        <f t="shared" si="4"/>
        <v>23933.104506399613</v>
      </c>
      <c r="J25" s="37">
        <f t="shared" si="4"/>
        <v>22347.267977633768</v>
      </c>
      <c r="K25" s="37">
        <f t="shared" si="4"/>
        <v>20746.413613757537</v>
      </c>
      <c r="L25" s="37">
        <f xml:space="preserve"> L24 / (1 + $B$23) ^ K21</f>
        <v>322597.02781473642</v>
      </c>
    </row>
    <row r="26" spans="1:12">
      <c r="A26" t="s">
        <v>1517</v>
      </c>
      <c r="K26" s="79"/>
      <c r="L26">
        <f>K24*(1+L22)/($B$23-L22)</f>
        <v>698240.00115150597</v>
      </c>
    </row>
    <row r="27" spans="1:12">
      <c r="A27" s="17" t="s">
        <v>1518</v>
      </c>
      <c r="K27" s="86"/>
      <c r="L27">
        <f xml:space="preserve"> L26 / (1 + $B$23) ^ K21</f>
        <v>322597.02781473642</v>
      </c>
    </row>
    <row r="28" spans="1:12">
      <c r="A28" t="s">
        <v>1526</v>
      </c>
      <c r="B28" s="5">
        <f xml:space="preserve"> SUM(B25:K25) + L27</f>
        <v>593846.48065370147</v>
      </c>
      <c r="K28" s="78"/>
    </row>
    <row r="29" spans="1:12">
      <c r="A29" t="s">
        <v>1521</v>
      </c>
      <c r="B29" s="205">
        <v>7973</v>
      </c>
      <c r="C29" s="2"/>
      <c r="D29" s="2"/>
      <c r="E29" s="2"/>
      <c r="F29" s="2"/>
      <c r="G29" s="2"/>
      <c r="H29" s="2"/>
      <c r="I29" s="2"/>
      <c r="J29" s="2"/>
      <c r="K29" s="87"/>
      <c r="L29" s="2"/>
    </row>
    <row r="30" spans="1:12">
      <c r="A30" s="17" t="s">
        <v>1522</v>
      </c>
      <c r="B30" s="347">
        <f xml:space="preserve"> B28 / B29</f>
        <v>74.482187464405044</v>
      </c>
      <c r="K30" s="78"/>
    </row>
    <row r="31" spans="1:12">
      <c r="A31" t="s">
        <v>1523</v>
      </c>
      <c r="B31" s="347">
        <v>101.96</v>
      </c>
      <c r="K31" s="78"/>
    </row>
    <row r="32" spans="1:12">
      <c r="K32" s="78"/>
    </row>
    <row r="33" spans="11:11">
      <c r="K33" s="78"/>
    </row>
    <row r="34" spans="11:11">
      <c r="K34" s="78"/>
    </row>
    <row r="35" spans="11:11">
      <c r="K35" s="78"/>
    </row>
    <row r="36" spans="11:11">
      <c r="K36" s="78"/>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6"/>
  <sheetViews>
    <sheetView zoomScaleNormal="100" workbookViewId="0">
      <selection activeCell="L22" sqref="L22"/>
    </sheetView>
  </sheetViews>
  <sheetFormatPr defaultColWidth="8.85546875" defaultRowHeight="15"/>
  <cols>
    <col min="1" max="1" width="34.7109375" customWidth="1"/>
  </cols>
  <sheetData>
    <row r="1" spans="1:13">
      <c r="A1" t="s">
        <v>1512</v>
      </c>
    </row>
    <row r="3" spans="1:13">
      <c r="A3" s="35" t="s">
        <v>1513</v>
      </c>
      <c r="K3" s="78"/>
    </row>
    <row r="4" spans="1:13">
      <c r="B4" s="74">
        <v>2026</v>
      </c>
      <c r="C4" s="56">
        <f t="shared" ref="C4:K4" si="0">B4+1</f>
        <v>2027</v>
      </c>
      <c r="D4" s="56">
        <f t="shared" si="0"/>
        <v>2028</v>
      </c>
      <c r="E4" s="56">
        <f t="shared" si="0"/>
        <v>2029</v>
      </c>
      <c r="F4" s="56">
        <f t="shared" si="0"/>
        <v>2030</v>
      </c>
      <c r="G4" s="57">
        <f t="shared" si="0"/>
        <v>2031</v>
      </c>
      <c r="H4" s="57">
        <f t="shared" si="0"/>
        <v>2032</v>
      </c>
      <c r="I4" s="57">
        <f t="shared" si="0"/>
        <v>2033</v>
      </c>
      <c r="J4" s="57">
        <f t="shared" si="0"/>
        <v>2034</v>
      </c>
      <c r="K4" s="57">
        <f t="shared" si="0"/>
        <v>2035</v>
      </c>
      <c r="L4" s="15" t="s">
        <v>1330</v>
      </c>
    </row>
    <row r="5" spans="1:13">
      <c r="A5" t="s">
        <v>1514</v>
      </c>
      <c r="B5" s="16">
        <v>1</v>
      </c>
      <c r="C5" s="16">
        <v>2</v>
      </c>
      <c r="D5" s="16">
        <v>3</v>
      </c>
      <c r="E5" s="16">
        <v>4</v>
      </c>
      <c r="F5" s="16">
        <v>5</v>
      </c>
      <c r="G5" s="16">
        <v>6</v>
      </c>
      <c r="H5" s="16">
        <v>7</v>
      </c>
      <c r="I5" s="16">
        <v>8</v>
      </c>
      <c r="J5" s="16">
        <v>9</v>
      </c>
      <c r="K5" s="84">
        <v>10</v>
      </c>
      <c r="L5" s="16">
        <v>11</v>
      </c>
    </row>
    <row r="6" spans="1:13">
      <c r="A6" t="s">
        <v>1515</v>
      </c>
      <c r="K6" s="78"/>
      <c r="L6" s="80">
        <v>1.4999999999999999E-2</v>
      </c>
    </row>
    <row r="7" spans="1:13">
      <c r="A7" t="s">
        <v>1432</v>
      </c>
      <c r="B7" s="33"/>
      <c r="C7" s="33"/>
      <c r="D7" s="33"/>
      <c r="E7" s="33"/>
      <c r="F7" s="33"/>
      <c r="G7" s="33"/>
      <c r="H7" s="33"/>
      <c r="I7" s="33"/>
      <c r="J7" s="33"/>
      <c r="K7" s="85"/>
      <c r="L7" s="81">
        <f>'D.Market data &amp; WACC'!B3</f>
        <v>7.5022188126140199E-2</v>
      </c>
      <c r="M7" s="31"/>
    </row>
    <row r="8" spans="1:13">
      <c r="A8" t="s">
        <v>1507</v>
      </c>
      <c r="B8" s="5"/>
      <c r="C8" s="5"/>
      <c r="D8" s="5"/>
      <c r="E8" s="5"/>
      <c r="F8" s="5"/>
      <c r="G8" s="5"/>
      <c r="H8" s="5"/>
      <c r="I8" s="5"/>
      <c r="J8" s="5"/>
      <c r="K8" s="79"/>
      <c r="L8" s="5"/>
    </row>
    <row r="9" spans="1:13" ht="17.100000000000001">
      <c r="A9" s="17" t="s">
        <v>1527</v>
      </c>
      <c r="B9" s="37"/>
      <c r="C9" s="37"/>
      <c r="D9" s="37"/>
      <c r="E9" s="37"/>
      <c r="F9" s="37"/>
      <c r="G9" s="37"/>
      <c r="H9" s="37"/>
      <c r="I9" s="37"/>
      <c r="J9" s="37"/>
      <c r="K9" s="86"/>
      <c r="L9" s="82"/>
    </row>
    <row r="10" spans="1:13">
      <c r="A10" t="s">
        <v>1517</v>
      </c>
      <c r="K10" s="79"/>
      <c r="L10" s="43"/>
    </row>
    <row r="11" spans="1:13">
      <c r="A11" s="17" t="s">
        <v>1518</v>
      </c>
      <c r="K11" s="86"/>
      <c r="L11" s="43"/>
    </row>
    <row r="12" spans="1:13">
      <c r="A12" t="s">
        <v>1519</v>
      </c>
      <c r="B12" s="5"/>
      <c r="K12" s="78"/>
      <c r="L12" s="43"/>
    </row>
    <row r="13" spans="1:13">
      <c r="A13" t="s">
        <v>1520</v>
      </c>
      <c r="B13" s="5"/>
      <c r="C13" s="2"/>
      <c r="K13" s="78"/>
      <c r="L13" s="43"/>
    </row>
    <row r="14" spans="1:13">
      <c r="A14" t="s">
        <v>1293</v>
      </c>
      <c r="B14" s="5"/>
      <c r="C14" s="5"/>
      <c r="D14" s="5"/>
      <c r="K14" s="78"/>
      <c r="L14" s="43"/>
    </row>
    <row r="15" spans="1:13">
      <c r="A15" t="s">
        <v>1521</v>
      </c>
      <c r="B15" s="2"/>
      <c r="K15" s="78"/>
      <c r="L15" s="43"/>
    </row>
    <row r="16" spans="1:13">
      <c r="A16" s="17" t="s">
        <v>1522</v>
      </c>
      <c r="B16" s="36"/>
      <c r="K16" s="78"/>
      <c r="L16" s="43"/>
    </row>
    <row r="17" spans="1:12">
      <c r="A17" t="s">
        <v>1528</v>
      </c>
      <c r="B17" s="36">
        <v>231.61</v>
      </c>
      <c r="K17" s="78"/>
      <c r="L17" s="43"/>
    </row>
    <row r="18" spans="1:12">
      <c r="B18" s="36"/>
      <c r="K18" s="78"/>
      <c r="L18" s="43"/>
    </row>
    <row r="19" spans="1:12">
      <c r="A19" s="35" t="s">
        <v>1524</v>
      </c>
      <c r="K19" s="78"/>
      <c r="L19" s="43"/>
    </row>
    <row r="20" spans="1:12">
      <c r="B20" s="74">
        <v>2026</v>
      </c>
      <c r="C20" s="56">
        <f t="shared" ref="C20:K20" si="1">B20+1</f>
        <v>2027</v>
      </c>
      <c r="D20" s="56">
        <f t="shared" si="1"/>
        <v>2028</v>
      </c>
      <c r="E20" s="56">
        <f t="shared" si="1"/>
        <v>2029</v>
      </c>
      <c r="F20" s="56">
        <f t="shared" si="1"/>
        <v>2030</v>
      </c>
      <c r="G20" s="57">
        <f t="shared" si="1"/>
        <v>2031</v>
      </c>
      <c r="H20" s="57">
        <f t="shared" si="1"/>
        <v>2032</v>
      </c>
      <c r="I20" s="57">
        <f t="shared" si="1"/>
        <v>2033</v>
      </c>
      <c r="J20" s="57">
        <f t="shared" si="1"/>
        <v>2034</v>
      </c>
      <c r="K20" s="57">
        <f t="shared" si="1"/>
        <v>2035</v>
      </c>
      <c r="L20" s="15" t="s">
        <v>1330</v>
      </c>
    </row>
    <row r="21" spans="1:12">
      <c r="A21" t="s">
        <v>1514</v>
      </c>
      <c r="B21" s="16">
        <v>1</v>
      </c>
      <c r="C21" s="16">
        <v>2</v>
      </c>
      <c r="D21" s="16">
        <v>3</v>
      </c>
      <c r="E21" s="16">
        <v>4</v>
      </c>
      <c r="F21" s="16">
        <v>5</v>
      </c>
      <c r="G21" s="16">
        <v>6</v>
      </c>
      <c r="H21" s="16">
        <v>7</v>
      </c>
      <c r="I21" s="16">
        <v>8</v>
      </c>
      <c r="J21" s="16">
        <v>9</v>
      </c>
      <c r="K21" s="84">
        <v>10</v>
      </c>
      <c r="L21" s="83">
        <v>11</v>
      </c>
    </row>
    <row r="22" spans="1:12">
      <c r="A22" t="s">
        <v>1515</v>
      </c>
      <c r="K22" s="78"/>
      <c r="L22" s="80">
        <v>1.4999999999999999E-2</v>
      </c>
    </row>
    <row r="23" spans="1:12">
      <c r="A23" t="s">
        <v>1433</v>
      </c>
      <c r="B23" s="31"/>
      <c r="C23" s="31"/>
      <c r="D23" s="31"/>
      <c r="E23" s="31"/>
      <c r="F23" s="31"/>
      <c r="G23" s="31"/>
      <c r="H23" s="31"/>
      <c r="I23" s="31"/>
      <c r="J23" s="33"/>
      <c r="K23" s="85"/>
      <c r="L23" s="33">
        <f>'D.Market data &amp; WACC'!B4</f>
        <v>8.02752753508226E-2</v>
      </c>
    </row>
    <row r="24" spans="1:12">
      <c r="A24" t="s">
        <v>1510</v>
      </c>
      <c r="B24" s="5"/>
      <c r="C24" s="5"/>
      <c r="D24" s="5"/>
      <c r="E24" s="5"/>
      <c r="F24" s="5"/>
      <c r="G24" s="5"/>
      <c r="H24" s="5"/>
      <c r="I24" s="5"/>
      <c r="J24" s="5"/>
      <c r="K24" s="79"/>
      <c r="L24" s="5"/>
    </row>
    <row r="25" spans="1:12" ht="17.100000000000001">
      <c r="A25" s="17" t="s">
        <v>1529</v>
      </c>
      <c r="B25" s="37"/>
      <c r="C25" s="37"/>
      <c r="D25" s="37"/>
      <c r="E25" s="37"/>
      <c r="F25" s="37"/>
      <c r="G25" s="37"/>
      <c r="H25" s="37"/>
      <c r="I25" s="37"/>
      <c r="J25" s="37"/>
      <c r="K25" s="86"/>
      <c r="L25" s="5"/>
    </row>
    <row r="26" spans="1:12">
      <c r="A26" t="s">
        <v>1517</v>
      </c>
      <c r="K26" s="79"/>
    </row>
    <row r="27" spans="1:12">
      <c r="A27" s="17" t="s">
        <v>1518</v>
      </c>
      <c r="K27" s="86"/>
    </row>
    <row r="28" spans="1:12">
      <c r="A28" t="s">
        <v>1526</v>
      </c>
      <c r="B28" s="5"/>
      <c r="K28" s="78"/>
    </row>
    <row r="29" spans="1:12">
      <c r="A29" t="s">
        <v>1521</v>
      </c>
      <c r="B29" s="2"/>
      <c r="C29" s="2"/>
      <c r="D29" s="2"/>
      <c r="E29" s="2"/>
      <c r="F29" s="2"/>
      <c r="G29" s="2"/>
      <c r="H29" s="2"/>
      <c r="I29" s="2"/>
      <c r="J29" s="2"/>
      <c r="K29" s="87"/>
      <c r="L29" s="2"/>
    </row>
    <row r="30" spans="1:12">
      <c r="A30" s="17" t="s">
        <v>1522</v>
      </c>
      <c r="B30" s="36"/>
      <c r="K30" s="78"/>
    </row>
    <row r="31" spans="1:12">
      <c r="A31" t="s">
        <v>1528</v>
      </c>
      <c r="B31" s="36">
        <v>231.61</v>
      </c>
      <c r="K31" s="78"/>
    </row>
    <row r="32" spans="1:12">
      <c r="K32" s="78"/>
    </row>
    <row r="33" spans="11:11">
      <c r="K33" s="78"/>
    </row>
    <row r="34" spans="11:11">
      <c r="K34" s="78"/>
    </row>
    <row r="35" spans="11:11">
      <c r="K35" s="78"/>
    </row>
    <row r="36" spans="11:11">
      <c r="K36" s="78"/>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AB8B-B77E-3849-A10D-EC123DE6C52B}">
  <dimension ref="A1:K11"/>
  <sheetViews>
    <sheetView workbookViewId="0">
      <selection activeCell="B4" sqref="B4"/>
    </sheetView>
  </sheetViews>
  <sheetFormatPr defaultRowHeight="15"/>
  <cols>
    <col min="1" max="1" width="32.28515625" customWidth="1"/>
  </cols>
  <sheetData>
    <row r="1" spans="1:11" ht="18">
      <c r="A1" s="339" t="s">
        <v>1530</v>
      </c>
    </row>
    <row r="2" spans="1:11">
      <c r="A2" t="s">
        <v>1379</v>
      </c>
    </row>
    <row r="3" spans="1:11">
      <c r="A3" t="s">
        <v>1531</v>
      </c>
    </row>
    <row r="4" spans="1:11">
      <c r="A4" t="s">
        <v>1532</v>
      </c>
      <c r="B4" t="s">
        <v>1533</v>
      </c>
    </row>
    <row r="5" spans="1:11">
      <c r="A5" t="s">
        <v>669</v>
      </c>
      <c r="B5" s="205">
        <v>7973</v>
      </c>
    </row>
    <row r="7" spans="1:11" ht="18">
      <c r="A7" s="339" t="s">
        <v>1534</v>
      </c>
    </row>
    <row r="8" spans="1:11">
      <c r="A8" t="s">
        <v>1535</v>
      </c>
      <c r="B8">
        <v>2026</v>
      </c>
      <c r="C8">
        <v>2027</v>
      </c>
      <c r="D8">
        <v>2028</v>
      </c>
      <c r="E8">
        <v>2029</v>
      </c>
      <c r="F8">
        <v>2030</v>
      </c>
      <c r="G8">
        <v>2031</v>
      </c>
      <c r="H8">
        <v>2032</v>
      </c>
      <c r="I8">
        <v>2033</v>
      </c>
      <c r="J8">
        <v>2034</v>
      </c>
      <c r="K8">
        <v>2035</v>
      </c>
    </row>
    <row r="9" spans="1:11">
      <c r="A9" t="s">
        <v>1149</v>
      </c>
    </row>
    <row r="10" spans="1:11">
      <c r="A10" t="s">
        <v>1536</v>
      </c>
    </row>
    <row r="11" spans="1:11">
      <c r="A11" t="s">
        <v>1537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5E3C7391968704C97B39F54CD835DD5" ma:contentTypeVersion="3" ma:contentTypeDescription="Create a new document." ma:contentTypeScope="" ma:versionID="d13ddb869a980aff3c25569f43c76d91">
  <xsd:schema xmlns:xsd="http://www.w3.org/2001/XMLSchema" xmlns:xs="http://www.w3.org/2001/XMLSchema" xmlns:p="http://schemas.microsoft.com/office/2006/metadata/properties" xmlns:ns2="5b72cad5-02e2-4d33-a0d3-9e46d95d210f" targetNamespace="http://schemas.microsoft.com/office/2006/metadata/properties" ma:root="true" ma:fieldsID="27c3559ad729ae202e4501d887481991" ns2:_="">
    <xsd:import namespace="5b72cad5-02e2-4d33-a0d3-9e46d95d210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2cad5-02e2-4d33-a0d3-9e46d95d21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F3CBEC-5213-43B1-8B3F-3498BA2ED524}"/>
</file>

<file path=customXml/itemProps2.xml><?xml version="1.0" encoding="utf-8"?>
<ds:datastoreItem xmlns:ds="http://schemas.openxmlformats.org/officeDocument/2006/customXml" ds:itemID="{093AFE58-AF68-4CF8-9A17-2F6268AE801C}"/>
</file>

<file path=customXml/itemProps3.xml><?xml version="1.0" encoding="utf-8"?>
<ds:datastoreItem xmlns:ds="http://schemas.openxmlformats.org/officeDocument/2006/customXml" ds:itemID="{7DD414B2-B7D1-46F3-96D3-CEB0C4F50F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Tiffany Thng</dc:creator>
  <cp:keywords/>
  <dc:description/>
  <cp:lastModifiedBy/>
  <cp:revision/>
  <dcterms:created xsi:type="dcterms:W3CDTF">2019-10-02T15:43:15Z</dcterms:created>
  <dcterms:modified xsi:type="dcterms:W3CDTF">2025-10-02T16:38:34Z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0x01010025E3C7391968704C97B39F54CD835DD5</vt:lpwstr>
  </property>
</Properties>
</file>