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ow Valuation\Dow 30\Goldman\"/>
    </mc:Choice>
  </mc:AlternateContent>
  <xr:revisionPtr revIDLastSave="0" documentId="13_ncr:1_{4D7EFC41-133D-4DA9-9CC4-9CA7FDF5A1C0}" xr6:coauthVersionLast="47" xr6:coauthVersionMax="47" xr10:uidLastSave="{00000000-0000-0000-0000-000000000000}"/>
  <bookViews>
    <workbookView xWindow="23880" yWindow="-7830" windowWidth="24240" windowHeight="18240" activeTab="2" xr2:uid="{A3E34BEC-3060-4EA5-9DCA-0D4090F72745}"/>
  </bookViews>
  <sheets>
    <sheet name="Historical Data and Projections" sheetId="1" r:id="rId1"/>
    <sheet name="Street Estimates" sheetId="2" r:id="rId2"/>
    <sheet name="DCF Model (discarded)" sheetId="3" r:id="rId3"/>
    <sheet name="DD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" i="4" l="1"/>
  <c r="H30" i="4" s="1"/>
  <c r="I30" i="4" s="1"/>
  <c r="F30" i="4"/>
  <c r="G22" i="4"/>
  <c r="G23" i="4" s="1"/>
  <c r="G21" i="4"/>
  <c r="G20" i="4"/>
  <c r="O10" i="4"/>
  <c r="N10" i="4"/>
  <c r="M10" i="4"/>
  <c r="L10" i="4"/>
  <c r="K10" i="4"/>
  <c r="J10" i="4"/>
  <c r="O9" i="4"/>
  <c r="N9" i="4"/>
  <c r="M9" i="4"/>
  <c r="L9" i="4"/>
  <c r="K9" i="4"/>
  <c r="J9" i="4"/>
  <c r="O8" i="4"/>
  <c r="N8" i="4"/>
  <c r="M8" i="4"/>
  <c r="L8" i="4"/>
  <c r="K8" i="4"/>
  <c r="J8" i="4"/>
  <c r="O7" i="4"/>
  <c r="N7" i="4"/>
  <c r="N11" i="4" s="1"/>
  <c r="M7" i="4"/>
  <c r="M11" i="4" s="1"/>
  <c r="L7" i="4"/>
  <c r="K7" i="4"/>
  <c r="J7" i="4"/>
  <c r="J11" i="4" s="1"/>
  <c r="O6" i="4"/>
  <c r="O11" i="4" s="1"/>
  <c r="N6" i="4"/>
  <c r="M6" i="4"/>
  <c r="L6" i="4"/>
  <c r="L11" i="4" s="1"/>
  <c r="K6" i="4"/>
  <c r="K11" i="4" s="1"/>
  <c r="J6" i="4"/>
  <c r="F45" i="3"/>
  <c r="F42" i="3"/>
  <c r="K33" i="3"/>
  <c r="J33" i="3"/>
  <c r="I33" i="3"/>
  <c r="H33" i="3"/>
  <c r="G33" i="3"/>
  <c r="K32" i="3"/>
  <c r="J32" i="3"/>
  <c r="I32" i="3"/>
  <c r="H32" i="3"/>
  <c r="G32" i="3"/>
  <c r="G28" i="3"/>
  <c r="G27" i="3"/>
  <c r="G29" i="3" s="1"/>
  <c r="K34" i="3" s="1"/>
  <c r="F35" i="3" s="1"/>
  <c r="O9" i="3"/>
  <c r="N9" i="3"/>
  <c r="M9" i="3"/>
  <c r="M11" i="3" s="1"/>
  <c r="L9" i="3"/>
  <c r="L11" i="3" s="1"/>
  <c r="K9" i="3"/>
  <c r="G26" i="3"/>
  <c r="G23" i="3"/>
  <c r="G22" i="3"/>
  <c r="G21" i="3"/>
  <c r="G20" i="3"/>
  <c r="J6" i="3"/>
  <c r="O11" i="3"/>
  <c r="N11" i="3"/>
  <c r="K11" i="3"/>
  <c r="J11" i="3"/>
  <c r="O10" i="3"/>
  <c r="N10" i="3"/>
  <c r="M10" i="3"/>
  <c r="L10" i="3"/>
  <c r="K10" i="3"/>
  <c r="O7" i="3"/>
  <c r="N7" i="3"/>
  <c r="M7" i="3"/>
  <c r="L7" i="3"/>
  <c r="K7" i="3"/>
  <c r="O8" i="3"/>
  <c r="N8" i="3"/>
  <c r="M8" i="3"/>
  <c r="L8" i="3"/>
  <c r="K8" i="3"/>
  <c r="O6" i="3"/>
  <c r="N6" i="3"/>
  <c r="M6" i="3"/>
  <c r="L6" i="3"/>
  <c r="K6" i="3"/>
  <c r="J10" i="3"/>
  <c r="J9" i="3"/>
  <c r="J7" i="3"/>
  <c r="J8" i="3"/>
  <c r="L16" i="2"/>
  <c r="M16" i="2" s="1"/>
  <c r="N16" i="2" s="1"/>
  <c r="K16" i="2"/>
  <c r="J16" i="2"/>
  <c r="N14" i="2"/>
  <c r="M14" i="2"/>
  <c r="L14" i="2"/>
  <c r="K14" i="2"/>
  <c r="J14" i="2"/>
  <c r="M11" i="2"/>
  <c r="N11" i="2" s="1"/>
  <c r="L11" i="2"/>
  <c r="K11" i="2"/>
  <c r="N10" i="2"/>
  <c r="M10" i="2"/>
  <c r="L10" i="2"/>
  <c r="K10" i="2"/>
  <c r="J10" i="2"/>
  <c r="I28" i="1"/>
  <c r="H28" i="1"/>
  <c r="G28" i="1"/>
  <c r="F28" i="1"/>
  <c r="E28" i="1"/>
</calcChain>
</file>

<file path=xl/sharedStrings.xml><?xml version="1.0" encoding="utf-8"?>
<sst xmlns="http://schemas.openxmlformats.org/spreadsheetml/2006/main" count="132" uniqueCount="92">
  <si>
    <t>Ticker: GS</t>
  </si>
  <si>
    <t>(in Millions)</t>
  </si>
  <si>
    <t>Revenue</t>
  </si>
  <si>
    <t>Revenue Growth y/y</t>
  </si>
  <si>
    <t>General &amp; Admin Expense</t>
  </si>
  <si>
    <t>Other Expense</t>
  </si>
  <si>
    <t>Operating Expenses</t>
  </si>
  <si>
    <t>Operating Income</t>
  </si>
  <si>
    <t>EBT, Unusual Items</t>
  </si>
  <si>
    <t>Income Tax Expense</t>
  </si>
  <si>
    <t>Net Income to Copmany</t>
  </si>
  <si>
    <t>Net Income to Stockholders</t>
  </si>
  <si>
    <t>Basic EPS</t>
  </si>
  <si>
    <t>Diluted EPS</t>
  </si>
  <si>
    <t>Historical</t>
  </si>
  <si>
    <t>Projected</t>
  </si>
  <si>
    <t xml:space="preserve"> High Consensus</t>
  </si>
  <si>
    <t xml:space="preserve"> Median Consensus</t>
  </si>
  <si>
    <t xml:space="preserve"> Low Consensus</t>
  </si>
  <si>
    <t>Selling &amp; Marketing Expense</t>
  </si>
  <si>
    <t xml:space="preserve"> D&amp;A</t>
  </si>
  <si>
    <t xml:space="preserve"> Stock-Based Comp</t>
  </si>
  <si>
    <t xml:space="preserve"> Change in Accounts Receivable</t>
  </si>
  <si>
    <t xml:space="preserve"> Change in Other Net Operations</t>
  </si>
  <si>
    <t xml:space="preserve"> Other Operating Activities</t>
  </si>
  <si>
    <t xml:space="preserve"> Cash from Operations</t>
  </si>
  <si>
    <t>CapEx</t>
  </si>
  <si>
    <t>Cash Acquisitions</t>
  </si>
  <si>
    <t>Other Investing Activities</t>
  </si>
  <si>
    <t>Cash from Investing</t>
  </si>
  <si>
    <t>Dividends Paid</t>
  </si>
  <si>
    <t>Long-Term Debt Issued</t>
  </si>
  <si>
    <t>Long-Term Debt Repaid</t>
  </si>
  <si>
    <t>Repurchase of Common Stock</t>
  </si>
  <si>
    <t>Cash from Financing</t>
  </si>
  <si>
    <t>Other Financing Activities</t>
  </si>
  <si>
    <t>Begininng Cash</t>
  </si>
  <si>
    <t>Ending Cash</t>
  </si>
  <si>
    <t>Levered FCF</t>
  </si>
  <si>
    <t>Cash Interest Paid</t>
  </si>
  <si>
    <t>Current Price:</t>
  </si>
  <si>
    <t>EBIT:</t>
  </si>
  <si>
    <t>High Consensus</t>
  </si>
  <si>
    <t>Base</t>
  </si>
  <si>
    <t>Conservative</t>
  </si>
  <si>
    <t>Tax:</t>
  </si>
  <si>
    <t>D&amp;A:</t>
  </si>
  <si>
    <t>CapEx:</t>
  </si>
  <si>
    <t>NWC:</t>
  </si>
  <si>
    <t>Assumptions:</t>
  </si>
  <si>
    <t>Growth Rate</t>
  </si>
  <si>
    <t>EV / EBITDA</t>
  </si>
  <si>
    <t>Cost of Debt</t>
  </si>
  <si>
    <t>Tax Rate</t>
  </si>
  <si>
    <t>Risk Free Rate</t>
  </si>
  <si>
    <t>Beta</t>
  </si>
  <si>
    <t>Market Return</t>
  </si>
  <si>
    <t>Debt Value</t>
  </si>
  <si>
    <t>Equity Value</t>
  </si>
  <si>
    <t>WACC:</t>
  </si>
  <si>
    <t>FCF</t>
  </si>
  <si>
    <t>Period</t>
  </si>
  <si>
    <t>EBIT</t>
  </si>
  <si>
    <t>Tax</t>
  </si>
  <si>
    <t>D&amp;A</t>
  </si>
  <si>
    <t>NWC</t>
  </si>
  <si>
    <t>Cost of Equity</t>
  </si>
  <si>
    <t>D/D+E</t>
  </si>
  <si>
    <t>E/D+E</t>
  </si>
  <si>
    <t>WACC</t>
  </si>
  <si>
    <t>Terminal Value</t>
  </si>
  <si>
    <t>EBITDA</t>
  </si>
  <si>
    <t>Perpetuity Growth</t>
  </si>
  <si>
    <t>Average</t>
  </si>
  <si>
    <t>Discounting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</si>
  <si>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</si>
  <si>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</si>
  <si>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</si>
  <si>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</si>
  <si>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</si>
  <si>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</si>
  <si>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</si>
  <si>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Long-term Debt</t>
  </si>
  <si>
    <t>Short-term Debt</t>
  </si>
  <si>
    <t>Shares Outstanding</t>
  </si>
  <si>
    <t>Assumptions</t>
  </si>
  <si>
    <t>Current DPS</t>
  </si>
  <si>
    <t>Dividend Discount Model:</t>
  </si>
  <si>
    <t>Discounted Cash Flow Model:</t>
  </si>
  <si>
    <t>DPS</t>
  </si>
  <si>
    <t>PV of Dividend</t>
  </si>
  <si>
    <t>Current Price: $349.27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</si>
</sst>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%"/>
    <numFmt numFmtId="165" formatCode="_-* #,##0_-;\(#,##0\)_-;_-* &quot;-&quot;_-;_-@_-"/>
    <numFmt numFmtId="166" formatCode="_-* #,##0.00_-;\(#,##0.00\)_-;_-* &quot;-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1" fillId="2" borderId="3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1" fillId="0" borderId="0" xfId="0" applyFont="1"/>
    <xf numFmtId="0" fontId="1" fillId="0" borderId="1" xfId="0" applyFont="1" applyBorder="1"/>
    <xf numFmtId="165" fontId="2" fillId="0" borderId="2" xfId="0" applyNumberFormat="1" applyFont="1" applyBorder="1"/>
    <xf numFmtId="165" fontId="2" fillId="0" borderId="0" xfId="0" applyNumberFormat="1" applyFont="1"/>
    <xf numFmtId="0" fontId="2" fillId="0" borderId="2" xfId="0" applyFont="1" applyBorder="1"/>
    <xf numFmtId="0" fontId="2" fillId="0" borderId="0" xfId="0" applyFont="1"/>
    <xf numFmtId="164" fontId="2" fillId="0" borderId="2" xfId="0" applyNumberFormat="1" applyFont="1" applyBorder="1"/>
    <xf numFmtId="164" fontId="2" fillId="0" borderId="0" xfId="0" applyNumberFormat="1" applyFont="1" applyBorder="1"/>
    <xf numFmtId="0" fontId="2" fillId="0" borderId="0" xfId="0" applyFont="1" applyBorder="1"/>
    <xf numFmtId="164" fontId="2" fillId="0" borderId="5" xfId="0" applyNumberFormat="1" applyFont="1" applyBorder="1"/>
    <xf numFmtId="164" fontId="2" fillId="0" borderId="4" xfId="0" applyNumberFormat="1" applyFont="1" applyBorder="1"/>
    <xf numFmtId="165" fontId="2" fillId="0" borderId="5" xfId="0" applyNumberFormat="1" applyFont="1" applyBorder="1"/>
    <xf numFmtId="165" fontId="2" fillId="0" borderId="4" xfId="0" applyNumberFormat="1" applyFont="1" applyBorder="1"/>
    <xf numFmtId="165" fontId="2" fillId="0" borderId="9" xfId="0" applyNumberFormat="1" applyFont="1" applyBorder="1"/>
    <xf numFmtId="165" fontId="2" fillId="0" borderId="0" xfId="0" applyNumberFormat="1" applyFont="1" applyFill="1" applyBorder="1"/>
    <xf numFmtId="165" fontId="2" fillId="0" borderId="10" xfId="0" applyNumberFormat="1" applyFont="1" applyFill="1" applyBorder="1"/>
    <xf numFmtId="164" fontId="2" fillId="0" borderId="3" xfId="0" applyNumberFormat="1" applyFont="1" applyBorder="1"/>
    <xf numFmtId="164" fontId="2" fillId="0" borderId="1" xfId="0" applyNumberFormat="1" applyFont="1" applyBorder="1"/>
    <xf numFmtId="165" fontId="2" fillId="0" borderId="3" xfId="0" applyNumberFormat="1" applyFont="1" applyBorder="1"/>
    <xf numFmtId="165" fontId="2" fillId="0" borderId="1" xfId="0" applyNumberFormat="1" applyFont="1" applyBorder="1"/>
    <xf numFmtId="165" fontId="2" fillId="0" borderId="11" xfId="0" applyNumberFormat="1" applyFont="1" applyFill="1" applyBorder="1"/>
    <xf numFmtId="165" fontId="2" fillId="0" borderId="1" xfId="0" applyNumberFormat="1" applyFont="1" applyFill="1" applyBorder="1"/>
    <xf numFmtId="0" fontId="2" fillId="0" borderId="5" xfId="0" applyFont="1" applyBorder="1"/>
    <xf numFmtId="0" fontId="2" fillId="0" borderId="4" xfId="0" applyFont="1" applyBorder="1"/>
    <xf numFmtId="165" fontId="2" fillId="0" borderId="0" xfId="0" applyNumberFormat="1" applyFont="1" applyBorder="1"/>
    <xf numFmtId="0" fontId="2" fillId="0" borderId="3" xfId="0" applyFont="1" applyBorder="1"/>
    <xf numFmtId="0" fontId="2" fillId="0" borderId="1" xfId="0" applyFont="1" applyBorder="1"/>
    <xf numFmtId="165" fontId="2" fillId="0" borderId="6" xfId="0" applyNumberFormat="1" applyFont="1" applyBorder="1"/>
    <xf numFmtId="165" fontId="2" fillId="0" borderId="7" xfId="0" applyNumberFormat="1" applyFont="1" applyBorder="1"/>
    <xf numFmtId="0" fontId="2" fillId="0" borderId="5" xfId="0" applyNumberFormat="1" applyFont="1" applyBorder="1"/>
    <xf numFmtId="0" fontId="2" fillId="0" borderId="4" xfId="0" applyNumberFormat="1" applyFont="1" applyBorder="1"/>
    <xf numFmtId="0" fontId="2" fillId="0" borderId="3" xfId="0" applyNumberFormat="1" applyFont="1" applyBorder="1"/>
    <xf numFmtId="0" fontId="2" fillId="0" borderId="1" xfId="0" applyNumberFormat="1" applyFont="1" applyBorder="1"/>
    <xf numFmtId="0" fontId="1" fillId="0" borderId="4" xfId="0" applyFont="1" applyBorder="1"/>
    <xf numFmtId="0" fontId="0" fillId="2" borderId="1" xfId="0" applyFill="1" applyBorder="1"/>
    <xf numFmtId="9" fontId="0" fillId="0" borderId="0" xfId="0" applyNumberFormat="1"/>
    <xf numFmtId="165" fontId="0" fillId="0" borderId="6" xfId="0" applyNumberFormat="1" applyBorder="1"/>
    <xf numFmtId="165" fontId="0" fillId="0" borderId="7" xfId="0" applyNumberFormat="1" applyBorder="1"/>
    <xf numFmtId="165" fontId="0" fillId="0" borderId="2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4" xfId="0" applyNumberFormat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0" fontId="0" fillId="0" borderId="0" xfId="0" applyNumberFormat="1"/>
    <xf numFmtId="10" fontId="0" fillId="0" borderId="0" xfId="1" applyNumberFormat="1" applyFont="1"/>
    <xf numFmtId="9" fontId="1" fillId="0" borderId="4" xfId="1" applyFont="1" applyBorder="1"/>
    <xf numFmtId="9" fontId="0" fillId="0" borderId="4" xfId="1" applyFont="1" applyBorder="1"/>
    <xf numFmtId="10" fontId="0" fillId="0" borderId="4" xfId="1" applyNumberFormat="1" applyFont="1" applyBorder="1"/>
    <xf numFmtId="43" fontId="0" fillId="0" borderId="0" xfId="0" applyNumberFormat="1"/>
    <xf numFmtId="166" fontId="0" fillId="0" borderId="0" xfId="0" applyNumberFormat="1"/>
    <xf numFmtId="165" fontId="0" fillId="0" borderId="1" xfId="0" applyNumberFormat="1" applyBorder="1"/>
    <xf numFmtId="0" fontId="1" fillId="0" borderId="0" xfId="0" applyFont="1" applyFill="1" applyBorder="1"/>
    <xf numFmtId="165" fontId="1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  <xf numFmtId="3" fontId="2" fillId="0" borderId="0" xfId="0" applyNumberFormat="1" applyFont="1"/>
    <xf numFmtId="3" fontId="2" fillId="0" borderId="1" xfId="0" applyNumberFormat="1" applyFont="1" applyBorder="1"/>
    <xf numFmtId="0" fontId="0" fillId="3" borderId="0" xfId="0" applyFill="1"/>
    <xf numFmtId="0" fontId="4" fillId="3" borderId="0" xfId="0" applyFont="1" applyFill="1"/>
    <xf numFmtId="8" fontId="0" fillId="0" borderId="0" xfId="0" applyNumberFormat="1"/>
    <xf numFmtId="6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CC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Goldman Sachs Revenue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96F-42F0-A0E4-DA87410E13C0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96F-42F0-A0E4-DA87410E13C0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 cmpd="sng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96F-42F0-A0E4-DA87410E13C0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A96F-42F0-A0E4-DA87410E13C0}"/>
              </c:ext>
            </c:extLst>
          </c:dPt>
          <c:cat>
            <c:numRef>
              <c:f>'Historical Data and Projections'!$E$5:$N$5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</c:numCache>
            </c:numRef>
          </c:cat>
          <c:val>
            <c:numRef>
              <c:f>('Historical Data and Projections'!$E$6:$I$6,'Historical Data and Projections'!$J$9:$N$9)</c:f>
              <c:numCache>
                <c:formatCode>_-* #,##0_-;\(#,##0\)_-;_-* "-"_-;_-@_-</c:formatCode>
                <c:ptCount val="10"/>
                <c:pt idx="0">
                  <c:v>32073</c:v>
                </c:pt>
                <c:pt idx="1">
                  <c:v>35942</c:v>
                </c:pt>
                <c:pt idx="2">
                  <c:v>35481</c:v>
                </c:pt>
                <c:pt idx="3">
                  <c:v>41462</c:v>
                </c:pt>
                <c:pt idx="4">
                  <c:v>58982</c:v>
                </c:pt>
                <c:pt idx="5">
                  <c:v>47343</c:v>
                </c:pt>
                <c:pt idx="6">
                  <c:v>49688</c:v>
                </c:pt>
                <c:pt idx="7">
                  <c:v>51139</c:v>
                </c:pt>
                <c:pt idx="8">
                  <c:v>51203</c:v>
                </c:pt>
                <c:pt idx="9">
                  <c:v>52956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F-42F0-A0E4-DA87410E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058255"/>
        <c:axId val="638058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'Historical Data and Projections'!$E$5:$N$5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'Historical Data and Projections'!$E$5:$I$5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96F-42F0-A0E4-DA87410E13C0}"/>
                  </c:ext>
                </c:extLst>
              </c15:ser>
            </c15:filteredLineSeries>
          </c:ext>
        </c:extLst>
      </c:lineChart>
      <c:catAx>
        <c:axId val="63805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58671"/>
        <c:crosses val="autoZero"/>
        <c:auto val="1"/>
        <c:lblAlgn val="ctr"/>
        <c:lblOffset val="100"/>
        <c:noMultiLvlLbl val="0"/>
      </c:catAx>
      <c:valAx>
        <c:axId val="6380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5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Goldman Operating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'Historical Data and Projections'!$E$5:$I$5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'Historical Data and Projections'!$E$16:$I$16</c:f>
              <c:numCache>
                <c:formatCode>_-* #,##0_-;\(#,##0\)_-;_-* "-"_-;_-@_-</c:formatCode>
                <c:ptCount val="5"/>
                <c:pt idx="0">
                  <c:v>11132</c:v>
                </c:pt>
                <c:pt idx="1">
                  <c:v>12481</c:v>
                </c:pt>
                <c:pt idx="2">
                  <c:v>10583</c:v>
                </c:pt>
                <c:pt idx="3">
                  <c:v>12479</c:v>
                </c:pt>
                <c:pt idx="4">
                  <c:v>27044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5-4246-8B60-113048815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616304"/>
        <c:axId val="1056615056"/>
      </c:barChart>
      <c:catAx>
        <c:axId val="10566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15056"/>
        <c:crosses val="autoZero"/>
        <c:auto val="1"/>
        <c:lblAlgn val="ctr"/>
        <c:lblOffset val="100"/>
        <c:noMultiLvlLbl val="0"/>
      </c:catAx>
      <c:valAx>
        <c:axId val="10566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1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Goldman Net Income to Shareholders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'Historical Data and Projections'!$E$5:$I$5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'Historical Data and Projections'!$E$28:$I$28</c:f>
              <c:numCache>
                <c:formatCode>_-* #,##0_-;\(#,##0\)_-;_-* "-"_-;_-@_-</c:formatCode>
                <c:ptCount val="5"/>
                <c:pt idx="0">
                  <c:v>4286</c:v>
                </c:pt>
                <c:pt idx="1">
                  <c:v>10459</c:v>
                </c:pt>
                <c:pt idx="2">
                  <c:v>8466</c:v>
                </c:pt>
                <c:pt idx="3">
                  <c:v>9459</c:v>
                </c:pt>
                <c:pt idx="4">
                  <c:v>21635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E-4CED-9B2F-A4BAC0D2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890992"/>
        <c:axId val="1876211056"/>
      </c:barChart>
      <c:catAx>
        <c:axId val="137689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11056"/>
        <c:crosses val="autoZero"/>
        <c:auto val="1"/>
        <c:lblAlgn val="ctr"/>
        <c:lblOffset val="100"/>
        <c:noMultiLvlLbl val="0"/>
      </c:catAx>
      <c:valAx>
        <c:axId val="18762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9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</xdr:colOff>
      <xdr:row>2</xdr:row>
      <xdr:rowOff>57150</xdr:rowOff>
    </xdr:from>
    <xdr:to>
      <xdr:col>22</xdr:col>
      <xdr:colOff>285750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39BE4-E1C8-7B97-5B20-F972F13A0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14</xdr:row>
      <xdr:rowOff>28575</xdr:rowOff>
    </xdr:from>
    <xdr:to>
      <xdr:col>22</xdr:col>
      <xdr:colOff>295275</xdr:colOff>
      <xdr:row>28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D7350-F377-1238-2396-817C423CD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30</xdr:row>
      <xdr:rowOff>85725</xdr:rowOff>
    </xdr:from>
    <xdr:to>
      <xdr:col>22</xdr:col>
      <xdr:colOff>304800</xdr:colOff>
      <xdr:row>44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A83B8F-6C88-3F7A-B5DB-62638207F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1BE5-3274-4D75-A10D-F4A6E7BE869D}">
  <dimension ref="B2:N52"/>
  <sheetViews>
    <sheetView showGridLines="0" workbookViewId="0">
      <selection activeCell="N2" sqref="N2"/>
    </sheetView>
  </sheetViews>
  <sheetFormatPr defaultRowHeight="15" x14ac:dyDescent="0.25"/>
  <cols>
    <col min="2" max="2" width="14.140625" customWidth="1"/>
  </cols>
  <sheetData>
    <row r="2" spans="2:14" x14ac:dyDescent="0.25">
      <c r="B2" s="2" t="s">
        <v>0</v>
      </c>
      <c r="C2" s="1"/>
      <c r="D2" s="1"/>
      <c r="E2" s="5"/>
      <c r="J2" s="5"/>
    </row>
    <row r="3" spans="2:14" x14ac:dyDescent="0.25">
      <c r="B3" s="2" t="s">
        <v>91</v>
      </c>
      <c r="C3" s="1"/>
      <c r="D3" s="1"/>
      <c r="E3" s="77" t="s">
        <v>14</v>
      </c>
      <c r="F3" s="78"/>
      <c r="G3" s="78"/>
      <c r="H3" s="78"/>
      <c r="I3" s="79"/>
      <c r="J3" s="77" t="s">
        <v>15</v>
      </c>
      <c r="K3" s="78"/>
      <c r="L3" s="78"/>
      <c r="M3" s="78"/>
      <c r="N3" s="78"/>
    </row>
    <row r="4" spans="2:14" x14ac:dyDescent="0.25">
      <c r="E4" s="5"/>
      <c r="J4" s="5">
        <v>1</v>
      </c>
      <c r="K4">
        <v>2</v>
      </c>
      <c r="L4">
        <v>3</v>
      </c>
      <c r="M4">
        <v>4</v>
      </c>
      <c r="N4">
        <v>5</v>
      </c>
    </row>
    <row r="5" spans="2:14" x14ac:dyDescent="0.25">
      <c r="B5" s="4" t="s">
        <v>1</v>
      </c>
      <c r="C5" s="4"/>
      <c r="D5" s="4"/>
      <c r="E5" s="6">
        <v>2017</v>
      </c>
      <c r="F5" s="4">
        <v>2018</v>
      </c>
      <c r="G5" s="4">
        <v>2019</v>
      </c>
      <c r="H5" s="4">
        <v>2020</v>
      </c>
      <c r="I5" s="4">
        <v>2021</v>
      </c>
      <c r="J5" s="6">
        <v>2022</v>
      </c>
      <c r="K5" s="4">
        <v>2023</v>
      </c>
      <c r="L5" s="4">
        <v>2024</v>
      </c>
      <c r="M5" s="4">
        <v>2025</v>
      </c>
      <c r="N5" s="4">
        <v>2026</v>
      </c>
    </row>
    <row r="6" spans="2:14" x14ac:dyDescent="0.25">
      <c r="B6" t="s">
        <v>2</v>
      </c>
      <c r="E6" s="17">
        <v>32073</v>
      </c>
      <c r="F6" s="18">
        <v>35942</v>
      </c>
      <c r="G6" s="18">
        <v>35481</v>
      </c>
      <c r="H6" s="18">
        <v>41462</v>
      </c>
      <c r="I6" s="18">
        <v>58982</v>
      </c>
      <c r="J6" s="19"/>
      <c r="K6" s="20"/>
      <c r="L6" s="20"/>
      <c r="M6" s="20"/>
      <c r="N6" s="20"/>
    </row>
    <row r="7" spans="2:14" x14ac:dyDescent="0.25">
      <c r="B7" s="12" t="s">
        <v>3</v>
      </c>
      <c r="C7" s="12"/>
      <c r="D7" s="12"/>
      <c r="E7" s="21">
        <v>4.8000000000000001E-2</v>
      </c>
      <c r="F7" s="22">
        <v>0.121</v>
      </c>
      <c r="G7" s="22">
        <v>-1.2999999999999999E-2</v>
      </c>
      <c r="H7" s="22">
        <v>0.16900000000000001</v>
      </c>
      <c r="I7" s="22">
        <v>0.42299999999999999</v>
      </c>
      <c r="J7" s="19"/>
      <c r="K7" s="23"/>
      <c r="L7" s="23"/>
      <c r="M7" s="23"/>
      <c r="N7" s="23"/>
    </row>
    <row r="8" spans="2:14" x14ac:dyDescent="0.25">
      <c r="B8" s="13" t="s">
        <v>16</v>
      </c>
      <c r="C8" s="12"/>
      <c r="D8" s="12"/>
      <c r="E8" s="24"/>
      <c r="F8" s="25"/>
      <c r="G8" s="25"/>
      <c r="H8" s="25"/>
      <c r="I8" s="25"/>
      <c r="J8" s="26">
        <v>49867</v>
      </c>
      <c r="K8" s="27">
        <v>53733</v>
      </c>
      <c r="L8" s="27">
        <v>57427</v>
      </c>
      <c r="M8" s="28">
        <v>51203</v>
      </c>
      <c r="N8" s="27">
        <v>52956</v>
      </c>
    </row>
    <row r="9" spans="2:14" x14ac:dyDescent="0.25">
      <c r="B9" s="13" t="s">
        <v>17</v>
      </c>
      <c r="C9" s="12"/>
      <c r="D9" s="12"/>
      <c r="E9" s="21"/>
      <c r="F9" s="22"/>
      <c r="G9" s="22"/>
      <c r="H9" s="22"/>
      <c r="I9" s="22"/>
      <c r="J9" s="17">
        <v>47343</v>
      </c>
      <c r="K9" s="29">
        <v>49688</v>
      </c>
      <c r="L9" s="29">
        <v>51139</v>
      </c>
      <c r="M9" s="30">
        <v>51203</v>
      </c>
      <c r="N9" s="29">
        <v>52956</v>
      </c>
    </row>
    <row r="10" spans="2:14" x14ac:dyDescent="0.25">
      <c r="B10" s="14" t="s">
        <v>18</v>
      </c>
      <c r="C10" s="3"/>
      <c r="D10" s="3"/>
      <c r="E10" s="31"/>
      <c r="F10" s="32"/>
      <c r="G10" s="32"/>
      <c r="H10" s="32"/>
      <c r="I10" s="32"/>
      <c r="J10" s="33">
        <v>44812</v>
      </c>
      <c r="K10" s="34">
        <v>46081</v>
      </c>
      <c r="L10" s="34">
        <v>46422</v>
      </c>
      <c r="M10" s="35">
        <v>51203</v>
      </c>
      <c r="N10" s="36">
        <v>52956</v>
      </c>
    </row>
    <row r="11" spans="2:14" x14ac:dyDescent="0.25">
      <c r="E11" s="19"/>
      <c r="F11" s="20"/>
      <c r="G11" s="20"/>
      <c r="H11" s="20"/>
      <c r="I11" s="20"/>
      <c r="J11" s="19"/>
      <c r="K11" s="20"/>
      <c r="L11" s="20"/>
      <c r="M11" s="20"/>
      <c r="N11" s="20"/>
    </row>
    <row r="12" spans="2:14" x14ac:dyDescent="0.25">
      <c r="B12" s="8" t="s">
        <v>19</v>
      </c>
      <c r="C12" s="8"/>
      <c r="D12" s="8"/>
      <c r="E12" s="26">
        <v>-588</v>
      </c>
      <c r="F12" s="27">
        <v>-740</v>
      </c>
      <c r="G12" s="27">
        <v>-739</v>
      </c>
      <c r="H12" s="27">
        <v>-401</v>
      </c>
      <c r="I12" s="27">
        <v>-553</v>
      </c>
      <c r="J12" s="37"/>
      <c r="K12" s="38"/>
      <c r="L12" s="38"/>
      <c r="M12" s="38"/>
      <c r="N12" s="38"/>
    </row>
    <row r="13" spans="2:14" x14ac:dyDescent="0.25">
      <c r="B13" s="12" t="s">
        <v>4</v>
      </c>
      <c r="C13" s="12"/>
      <c r="D13" s="12"/>
      <c r="E13" s="17">
        <v>-1165</v>
      </c>
      <c r="F13" s="39">
        <v>-1214</v>
      </c>
      <c r="G13" s="39">
        <v>-1316</v>
      </c>
      <c r="H13" s="29">
        <v>-1306</v>
      </c>
      <c r="I13" s="29">
        <v>-1648</v>
      </c>
      <c r="J13" s="19"/>
      <c r="K13" s="23"/>
      <c r="L13" s="23"/>
      <c r="M13" s="23"/>
      <c r="N13" s="23"/>
    </row>
    <row r="14" spans="2:14" x14ac:dyDescent="0.25">
      <c r="B14" t="s">
        <v>5</v>
      </c>
      <c r="E14" s="17">
        <v>-19188</v>
      </c>
      <c r="F14" s="18">
        <v>-21507</v>
      </c>
      <c r="G14" s="18">
        <v>-22843</v>
      </c>
      <c r="H14" s="18">
        <v>-27276</v>
      </c>
      <c r="I14" s="18">
        <v>-29737</v>
      </c>
      <c r="J14" s="19"/>
      <c r="K14" s="20"/>
      <c r="L14" s="20"/>
      <c r="M14" s="20"/>
      <c r="N14" s="20"/>
    </row>
    <row r="15" spans="2:14" x14ac:dyDescent="0.25">
      <c r="B15" s="15" t="s">
        <v>6</v>
      </c>
      <c r="E15" s="17">
        <v>-20941</v>
      </c>
      <c r="F15" s="18">
        <v>-23461</v>
      </c>
      <c r="G15" s="18">
        <v>-24898</v>
      </c>
      <c r="H15" s="18">
        <v>-28983</v>
      </c>
      <c r="I15" s="18">
        <v>-31938</v>
      </c>
      <c r="J15" s="19"/>
      <c r="K15" s="20"/>
      <c r="L15" s="20"/>
      <c r="M15" s="20"/>
      <c r="N15" s="20"/>
    </row>
    <row r="16" spans="2:14" x14ac:dyDescent="0.25">
      <c r="B16" s="16" t="s">
        <v>7</v>
      </c>
      <c r="C16" s="3"/>
      <c r="D16" s="3"/>
      <c r="E16" s="33">
        <v>11132</v>
      </c>
      <c r="F16" s="34">
        <v>12481</v>
      </c>
      <c r="G16" s="34">
        <v>10583</v>
      </c>
      <c r="H16" s="34">
        <v>12479</v>
      </c>
      <c r="I16" s="34">
        <v>27044</v>
      </c>
      <c r="J16" s="40"/>
      <c r="K16" s="41"/>
      <c r="L16" s="41"/>
      <c r="M16" s="41"/>
      <c r="N16" s="41"/>
    </row>
    <row r="17" spans="2:14" x14ac:dyDescent="0.25">
      <c r="E17" s="5"/>
      <c r="J17" s="5"/>
    </row>
    <row r="18" spans="2:14" x14ac:dyDescent="0.25">
      <c r="B18" s="8" t="s">
        <v>8</v>
      </c>
      <c r="C18" s="8"/>
      <c r="D18" s="8"/>
      <c r="E18" s="26">
        <v>11132</v>
      </c>
      <c r="F18" s="27">
        <v>12481</v>
      </c>
      <c r="G18" s="27">
        <v>10583</v>
      </c>
      <c r="H18" s="27">
        <v>12479</v>
      </c>
      <c r="I18" s="27">
        <v>27044</v>
      </c>
      <c r="J18" s="9"/>
      <c r="K18" s="8"/>
      <c r="L18" s="8"/>
      <c r="M18" s="8"/>
      <c r="N18" s="8"/>
    </row>
    <row r="19" spans="2:14" x14ac:dyDescent="0.25">
      <c r="B19" t="s">
        <v>9</v>
      </c>
      <c r="E19" s="17">
        <v>-6846</v>
      </c>
      <c r="F19" s="29">
        <v>-2022</v>
      </c>
      <c r="G19" s="29">
        <v>-2117</v>
      </c>
      <c r="H19" s="29">
        <v>-3020</v>
      </c>
      <c r="I19" s="29">
        <v>-5409</v>
      </c>
      <c r="J19" s="5"/>
    </row>
    <row r="20" spans="2:14" x14ac:dyDescent="0.25">
      <c r="B20" s="16" t="s">
        <v>10</v>
      </c>
      <c r="C20" s="3"/>
      <c r="D20" s="3"/>
      <c r="E20" s="33">
        <v>4286</v>
      </c>
      <c r="F20" s="34">
        <v>10459</v>
      </c>
      <c r="G20" s="34">
        <v>8466</v>
      </c>
      <c r="H20" s="34">
        <v>9459</v>
      </c>
      <c r="I20" s="34">
        <v>21635</v>
      </c>
      <c r="J20" s="7"/>
      <c r="K20" s="3"/>
      <c r="L20" s="3"/>
      <c r="M20" s="3"/>
      <c r="N20" s="3"/>
    </row>
    <row r="21" spans="2:14" x14ac:dyDescent="0.25">
      <c r="E21" s="17"/>
      <c r="F21" s="18"/>
      <c r="G21" s="18"/>
      <c r="H21" s="18"/>
      <c r="I21" s="18"/>
      <c r="J21" s="5"/>
    </row>
    <row r="22" spans="2:14" x14ac:dyDescent="0.25">
      <c r="B22" s="10" t="s">
        <v>11</v>
      </c>
      <c r="C22" s="10"/>
      <c r="D22" s="10"/>
      <c r="E22" s="42">
        <v>4286</v>
      </c>
      <c r="F22" s="43">
        <v>10459</v>
      </c>
      <c r="G22" s="43">
        <v>8466</v>
      </c>
      <c r="H22" s="43">
        <v>9459</v>
      </c>
      <c r="I22" s="43">
        <v>21635</v>
      </c>
      <c r="J22" s="11"/>
      <c r="K22" s="10"/>
      <c r="L22" s="10"/>
      <c r="M22" s="10"/>
      <c r="N22" s="10"/>
    </row>
    <row r="23" spans="2:14" x14ac:dyDescent="0.25">
      <c r="E23" s="17"/>
      <c r="F23" s="18"/>
      <c r="G23" s="18"/>
      <c r="H23" s="18"/>
      <c r="I23" s="18"/>
      <c r="J23" s="5"/>
    </row>
    <row r="24" spans="2:14" x14ac:dyDescent="0.25">
      <c r="B24" s="8" t="s">
        <v>12</v>
      </c>
      <c r="C24" s="8"/>
      <c r="D24" s="8"/>
      <c r="E24" s="44">
        <v>9.1199999999999992</v>
      </c>
      <c r="F24" s="45">
        <v>25.53</v>
      </c>
      <c r="G24" s="45">
        <v>21.18</v>
      </c>
      <c r="H24" s="45">
        <v>24.94</v>
      </c>
      <c r="I24" s="45">
        <v>60.25</v>
      </c>
      <c r="J24" s="37">
        <v>34.39</v>
      </c>
      <c r="K24" s="38">
        <v>36.909999999999997</v>
      </c>
      <c r="L24" s="38">
        <v>38.03</v>
      </c>
      <c r="M24" s="38">
        <v>38.299999999999997</v>
      </c>
      <c r="N24" s="38">
        <v>39.58</v>
      </c>
    </row>
    <row r="25" spans="2:14" x14ac:dyDescent="0.25">
      <c r="B25" s="3" t="s">
        <v>13</v>
      </c>
      <c r="C25" s="3"/>
      <c r="D25" s="3"/>
      <c r="E25" s="46">
        <v>9.01</v>
      </c>
      <c r="F25" s="47">
        <v>25.27</v>
      </c>
      <c r="G25" s="47">
        <v>21.03</v>
      </c>
      <c r="H25" s="47">
        <v>24.74</v>
      </c>
      <c r="I25" s="47">
        <v>59.45</v>
      </c>
      <c r="J25" s="7"/>
      <c r="K25" s="3"/>
      <c r="L25" s="3"/>
      <c r="M25" s="3"/>
      <c r="N25" s="3"/>
    </row>
    <row r="28" spans="2:14" x14ac:dyDescent="0.25">
      <c r="B28" s="48" t="s">
        <v>11</v>
      </c>
      <c r="C28" s="8"/>
      <c r="D28" s="8"/>
      <c r="E28" s="26">
        <f>E22</f>
        <v>4286</v>
      </c>
      <c r="F28" s="27">
        <f>F22</f>
        <v>10459</v>
      </c>
      <c r="G28" s="27">
        <f t="shared" ref="G28:I28" si="0">G22</f>
        <v>8466</v>
      </c>
      <c r="H28" s="27">
        <f t="shared" si="0"/>
        <v>9459</v>
      </c>
      <c r="I28" s="27">
        <f t="shared" si="0"/>
        <v>21635</v>
      </c>
      <c r="J28" s="9"/>
      <c r="K28" s="8"/>
      <c r="L28" s="8"/>
      <c r="M28" s="8"/>
      <c r="N28" s="8"/>
    </row>
    <row r="29" spans="2:14" x14ac:dyDescent="0.25">
      <c r="B29" t="s">
        <v>20</v>
      </c>
      <c r="E29" s="17">
        <v>1152</v>
      </c>
      <c r="F29" s="18">
        <v>1328</v>
      </c>
      <c r="G29" s="18">
        <v>1704</v>
      </c>
      <c r="H29" s="18">
        <v>1902</v>
      </c>
      <c r="I29" s="18">
        <v>2015</v>
      </c>
      <c r="J29" s="5"/>
    </row>
    <row r="30" spans="2:14" x14ac:dyDescent="0.25">
      <c r="B30" t="s">
        <v>21</v>
      </c>
      <c r="E30" s="17">
        <v>1812</v>
      </c>
      <c r="F30" s="18">
        <v>1850</v>
      </c>
      <c r="G30" s="18">
        <v>2120</v>
      </c>
      <c r="H30" s="18">
        <v>1985</v>
      </c>
      <c r="I30" s="18">
        <v>2553</v>
      </c>
      <c r="J30" s="5"/>
    </row>
    <row r="31" spans="2:14" x14ac:dyDescent="0.25">
      <c r="B31" t="s">
        <v>22</v>
      </c>
      <c r="E31" s="17">
        <v>-26981</v>
      </c>
      <c r="F31" s="18">
        <v>6416</v>
      </c>
      <c r="G31" s="18">
        <v>-7693</v>
      </c>
      <c r="H31" s="18">
        <v>-30895</v>
      </c>
      <c r="I31" s="18">
        <v>21971</v>
      </c>
      <c r="J31" s="5"/>
    </row>
    <row r="32" spans="2:14" x14ac:dyDescent="0.25">
      <c r="B32" t="s">
        <v>23</v>
      </c>
      <c r="E32" s="17">
        <v>2870</v>
      </c>
      <c r="F32" s="18">
        <v>22313</v>
      </c>
      <c r="G32" s="18">
        <v>87344</v>
      </c>
      <c r="H32" s="18">
        <v>35027</v>
      </c>
      <c r="I32" s="18">
        <v>-62642</v>
      </c>
      <c r="J32" s="5"/>
    </row>
    <row r="33" spans="2:14" x14ac:dyDescent="0.25">
      <c r="B33" t="s">
        <v>24</v>
      </c>
      <c r="E33" s="17">
        <v>-3628</v>
      </c>
      <c r="F33" s="18">
        <v>-25802</v>
      </c>
      <c r="G33" s="18">
        <v>-68073</v>
      </c>
      <c r="H33" s="18">
        <v>-31206</v>
      </c>
      <c r="I33" s="18">
        <v>15389</v>
      </c>
      <c r="J33" s="5"/>
    </row>
    <row r="34" spans="2:14" x14ac:dyDescent="0.25">
      <c r="B34" s="16" t="s">
        <v>25</v>
      </c>
      <c r="C34" s="3"/>
      <c r="D34" s="3"/>
      <c r="E34" s="33">
        <v>-20489</v>
      </c>
      <c r="F34" s="34">
        <v>16564</v>
      </c>
      <c r="G34" s="34">
        <v>23868</v>
      </c>
      <c r="H34" s="34">
        <v>-13728</v>
      </c>
      <c r="I34" s="34">
        <v>921</v>
      </c>
      <c r="J34" s="7"/>
      <c r="K34" s="3"/>
      <c r="L34" s="3"/>
      <c r="M34" s="3"/>
      <c r="N34" s="3"/>
    </row>
    <row r="35" spans="2:14" x14ac:dyDescent="0.25">
      <c r="E35" s="17"/>
      <c r="F35" s="18"/>
      <c r="G35" s="18"/>
      <c r="H35" s="18"/>
      <c r="I35" s="18"/>
      <c r="J35" s="5"/>
    </row>
    <row r="36" spans="2:14" x14ac:dyDescent="0.25">
      <c r="B36" s="48" t="s">
        <v>26</v>
      </c>
      <c r="C36" s="8"/>
      <c r="D36" s="8"/>
      <c r="E36" s="26">
        <v>-3184</v>
      </c>
      <c r="F36" s="27">
        <v>-7982</v>
      </c>
      <c r="G36" s="27">
        <v>-8443</v>
      </c>
      <c r="H36" s="27">
        <v>-6309</v>
      </c>
      <c r="I36" s="27">
        <v>-4667</v>
      </c>
      <c r="J36" s="9"/>
      <c r="K36" s="8"/>
      <c r="L36" s="8"/>
      <c r="M36" s="8"/>
      <c r="N36" s="8"/>
    </row>
    <row r="37" spans="2:14" x14ac:dyDescent="0.25">
      <c r="B37" t="s">
        <v>27</v>
      </c>
      <c r="E37" s="17">
        <v>-2383</v>
      </c>
      <c r="F37" s="29">
        <v>-162</v>
      </c>
      <c r="G37" s="29">
        <v>-803</v>
      </c>
      <c r="H37" s="29">
        <v>-231</v>
      </c>
      <c r="I37" s="29">
        <v>0</v>
      </c>
      <c r="J37" s="5"/>
    </row>
    <row r="38" spans="2:14" x14ac:dyDescent="0.25">
      <c r="B38" t="s">
        <v>28</v>
      </c>
      <c r="E38" s="17">
        <v>-20810</v>
      </c>
      <c r="F38" s="29">
        <v>-10676</v>
      </c>
      <c r="G38" s="29">
        <v>-14990</v>
      </c>
      <c r="H38" s="29">
        <v>-27816</v>
      </c>
      <c r="I38" s="29">
        <v>-25798</v>
      </c>
      <c r="J38" s="5"/>
    </row>
    <row r="39" spans="2:14" x14ac:dyDescent="0.25">
      <c r="B39" s="16" t="s">
        <v>29</v>
      </c>
      <c r="C39" s="3"/>
      <c r="D39" s="3"/>
      <c r="E39" s="33">
        <v>-26377</v>
      </c>
      <c r="F39" s="34">
        <v>-18820</v>
      </c>
      <c r="G39" s="34">
        <v>-24236</v>
      </c>
      <c r="H39" s="34">
        <v>-34356</v>
      </c>
      <c r="I39" s="34">
        <v>-30465</v>
      </c>
      <c r="J39" s="7"/>
      <c r="K39" s="3"/>
      <c r="L39" s="3"/>
      <c r="M39" s="3"/>
      <c r="N39" s="3"/>
    </row>
    <row r="40" spans="2:14" x14ac:dyDescent="0.25">
      <c r="E40" s="17"/>
      <c r="F40" s="18"/>
      <c r="G40" s="18"/>
      <c r="H40" s="18"/>
      <c r="I40" s="18"/>
      <c r="J40" s="5"/>
    </row>
    <row r="41" spans="2:14" x14ac:dyDescent="0.25">
      <c r="B41" s="48" t="s">
        <v>30</v>
      </c>
      <c r="C41" s="8"/>
      <c r="D41" s="8"/>
      <c r="E41" s="26">
        <v>-1769</v>
      </c>
      <c r="F41" s="27">
        <v>-1810</v>
      </c>
      <c r="G41" s="27">
        <v>-2104</v>
      </c>
      <c r="H41" s="27">
        <v>-2336</v>
      </c>
      <c r="I41" s="27">
        <v>-2725</v>
      </c>
      <c r="J41" s="9"/>
      <c r="K41" s="8"/>
      <c r="L41" s="8"/>
      <c r="M41" s="8"/>
      <c r="N41" s="8"/>
    </row>
    <row r="42" spans="2:14" x14ac:dyDescent="0.25">
      <c r="B42" t="s">
        <v>31</v>
      </c>
      <c r="E42" s="17">
        <v>65748</v>
      </c>
      <c r="F42" s="29">
        <v>50923</v>
      </c>
      <c r="G42" s="29">
        <v>29638</v>
      </c>
      <c r="H42" s="29">
        <v>55323</v>
      </c>
      <c r="I42" s="29">
        <v>97512</v>
      </c>
      <c r="J42" s="5"/>
    </row>
    <row r="43" spans="2:14" x14ac:dyDescent="0.25">
      <c r="B43" t="s">
        <v>32</v>
      </c>
      <c r="E43" s="17">
        <v>-35711</v>
      </c>
      <c r="F43" s="29">
        <v>-46760</v>
      </c>
      <c r="G43" s="29">
        <v>-51610</v>
      </c>
      <c r="H43" s="29">
        <v>-59188</v>
      </c>
      <c r="I43" s="29">
        <v>-59198</v>
      </c>
      <c r="J43" s="5"/>
    </row>
    <row r="44" spans="2:14" x14ac:dyDescent="0.25">
      <c r="B44" t="s">
        <v>33</v>
      </c>
      <c r="E44" s="17">
        <v>-8995</v>
      </c>
      <c r="F44" s="29">
        <v>-4412</v>
      </c>
      <c r="G44" s="29">
        <v>-6080</v>
      </c>
      <c r="H44" s="29">
        <v>-2758</v>
      </c>
      <c r="I44" s="29">
        <v>-6185</v>
      </c>
      <c r="J44" s="5"/>
    </row>
    <row r="45" spans="2:14" x14ac:dyDescent="0.25">
      <c r="B45" t="s">
        <v>35</v>
      </c>
      <c r="E45" s="17">
        <v>15933</v>
      </c>
      <c r="F45" s="29">
        <v>24811</v>
      </c>
      <c r="G45" s="29">
        <v>33523</v>
      </c>
      <c r="H45" s="29">
        <v>79339</v>
      </c>
      <c r="I45" s="29">
        <v>105334</v>
      </c>
      <c r="J45" s="5"/>
    </row>
    <row r="46" spans="2:14" x14ac:dyDescent="0.25">
      <c r="B46" s="16" t="s">
        <v>34</v>
      </c>
      <c r="C46" s="3"/>
      <c r="D46" s="3"/>
      <c r="E46" s="33">
        <v>35206</v>
      </c>
      <c r="F46" s="34">
        <v>22752</v>
      </c>
      <c r="G46" s="34">
        <v>3367</v>
      </c>
      <c r="H46" s="34">
        <v>70380</v>
      </c>
      <c r="I46" s="34">
        <v>134738</v>
      </c>
      <c r="J46" s="7"/>
      <c r="K46" s="3"/>
      <c r="L46" s="3"/>
      <c r="M46" s="3"/>
      <c r="N46" s="3"/>
    </row>
    <row r="47" spans="2:14" x14ac:dyDescent="0.25">
      <c r="E47" s="17"/>
      <c r="F47" s="18"/>
      <c r="G47" s="18"/>
      <c r="H47" s="18"/>
      <c r="I47" s="18"/>
      <c r="J47" s="5"/>
    </row>
    <row r="48" spans="2:14" x14ac:dyDescent="0.25">
      <c r="B48" s="48" t="s">
        <v>36</v>
      </c>
      <c r="C48" s="8"/>
      <c r="D48" s="8"/>
      <c r="E48" s="26">
        <v>121711</v>
      </c>
      <c r="F48" s="27">
        <v>110051</v>
      </c>
      <c r="G48" s="27">
        <v>130547</v>
      </c>
      <c r="H48" s="27">
        <v>133546</v>
      </c>
      <c r="I48" s="27">
        <v>155842</v>
      </c>
      <c r="J48" s="9"/>
      <c r="K48" s="8"/>
      <c r="L48" s="8"/>
      <c r="M48" s="8"/>
      <c r="N48" s="8"/>
    </row>
    <row r="49" spans="2:14" x14ac:dyDescent="0.25">
      <c r="B49" s="16" t="s">
        <v>37</v>
      </c>
      <c r="C49" s="3"/>
      <c r="D49" s="3"/>
      <c r="E49" s="33">
        <v>110051</v>
      </c>
      <c r="F49" s="34">
        <v>130547</v>
      </c>
      <c r="G49" s="34">
        <v>133546</v>
      </c>
      <c r="H49" s="34">
        <v>155842</v>
      </c>
      <c r="I49" s="34">
        <v>261036</v>
      </c>
      <c r="J49" s="7"/>
      <c r="K49" s="3"/>
      <c r="L49" s="3"/>
      <c r="M49" s="3"/>
      <c r="N49" s="3"/>
    </row>
    <row r="50" spans="2:14" x14ac:dyDescent="0.25">
      <c r="E50" s="17"/>
      <c r="F50" s="18"/>
      <c r="G50" s="18"/>
      <c r="H50" s="18"/>
      <c r="I50" s="18"/>
      <c r="J50" s="5"/>
    </row>
    <row r="51" spans="2:14" x14ac:dyDescent="0.25">
      <c r="B51" s="48" t="s">
        <v>38</v>
      </c>
      <c r="C51" s="8"/>
      <c r="D51" s="8"/>
      <c r="E51" s="26">
        <v>-23673</v>
      </c>
      <c r="F51" s="27">
        <v>8582</v>
      </c>
      <c r="G51" s="27">
        <v>15425</v>
      </c>
      <c r="H51" s="27">
        <v>-20037</v>
      </c>
      <c r="I51" s="27">
        <v>-3746</v>
      </c>
      <c r="J51" s="9"/>
      <c r="K51" s="8"/>
      <c r="L51" s="8"/>
      <c r="M51" s="8"/>
      <c r="N51" s="8"/>
    </row>
    <row r="52" spans="2:14" x14ac:dyDescent="0.25">
      <c r="B52" s="16" t="s">
        <v>39</v>
      </c>
      <c r="C52" s="3"/>
      <c r="D52" s="3"/>
      <c r="E52" s="33">
        <v>11174</v>
      </c>
      <c r="F52" s="34">
        <v>16721</v>
      </c>
      <c r="G52" s="34">
        <v>18645</v>
      </c>
      <c r="H52" s="34">
        <v>9091</v>
      </c>
      <c r="I52" s="34">
        <v>5521</v>
      </c>
      <c r="J52" s="7"/>
      <c r="K52" s="3"/>
      <c r="L52" s="3"/>
      <c r="M52" s="3"/>
      <c r="N52" s="3"/>
    </row>
  </sheetData>
  <mergeCells count="2">
    <mergeCell ref="E3:I3"/>
    <mergeCell ref="J3:N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C15C-87F3-4E14-AAD1-7E05F30C7757}">
  <dimension ref="B1:P16"/>
  <sheetViews>
    <sheetView showGridLines="0" workbookViewId="0">
      <selection activeCell="B2" sqref="B2:N16"/>
    </sheetView>
  </sheetViews>
  <sheetFormatPr defaultRowHeight="15" x14ac:dyDescent="0.25"/>
  <cols>
    <col min="5" max="5" width="9.7109375" bestFit="1" customWidth="1"/>
    <col min="6" max="9" width="9.28515625" bestFit="1" customWidth="1"/>
    <col min="10" max="10" width="9.42578125" customWidth="1"/>
    <col min="11" max="11" width="9.85546875" bestFit="1" customWidth="1"/>
    <col min="12" max="14" width="9.7109375" bestFit="1" customWidth="1"/>
  </cols>
  <sheetData>
    <row r="1" spans="2:16" x14ac:dyDescent="0.25">
      <c r="E1" s="5"/>
      <c r="J1" s="5"/>
    </row>
    <row r="2" spans="2:16" x14ac:dyDescent="0.25">
      <c r="B2" s="2" t="s">
        <v>0</v>
      </c>
      <c r="C2" s="1"/>
      <c r="D2" s="1"/>
      <c r="E2" s="5"/>
      <c r="J2" s="5"/>
    </row>
    <row r="3" spans="2:16" x14ac:dyDescent="0.25">
      <c r="B3" s="2" t="s">
        <v>40</v>
      </c>
      <c r="C3" s="1"/>
      <c r="D3" s="1"/>
      <c r="E3" s="77" t="s">
        <v>14</v>
      </c>
      <c r="F3" s="78"/>
      <c r="G3" s="78"/>
      <c r="H3" s="78"/>
      <c r="I3" s="79"/>
      <c r="J3" s="77" t="s">
        <v>15</v>
      </c>
      <c r="K3" s="78"/>
      <c r="L3" s="78"/>
      <c r="M3" s="78"/>
      <c r="N3" s="78"/>
    </row>
    <row r="4" spans="2:16" x14ac:dyDescent="0.25">
      <c r="E4" s="5"/>
      <c r="J4" s="5">
        <v>1</v>
      </c>
      <c r="K4">
        <v>2</v>
      </c>
      <c r="L4">
        <v>3</v>
      </c>
      <c r="M4">
        <v>4</v>
      </c>
      <c r="N4">
        <v>5</v>
      </c>
    </row>
    <row r="5" spans="2:16" x14ac:dyDescent="0.25">
      <c r="B5" s="4" t="s">
        <v>1</v>
      </c>
      <c r="C5" s="49"/>
      <c r="D5" s="49"/>
      <c r="E5" s="6">
        <v>2017</v>
      </c>
      <c r="F5" s="4">
        <v>2018</v>
      </c>
      <c r="G5" s="4">
        <v>2019</v>
      </c>
      <c r="H5" s="4">
        <v>2020</v>
      </c>
      <c r="I5" s="4">
        <v>2021</v>
      </c>
      <c r="J5" s="6">
        <v>2022</v>
      </c>
      <c r="K5" s="4">
        <v>2023</v>
      </c>
      <c r="L5" s="4">
        <v>2024</v>
      </c>
      <c r="M5" s="4">
        <v>2025</v>
      </c>
      <c r="N5" s="4">
        <v>2026</v>
      </c>
    </row>
    <row r="6" spans="2:16" x14ac:dyDescent="0.25">
      <c r="B6" t="s">
        <v>41</v>
      </c>
      <c r="E6" s="53"/>
      <c r="F6" s="54"/>
      <c r="G6" s="54"/>
      <c r="H6" s="54"/>
      <c r="I6" s="18">
        <v>27044</v>
      </c>
      <c r="J6" s="53"/>
      <c r="K6" s="54"/>
      <c r="L6" s="54"/>
      <c r="M6" s="54"/>
      <c r="N6" s="54"/>
    </row>
    <row r="7" spans="2:16" x14ac:dyDescent="0.25">
      <c r="B7" t="s">
        <v>42</v>
      </c>
      <c r="E7" s="53"/>
      <c r="F7" s="54"/>
      <c r="G7" s="54"/>
      <c r="H7" s="54"/>
      <c r="I7" s="54"/>
      <c r="J7" s="17">
        <v>17805</v>
      </c>
      <c r="K7" s="18">
        <v>19869</v>
      </c>
      <c r="L7" s="18">
        <v>21699</v>
      </c>
      <c r="M7" s="18">
        <v>19969</v>
      </c>
      <c r="N7" s="18">
        <v>20653</v>
      </c>
    </row>
    <row r="8" spans="2:16" x14ac:dyDescent="0.25">
      <c r="B8" t="s">
        <v>43</v>
      </c>
      <c r="E8" s="53"/>
      <c r="F8" s="54"/>
      <c r="G8" s="54"/>
      <c r="H8" s="54"/>
      <c r="I8" s="54"/>
      <c r="J8" s="17">
        <v>17259</v>
      </c>
      <c r="K8" s="18">
        <v>17983</v>
      </c>
      <c r="L8" s="18">
        <v>20349</v>
      </c>
      <c r="M8" s="18">
        <v>19969</v>
      </c>
      <c r="N8" s="18">
        <v>20653</v>
      </c>
    </row>
    <row r="9" spans="2:16" x14ac:dyDescent="0.25">
      <c r="B9" t="s">
        <v>44</v>
      </c>
      <c r="E9" s="53"/>
      <c r="F9" s="54"/>
      <c r="G9" s="54"/>
      <c r="H9" s="54"/>
      <c r="I9" s="54"/>
      <c r="J9" s="17">
        <v>15217</v>
      </c>
      <c r="K9" s="18">
        <v>16486</v>
      </c>
      <c r="L9" s="18">
        <v>17940</v>
      </c>
      <c r="M9" s="18">
        <v>19969</v>
      </c>
      <c r="N9" s="18">
        <v>20653</v>
      </c>
    </row>
    <row r="10" spans="2:16" x14ac:dyDescent="0.25">
      <c r="B10" s="10" t="s">
        <v>45</v>
      </c>
      <c r="C10" s="10"/>
      <c r="D10" s="10"/>
      <c r="E10" s="42">
        <v>6846</v>
      </c>
      <c r="F10" s="43">
        <v>2022</v>
      </c>
      <c r="G10" s="43">
        <v>2117</v>
      </c>
      <c r="H10" s="43">
        <v>3020</v>
      </c>
      <c r="I10" s="43">
        <v>5409</v>
      </c>
      <c r="J10" s="51">
        <f>22%*J8</f>
        <v>3796.98</v>
      </c>
      <c r="K10" s="52">
        <f>22%*K8</f>
        <v>3956.26</v>
      </c>
      <c r="L10" s="52">
        <f t="shared" ref="L10:N10" si="0">22%*L8</f>
        <v>4476.78</v>
      </c>
      <c r="M10" s="52">
        <f t="shared" si="0"/>
        <v>4393.18</v>
      </c>
      <c r="N10" s="52">
        <f t="shared" si="0"/>
        <v>4543.66</v>
      </c>
    </row>
    <row r="11" spans="2:16" x14ac:dyDescent="0.25">
      <c r="B11" s="10" t="s">
        <v>46</v>
      </c>
      <c r="C11" s="10"/>
      <c r="D11" s="10"/>
      <c r="E11" s="42">
        <v>1152</v>
      </c>
      <c r="F11" s="43">
        <v>1328</v>
      </c>
      <c r="G11" s="43">
        <v>1704</v>
      </c>
      <c r="H11" s="43">
        <v>1902</v>
      </c>
      <c r="I11" s="43">
        <v>2015</v>
      </c>
      <c r="J11" s="42">
        <v>1920</v>
      </c>
      <c r="K11" s="52">
        <f>1.01*J11</f>
        <v>1939.2</v>
      </c>
      <c r="L11" s="52">
        <f t="shared" ref="L11:N11" si="1">1.01*K11</f>
        <v>1958.5920000000001</v>
      </c>
      <c r="M11" s="52">
        <f t="shared" si="1"/>
        <v>1978.1779200000001</v>
      </c>
      <c r="N11" s="52">
        <f t="shared" si="1"/>
        <v>1997.9596992000002</v>
      </c>
      <c r="P11" s="50"/>
    </row>
    <row r="12" spans="2:16" x14ac:dyDescent="0.25">
      <c r="B12" s="8" t="s">
        <v>47</v>
      </c>
      <c r="C12" s="8"/>
      <c r="D12" s="8"/>
      <c r="E12" s="26">
        <v>3184</v>
      </c>
      <c r="F12" s="27">
        <v>7982</v>
      </c>
      <c r="G12" s="27">
        <v>8443</v>
      </c>
      <c r="H12" s="27">
        <v>6309</v>
      </c>
      <c r="I12" s="27">
        <v>4667</v>
      </c>
      <c r="J12" s="55"/>
      <c r="K12" s="56"/>
      <c r="L12" s="56"/>
      <c r="M12" s="56"/>
      <c r="N12" s="56"/>
    </row>
    <row r="13" spans="2:16" x14ac:dyDescent="0.25">
      <c r="B13" t="s">
        <v>42</v>
      </c>
      <c r="E13" s="53"/>
      <c r="F13" s="54"/>
      <c r="G13" s="54"/>
      <c r="H13" s="54"/>
      <c r="I13" s="54"/>
      <c r="J13" s="53"/>
      <c r="K13" s="54"/>
      <c r="L13" s="54"/>
      <c r="M13" s="54"/>
      <c r="N13" s="54"/>
    </row>
    <row r="14" spans="2:16" x14ac:dyDescent="0.25">
      <c r="B14" t="s">
        <v>43</v>
      </c>
      <c r="E14" s="53"/>
      <c r="F14" s="54"/>
      <c r="G14" s="54"/>
      <c r="H14" s="54"/>
      <c r="I14" s="54"/>
      <c r="J14" s="53">
        <f>1.387*I12</f>
        <v>6473.1289999999999</v>
      </c>
      <c r="K14" s="54">
        <f>1.05*J14</f>
        <v>6796.7854500000003</v>
      </c>
      <c r="L14" s="54">
        <f>1.029*K14</f>
        <v>6993.8922280500001</v>
      </c>
      <c r="M14" s="54">
        <f>1.001*L14</f>
        <v>7000.886120278049</v>
      </c>
      <c r="N14" s="54">
        <f>1.034*M14</f>
        <v>7238.9162483675027</v>
      </c>
    </row>
    <row r="15" spans="2:16" x14ac:dyDescent="0.25">
      <c r="B15" t="s">
        <v>44</v>
      </c>
      <c r="E15" s="53"/>
      <c r="F15" s="54"/>
      <c r="G15" s="54"/>
      <c r="H15" s="54"/>
      <c r="I15" s="54"/>
      <c r="J15" s="53"/>
      <c r="K15" s="54"/>
      <c r="L15" s="54"/>
      <c r="M15" s="54"/>
      <c r="N15" s="54"/>
    </row>
    <row r="16" spans="2:16" x14ac:dyDescent="0.25">
      <c r="B16" s="10" t="s">
        <v>48</v>
      </c>
      <c r="C16" s="10"/>
      <c r="D16" s="10"/>
      <c r="E16" s="42">
        <v>-108700</v>
      </c>
      <c r="F16" s="43">
        <v>-38971</v>
      </c>
      <c r="G16" s="43">
        <v>-2096</v>
      </c>
      <c r="H16" s="43">
        <v>8533</v>
      </c>
      <c r="I16" s="43">
        <v>-87129</v>
      </c>
      <c r="J16" s="51">
        <f>-0.197*I16+I16</f>
        <v>-69964.587</v>
      </c>
      <c r="K16" s="52">
        <f>1.05*J16</f>
        <v>-73462.816350000008</v>
      </c>
      <c r="L16" s="52">
        <f t="shared" ref="L16:N16" si="2">1.05*K16</f>
        <v>-77135.957167500019</v>
      </c>
      <c r="M16" s="52">
        <f t="shared" si="2"/>
        <v>-80992.755025875027</v>
      </c>
      <c r="N16" s="52">
        <f t="shared" si="2"/>
        <v>-85042.392777168789</v>
      </c>
    </row>
  </sheetData>
  <mergeCells count="2">
    <mergeCell ref="J3:N3"/>
    <mergeCell ref="E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00E3-9F48-4E46-8AFE-5EFCB118D169}">
  <dimension ref="B2:O45"/>
  <sheetViews>
    <sheetView showGridLines="0" tabSelected="1" workbookViewId="0">
      <selection activeCell="H60" sqref="H60"/>
    </sheetView>
  </sheetViews>
  <sheetFormatPr defaultRowHeight="15" x14ac:dyDescent="0.25"/>
  <cols>
    <col min="6" max="6" width="10.5703125" bestFit="1" customWidth="1"/>
    <col min="7" max="7" width="10.7109375" customWidth="1"/>
    <col min="8" max="11" width="10.5703125" bestFit="1" customWidth="1"/>
  </cols>
  <sheetData>
    <row r="2" spans="2:15" x14ac:dyDescent="0.25">
      <c r="B2" s="2" t="s">
        <v>0</v>
      </c>
      <c r="C2" s="1"/>
      <c r="D2" s="1"/>
    </row>
    <row r="3" spans="2:15" x14ac:dyDescent="0.25">
      <c r="B3" s="1" t="s">
        <v>40</v>
      </c>
      <c r="C3" s="1"/>
      <c r="D3" s="1"/>
    </row>
    <row r="5" spans="2:15" x14ac:dyDescent="0.25">
      <c r="B5" s="80" t="s">
        <v>88</v>
      </c>
      <c r="C5" s="80"/>
      <c r="D5" s="80"/>
      <c r="E5" s="80"/>
      <c r="F5" s="80"/>
      <c r="G5" s="80"/>
      <c r="I5" s="49" t="s">
        <v>61</v>
      </c>
      <c r="J5" s="57">
        <v>0</v>
      </c>
      <c r="K5" s="58">
        <v>1</v>
      </c>
      <c r="L5" s="58">
        <v>2</v>
      </c>
      <c r="M5" s="58">
        <v>3</v>
      </c>
      <c r="N5" s="58">
        <v>4</v>
      </c>
      <c r="O5" s="58">
        <v>5</v>
      </c>
    </row>
    <row r="6" spans="2:15" x14ac:dyDescent="0.25">
      <c r="I6" t="s">
        <v>62</v>
      </c>
      <c r="J6" s="53">
        <f>'Street Estimates'!I6</f>
        <v>27044</v>
      </c>
      <c r="K6" s="54">
        <f>'Street Estimates'!J8</f>
        <v>17259</v>
      </c>
      <c r="L6" s="54">
        <f>'Street Estimates'!K8</f>
        <v>17983</v>
      </c>
      <c r="M6" s="54">
        <f>'Street Estimates'!L8</f>
        <v>20349</v>
      </c>
      <c r="N6" s="54">
        <f>'Street Estimates'!M8</f>
        <v>19969</v>
      </c>
      <c r="O6" s="54">
        <f>'Street Estimates'!N8</f>
        <v>20653</v>
      </c>
    </row>
    <row r="7" spans="2:15" x14ac:dyDescent="0.25">
      <c r="B7" s="3" t="s">
        <v>49</v>
      </c>
      <c r="C7" s="3"/>
      <c r="D7" s="3"/>
      <c r="E7" s="3"/>
      <c r="F7" s="3"/>
      <c r="G7" s="3"/>
      <c r="I7" t="s">
        <v>63</v>
      </c>
      <c r="J7" s="53">
        <f>-'Street Estimates'!I10</f>
        <v>-5409</v>
      </c>
      <c r="K7" s="54">
        <f>-'Street Estimates'!J10</f>
        <v>-3796.98</v>
      </c>
      <c r="L7" s="54">
        <f>-'Street Estimates'!K10</f>
        <v>-3956.26</v>
      </c>
      <c r="M7" s="54">
        <f>-'Street Estimates'!L10</f>
        <v>-4476.78</v>
      </c>
      <c r="N7" s="54">
        <f>-'Street Estimates'!M10</f>
        <v>-4393.18</v>
      </c>
      <c r="O7" s="54">
        <f>-'Street Estimates'!N10</f>
        <v>-4543.66</v>
      </c>
    </row>
    <row r="8" spans="2:15" x14ac:dyDescent="0.25">
      <c r="B8" t="s">
        <v>50</v>
      </c>
      <c r="G8" s="69">
        <v>-0.02</v>
      </c>
      <c r="I8" t="s">
        <v>64</v>
      </c>
      <c r="J8" s="53">
        <f>'Street Estimates'!I11</f>
        <v>2015</v>
      </c>
      <c r="K8" s="54">
        <f>'Street Estimates'!J11</f>
        <v>1920</v>
      </c>
      <c r="L8" s="54">
        <f>'Street Estimates'!K11</f>
        <v>1939.2</v>
      </c>
      <c r="M8" s="54">
        <f>'Street Estimates'!L11</f>
        <v>1958.5920000000001</v>
      </c>
      <c r="N8" s="54">
        <f>'Street Estimates'!M11</f>
        <v>1978.1779200000001</v>
      </c>
      <c r="O8" s="54">
        <f>'Street Estimates'!N11</f>
        <v>1997.9596992000002</v>
      </c>
    </row>
    <row r="9" spans="2:15" x14ac:dyDescent="0.25">
      <c r="B9" t="s">
        <v>51</v>
      </c>
      <c r="G9" s="20">
        <v>27.93</v>
      </c>
      <c r="I9" t="s">
        <v>26</v>
      </c>
      <c r="J9" s="53">
        <f>-'Street Estimates'!I12</f>
        <v>-4667</v>
      </c>
      <c r="K9" s="54">
        <f>-'Street Estimates'!J14</f>
        <v>-6473.1289999999999</v>
      </c>
      <c r="L9" s="54">
        <f>-'Street Estimates'!K14</f>
        <v>-6796.7854500000003</v>
      </c>
      <c r="M9" s="54">
        <f>-'Street Estimates'!L14</f>
        <v>-6993.8922280500001</v>
      </c>
      <c r="N9" s="54">
        <f>-'Street Estimates'!M14</f>
        <v>-7000.886120278049</v>
      </c>
      <c r="O9" s="54">
        <f>-'Street Estimates'!N14</f>
        <v>-7238.9162483675027</v>
      </c>
    </row>
    <row r="10" spans="2:15" x14ac:dyDescent="0.25">
      <c r="B10" t="s">
        <v>52</v>
      </c>
      <c r="G10" s="69">
        <v>4.5999999999999999E-2</v>
      </c>
      <c r="I10" t="s">
        <v>65</v>
      </c>
      <c r="J10" s="53">
        <f>-'Street Estimates'!I16</f>
        <v>87129</v>
      </c>
      <c r="K10" s="54">
        <f>-'Street Estimates'!J16</f>
        <v>69964.587</v>
      </c>
      <c r="L10" s="54">
        <f>-'Street Estimates'!K16</f>
        <v>73462.816350000008</v>
      </c>
      <c r="M10" s="54">
        <f>-'Street Estimates'!L16</f>
        <v>77135.957167500019</v>
      </c>
      <c r="N10" s="54">
        <f>-'Street Estimates'!M16</f>
        <v>80992.755025875027</v>
      </c>
      <c r="O10" s="54">
        <f>-'Street Estimates'!N16</f>
        <v>85042.392777168789</v>
      </c>
    </row>
    <row r="11" spans="2:15" x14ac:dyDescent="0.25">
      <c r="B11" t="s">
        <v>53</v>
      </c>
      <c r="G11" s="70">
        <v>0.22</v>
      </c>
      <c r="I11" s="48" t="s">
        <v>60</v>
      </c>
      <c r="J11" s="55">
        <f>SUM(J6:J10)</f>
        <v>106112</v>
      </c>
      <c r="K11" s="56">
        <f>SUM(K6:K10)</f>
        <v>78873.478000000003</v>
      </c>
      <c r="L11" s="56">
        <f t="shared" ref="L11:O11" si="0">SUM(L6:L10)</f>
        <v>82631.970900000015</v>
      </c>
      <c r="M11" s="56">
        <f t="shared" si="0"/>
        <v>87972.876939450012</v>
      </c>
      <c r="N11" s="56">
        <f t="shared" si="0"/>
        <v>91545.866825596982</v>
      </c>
      <c r="O11" s="56">
        <f t="shared" si="0"/>
        <v>95910.776228001283</v>
      </c>
    </row>
    <row r="12" spans="2:15" x14ac:dyDescent="0.25">
      <c r="B12" t="s">
        <v>54</v>
      </c>
      <c r="G12" s="69">
        <v>2.7900000000000001E-2</v>
      </c>
    </row>
    <row r="13" spans="2:15" x14ac:dyDescent="0.25">
      <c r="G13" s="20"/>
    </row>
    <row r="14" spans="2:15" x14ac:dyDescent="0.25">
      <c r="B14" t="s">
        <v>55</v>
      </c>
      <c r="G14" s="20">
        <v>1.39</v>
      </c>
    </row>
    <row r="15" spans="2:15" x14ac:dyDescent="0.25">
      <c r="B15" t="s">
        <v>56</v>
      </c>
      <c r="G15" s="69">
        <v>7.0000000000000007E-2</v>
      </c>
    </row>
    <row r="16" spans="2:15" x14ac:dyDescent="0.25">
      <c r="B16" t="s">
        <v>58</v>
      </c>
      <c r="G16" s="71">
        <v>99233</v>
      </c>
    </row>
    <row r="17" spans="2:11" x14ac:dyDescent="0.25">
      <c r="B17" t="s">
        <v>57</v>
      </c>
      <c r="G17" s="71">
        <v>586200</v>
      </c>
    </row>
    <row r="19" spans="2:11" x14ac:dyDescent="0.25">
      <c r="B19" s="4" t="s">
        <v>59</v>
      </c>
      <c r="C19" s="49"/>
      <c r="D19" s="49"/>
      <c r="E19" s="49"/>
      <c r="F19" s="49"/>
      <c r="G19" s="49"/>
    </row>
    <row r="20" spans="2:11" x14ac:dyDescent="0.25">
      <c r="B20" t="s">
        <v>66</v>
      </c>
      <c r="G20" s="59">
        <f>G12+G14*(G15-G12)</f>
        <v>8.6418999999999996E-2</v>
      </c>
    </row>
    <row r="21" spans="2:11" x14ac:dyDescent="0.25">
      <c r="B21" t="s">
        <v>67</v>
      </c>
      <c r="G21" s="60">
        <f>G17/SUM(G16:G17)</f>
        <v>0.85522582075855702</v>
      </c>
    </row>
    <row r="22" spans="2:11" x14ac:dyDescent="0.25">
      <c r="B22" t="s">
        <v>68</v>
      </c>
      <c r="G22" s="60">
        <f>G16/SUM(G16:G17)</f>
        <v>0.14477417924144301</v>
      </c>
    </row>
    <row r="23" spans="2:11" x14ac:dyDescent="0.25">
      <c r="B23" s="61" t="s">
        <v>69</v>
      </c>
      <c r="C23" s="62"/>
      <c r="D23" s="62"/>
      <c r="E23" s="62"/>
      <c r="F23" s="62"/>
      <c r="G23" s="63">
        <f>G22*G20+G21*G10*(1-G11)</f>
        <v>4.3196742244683291E-2</v>
      </c>
    </row>
    <row r="25" spans="2:11" x14ac:dyDescent="0.25">
      <c r="B25" s="4" t="s">
        <v>70</v>
      </c>
      <c r="C25" s="49"/>
      <c r="D25" s="49"/>
      <c r="E25" s="49"/>
      <c r="F25" s="49"/>
      <c r="G25" s="49"/>
    </row>
    <row r="26" spans="2:11" x14ac:dyDescent="0.25">
      <c r="B26" t="s">
        <v>71</v>
      </c>
      <c r="G26" s="54">
        <f>O6+O8</f>
        <v>22650.959699200001</v>
      </c>
    </row>
    <row r="27" spans="2:11" x14ac:dyDescent="0.25">
      <c r="B27" t="s">
        <v>51</v>
      </c>
      <c r="G27" s="54">
        <f>G26*G9</f>
        <v>632641.30439865601</v>
      </c>
    </row>
    <row r="28" spans="2:11" x14ac:dyDescent="0.25">
      <c r="B28" t="s">
        <v>72</v>
      </c>
      <c r="G28" s="66">
        <f>O11*(1+G8)/(G23-G8)</f>
        <v>1487300.7272989424</v>
      </c>
    </row>
    <row r="29" spans="2:11" x14ac:dyDescent="0.25">
      <c r="B29" s="48" t="s">
        <v>73</v>
      </c>
      <c r="C29" s="8"/>
      <c r="D29" s="8"/>
      <c r="E29" s="8"/>
      <c r="F29" s="8"/>
      <c r="G29" s="54">
        <f>AVERAGE(G27:G28)</f>
        <v>1059971.0158487991</v>
      </c>
    </row>
    <row r="30" spans="2:11" x14ac:dyDescent="0.25">
      <c r="G30" s="54"/>
    </row>
    <row r="31" spans="2:11" x14ac:dyDescent="0.25">
      <c r="B31" s="4" t="s">
        <v>74</v>
      </c>
      <c r="C31" s="49"/>
      <c r="D31" s="49"/>
      <c r="E31" s="49"/>
      <c r="F31" s="49"/>
      <c r="G31" s="49">
        <v>1</v>
      </c>
      <c r="H31" s="49">
        <v>2</v>
      </c>
      <c r="I31" s="49">
        <v>3</v>
      </c>
      <c r="J31" s="49">
        <v>4</v>
      </c>
      <c r="K31" s="49">
        <v>5</v>
      </c>
    </row>
    <row r="32" spans="2:11" x14ac:dyDescent="0.25">
      <c r="B32" t="s">
        <v>75</v>
      </c>
      <c r="G32" s="65">
        <f>1/(1+$G$23)^K5</f>
        <v>0.95859195059243063</v>
      </c>
      <c r="H32" s="65">
        <f t="shared" ref="H32:K32" si="1">1/(1+$G$23)^L5</f>
        <v>0.91889852774060088</v>
      </c>
      <c r="I32" s="65">
        <f t="shared" si="1"/>
        <v>0.88084873210337533</v>
      </c>
      <c r="J32" s="65">
        <f t="shared" si="1"/>
        <v>0.84437450428384386</v>
      </c>
      <c r="K32" s="65">
        <f t="shared" si="1"/>
        <v>0.80941060309196666</v>
      </c>
    </row>
    <row r="33" spans="2:11" x14ac:dyDescent="0.25">
      <c r="B33" t="s">
        <v>76</v>
      </c>
      <c r="G33" s="54">
        <f>K11*G32</f>
        <v>75607.481126029161</v>
      </c>
      <c r="H33" s="54">
        <f t="shared" ref="H33:K33" si="2">L11*H32</f>
        <v>75930.39640431419</v>
      </c>
      <c r="I33" s="54">
        <f t="shared" si="2"/>
        <v>77490.797111600812</v>
      </c>
      <c r="J33" s="54">
        <f t="shared" si="2"/>
        <v>77298.995920098241</v>
      </c>
      <c r="K33" s="54">
        <f t="shared" si="2"/>
        <v>77631.199229725171</v>
      </c>
    </row>
    <row r="34" spans="2:11" x14ac:dyDescent="0.25">
      <c r="B34" s="3" t="s">
        <v>77</v>
      </c>
      <c r="C34" s="3"/>
      <c r="D34" s="3"/>
      <c r="E34" s="3"/>
      <c r="F34" s="3"/>
      <c r="G34" s="54"/>
      <c r="H34" s="54"/>
      <c r="I34" s="54"/>
      <c r="J34" s="54"/>
      <c r="K34" s="54">
        <f>K32*G29</f>
        <v>857951.77919818112</v>
      </c>
    </row>
    <row r="35" spans="2:11" x14ac:dyDescent="0.25">
      <c r="B35" s="15" t="s">
        <v>78</v>
      </c>
      <c r="F35" s="54">
        <f>SUM(G33:K34)</f>
        <v>1241910.6489899487</v>
      </c>
      <c r="H35" s="54"/>
    </row>
    <row r="37" spans="2:11" x14ac:dyDescent="0.25">
      <c r="B37" s="4" t="s">
        <v>79</v>
      </c>
      <c r="C37" s="49"/>
      <c r="D37" s="49"/>
      <c r="E37" s="49"/>
      <c r="F37" s="49"/>
    </row>
    <row r="38" spans="2:11" x14ac:dyDescent="0.25">
      <c r="B38" t="s">
        <v>80</v>
      </c>
      <c r="F38" s="71">
        <v>1040000</v>
      </c>
    </row>
    <row r="39" spans="2:11" x14ac:dyDescent="0.25">
      <c r="B39" t="s">
        <v>81</v>
      </c>
      <c r="F39" s="20"/>
    </row>
    <row r="40" spans="2:11" x14ac:dyDescent="0.25">
      <c r="B40" t="s">
        <v>83</v>
      </c>
      <c r="F40" s="71">
        <v>302300</v>
      </c>
    </row>
    <row r="41" spans="2:11" x14ac:dyDescent="0.25">
      <c r="B41" s="3" t="s">
        <v>82</v>
      </c>
      <c r="C41" s="3"/>
      <c r="D41" s="3"/>
      <c r="E41" s="3"/>
      <c r="F41" s="72">
        <v>263500</v>
      </c>
    </row>
    <row r="42" spans="2:11" x14ac:dyDescent="0.25">
      <c r="B42" s="67" t="s">
        <v>58</v>
      </c>
      <c r="F42" s="68">
        <f>F35+F38-F40-F41</f>
        <v>1716110.6489899484</v>
      </c>
    </row>
    <row r="44" spans="2:11" x14ac:dyDescent="0.25">
      <c r="B44" s="3" t="s">
        <v>84</v>
      </c>
      <c r="C44" s="3"/>
      <c r="D44" s="3"/>
      <c r="E44" s="3"/>
      <c r="F44" s="72">
        <v>325</v>
      </c>
    </row>
    <row r="45" spans="2:11" x14ac:dyDescent="0.25">
      <c r="B45" s="13" t="s">
        <v>58</v>
      </c>
      <c r="F45" s="64">
        <f>F42/F44</f>
        <v>5280.3404584306109</v>
      </c>
    </row>
  </sheetData>
  <mergeCells count="1">
    <mergeCell ref="B5:G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E6A5C-304A-4E05-9218-C06B185D474E}">
  <dimension ref="B2:O32"/>
  <sheetViews>
    <sheetView showGridLines="0" workbookViewId="0">
      <selection activeCell="G26" sqref="G26"/>
    </sheetView>
  </sheetViews>
  <sheetFormatPr defaultRowHeight="15" x14ac:dyDescent="0.25"/>
  <sheetData>
    <row r="2" spans="2:15" x14ac:dyDescent="0.25">
      <c r="B2" s="2" t="s">
        <v>0</v>
      </c>
      <c r="C2" s="1"/>
      <c r="D2" s="1"/>
    </row>
    <row r="3" spans="2:15" x14ac:dyDescent="0.25">
      <c r="B3" s="1" t="s">
        <v>40</v>
      </c>
      <c r="C3" s="1"/>
      <c r="D3" s="1"/>
    </row>
    <row r="5" spans="2:15" x14ac:dyDescent="0.25">
      <c r="B5" s="80" t="s">
        <v>87</v>
      </c>
      <c r="C5" s="80"/>
      <c r="D5" s="80"/>
      <c r="E5" s="80"/>
      <c r="F5" s="80"/>
      <c r="G5" s="80"/>
      <c r="I5" s="49" t="s">
        <v>61</v>
      </c>
      <c r="J5" s="57">
        <v>0</v>
      </c>
      <c r="K5" s="58">
        <v>1</v>
      </c>
      <c r="L5" s="58">
        <v>2</v>
      </c>
      <c r="M5" s="58">
        <v>3</v>
      </c>
      <c r="N5" s="58">
        <v>4</v>
      </c>
      <c r="O5" s="58">
        <v>5</v>
      </c>
    </row>
    <row r="6" spans="2:15" x14ac:dyDescent="0.25">
      <c r="I6" t="s">
        <v>62</v>
      </c>
      <c r="J6" s="53">
        <f>'Street Estimates'!I6</f>
        <v>27044</v>
      </c>
      <c r="K6" s="54">
        <f>'Street Estimates'!J8</f>
        <v>17259</v>
      </c>
      <c r="L6" s="54">
        <f>'Street Estimates'!K8</f>
        <v>17983</v>
      </c>
      <c r="M6" s="54">
        <f>'Street Estimates'!L8</f>
        <v>20349</v>
      </c>
      <c r="N6" s="54">
        <f>'Street Estimates'!M8</f>
        <v>19969</v>
      </c>
      <c r="O6" s="54">
        <f>'Street Estimates'!N8</f>
        <v>20653</v>
      </c>
    </row>
    <row r="7" spans="2:15" x14ac:dyDescent="0.25">
      <c r="B7" s="3" t="s">
        <v>49</v>
      </c>
      <c r="C7" s="3"/>
      <c r="D7" s="3"/>
      <c r="E7" s="3"/>
      <c r="F7" s="3"/>
      <c r="G7" s="3"/>
      <c r="I7" t="s">
        <v>63</v>
      </c>
      <c r="J7" s="53">
        <f>-'Street Estimates'!I10</f>
        <v>-5409</v>
      </c>
      <c r="K7" s="54">
        <f>-'Street Estimates'!J10</f>
        <v>-3796.98</v>
      </c>
      <c r="L7" s="54">
        <f>-'Street Estimates'!K10</f>
        <v>-3956.26</v>
      </c>
      <c r="M7" s="54">
        <f>-'Street Estimates'!L10</f>
        <v>-4476.78</v>
      </c>
      <c r="N7" s="54">
        <f>-'Street Estimates'!M10</f>
        <v>-4393.18</v>
      </c>
      <c r="O7" s="54">
        <f>-'Street Estimates'!N10</f>
        <v>-4543.66</v>
      </c>
    </row>
    <row r="8" spans="2:15" x14ac:dyDescent="0.25">
      <c r="B8" t="s">
        <v>50</v>
      </c>
      <c r="G8" s="69">
        <v>-0.02</v>
      </c>
      <c r="I8" t="s">
        <v>64</v>
      </c>
      <c r="J8" s="53">
        <f>'Street Estimates'!I11</f>
        <v>2015</v>
      </c>
      <c r="K8" s="54">
        <f>'Street Estimates'!J11</f>
        <v>1920</v>
      </c>
      <c r="L8" s="54">
        <f>'Street Estimates'!K11</f>
        <v>1939.2</v>
      </c>
      <c r="M8" s="54">
        <f>'Street Estimates'!L11</f>
        <v>1958.5920000000001</v>
      </c>
      <c r="N8" s="54">
        <f>'Street Estimates'!M11</f>
        <v>1978.1779200000001</v>
      </c>
      <c r="O8" s="54">
        <f>'Street Estimates'!N11</f>
        <v>1997.9596992000002</v>
      </c>
    </row>
    <row r="9" spans="2:15" x14ac:dyDescent="0.25">
      <c r="B9" t="s">
        <v>51</v>
      </c>
      <c r="G9" s="20">
        <v>27.93</v>
      </c>
      <c r="I9" t="s">
        <v>26</v>
      </c>
      <c r="J9" s="53">
        <f>-'Street Estimates'!I12</f>
        <v>-4667</v>
      </c>
      <c r="K9" s="54">
        <f>-'Street Estimates'!J14</f>
        <v>-6473.1289999999999</v>
      </c>
      <c r="L9" s="54">
        <f>-'Street Estimates'!K14</f>
        <v>-6796.7854500000003</v>
      </c>
      <c r="M9" s="54">
        <f>-'Street Estimates'!L14</f>
        <v>-6993.8922280500001</v>
      </c>
      <c r="N9" s="54">
        <f>-'Street Estimates'!M14</f>
        <v>-7000.886120278049</v>
      </c>
      <c r="O9" s="54">
        <f>-'Street Estimates'!N14</f>
        <v>-7238.9162483675027</v>
      </c>
    </row>
    <row r="10" spans="2:15" x14ac:dyDescent="0.25">
      <c r="B10" t="s">
        <v>52</v>
      </c>
      <c r="G10" s="69">
        <v>4.5999999999999999E-2</v>
      </c>
      <c r="I10" t="s">
        <v>65</v>
      </c>
      <c r="J10" s="53">
        <f>-'Street Estimates'!I16</f>
        <v>87129</v>
      </c>
      <c r="K10" s="54">
        <f>-'Street Estimates'!J16</f>
        <v>69964.587</v>
      </c>
      <c r="L10" s="54">
        <f>-'Street Estimates'!K16</f>
        <v>73462.816350000008</v>
      </c>
      <c r="M10" s="54">
        <f>-'Street Estimates'!L16</f>
        <v>77135.957167500019</v>
      </c>
      <c r="N10" s="54">
        <f>-'Street Estimates'!M16</f>
        <v>80992.755025875027</v>
      </c>
      <c r="O10" s="54">
        <f>-'Street Estimates'!N16</f>
        <v>85042.392777168789</v>
      </c>
    </row>
    <row r="11" spans="2:15" x14ac:dyDescent="0.25">
      <c r="B11" t="s">
        <v>53</v>
      </c>
      <c r="G11" s="70">
        <v>0.22</v>
      </c>
      <c r="I11" s="48" t="s">
        <v>60</v>
      </c>
      <c r="J11" s="55">
        <f>SUM(J6:J10)</f>
        <v>106112</v>
      </c>
      <c r="K11" s="56">
        <f>SUM(K6:K10)</f>
        <v>78873.478000000003</v>
      </c>
      <c r="L11" s="56">
        <f t="shared" ref="L11:O11" si="0">SUM(L6:L10)</f>
        <v>82631.970900000015</v>
      </c>
      <c r="M11" s="56">
        <f t="shared" si="0"/>
        <v>87972.876939450012</v>
      </c>
      <c r="N11" s="56">
        <f t="shared" si="0"/>
        <v>91545.866825596982</v>
      </c>
      <c r="O11" s="56">
        <f t="shared" si="0"/>
        <v>95910.776228001283</v>
      </c>
    </row>
    <row r="12" spans="2:15" x14ac:dyDescent="0.25">
      <c r="B12" t="s">
        <v>54</v>
      </c>
      <c r="G12" s="69">
        <v>2.7900000000000001E-2</v>
      </c>
    </row>
    <row r="13" spans="2:15" x14ac:dyDescent="0.25">
      <c r="G13" s="20"/>
    </row>
    <row r="14" spans="2:15" x14ac:dyDescent="0.25">
      <c r="B14" t="s">
        <v>55</v>
      </c>
      <c r="G14" s="20">
        <v>1.39</v>
      </c>
    </row>
    <row r="15" spans="2:15" x14ac:dyDescent="0.25">
      <c r="B15" t="s">
        <v>56</v>
      </c>
      <c r="G15" s="69">
        <v>7.0000000000000007E-2</v>
      </c>
    </row>
    <row r="16" spans="2:15" x14ac:dyDescent="0.25">
      <c r="B16" t="s">
        <v>58</v>
      </c>
      <c r="G16" s="71">
        <v>99233</v>
      </c>
    </row>
    <row r="17" spans="2:9" x14ac:dyDescent="0.25">
      <c r="B17" t="s">
        <v>57</v>
      </c>
      <c r="G17" s="71">
        <v>586200</v>
      </c>
    </row>
    <row r="19" spans="2:9" x14ac:dyDescent="0.25">
      <c r="B19" s="4" t="s">
        <v>59</v>
      </c>
      <c r="C19" s="49"/>
      <c r="D19" s="49"/>
      <c r="E19" s="49"/>
      <c r="F19" s="49"/>
      <c r="G19" s="49"/>
    </row>
    <row r="20" spans="2:9" x14ac:dyDescent="0.25">
      <c r="B20" t="s">
        <v>66</v>
      </c>
      <c r="G20" s="59">
        <f>G12+G14*(G15-G12)</f>
        <v>8.6418999999999996E-2</v>
      </c>
    </row>
    <row r="21" spans="2:9" x14ac:dyDescent="0.25">
      <c r="B21" t="s">
        <v>67</v>
      </c>
      <c r="G21" s="60">
        <f>G17/SUM(G16:G17)</f>
        <v>0.85522582075855702</v>
      </c>
    </row>
    <row r="22" spans="2:9" x14ac:dyDescent="0.25">
      <c r="B22" t="s">
        <v>68</v>
      </c>
      <c r="G22" s="60">
        <f>G16/SUM(G16:G17)</f>
        <v>0.14477417924144301</v>
      </c>
    </row>
    <row r="23" spans="2:9" x14ac:dyDescent="0.25">
      <c r="B23" s="61" t="s">
        <v>69</v>
      </c>
      <c r="C23" s="62"/>
      <c r="D23" s="62"/>
      <c r="E23" s="62"/>
      <c r="F23" s="62"/>
      <c r="G23" s="63">
        <f>G22*G20+G21*G10*(1-G11)</f>
        <v>4.3196742244683291E-2</v>
      </c>
    </row>
    <row r="25" spans="2:9" x14ac:dyDescent="0.25">
      <c r="B25" s="74" t="s">
        <v>85</v>
      </c>
      <c r="C25" s="73"/>
      <c r="D25" s="73"/>
      <c r="E25" s="73"/>
      <c r="F25" s="73"/>
      <c r="G25" s="73"/>
    </row>
    <row r="26" spans="2:9" x14ac:dyDescent="0.25">
      <c r="B26" t="s">
        <v>86</v>
      </c>
      <c r="F26" s="75"/>
      <c r="G26" s="75">
        <v>8</v>
      </c>
    </row>
    <row r="27" spans="2:9" x14ac:dyDescent="0.25">
      <c r="B27" t="s">
        <v>66</v>
      </c>
      <c r="G27" s="59">
        <v>8.6400000000000005E-2</v>
      </c>
    </row>
    <row r="29" spans="2:9" x14ac:dyDescent="0.25">
      <c r="B29" s="74"/>
      <c r="C29" s="74"/>
      <c r="D29" s="74">
        <v>0</v>
      </c>
      <c r="E29" s="74">
        <v>1</v>
      </c>
      <c r="F29" s="74">
        <v>2</v>
      </c>
      <c r="G29" s="74">
        <v>3</v>
      </c>
      <c r="H29" s="74">
        <v>4</v>
      </c>
      <c r="I29" s="74">
        <v>5</v>
      </c>
    </row>
    <row r="30" spans="2:9" x14ac:dyDescent="0.25">
      <c r="B30" t="s">
        <v>89</v>
      </c>
      <c r="D30" s="76">
        <v>8</v>
      </c>
      <c r="E30" s="76">
        <v>8</v>
      </c>
      <c r="F30" s="75">
        <f>E30*1.02</f>
        <v>8.16</v>
      </c>
      <c r="G30" s="75">
        <f t="shared" ref="G30:I30" si="1">F30*1.02</f>
        <v>8.3231999999999999</v>
      </c>
      <c r="H30" s="75">
        <f t="shared" si="1"/>
        <v>8.4896639999999994</v>
      </c>
      <c r="I30" s="75">
        <f t="shared" si="1"/>
        <v>8.6594572799999998</v>
      </c>
    </row>
    <row r="31" spans="2:9" x14ac:dyDescent="0.25">
      <c r="B31" s="3" t="s">
        <v>66</v>
      </c>
      <c r="C31" s="3"/>
      <c r="D31" s="3"/>
      <c r="E31" s="3"/>
      <c r="F31" s="3"/>
      <c r="G31" s="3"/>
      <c r="H31" s="3"/>
      <c r="I31" s="3"/>
    </row>
    <row r="32" spans="2:9" x14ac:dyDescent="0.25">
      <c r="B32" s="13" t="s">
        <v>90</v>
      </c>
    </row>
  </sheetData>
  <mergeCells count="1">
    <mergeCell ref="B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Historical Data and Projections</vt:lpstr>
      <vt:lpstr>Street Estimates</vt:lpstr>
      <vt:lpstr>DCF Model (discarded)</vt:lpstr>
      <vt:lpstr>DDM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dcterms:created xsi:type="dcterms:W3CDTF">2022-08-10T01:31:32Z</dcterms:created>
  <dcterms:modified xsi:type="dcterms:W3CDTF">2022-08-30T03:27:03Z</dcterms:modified>
</cp:coreProperties>
</file>