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cd2358_eid_utexas_edu/Documents/RCL Code/TEA/Streamlit/"/>
    </mc:Choice>
  </mc:AlternateContent>
  <xr:revisionPtr revIDLastSave="2603" documentId="8_{31750E0B-A732-4503-8EA8-2753BAB2D178}" xr6:coauthVersionLast="47" xr6:coauthVersionMax="47" xr10:uidLastSave="{DF1D7921-2630-4735-8C67-AF6E9FEF9493}"/>
  <bookViews>
    <workbookView xWindow="780" yWindow="780" windowWidth="21600" windowHeight="11295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  <sheet name="Debye-Huckel-Onsager" sheetId="11" r:id="rId6"/>
    <sheet name="Literature conductivity data" sheetId="12" r:id="rId7"/>
  </sheets>
  <externalReferences>
    <externalReference r:id="rId8"/>
  </externalReference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5" i="12"/>
  <c r="D15" i="12"/>
  <c r="I15" i="12"/>
  <c r="N15" i="12"/>
  <c r="R15" i="12"/>
  <c r="S15" i="12"/>
  <c r="C16" i="12"/>
  <c r="D16" i="12"/>
  <c r="H16" i="12"/>
  <c r="I16" i="12"/>
  <c r="M16" i="12"/>
  <c r="N16" i="12"/>
  <c r="R16" i="12"/>
  <c r="S16" i="12"/>
  <c r="C17" i="12"/>
  <c r="D17" i="12"/>
  <c r="H17" i="12"/>
  <c r="I17" i="12"/>
  <c r="M17" i="12"/>
  <c r="N17" i="12"/>
  <c r="R17" i="12"/>
  <c r="S17" i="12"/>
  <c r="C18" i="12"/>
  <c r="D18" i="12"/>
  <c r="H18" i="12"/>
  <c r="I18" i="12"/>
  <c r="M18" i="12"/>
  <c r="N18" i="12"/>
  <c r="R18" i="12"/>
  <c r="S18" i="12"/>
  <c r="C19" i="12"/>
  <c r="D19" i="12"/>
  <c r="H19" i="12"/>
  <c r="I19" i="12"/>
  <c r="M19" i="12"/>
  <c r="N19" i="12"/>
  <c r="R19" i="12"/>
  <c r="S19" i="12"/>
  <c r="C20" i="12"/>
  <c r="D20" i="12"/>
  <c r="H20" i="12"/>
  <c r="I20" i="12"/>
  <c r="M20" i="12"/>
  <c r="N20" i="12"/>
  <c r="R20" i="12"/>
  <c r="S20" i="12"/>
  <c r="C21" i="12"/>
  <c r="D21" i="12"/>
  <c r="H21" i="12"/>
  <c r="I21" i="12"/>
  <c r="M21" i="12"/>
  <c r="N21" i="12"/>
  <c r="R21" i="12"/>
  <c r="S21" i="12"/>
  <c r="C22" i="12"/>
  <c r="D22" i="12"/>
  <c r="H22" i="12"/>
  <c r="I22" i="12"/>
  <c r="M22" i="12"/>
  <c r="N22" i="12"/>
  <c r="R22" i="12"/>
  <c r="S22" i="12"/>
  <c r="C23" i="12"/>
  <c r="D23" i="12"/>
  <c r="H23" i="12"/>
  <c r="I23" i="12"/>
  <c r="M23" i="12"/>
  <c r="N23" i="12"/>
  <c r="R23" i="12"/>
  <c r="S23" i="12"/>
  <c r="H24" i="12"/>
  <c r="I24" i="12"/>
  <c r="M24" i="12"/>
  <c r="N24" i="12"/>
  <c r="R24" i="12"/>
  <c r="S24" i="12"/>
  <c r="H25" i="12"/>
  <c r="I25" i="12"/>
  <c r="R25" i="12"/>
  <c r="S25" i="12"/>
  <c r="H26" i="12"/>
  <c r="I26" i="12"/>
  <c r="R26" i="12"/>
  <c r="S26" i="12"/>
  <c r="H27" i="12"/>
  <c r="I27" i="12"/>
  <c r="R27" i="12"/>
  <c r="S27" i="12"/>
  <c r="H28" i="12"/>
  <c r="I28" i="12"/>
  <c r="R28" i="12"/>
  <c r="S28" i="12"/>
  <c r="R29" i="12"/>
  <c r="S29" i="12"/>
  <c r="D30" i="12"/>
  <c r="B3" i="12" s="1"/>
  <c r="I30" i="12"/>
  <c r="C3" i="12" s="1"/>
  <c r="N30" i="12"/>
  <c r="D3" i="12" s="1"/>
  <c r="S30" i="12"/>
  <c r="E3" i="12" s="1"/>
  <c r="C32" i="12"/>
  <c r="D32" i="12"/>
  <c r="H32" i="12"/>
  <c r="I32" i="12"/>
  <c r="M32" i="12"/>
  <c r="N32" i="12"/>
  <c r="R32" i="12"/>
  <c r="S32" i="12"/>
  <c r="C33" i="12"/>
  <c r="D33" i="12"/>
  <c r="H33" i="12"/>
  <c r="I33" i="12"/>
  <c r="M33" i="12"/>
  <c r="N33" i="12"/>
  <c r="R33" i="12"/>
  <c r="S33" i="12"/>
  <c r="C34" i="12"/>
  <c r="D34" i="12"/>
  <c r="H34" i="12"/>
  <c r="I34" i="12"/>
  <c r="M34" i="12"/>
  <c r="N34" i="12"/>
  <c r="R34" i="12"/>
  <c r="S34" i="12"/>
  <c r="C35" i="12"/>
  <c r="D35" i="12"/>
  <c r="H35" i="12"/>
  <c r="I35" i="12"/>
  <c r="M35" i="12"/>
  <c r="N35" i="12"/>
  <c r="R35" i="12"/>
  <c r="S35" i="12"/>
  <c r="C36" i="12"/>
  <c r="D36" i="12"/>
  <c r="I36" i="12"/>
  <c r="M36" i="12"/>
  <c r="N36" i="12"/>
  <c r="R36" i="12"/>
  <c r="S36" i="12"/>
  <c r="C37" i="12"/>
  <c r="D37" i="12"/>
  <c r="M37" i="12"/>
  <c r="N37" i="12"/>
  <c r="R37" i="12"/>
  <c r="S37" i="12"/>
  <c r="C38" i="12"/>
  <c r="D38" i="12"/>
  <c r="M38" i="12"/>
  <c r="N38" i="12"/>
  <c r="R38" i="12"/>
  <c r="S38" i="12"/>
  <c r="C39" i="12"/>
  <c r="D39" i="12"/>
  <c r="N39" i="12"/>
  <c r="R39" i="12"/>
  <c r="S39" i="12"/>
  <c r="C40" i="12"/>
  <c r="D40" i="12"/>
  <c r="R40" i="12"/>
  <c r="S40" i="12"/>
  <c r="D41" i="12"/>
  <c r="D42" i="12"/>
  <c r="B4" i="12" s="1"/>
  <c r="I42" i="12"/>
  <c r="C4" i="12" s="1"/>
  <c r="N42" i="12"/>
  <c r="D4" i="12" s="1"/>
  <c r="S42" i="12"/>
  <c r="E4" i="12" s="1"/>
  <c r="C44" i="12"/>
  <c r="D44" i="12"/>
  <c r="I44" i="12"/>
  <c r="N44" i="12"/>
  <c r="R44" i="12"/>
  <c r="S44" i="12"/>
  <c r="C45" i="12"/>
  <c r="D45" i="12"/>
  <c r="H45" i="12"/>
  <c r="N45" i="12"/>
  <c r="R45" i="12"/>
  <c r="S45" i="12"/>
  <c r="C46" i="12"/>
  <c r="D46" i="12"/>
  <c r="H46" i="12"/>
  <c r="N46" i="12"/>
  <c r="R46" i="12"/>
  <c r="S46" i="12"/>
  <c r="H47" i="12"/>
  <c r="M47" i="12"/>
  <c r="N47" i="12"/>
  <c r="R47" i="12"/>
  <c r="S47" i="12"/>
  <c r="H48" i="12"/>
  <c r="R48" i="12"/>
  <c r="S48" i="12"/>
  <c r="H49" i="12"/>
  <c r="R49" i="12"/>
  <c r="S49" i="12"/>
  <c r="H50" i="12"/>
  <c r="R50" i="12"/>
  <c r="S50" i="12"/>
  <c r="R51" i="12"/>
  <c r="S51" i="12"/>
  <c r="R52" i="12"/>
  <c r="S52" i="12"/>
  <c r="R53" i="12"/>
  <c r="S53" i="12"/>
  <c r="D54" i="12"/>
  <c r="B5" i="12" s="1"/>
  <c r="I54" i="12"/>
  <c r="C5" i="12" s="1"/>
  <c r="N54" i="12"/>
  <c r="D5" i="12" s="1"/>
  <c r="S54" i="12"/>
  <c r="E5" i="12" s="1"/>
  <c r="C56" i="12"/>
  <c r="D56" i="12"/>
  <c r="H56" i="12"/>
  <c r="I56" i="12"/>
  <c r="M56" i="12"/>
  <c r="R56" i="12"/>
  <c r="S56" i="12"/>
  <c r="C57" i="12"/>
  <c r="D57" i="12"/>
  <c r="H57" i="12"/>
  <c r="I57" i="12"/>
  <c r="M57" i="12"/>
  <c r="R57" i="12"/>
  <c r="S57" i="12"/>
  <c r="C58" i="12"/>
  <c r="D58" i="12"/>
  <c r="H58" i="12"/>
  <c r="I58" i="12"/>
  <c r="M58" i="12"/>
  <c r="R58" i="12"/>
  <c r="S58" i="12"/>
  <c r="C59" i="12"/>
  <c r="D59" i="12"/>
  <c r="H59" i="12"/>
  <c r="I59" i="12"/>
  <c r="M59" i="12"/>
  <c r="R59" i="12"/>
  <c r="S59" i="12"/>
  <c r="C60" i="12"/>
  <c r="D60" i="12"/>
  <c r="H60" i="12"/>
  <c r="I60" i="12"/>
  <c r="C61" i="12"/>
  <c r="D61" i="12"/>
  <c r="C62" i="12"/>
  <c r="D62" i="12"/>
  <c r="C63" i="12"/>
  <c r="D63" i="12"/>
  <c r="C64" i="12"/>
  <c r="D64" i="12"/>
  <c r="D65" i="12"/>
  <c r="B6" i="12" s="1"/>
  <c r="I65" i="12"/>
  <c r="C6" i="12" s="1"/>
  <c r="N65" i="12"/>
  <c r="D6" i="12" s="1"/>
  <c r="S65" i="12"/>
  <c r="E6" i="12" s="1"/>
  <c r="E23" i="11"/>
  <c r="J23" i="11"/>
  <c r="O23" i="11"/>
  <c r="T23" i="11"/>
  <c r="E36" i="11"/>
  <c r="J36" i="11"/>
  <c r="O36" i="11"/>
  <c r="T36" i="11"/>
  <c r="E49" i="11"/>
  <c r="J49" i="11"/>
  <c r="O49" i="11"/>
  <c r="T49" i="11"/>
  <c r="E62" i="11"/>
  <c r="J62" i="11"/>
  <c r="O62" i="11"/>
  <c r="T62" i="11"/>
  <c r="C75" i="11"/>
  <c r="F75" i="11" s="1"/>
  <c r="E75" i="11"/>
  <c r="C76" i="11"/>
  <c r="F76" i="11" s="1"/>
  <c r="E76" i="11"/>
  <c r="C77" i="11"/>
  <c r="F77" i="11" s="1"/>
  <c r="E77" i="11"/>
  <c r="C78" i="11"/>
  <c r="F78" i="11" s="1"/>
  <c r="E78" i="11"/>
  <c r="U47" i="11" l="1"/>
  <c r="T54" i="11" s="1"/>
  <c r="U54" i="11" s="1"/>
  <c r="U60" i="11"/>
  <c r="I5" i="12"/>
  <c r="T64" i="11"/>
  <c r="U64" i="11" s="1"/>
  <c r="J4" i="12"/>
  <c r="I4" i="12"/>
  <c r="H4" i="12"/>
  <c r="I3" i="12"/>
  <c r="H3" i="12"/>
  <c r="J3" i="12"/>
  <c r="P47" i="11"/>
  <c r="O52" i="11" s="1"/>
  <c r="P52" i="11" s="1"/>
  <c r="P60" i="11"/>
  <c r="O64" i="11" s="1"/>
  <c r="P64" i="11" s="1"/>
  <c r="N56" i="12" s="1"/>
  <c r="U21" i="11"/>
  <c r="T29" i="11" s="1"/>
  <c r="U29" i="11" s="1"/>
  <c r="F7" i="11" s="1"/>
  <c r="J5" i="12"/>
  <c r="I6" i="12"/>
  <c r="H5" i="12"/>
  <c r="J6" i="12"/>
  <c r="H6" i="12"/>
  <c r="P34" i="11"/>
  <c r="T69" i="11"/>
  <c r="U69" i="11" s="1"/>
  <c r="T70" i="11"/>
  <c r="U70" i="11" s="1"/>
  <c r="P21" i="11"/>
  <c r="F21" i="11"/>
  <c r="E31" i="11" s="1"/>
  <c r="F31" i="11" s="1"/>
  <c r="U34" i="11"/>
  <c r="T39" i="11" s="1"/>
  <c r="U39" i="11" s="1"/>
  <c r="K60" i="11"/>
  <c r="K47" i="11"/>
  <c r="K34" i="11"/>
  <c r="J38" i="11" s="1"/>
  <c r="K38" i="11" s="1"/>
  <c r="K21" i="11"/>
  <c r="F60" i="11"/>
  <c r="E64" i="11" s="1"/>
  <c r="F64" i="11" s="1"/>
  <c r="F47" i="11"/>
  <c r="E54" i="11" s="1"/>
  <c r="F54" i="11" s="1"/>
  <c r="F34" i="11"/>
  <c r="E43" i="11" s="1"/>
  <c r="F43" i="11" s="1"/>
  <c r="E29" i="11"/>
  <c r="F29" i="11" s="1"/>
  <c r="C7" i="11" s="1"/>
  <c r="E27" i="11"/>
  <c r="F27" i="11" s="1"/>
  <c r="T53" i="11"/>
  <c r="U53" i="11" s="1"/>
  <c r="E42" i="11"/>
  <c r="F42" i="11" s="1"/>
  <c r="C8" i="11" s="1"/>
  <c r="T68" i="11"/>
  <c r="U68" i="11" s="1"/>
  <c r="F10" i="11" s="1"/>
  <c r="T67" i="11"/>
  <c r="U67" i="11" s="1"/>
  <c r="T66" i="11"/>
  <c r="U66" i="11" s="1"/>
  <c r="T65" i="11"/>
  <c r="U65" i="11" s="1"/>
  <c r="F4" i="7"/>
  <c r="B7" i="3"/>
  <c r="I4" i="7"/>
  <c r="I3" i="7"/>
  <c r="T27" i="11" l="1"/>
  <c r="U27" i="11" s="1"/>
  <c r="J7" i="12"/>
  <c r="E70" i="11"/>
  <c r="F70" i="11" s="1"/>
  <c r="O54" i="11"/>
  <c r="P54" i="11" s="1"/>
  <c r="T43" i="11"/>
  <c r="U43" i="11" s="1"/>
  <c r="O66" i="11"/>
  <c r="P66" i="11" s="1"/>
  <c r="N58" i="12" s="1"/>
  <c r="O55" i="11"/>
  <c r="P55" i="11" s="1"/>
  <c r="E9" i="11" s="1"/>
  <c r="O70" i="11"/>
  <c r="P70" i="11" s="1"/>
  <c r="O51" i="11"/>
  <c r="P51" i="11" s="1"/>
  <c r="T26" i="11"/>
  <c r="U26" i="11" s="1"/>
  <c r="E25" i="11"/>
  <c r="F25" i="11" s="1"/>
  <c r="O65" i="11"/>
  <c r="P65" i="11" s="1"/>
  <c r="N57" i="12" s="1"/>
  <c r="O56" i="11"/>
  <c r="P56" i="11" s="1"/>
  <c r="T30" i="11"/>
  <c r="U30" i="11" s="1"/>
  <c r="T40" i="11"/>
  <c r="U40" i="11" s="1"/>
  <c r="O68" i="11"/>
  <c r="P68" i="11" s="1"/>
  <c r="E10" i="11" s="1"/>
  <c r="T25" i="11"/>
  <c r="U25" i="11" s="1"/>
  <c r="O53" i="11"/>
  <c r="P53" i="11" s="1"/>
  <c r="T31" i="11"/>
  <c r="U31" i="11" s="1"/>
  <c r="E26" i="11"/>
  <c r="F26" i="11" s="1"/>
  <c r="T41" i="11"/>
  <c r="U41" i="11" s="1"/>
  <c r="O69" i="11"/>
  <c r="P69" i="11" s="1"/>
  <c r="I8" i="12"/>
  <c r="T55" i="11"/>
  <c r="U55" i="11" s="1"/>
  <c r="F9" i="11" s="1"/>
  <c r="J10" i="11" s="1"/>
  <c r="E40" i="11"/>
  <c r="F40" i="11" s="1"/>
  <c r="E30" i="11"/>
  <c r="F30" i="11" s="1"/>
  <c r="T56" i="11"/>
  <c r="U56" i="11" s="1"/>
  <c r="T57" i="11"/>
  <c r="U57" i="11" s="1"/>
  <c r="T51" i="11"/>
  <c r="U51" i="11" s="1"/>
  <c r="I7" i="11"/>
  <c r="T52" i="11"/>
  <c r="U52" i="11" s="1"/>
  <c r="J8" i="12"/>
  <c r="J9" i="12" s="1"/>
  <c r="T28" i="11"/>
  <c r="U28" i="11" s="1"/>
  <c r="O67" i="11"/>
  <c r="P67" i="11" s="1"/>
  <c r="N59" i="12" s="1"/>
  <c r="O57" i="11"/>
  <c r="P57" i="11" s="1"/>
  <c r="I7" i="12"/>
  <c r="T44" i="11"/>
  <c r="U44" i="11" s="1"/>
  <c r="H8" i="12"/>
  <c r="K10" i="11"/>
  <c r="H7" i="12"/>
  <c r="J27" i="11"/>
  <c r="K27" i="11" s="1"/>
  <c r="J28" i="11"/>
  <c r="K28" i="11" s="1"/>
  <c r="J29" i="11"/>
  <c r="K29" i="11" s="1"/>
  <c r="D7" i="11" s="1"/>
  <c r="J30" i="11"/>
  <c r="K30" i="11" s="1"/>
  <c r="J31" i="11"/>
  <c r="K31" i="11" s="1"/>
  <c r="J39" i="11"/>
  <c r="K39" i="11" s="1"/>
  <c r="J40" i="11"/>
  <c r="K40" i="11" s="1"/>
  <c r="J41" i="11"/>
  <c r="K41" i="11" s="1"/>
  <c r="J42" i="11"/>
  <c r="K42" i="11" s="1"/>
  <c r="D8" i="11" s="1"/>
  <c r="J43" i="11"/>
  <c r="K43" i="11" s="1"/>
  <c r="J44" i="11"/>
  <c r="K44" i="11" s="1"/>
  <c r="E44" i="11"/>
  <c r="F44" i="11" s="1"/>
  <c r="T42" i="11"/>
  <c r="U42" i="11" s="1"/>
  <c r="F8" i="11" s="1"/>
  <c r="I10" i="11" s="1"/>
  <c r="E55" i="11"/>
  <c r="F55" i="11" s="1"/>
  <c r="C9" i="11" s="1"/>
  <c r="J7" i="11" s="1"/>
  <c r="J51" i="11"/>
  <c r="K51" i="11" s="1"/>
  <c r="I45" i="12" s="1"/>
  <c r="J52" i="11"/>
  <c r="K52" i="11" s="1"/>
  <c r="I46" i="12" s="1"/>
  <c r="J53" i="11"/>
  <c r="K53" i="11" s="1"/>
  <c r="I47" i="12" s="1"/>
  <c r="J54" i="11"/>
  <c r="K54" i="11" s="1"/>
  <c r="I48" i="12" s="1"/>
  <c r="J55" i="11"/>
  <c r="K55" i="11" s="1"/>
  <c r="D9" i="11" s="1"/>
  <c r="J56" i="11"/>
  <c r="K56" i="11" s="1"/>
  <c r="I49" i="12" s="1"/>
  <c r="J57" i="11"/>
  <c r="K57" i="11" s="1"/>
  <c r="I50" i="12" s="1"/>
  <c r="T38" i="11"/>
  <c r="U38" i="11" s="1"/>
  <c r="J64" i="11"/>
  <c r="K64" i="11" s="1"/>
  <c r="J65" i="11"/>
  <c r="K65" i="11" s="1"/>
  <c r="J66" i="11"/>
  <c r="K66" i="11" s="1"/>
  <c r="J67" i="11"/>
  <c r="K67" i="11" s="1"/>
  <c r="J68" i="11"/>
  <c r="K68" i="11" s="1"/>
  <c r="D10" i="11" s="1"/>
  <c r="J69" i="11"/>
  <c r="K69" i="11" s="1"/>
  <c r="J70" i="11"/>
  <c r="K70" i="11" s="1"/>
  <c r="J26" i="11"/>
  <c r="K26" i="11" s="1"/>
  <c r="E57" i="11"/>
  <c r="F57" i="11" s="1"/>
  <c r="E39" i="11"/>
  <c r="F39" i="11" s="1"/>
  <c r="E65" i="11"/>
  <c r="F65" i="11" s="1"/>
  <c r="O42" i="11"/>
  <c r="P42" i="11" s="1"/>
  <c r="E8" i="11" s="1"/>
  <c r="O40" i="11"/>
  <c r="P40" i="11" s="1"/>
  <c r="O44" i="11"/>
  <c r="P44" i="11" s="1"/>
  <c r="O38" i="11"/>
  <c r="P38" i="11" s="1"/>
  <c r="O41" i="11"/>
  <c r="P41" i="11" s="1"/>
  <c r="O39" i="11"/>
  <c r="P39" i="11" s="1"/>
  <c r="O43" i="11"/>
  <c r="P43" i="11" s="1"/>
  <c r="E28" i="11"/>
  <c r="F28" i="11" s="1"/>
  <c r="E66" i="11"/>
  <c r="F66" i="11" s="1"/>
  <c r="E41" i="11"/>
  <c r="F41" i="11" s="1"/>
  <c r="E67" i="11"/>
  <c r="F67" i="11" s="1"/>
  <c r="E51" i="11"/>
  <c r="F51" i="11" s="1"/>
  <c r="J25" i="11"/>
  <c r="K25" i="11" s="1"/>
  <c r="E38" i="11"/>
  <c r="F38" i="11" s="1"/>
  <c r="E53" i="11"/>
  <c r="F53" i="11" s="1"/>
  <c r="E52" i="11"/>
  <c r="F52" i="11" s="1"/>
  <c r="E56" i="11"/>
  <c r="F56" i="11" s="1"/>
  <c r="E68" i="11"/>
  <c r="F68" i="11" s="1"/>
  <c r="C10" i="11" s="1"/>
  <c r="K7" i="11" s="1"/>
  <c r="E69" i="11"/>
  <c r="F69" i="11" s="1"/>
  <c r="O25" i="11"/>
  <c r="P25" i="11" s="1"/>
  <c r="O31" i="11"/>
  <c r="P31" i="11" s="1"/>
  <c r="O29" i="11"/>
  <c r="P29" i="11" s="1"/>
  <c r="E7" i="11" s="1"/>
  <c r="K9" i="11" s="1"/>
  <c r="O26" i="11"/>
  <c r="P26" i="11" s="1"/>
  <c r="O28" i="11"/>
  <c r="P28" i="11" s="1"/>
  <c r="O30" i="11"/>
  <c r="P30" i="11" s="1"/>
  <c r="O27" i="11"/>
  <c r="P27" i="11" s="1"/>
  <c r="C8" i="2"/>
  <c r="I9" i="12" l="1"/>
  <c r="I8" i="11"/>
  <c r="I15" i="11" s="1"/>
  <c r="H9" i="12"/>
  <c r="I14" i="11"/>
  <c r="K8" i="11"/>
  <c r="K14" i="11" s="1"/>
  <c r="J8" i="11"/>
  <c r="J14" i="11" s="1"/>
  <c r="J9" i="11"/>
  <c r="I9" i="11"/>
  <c r="I12" i="11" s="1"/>
  <c r="F3" i="9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J4" i="7"/>
  <c r="C11" i="3"/>
  <c r="G3" i="7"/>
  <c r="I16" i="11" l="1"/>
  <c r="J11" i="11"/>
  <c r="K11" i="11"/>
  <c r="K15" i="11"/>
  <c r="K16" i="11" s="1"/>
  <c r="J15" i="11"/>
  <c r="J16" i="11" s="1"/>
  <c r="I11" i="11"/>
  <c r="I13" i="11" s="1"/>
  <c r="J12" i="11"/>
  <c r="J13" i="11" s="1"/>
  <c r="K12" i="11"/>
  <c r="K13" i="11" s="1"/>
  <c r="C6" i="2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 Saveant J Chem Soc Faraday Trans 1996 -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tc={F83C0BB8-84EC-45BA-80EA-4951B1179FBB}</author>
    <author>tc={74B6622E-07F7-49C4-B7AE-2162C5960A05}</author>
    <author>tc={7AF5891A-4275-420C-88F9-1032CBD27BC0}</author>
    <author>tc={95329D8C-BDCA-4D7B-BD82-A5E421E1F79B}</author>
    <author>tc={30296810-9BEE-43D1-B25A-B06E81168087}</author>
    <author>tc={AD5AF100-2068-4853-81C2-6293560FBE0E}</author>
    <author>tc={06DC49BF-BD0D-4A1E-9D7C-F4CD7A74ADDA}</author>
    <author>tc={05D31B46-3245-4EFF-B2CE-3B7C8121D431}</author>
    <author>tc={C4985599-33C8-4E93-8703-17FD436F52AF}</author>
    <author>tc={0B06D91A-118B-41A8-AD45-D3B4DF00D6EB}</author>
    <author>tc={60A4D9F1-60FC-42E7-A9B7-52B81A0860EB}</author>
    <author>tc={20C26133-ECAA-4616-A30C-17E4EA0E1314}</author>
  </authors>
  <commentList>
    <comment ref="O22" authorId="0" shapeId="0" xr:uid="{F83C0BB8-84EC-45BA-80EA-4951B1179FBB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35" authorId="1" shapeId="0" xr:uid="{74B6622E-07F7-49C4-B7AE-2162C5960A05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48" authorId="2" shapeId="0" xr:uid="{7AF5891A-4275-420C-88F9-1032CBD27BC0}">
      <text>
        <t>[Threaded comment]
Your version of Excel allows you to read this threaded comment; however, any edits to it will get removed if the file is opened in a newer version of Excel. Learn more: https://go.microsoft.com/fwlink/?linkid=870924
Comment:
    Roy, M. N.; Banik, I.; Ekka, D. Physics and Chemistry of an Ionic Liquid in Some Industrially Important Solvent Media Probed by Physicochemical Techniques. The Journal of Chemical Thermodynamics 2013, 57, 230–237. https://doi.org/10.1016/j.jct.2012.09.003.
Reply:
    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>
      </text>
    </comment>
    <comment ref="O61" authorId="3" shapeId="0" xr:uid="{95329D8C-BDCA-4D7B-BD82-A5E421E1F79B}">
      <text>
        <t>[Threaded comment]
Your version of Excel allows you to read this threaded comment; however, any edits to it will get removed if the file is opened in a newer version of Excel. Learn more: https://go.microsoft.com/fwlink/?linkid=870924
Comment:
    McDonagh, P. M.; Reardon, J. F. Ionic Association and Mobility IV. Ionophores in Dimethylsulfoxide at 25°C. Journal of Solution Chemistry 1998, 27 (7), 675–683. https://doi.org/10.1023/A:1022602109299.</t>
      </text>
    </comment>
    <comment ref="C75" authorId="4" shapeId="0" xr:uid="{30296810-9BEE-43D1-B25A-B06E8116808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5" authorId="5" shapeId="0" xr:uid="{AD5AF100-2068-4853-81C2-6293560FB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6" authorId="6" shapeId="0" xr:uid="{06DC49BF-BD0D-4A1E-9D7C-F4CD7A74ADDA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D76" authorId="7" shapeId="0" xr:uid="{05D31B46-3245-4EFF-B2CE-3B7C8121D431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7" authorId="8" shapeId="0" xr:uid="{C4985599-33C8-4E93-8703-17FD436F52AF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7" authorId="9" shapeId="0" xr:uid="{0B06D91A-118B-41A8-AD45-D3B4DF00D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8" authorId="10" shapeId="0" xr:uid="{60A4D9F1-60FC-42E7-A9B7-52B81A0860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
Reply:
    Izutsu, K. Electrochemistry in Nonaqueous Solutions, 1st ed.; Wiley, 2009. https://doi.org/10.1002/9783527629152.
Table 1.1
</t>
      </text>
    </comment>
    <comment ref="D78" authorId="11" shapeId="0" xr:uid="{20C26133-ECAA-4616-A30C-17E4EA0E1314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</commentList>
</comments>
</file>

<file path=xl/sharedStrings.xml><?xml version="1.0" encoding="utf-8"?>
<sst xmlns="http://schemas.openxmlformats.org/spreadsheetml/2006/main" count="540" uniqueCount="274">
  <si>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</si>
  <si>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</si>
  <si>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</si>
  <si>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</si>
  <si>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</si>
  <si>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</si>
  <si>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</si>
  <si>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</si>
  <si>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</si>
  <si>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</si>
  <si>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</si>
  <si>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</si>
  <si>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</si>
  <si>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</si>
  <si>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</si>
  <si>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</si>
  <si>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</si>
  <si>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</si>
  <si>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</si>
  <si>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</si>
  <si>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</si>
  <si>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</si>
  <si>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</si>
  <si>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</si>
  <si>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</si>
  <si>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</si>
  <si>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</si>
  <si>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</si>
  <si>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</si>
  <si>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</si>
  <si>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</si>
  <si>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</si>
  <si>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</si>
  <si>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</si>
  <si>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</si>
  <si>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</si>
  <si>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</si>
  <si>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</si>
  <si>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</si>
  <si>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</si>
  <si>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</si>
  <si>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</si>
  <si>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</si>
  <si>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</si>
  <si>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</si>
  <si>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</si>
  <si>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</si>
  <si>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</si>
  <si>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</si>
  <si>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</si>
  <si>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</si>
  <si>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</si>
  <si>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</si>
  <si>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</si>
  <si>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</si>
  <si>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</si>
  <si>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</si>
  <si>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</si>
  <si>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</si>
  <si>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</si>
  <si>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</si>
  <si>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</si>
  <si>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</si>
  <si>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</si>
  <si>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</si>
  <si>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</si>
  <si>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</si>
  <si>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</si>
  <si>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</si>
  <si>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</si>
  <si>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</si>
  <si>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</si>
  <si>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</si>
  <si>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</si>
  <si>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</si>
  <si>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</si>
  <si>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</si>
  <si>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</si>
  <si>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</si>
  <si>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</si>
  <si>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</si>
  <si>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</si>
  <si>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</si>
  <si>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</si>
  <si>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</si>
  <si>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</si>
  <si>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</si>
  <si>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</si>
  <si>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</si>
  <si>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</si>
  <si>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</si>
  <si>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</si>
  <si>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</si>
  <si>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</si>
  <si>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</si>
  <si>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</si>
  <si>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</si>
  <si>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</si>
  <si>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</si>
  <si>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</si>
  <si>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</si>
  <si>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</si>
  <si>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</si>
  <si>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</si>
  <si>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</si>
  <si>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</si>
  <si>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</si>
  <si>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</si>
  <si>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</si>
  <si>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</si>
  <si>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</si>
  <si>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</si>
  <si>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</si>
  <si>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</si>
  <si>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</si>
  <si>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</si>
  <si>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</si>
  <si>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</si>
  <si>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</si>
  <si>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</si>
  <si>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</si>
  <si>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</si>
  <si>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</si>
  <si>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</si>
  <si>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</si>
  <si>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</si>
  <si>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</si>
  <si>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</si>
  <si>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</si>
  <si>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</si>
  <si>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</si>
  <si>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</si>
  <si>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</si>
  <si>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</si>
  <si>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</si>
  <si>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</si>
  <si>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</si>
  <si>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</si>
  <si>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</si>
  <si>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</si>
  <si>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</si>
  <si>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</si>
  <si>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</si>
  <si>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</si>
  <si>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</si>
  <si>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</si>
  <si>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</si>
  <si>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</si>
  <si>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</si>
  <si>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</si>
  <si>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</si>
  <si>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</si>
  <si>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</si>
  <si>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</si>
  <si>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</si>
  <si>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</si>
  <si>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</si>
  <si>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</si>
  <si>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</si>
  <si>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</si>
  <si>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</si>
  <si>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</si>
  <si>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</si>
  <si>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</si>
  <si>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</si>
  <si>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</si>
  <si>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</si>
  <si>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</si>
  <si>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</si>
  <si>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</si>
  <si>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</si>
  <si>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</si>
  <si>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</si>
  <si>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</si>
  <si>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</si>
  <si>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</si>
  <si>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</si>
  <si>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</si>
  <si>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</si>
  <si>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</si>
  <si>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</si>
  <si>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</si>
  <si>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</si>
  <si>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</si>
  <si>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</si>
  <si>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</si>
  <si>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</si>
  <si>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</si>
  <si>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</si>
  <si>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</si>
  <si>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</si>
  <si>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</si>
  <si>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</si>
  <si>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</si>
  <si>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</si>
  <si>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</si>
  <si>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</si>
  <si>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</si>
  <si>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</si>
  <si>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</si>
  <si>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</si>
  <si>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</si>
  <si>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</si>
  <si>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</si>
  <si>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</si>
  <si>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</si>
  <si>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</si>
  <si>
    <t>PC</t>
  </si>
  <si>
    <t>ACN</t>
  </si>
  <si>
    <t>B</t>
  </si>
  <si>
    <t>A</t>
  </si>
  <si>
    <t>Relative permittivity</t>
  </si>
  <si>
    <t>Viscosity (P)</t>
  </si>
  <si>
    <t>Conductivity (S/cm)</t>
  </si>
  <si>
    <t>Molar conductivity (S cm2/mol)</t>
  </si>
  <si>
    <t>Concentration (M)</t>
  </si>
  <si>
    <t>Total</t>
  </si>
  <si>
    <t>St dev %</t>
  </si>
  <si>
    <t>St dev</t>
  </si>
  <si>
    <t>Average</t>
  </si>
  <si>
    <t>DMSO to ACN</t>
  </si>
  <si>
    <t>DMF to ACN</t>
  </si>
  <si>
    <t>PC to ACN</t>
  </si>
  <si>
    <t>Debye-Huckel-Onsager: Conductivity ratios by solvent at 0.3 M</t>
  </si>
  <si>
    <t>Debye-Huckel-Onsager: Conductivity at 0.3 M (S/cm)</t>
  </si>
  <si>
    <t>Izutsu, K. Electrochemistry in Nonaqueous Solutions, 1st ed.; Wiley, 2009. https://doi.org/10.1002/9783527629152.</t>
  </si>
  <si>
    <t>Unless marked otherwise in the cell comments, data is from Izutsu (Wiley, 2009, Table 7.4).</t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</si>
  <si>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 These equations show deviations at the high concentrations typical in electrolysis and are primarily used to determine the relative conductivity between solvents.</t>
    </r>
  </si>
  <si>
    <r>
      <t>TBAClO</t>
    </r>
    <r>
      <rPr>
        <b/>
        <vertAlign val="subscript"/>
        <sz val="11"/>
        <color theme="1"/>
        <rFont val="Arial Nova"/>
        <family val="2"/>
      </rPr>
      <t>4</t>
    </r>
  </si>
  <si>
    <r>
      <t>TEAClO</t>
    </r>
    <r>
      <rPr>
        <b/>
        <vertAlign val="subscript"/>
        <sz val="11"/>
        <color theme="1"/>
        <rFont val="Arial Nova"/>
        <family val="2"/>
      </rPr>
      <t>4</t>
    </r>
  </si>
  <si>
    <r>
      <t>TBABF</t>
    </r>
    <r>
      <rPr>
        <b/>
        <vertAlign val="subscript"/>
        <sz val="11"/>
        <color theme="1"/>
        <rFont val="Arial Nova"/>
        <family val="2"/>
      </rPr>
      <t>4</t>
    </r>
  </si>
  <si>
    <r>
      <t>Average without TBABF</t>
    </r>
    <r>
      <rPr>
        <i/>
        <vertAlign val="subscript"/>
        <sz val="11"/>
        <color theme="1"/>
        <rFont val="Arial Nova"/>
        <family val="2"/>
      </rPr>
      <t>4</t>
    </r>
  </si>
  <si>
    <r>
      <t>TBABF</t>
    </r>
    <r>
      <rPr>
        <vertAlign val="subscript"/>
        <sz val="11"/>
        <color theme="1"/>
        <rFont val="Arial Nova"/>
        <family val="2"/>
      </rPr>
      <t>4</t>
    </r>
    <r>
      <rPr>
        <sz val="11"/>
        <color theme="1"/>
        <rFont val="Arial Nova"/>
        <family val="2"/>
      </rPr>
      <t xml:space="preserve"> does not follow the same trend as the other salts listed here. No results in the manuscript are reported for it. However, we use the average conductivity including it.</t>
    </r>
  </si>
  <si>
    <r>
      <t>St dev without TBABF</t>
    </r>
    <r>
      <rPr>
        <i/>
        <vertAlign val="subscript"/>
        <sz val="11"/>
        <color theme="1"/>
        <rFont val="Arial Nova"/>
        <family val="2"/>
      </rPr>
      <t>4</t>
    </r>
  </si>
  <si>
    <r>
      <t>St dev % without TBABF</t>
    </r>
    <r>
      <rPr>
        <i/>
        <vertAlign val="subscript"/>
        <sz val="11"/>
        <color theme="1"/>
        <rFont val="Arial Nova"/>
        <family val="2"/>
      </rPr>
      <t>4</t>
    </r>
  </si>
  <si>
    <r>
      <t>Limiting molar conductivity (S 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/mol)</t>
    </r>
  </si>
  <si>
    <r>
      <t>S (M</t>
    </r>
    <r>
      <rPr>
        <vertAlign val="superscript"/>
        <sz val="11"/>
        <color theme="1"/>
        <rFont val="Arial Nova"/>
        <family val="2"/>
      </rPr>
      <t>-1/2</t>
    </r>
    <r>
      <rPr>
        <sz val="11"/>
        <color theme="1"/>
        <rFont val="Arial Nova"/>
        <family val="2"/>
      </rPr>
      <t>)</t>
    </r>
  </si>
  <si>
    <r>
      <t>TBA</t>
    </r>
    <r>
      <rPr>
        <vertAlign val="superscript"/>
        <sz val="11"/>
        <color theme="1"/>
        <rFont val="Arial Nova"/>
        <family val="2"/>
      </rPr>
      <t>+</t>
    </r>
  </si>
  <si>
    <r>
      <t>TEA</t>
    </r>
    <r>
      <rPr>
        <vertAlign val="superscript"/>
        <sz val="11"/>
        <color theme="1"/>
        <rFont val="Arial Nova"/>
        <family val="2"/>
      </rPr>
      <t>+</t>
    </r>
  </si>
  <si>
    <r>
      <t>ClO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</si>
  <si>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BF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</si>
  <si>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Cl</t>
    </r>
    <r>
      <rPr>
        <vertAlign val="superscript"/>
        <sz val="11"/>
        <color theme="1"/>
        <rFont val="Arial Nova"/>
        <family val="2"/>
      </rPr>
      <t>-</t>
    </r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</si>
  <si>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</t>
    </r>
  </si>
  <si>
    <t>Linear fit</t>
  </si>
  <si>
    <t>Anand, H.; Verma, R. Viscometric and Conductometric Studies of Solvation Behaviour of Tetraalkylammonium Salts in the Binary Mixtures of Dimethylsulfoxide and Methanol at 298.15 K. Zeitschrift für Physikalische Chemie 2019, 233 (5), 737–753. https://doi.org/10.1515/zpch-2017-1015.</t>
  </si>
  <si>
    <t>Nakata, R.; Kakaiuchi, H.; Oki, H. Conductometric and Voltammetric Studies on the Interaction between Amino Acidato Complexes and Some Ions. The Japan Society for Analytical Chemistry 2002. https://doi.org/10.14891/analscisp.17icas.0.i945.0.</t>
  </si>
  <si>
    <t>Debye-Huckel-Onsager model</t>
  </si>
  <si>
    <t>Butler, J. N. Electrochemistry in Dimethyl Sulfoxide. Journal of Electroanalytical Chemistry and Interfacial Electrochemistry 1967, 14 (1), 89–116. https://doi.org/10.1016/0022-0728(67)80136-0.</t>
  </si>
  <si>
    <t>Polynomial fit</t>
  </si>
  <si>
    <t>Sears, P. G.; Wolford, R. K.; Dawson, L. R. Conductances of Some Acids, Bromides, and Picrates in Dimethylformamide at 25°C. J. Electrochem. Soc. 1956, 103 (11), 633. https://doi.org/10.1149/1.2430177.</t>
  </si>
  <si>
    <t>House, H. O.; Feng, E.; Peet, N. P. Comparison of Various Tetraalkylammonium Salts as Supporting Electrolytes in Organic Electrochemical Reactions. J. Org. Chem. 1971, 36 (16), 2371–2375. https://doi.org/10.1021/jo00815a038.</t>
  </si>
  <si>
    <t>Ue, M.; Ida, K.; Mori, S. Electrochemical Properties of Organic Liquid Electrolytes Based on Quaternary Onium Salts for Electrical Double‐Layer Capacitors. J. Electrochem. Soc. 1994, 141 (11), 2989–2996. https://doi.org/10.1149/1.2059270.</t>
  </si>
  <si>
    <t>Shinkle, A. A.; Pomaville, T. J.; Sleightholme, A. E. S.; Thompson, L. T.; Monroe, C. W. Solvents and Supporting Electrolytes for Vanadium Acetylacetonate Flow Batteries. Journal of Power Sources 2014, 248, 1299–1305. https://doi.org/10.1016/j.jpowsour.2013.10.034.</t>
  </si>
  <si>
    <t>Gong, K.; Fang, Q.; Gu, S.; Li, S. F. Y.; Yan, Y. Nonaqueous Redox-Flow Batteries: Organic Solvents, Supporting Electrolytes, and Redox Pairs. Energy Environ. Sci. 2015, 8 (12), 3515–3530. https://doi.org/10.1039/C5EE02341F.</t>
  </si>
  <si>
    <t>Salomon, M.; Plichta, E. J. Conductivities and Ion Association of 1:1 Electrolytes in Aprotic Solvents. Electrochimica Acta 1984, 29 (6), 731–735. https://doi.org/10.1016/0013-4686(84)80007-9.</t>
  </si>
  <si>
    <t>Ue, M.; Takeda, M.; Takehara, M.; Mori, S. Electrochemical Properties of Quaternary Ammonium Salts for Electrochemical Capacitors. J. Electrochem. Soc. 1997, 144 (8), 2684–2688. https://doi.org/10.1149/1.1837882.</t>
  </si>
  <si>
    <t>Dilo, Mavitidi, Casals Hung Magaly . CONDUCTIVIDAD DE SOLUCIONES DE Et4NBr EN SOLVENTES ORGÁNICOS APRÓTICOS DE MEDIANA A ALTA CONSTANTE DIELECTRICA A 298,15 K. Revista Cubana de Química [en linea]. 2010, XXII(2), 59-62. ISSN: 0258-5995.</t>
  </si>
  <si>
    <t>Chernozhuk, T.; Kalugin, O. Conductivity and Interparticle Interactions in the Solutions of 1-1 Electrolytes in Propylene Carbonate in the Wide Range of Temperatures. ChChT 2016, 10 (1), 9–18. https://doi.org/10.23939/chcht10.01.009.</t>
  </si>
  <si>
    <t>Mukherjee, L. M.; Boden, D. P. Equilibria in Propylene Carbonate. I. Viscosity and Conductance Studies of Some Lithium and Quaternary Ammonium Salts. J. Phys. Chem. 1969, 73 (11), 3965–3968. https://doi.org/10.1021/j100845a068.</t>
  </si>
  <si>
    <t>Dilo Hung Rev Cub Quim 2010 (TEABr)</t>
  </si>
  <si>
    <t>Anand, H.; Verma, R. Solvation of Some Tetraalkylammonium Salts Investigated Conductometrically and Viscometrically in Binary Mixtures of Acetonitrile + Methanol at 298.15 K. Zeitschrift für Physikalische Chemie 2016, 230 (12), 1759–1772. https://doi.org/10.1515/zpch-2015-0724.</t>
  </si>
  <si>
    <t>Das, B.; Saha, N. Electrical Conductances of Some Symmetrical Tetraalkylammonium Salts in Methanol, Acetonitrile, and Methanol (1) + Acetonitrile (2) Mixtures at 298.15 K. J. Chem. Eng. Data 2000, 45 (1), 2–5. https://doi.org/10.1021/je990142c.</t>
  </si>
  <si>
    <t>Kalugin, O. N.; Lukinova, E. V.; Novikov, D. O. Electrical Conductivity, Ion-Molecular and Interionic Interactions in Solutions of Some Tetraalkylammonium Salts in Acetonitrile: The Influence of the Ion and Temperature. Chemical Series 2019, No. 33. https://doi.org/10.26565/2220-637X-2019-33-02.</t>
  </si>
  <si>
    <t>Wypych-Stasiewicz, A.; Benko, J.; Vollărovă, O.; Bald, A. Conductance Studies of Et4NIO4, Et4NClO4, Bu4NI, Et4NI and the Limiting Ionic Conductance in Water+acetonitrile Mixtures at 298.15K. Journal of Molecular Liquids 2014, 190, 54–58. https://doi.org/10.1016/j.molliq.2013.10.023.</t>
  </si>
  <si>
    <t>Chloride and bromide have similar conductivity, see for example Izutsu (2009). 
Izutsu, K. Electrochemistry in Nonaqueous Solutions, 1st ed.; Wiley, 2009. https://doi.org/10.1002/9783527629152.</t>
  </si>
  <si>
    <t>Source</t>
  </si>
  <si>
    <t>DMSO to PC</t>
  </si>
  <si>
    <t>DMF to PC</t>
  </si>
  <si>
    <t>ACN to PC</t>
  </si>
  <si>
    <t>Quadratic or linear fit to literature data: Conductivity ratios by solvent at 0.3 M</t>
  </si>
  <si>
    <t>Quadratic or linear fit to literature data: Conductivity at 0.3 M (S/cm)</t>
  </si>
  <si>
    <t>From literature conductivity data and Debye-Huckel-Onsager relations, see corresponding sheets</t>
  </si>
  <si>
    <t>Not all data is available, especially at high concentrations.</t>
  </si>
  <si>
    <t>crossover_acid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</si>
</sst>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sz val="11"/>
      <color theme="0"/>
      <name val="Arial Nova"/>
      <family val="2"/>
    </font>
    <font>
      <i/>
      <vertAlign val="subscript"/>
      <sz val="11"/>
      <color theme="1"/>
      <name val="Arial Nova"/>
      <family val="2"/>
    </font>
    <font>
      <i/>
      <sz val="1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4" fillId="0" borderId="0" xfId="0" applyNumberFormat="1" applyFont="1" applyAlignment="1">
      <alignment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12" fillId="3" borderId="0" xfId="0" applyNumberFormat="1" applyFont="1" applyFill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0" fontId="12" fillId="0" borderId="0" xfId="2" applyNumberFormat="1" applyFont="1" applyAlignment="1">
      <alignment horizontal="center" vertical="center" wrapText="1"/>
    </xf>
    <xf numFmtId="165" fontId="12" fillId="4" borderId="0" xfId="0" applyNumberFormat="1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vertical="center" wrapText="1"/>
    </xf>
    <xf numFmtId="9" fontId="12" fillId="3" borderId="0" xfId="2" applyFont="1" applyFill="1" applyAlignment="1">
      <alignment horizontal="center" vertical="center" wrapText="1"/>
    </xf>
    <xf numFmtId="9" fontId="4" fillId="0" borderId="0" xfId="2" applyFont="1" applyAlignment="1">
      <alignment horizontal="center" vertical="center" wrapText="1"/>
    </xf>
    <xf numFmtId="165" fontId="23" fillId="3" borderId="4" xfId="0" applyNumberFormat="1" applyFont="1" applyFill="1" applyBorder="1" applyAlignment="1">
      <alignment horizontal="center" vertical="center" wrapText="1"/>
    </xf>
    <xf numFmtId="165" fontId="23" fillId="6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79872</xdr:colOff>
      <xdr:row>73</xdr:row>
      <xdr:rowOff>50436</xdr:rowOff>
    </xdr:from>
    <xdr:ext cx="1524071" cy="2515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 strike="dblStrike" baseline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Λ=Λ^∞−(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𝐴^′ </a:t>
              </a:r>
              <a:r>
                <a:rPr lang="en-US" sz="1100" b="0" i="0">
                  <a:latin typeface="Cambria Math" panose="02040503050406030204" pitchFamily="18" charset="0"/>
                </a:rPr>
                <a:t>Λ^∞+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𝐵^′ ) </a:t>
              </a:r>
              <a:r>
                <a:rPr lang="en-US" sz="1100" b="0" i="0">
                  <a:latin typeface="Cambria Math" panose="02040503050406030204" pitchFamily="18" charset="0"/>
                </a:rPr>
                <a:t>𝑐^(1/2)</a:t>
              </a:r>
              <a:endParaRPr lang="en-US" sz="1100" strike="dblStrike" baseline="0"/>
            </a:p>
          </xdr:txBody>
        </xdr:sp>
      </mc:Fallback>
    </mc:AlternateContent>
    <xdr:clientData/>
  </xdr:oneCellAnchor>
  <xdr:oneCellAnchor>
    <xdr:from>
      <xdr:col>7</xdr:col>
      <xdr:colOff>98922</xdr:colOff>
      <xdr:row>75</xdr:row>
      <xdr:rowOff>15881</xdr:rowOff>
    </xdr:from>
    <xdr:ext cx="1794146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=2.8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e</m:t>
                    </m:r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6</m:t>
                    </m:r>
                    <m:r>
                      <a:rPr lang="en-US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(1+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A^′=2.8e6×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/(〖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3/2)  (1+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^(1/2) 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96540</xdr:colOff>
      <xdr:row>77</xdr:row>
      <xdr:rowOff>108380</xdr:rowOff>
    </xdr:from>
    <xdr:ext cx="813684" cy="428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4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8.249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𝜂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B^′=8.249/〖𝜂</a:t>
              </a:r>
              <a:r>
                <a:rPr lang="en-US" sz="1100" b="0" i="0">
                  <a:solidFill>
                    <a:schemeClr val="accent4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1/2)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390</xdr:colOff>
      <xdr:row>77</xdr:row>
      <xdr:rowOff>109107</xdr:rowOff>
    </xdr:from>
    <xdr:ext cx="2913140" cy="370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q</m:t>
                    </m:r>
                    <m: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×1=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accent5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q=|𝑧^+ 𝑧^− |/(|z^+ |+|𝑧^− |)×(𝜆_+^∞+</a:t>
              </a:r>
              <a:r>
                <a:rPr lang="en-US" sz="1100" b="0" i="0">
                  <a:solidFill>
                    <a:schemeClr val="accent5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𝜆_−^∞)/(|z^+ |𝜆_+^∞+|z^− |𝜆_−^∞ )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=1/2×1=1/2</a:t>
              </a:r>
              <a:endParaRPr lang="en-US" sz="1100">
                <a:solidFill>
                  <a:schemeClr val="accent5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65359</xdr:colOff>
      <xdr:row>80</xdr:row>
      <xdr:rowOff>53077</xdr:rowOff>
    </xdr:from>
    <xdr:ext cx="57575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𝜅=𝜆𝑐</a:t>
              </a:r>
              <a:endParaRPr lang="en-US" sz="12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exas-my.sharepoint.com/personal/shashwati_dacunha_austin_utexas_edu/Documents/RCL%20Experimental/LCA%20TEA%20for%20CO2R/Non-aqueous/Conductivity%20data.xlsx" TargetMode="External"/><Relationship Id="rId1" Type="http://schemas.openxmlformats.org/officeDocument/2006/relationships/externalLinkPath" Target="/personal/shashwati_dacunha_austin_utexas_edu/Documents/RCL%20Experimental/LCA%20TEA%20for%20CO2R/Non-aqueous/Conductivit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Debye-Huckel-Onsager model"/>
      <sheetName val="House J Org Chem 1971"/>
      <sheetName val="Ue JECS 1994"/>
      <sheetName val="Nakata Anal Sci 2001"/>
      <sheetName val="Sears JECS 1963"/>
      <sheetName val="Anand Z Phys Chem 2016"/>
      <sheetName val="Anand Z Phys Chem 2019"/>
      <sheetName val="Mukherjee J Phys Chem 1969"/>
      <sheetName val="Salomon Electr Acta 1983"/>
      <sheetName val="Shinkle J Pow Sources 2014"/>
      <sheetName val="Dilo Rev Cub Quim 2010"/>
      <sheetName val="Gong EES 2015"/>
      <sheetName val="Gong EES 2015 limiting"/>
      <sheetName val="Das JCED 1999"/>
      <sheetName val="Kalugin Kharkiv Univ Bull 2019 "/>
      <sheetName val="Butler J Analytical Chem 1966"/>
      <sheetName val="Wypych J Mol Liq 2014"/>
      <sheetName val=" Chernozhuk Chem Tech 2016"/>
    </sheetNames>
    <sheetDataSet>
      <sheetData sheetId="0"/>
      <sheetData sheetId="1">
        <row r="55">
          <cell r="D55">
            <v>1E-3</v>
          </cell>
          <cell r="F55">
            <v>7.6192281564247928E-5</v>
          </cell>
        </row>
      </sheetData>
      <sheetData sheetId="2">
        <row r="4">
          <cell r="B4">
            <v>0.6</v>
          </cell>
          <cell r="D4">
            <v>2.7027027027027029E-2</v>
          </cell>
        </row>
        <row r="5">
          <cell r="B5">
            <v>0.5</v>
          </cell>
          <cell r="D5">
            <v>2.564102564102564E-2</v>
          </cell>
        </row>
        <row r="7">
          <cell r="B7">
            <v>0.6</v>
          </cell>
          <cell r="D7">
            <v>3.8461538461538464E-2</v>
          </cell>
        </row>
        <row r="9">
          <cell r="B9">
            <v>1</v>
          </cell>
          <cell r="D9">
            <v>3.2258064516129031E-2</v>
          </cell>
        </row>
        <row r="10">
          <cell r="B10">
            <v>0.5</v>
          </cell>
          <cell r="D10">
            <v>3.0303030303030304E-2</v>
          </cell>
        </row>
        <row r="13">
          <cell r="B13">
            <v>0.6</v>
          </cell>
          <cell r="D13">
            <v>1.2987012987012988E-2</v>
          </cell>
        </row>
        <row r="14">
          <cell r="B14">
            <v>0.5</v>
          </cell>
          <cell r="D14">
            <v>1.2195121951219513E-2</v>
          </cell>
        </row>
        <row r="17">
          <cell r="B17">
            <v>0.5</v>
          </cell>
          <cell r="D17">
            <v>1.3888888888888888E-2</v>
          </cell>
        </row>
      </sheetData>
      <sheetData sheetId="3">
        <row r="10">
          <cell r="B10">
            <v>0.65</v>
          </cell>
          <cell r="C10">
            <v>7.23</v>
          </cell>
        </row>
        <row r="18">
          <cell r="A18">
            <v>2.77795812819834E-2</v>
          </cell>
          <cell r="C18">
            <v>6.4151492372494E-4</v>
          </cell>
        </row>
        <row r="19">
          <cell r="A19">
            <v>6.06653893688439E-2</v>
          </cell>
          <cell r="C19">
            <v>1.2375235666209502E-3</v>
          </cell>
        </row>
        <row r="20">
          <cell r="A20">
            <v>8.3327532110991295E-2</v>
          </cell>
          <cell r="C20">
            <v>1.72576387300134E-3</v>
          </cell>
        </row>
        <row r="21">
          <cell r="A21">
            <v>0.108230270238364</v>
          </cell>
          <cell r="C21">
            <v>2.2249976506132701E-3</v>
          </cell>
        </row>
        <row r="22">
          <cell r="A22">
            <v>0.13311773213059999</v>
          </cell>
          <cell r="C22">
            <v>2.7016735210060499E-3</v>
          </cell>
        </row>
        <row r="23">
          <cell r="A23">
            <v>0.160269821037543</v>
          </cell>
          <cell r="C23">
            <v>3.2248295688289802E-3</v>
          </cell>
        </row>
        <row r="70">
          <cell r="B70">
            <v>6.0000000000000001E-3</v>
          </cell>
          <cell r="C70">
            <v>1.0999999999999999E-2</v>
          </cell>
          <cell r="D70">
            <v>7.4000000000000003E-3</v>
          </cell>
        </row>
        <row r="71">
          <cell r="C71">
            <v>2.4E-2</v>
          </cell>
          <cell r="D71">
            <v>1.4E-2</v>
          </cell>
        </row>
      </sheetData>
      <sheetData sheetId="4">
        <row r="14">
          <cell r="B14">
            <v>2.3884328301715294E-3</v>
          </cell>
          <cell r="D14">
            <v>9.1665547958706402E-5</v>
          </cell>
          <cell r="H14">
            <v>1.2892057784115549E-3</v>
          </cell>
          <cell r="J14">
            <v>1.0612592494750185E-4</v>
          </cell>
        </row>
        <row r="15">
          <cell r="B15">
            <v>3.3884176898968934E-3</v>
          </cell>
          <cell r="D15">
            <v>1.2746020825753812E-4</v>
          </cell>
          <cell r="H15">
            <v>1.7284642569285133E-3</v>
          </cell>
          <cell r="J15">
            <v>1.4003065501783159E-4</v>
          </cell>
        </row>
        <row r="16">
          <cell r="B16">
            <v>4.4790988508531544E-3</v>
          </cell>
          <cell r="D16">
            <v>1.6583833388283441E-4</v>
          </cell>
          <cell r="H16">
            <v>2.6034100068200046E-3</v>
          </cell>
          <cell r="J16">
            <v>2.0449974256470167E-4</v>
          </cell>
        </row>
        <row r="17">
          <cell r="B17">
            <v>5.5348968190282854E-3</v>
          </cell>
          <cell r="D17">
            <v>2.0259805765975052E-4</v>
          </cell>
          <cell r="H17">
            <v>3.249897699795396E-3</v>
          </cell>
          <cell r="J17">
            <v>2.4962982331761723E-4</v>
          </cell>
        </row>
      </sheetData>
      <sheetData sheetId="5">
        <row r="5">
          <cell r="A5">
            <v>8.9660000000000006E-5</v>
          </cell>
          <cell r="C5">
            <v>7.6820688000000009E-6</v>
          </cell>
        </row>
        <row r="6">
          <cell r="A6">
            <v>2.2450000000000001E-4</v>
          </cell>
          <cell r="C6">
            <v>1.8480839999999997E-5</v>
          </cell>
        </row>
        <row r="7">
          <cell r="A7">
            <v>4.1629999999999998E-4</v>
          </cell>
          <cell r="C7">
            <v>3.2679550000000001E-5</v>
          </cell>
        </row>
        <row r="8">
          <cell r="A8">
            <v>6.7409999999999996E-4</v>
          </cell>
          <cell r="C8">
            <v>5.0247414000000001E-5</v>
          </cell>
        </row>
        <row r="9">
          <cell r="A9">
            <v>1.0430000000000001E-3</v>
          </cell>
          <cell r="C9">
            <v>7.3072580000000008E-5</v>
          </cell>
        </row>
        <row r="10">
          <cell r="A10">
            <v>1.629E-3</v>
          </cell>
          <cell r="C10">
            <v>1.0549404000000001E-4</v>
          </cell>
        </row>
      </sheetData>
      <sheetData sheetId="6">
        <row r="6">
          <cell r="A6">
            <v>5.0310095439384403E-2</v>
          </cell>
          <cell r="C6">
            <v>8.7890164651051978E-4</v>
          </cell>
        </row>
        <row r="7">
          <cell r="A7">
            <v>4.5050031372807997E-2</v>
          </cell>
          <cell r="C7">
            <v>6.9661650396890843E-4</v>
          </cell>
        </row>
        <row r="8">
          <cell r="A8">
            <v>4.0268154948647598E-2</v>
          </cell>
          <cell r="C8">
            <v>5.822742283504975E-4</v>
          </cell>
        </row>
        <row r="9">
          <cell r="A9">
            <v>3.6203559988111297E-2</v>
          </cell>
          <cell r="C9">
            <v>4.6901833621402599E-4</v>
          </cell>
        </row>
        <row r="10">
          <cell r="A10">
            <v>3.0226214457910801E-2</v>
          </cell>
          <cell r="C10">
            <v>3.4609465816630875E-4</v>
          </cell>
        </row>
        <row r="11">
          <cell r="A11">
            <v>1.99451801459661E-2</v>
          </cell>
          <cell r="C11">
            <v>1.6834489332651469E-4</v>
          </cell>
        </row>
        <row r="12">
          <cell r="A12">
            <v>1.0142333476437299E-2</v>
          </cell>
          <cell r="C12">
            <v>5.5079061725431765E-5</v>
          </cell>
        </row>
        <row r="18">
          <cell r="A18">
            <v>4.9831907796968299E-2</v>
          </cell>
        </row>
        <row r="19">
          <cell r="A19">
            <v>4.4810937551599997E-2</v>
          </cell>
        </row>
        <row r="20">
          <cell r="A20">
            <v>3.6203559988111297E-2</v>
          </cell>
        </row>
        <row r="21">
          <cell r="A21">
            <v>4.0029061127439598E-2</v>
          </cell>
        </row>
        <row r="22">
          <cell r="A22">
            <v>2.9987120636702801E-2</v>
          </cell>
        </row>
        <row r="23">
          <cell r="A23">
            <v>1.99451801459661E-2</v>
          </cell>
        </row>
      </sheetData>
      <sheetData sheetId="7">
        <row r="10">
          <cell r="B10">
            <v>3.9768339104477588E-3</v>
          </cell>
          <cell r="D10">
            <v>3.986378311832794E-4</v>
          </cell>
        </row>
        <row r="11">
          <cell r="B11">
            <v>4.3924897114427869E-3</v>
          </cell>
          <cell r="D11">
            <v>4.3257238678288523E-4</v>
          </cell>
        </row>
        <row r="12">
          <cell r="B12">
            <v>4.3924897114427869E-3</v>
          </cell>
          <cell r="D12">
            <v>4.3257238678288523E-4</v>
          </cell>
        </row>
        <row r="13">
          <cell r="B13">
            <v>4.9506802786069603E-3</v>
          </cell>
          <cell r="D13">
            <v>4.8041401423601896E-4</v>
          </cell>
        </row>
        <row r="14">
          <cell r="B14">
            <v>5.5195923582089515E-3</v>
          </cell>
          <cell r="D14">
            <v>5.2414049033552141E-4</v>
          </cell>
        </row>
        <row r="23">
          <cell r="B23">
            <v>3.3040663084577021E-3</v>
          </cell>
          <cell r="D23">
            <v>2.9049350983960089E-4</v>
          </cell>
        </row>
        <row r="24">
          <cell r="B24">
            <v>3.9500155223880506E-3</v>
          </cell>
          <cell r="D24">
            <v>3.4286134734328236E-4</v>
          </cell>
        </row>
        <row r="25">
          <cell r="B25">
            <v>4.3987122786069638E-3</v>
          </cell>
          <cell r="D25">
            <v>3.761778740664671E-4</v>
          </cell>
        </row>
        <row r="26">
          <cell r="B26">
            <v>4.9570781293532262E-3</v>
          </cell>
          <cell r="D26">
            <v>4.1917052661810835E-4</v>
          </cell>
        </row>
        <row r="27">
          <cell r="B27">
            <v>5.5151518407960095E-3</v>
          </cell>
          <cell r="D27">
            <v>4.5665457241790905E-4</v>
          </cell>
        </row>
      </sheetData>
      <sheetData sheetId="8">
        <row r="11">
          <cell r="A11">
            <v>1E-3</v>
          </cell>
          <cell r="B11">
            <v>2.7211508808534348E-5</v>
          </cell>
          <cell r="D11">
            <v>1E-3</v>
          </cell>
          <cell r="E11">
            <v>3.1630033019835727E-5</v>
          </cell>
          <cell r="H11">
            <v>1E-3</v>
          </cell>
          <cell r="I11">
            <v>3.0656925958644218E-5</v>
          </cell>
        </row>
        <row r="12">
          <cell r="A12">
            <v>2E-3</v>
          </cell>
          <cell r="B12">
            <v>5.3728208474583968E-5</v>
          </cell>
          <cell r="D12">
            <v>2E-3</v>
          </cell>
          <cell r="E12">
            <v>6.2493155818728701E-5</v>
          </cell>
          <cell r="H12">
            <v>2E-3</v>
          </cell>
          <cell r="I12">
            <v>6.0609080816895597E-5</v>
          </cell>
        </row>
        <row r="13">
          <cell r="A13">
            <v>3.0000000000000001E-3</v>
          </cell>
          <cell r="B13">
            <v>7.9852408146862777E-5</v>
          </cell>
          <cell r="D13">
            <v>3.0000000000000001E-3</v>
          </cell>
          <cell r="E13">
            <v>9.290406228820849E-5</v>
          </cell>
          <cell r="H13">
            <v>3.0000000000000001E-3</v>
          </cell>
          <cell r="I13">
            <v>9.0168179980480397E-5</v>
          </cell>
        </row>
        <row r="14">
          <cell r="A14">
            <v>4.0000000000000001E-3</v>
          </cell>
          <cell r="B14">
            <v>1.056922565948685E-4</v>
          </cell>
          <cell r="D14">
            <v>4.0000000000000001E-3</v>
          </cell>
          <cell r="E14">
            <v>1.2297527929804771E-4</v>
          </cell>
          <cell r="H14">
            <v>4.0000000000000001E-3</v>
          </cell>
          <cell r="I14">
            <v>1.194456188645813E-4</v>
          </cell>
        </row>
      </sheetData>
      <sheetData sheetId="9">
        <row r="9">
          <cell r="B9">
            <v>4.9561600000000003E-3</v>
          </cell>
          <cell r="D9">
            <v>9.9429832455423983E-5</v>
          </cell>
        </row>
        <row r="10">
          <cell r="B10">
            <v>7.5689999999999993E-3</v>
          </cell>
          <cell r="D10">
            <v>1.5103854135338336E-4</v>
          </cell>
        </row>
      </sheetData>
      <sheetData sheetId="10">
        <row r="9">
          <cell r="B9">
            <v>9.93</v>
          </cell>
          <cell r="C9">
            <v>4.76</v>
          </cell>
        </row>
      </sheetData>
      <sheetData sheetId="11">
        <row r="5">
          <cell r="A5">
            <v>1.0326000000000001E-3</v>
          </cell>
          <cell r="C5">
            <v>3.2090213460000001E-5</v>
          </cell>
        </row>
        <row r="6">
          <cell r="A6">
            <v>2.8214999999999998E-3</v>
          </cell>
          <cell r="C6">
            <v>8.5098132899999983E-5</v>
          </cell>
        </row>
        <row r="7">
          <cell r="A7">
            <v>4.6381E-3</v>
          </cell>
          <cell r="C7">
            <v>1.3677571376E-4</v>
          </cell>
        </row>
        <row r="8">
          <cell r="A8">
            <v>6.4580000000000002E-3</v>
          </cell>
          <cell r="C8">
            <v>1.8702367999999999E-4</v>
          </cell>
        </row>
        <row r="9">
          <cell r="A9">
            <v>8.2468999999999997E-3</v>
          </cell>
          <cell r="C9">
            <v>2.3384827170999997E-4</v>
          </cell>
        </row>
        <row r="14">
          <cell r="A14">
            <v>1.0150000000000001E-3</v>
          </cell>
          <cell r="C14">
            <v>1.7378931500000003E-4</v>
          </cell>
        </row>
        <row r="15">
          <cell r="A15">
            <v>2.8806000000000001E-3</v>
          </cell>
          <cell r="C15">
            <v>4.6530619860000007E-4</v>
          </cell>
        </row>
        <row r="16">
          <cell r="A16">
            <v>4.6937000000000003E-3</v>
          </cell>
          <cell r="C16">
            <v>7.3750699990000012E-4</v>
          </cell>
        </row>
        <row r="17">
          <cell r="A17">
            <v>6.5418000000000004E-3</v>
          </cell>
          <cell r="C17">
            <v>9.7656644580000011E-4</v>
          </cell>
        </row>
        <row r="18">
          <cell r="A18">
            <v>8.4104000000000002E-3</v>
          </cell>
          <cell r="C18">
            <v>1.2169091864000002E-3</v>
          </cell>
        </row>
      </sheetData>
      <sheetData sheetId="12">
        <row r="7">
          <cell r="G7">
            <v>14.5</v>
          </cell>
        </row>
        <row r="11">
          <cell r="H11">
            <v>50.058999999999997</v>
          </cell>
        </row>
      </sheetData>
      <sheetData sheetId="13"/>
      <sheetData sheetId="14">
        <row r="9">
          <cell r="B9">
            <v>2.5535000000000002E-3</v>
          </cell>
          <cell r="D9">
            <v>4.2089340500000005E-4</v>
          </cell>
        </row>
        <row r="10">
          <cell r="B10">
            <v>3.5412E-3</v>
          </cell>
          <cell r="D10">
            <v>5.7062896799999993E-4</v>
          </cell>
        </row>
        <row r="11">
          <cell r="B11">
            <v>4.0008000000000005E-3</v>
          </cell>
          <cell r="D11">
            <v>6.3860769600000017E-4</v>
          </cell>
        </row>
        <row r="12">
          <cell r="B12">
            <v>4.5163E-3</v>
          </cell>
          <cell r="D12">
            <v>7.1362056300000002E-4</v>
          </cell>
        </row>
      </sheetData>
      <sheetData sheetId="15">
        <row r="12">
          <cell r="C12">
            <v>7.9658500000000004E-4</v>
          </cell>
          <cell r="E12">
            <v>1.2805E-4</v>
          </cell>
        </row>
        <row r="13">
          <cell r="C13">
            <v>9.6583974999999995E-4</v>
          </cell>
          <cell r="E13">
            <v>1.5412000000000002E-4</v>
          </cell>
        </row>
        <row r="14">
          <cell r="C14">
            <v>1.3707834999999999E-3</v>
          </cell>
          <cell r="E14">
            <v>2.1596000000000001E-4</v>
          </cell>
        </row>
        <row r="15">
          <cell r="C15">
            <v>1.6890262500000002E-3</v>
          </cell>
          <cell r="E15">
            <v>2.6379000000000002E-4</v>
          </cell>
        </row>
        <row r="16">
          <cell r="C16">
            <v>2.04615925E-3</v>
          </cell>
          <cell r="E16">
            <v>3.1684000000000004E-4</v>
          </cell>
        </row>
        <row r="17">
          <cell r="C17">
            <v>2.4298189999999997E-3</v>
          </cell>
          <cell r="E17">
            <v>3.7332000000000006E-4</v>
          </cell>
        </row>
        <row r="18">
          <cell r="C18">
            <v>2.99541E-3</v>
          </cell>
        </row>
        <row r="36">
          <cell r="C36">
            <v>3.056445E-4</v>
          </cell>
          <cell r="E36">
            <v>4.9534000000000004E-5</v>
          </cell>
        </row>
        <row r="37">
          <cell r="C37">
            <v>3.4152994999999997E-4</v>
          </cell>
          <cell r="E37">
            <v>5.5266000000000009E-5</v>
          </cell>
        </row>
        <row r="38">
          <cell r="C38">
            <v>3.8171914999999998E-4</v>
          </cell>
          <cell r="E38">
            <v>6.0946000000000002E-5</v>
          </cell>
        </row>
        <row r="39">
          <cell r="C39">
            <v>4.3208084999999996E-4</v>
          </cell>
          <cell r="E39">
            <v>6.8356000000000008E-5</v>
          </cell>
        </row>
        <row r="40">
          <cell r="C40">
            <v>5.8671850000000002E-4</v>
          </cell>
          <cell r="E40">
            <v>9.7729000000000012E-5</v>
          </cell>
        </row>
        <row r="41">
          <cell r="C41">
            <v>7.6976089999999996E-4</v>
          </cell>
          <cell r="E41">
            <v>1.1561000000000001E-4</v>
          </cell>
        </row>
      </sheetData>
      <sheetData sheetId="16">
        <row r="12">
          <cell r="A12">
            <v>3.0000000000000001E-3</v>
          </cell>
          <cell r="C12">
            <v>1.0720639957555545E-4</v>
          </cell>
        </row>
        <row r="13">
          <cell r="A13">
            <v>4.0000000000000001E-3</v>
          </cell>
          <cell r="C13">
            <v>1.4285582146765418E-4</v>
          </cell>
        </row>
        <row r="14">
          <cell r="A14">
            <v>5.0000000000000001E-3</v>
          </cell>
          <cell r="C14">
            <v>1.7846222104320967E-4</v>
          </cell>
        </row>
        <row r="15">
          <cell r="A15">
            <v>6.0000000000000001E-3</v>
          </cell>
          <cell r="C15">
            <v>2.1402559830222191E-4</v>
          </cell>
        </row>
      </sheetData>
      <sheetData sheetId="17">
        <row r="7">
          <cell r="A7">
            <v>1E-3</v>
          </cell>
          <cell r="B7">
            <v>1.8489633683833073E-4</v>
          </cell>
        </row>
        <row r="8">
          <cell r="A8">
            <v>2E-3</v>
          </cell>
          <cell r="B8">
            <v>3.6553980786422442E-4</v>
          </cell>
        </row>
        <row r="9">
          <cell r="A9">
            <v>3.0000000000000001E-3</v>
          </cell>
          <cell r="B9">
            <v>5.4341470372513251E-4</v>
          </cell>
        </row>
        <row r="10">
          <cell r="A10">
            <v>4.0000000000000001E-3</v>
          </cell>
          <cell r="B10">
            <v>7.190506947066461E-4</v>
          </cell>
        </row>
        <row r="11">
          <cell r="A11">
            <v>5.0000000000000001E-3</v>
          </cell>
          <cell r="B11">
            <v>8.9275390098460543E-4</v>
          </cell>
        </row>
        <row r="12">
          <cell r="A12">
            <v>6.0000000000000001E-3</v>
          </cell>
          <cell r="B12">
            <v>1.0647308684555239E-3</v>
          </cell>
        </row>
        <row r="13">
          <cell r="A13">
            <v>7.0000000000000001E-3</v>
          </cell>
          <cell r="B13">
            <v>1.2351332277161472E-3</v>
          </cell>
        </row>
      </sheetData>
      <sheetData sheetId="18">
        <row r="7">
          <cell r="A7">
            <v>1E-3</v>
          </cell>
          <cell r="C7">
            <v>2.7389311996581668E-5</v>
          </cell>
        </row>
        <row r="8">
          <cell r="A8">
            <v>2E-3</v>
          </cell>
          <cell r="C8">
            <v>5.4757247986326682E-5</v>
          </cell>
        </row>
        <row r="9">
          <cell r="A9">
            <v>3.0000000000000001E-3</v>
          </cell>
          <cell r="C9">
            <v>8.2103807969235025E-5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Gennaro Saveant J Chem Soc Faraday Trans 1996 -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22" dT="2025-02-28T16:20:47.06" personId="{97EB442A-BA5A-4BA8-A59A-7061902B9186}" id="{F83C0BB8-84EC-45BA-80EA-4951B1179FBB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35" dT="2025-02-28T16:20:47.06" personId="{97EB442A-BA5A-4BA8-A59A-7061902B9186}" id="{74B6622E-07F7-49C4-B7AE-2162C5960A05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48" dT="2025-02-28T18:14:45.76" personId="{97EB442A-BA5A-4BA8-A59A-7061902B9186}" id="{7AF5891A-4275-420C-88F9-1032CBD27BC0}">
    <text>Roy, M. N.; Banik, I.; Ekka, D. Physics and Chemistry of an Ionic Liquid in Some Industrially Important Solvent Media Probed by Physicochemical Techniques. The Journal of Chemical Thermodynamics 2013, 57, 230–237. https://doi.org/10.1016/j.jct.2012.09.003.</text>
    <extLst>
      <x:ext xmlns:xltc2="http://schemas.microsoft.com/office/spreadsheetml/2020/threadedcomments2" uri="{F7C98A9C-CBB3-438F-8F68-D28B6AF4A901}">
        <xltc2:checksum>2103817893</xltc2:checksum>
        <xltc2:hyperlink startIndex="214" length="41" url="https://doi.org/10.1016/j.jct.2012.09.003"/>
      </x:ext>
    </extLst>
  </threadedComment>
  <threadedComment ref="O48" dT="2025-02-28T18:31:39.71" personId="{97EB442A-BA5A-4BA8-A59A-7061902B9186}" id="{8CE4A207-0E63-41C4-A2A8-C0518074A15E}" parentId="{7AF5891A-4275-420C-88F9-1032CBD27BC0}">
    <text>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ext>
    <extLst>
      <x:ext xmlns:xltc2="http://schemas.microsoft.com/office/spreadsheetml/2020/threadedcomments2" uri="{F7C98A9C-CBB3-438F-8F68-D28B6AF4A901}">
        <xltc2:checksum>1029699062</xltc2:checksum>
        <xltc2:hyperlink startIndex="390" length="33" url="https://doi.org/10.1021/je300252d"/>
      </x:ext>
    </extLst>
  </threadedComment>
  <threadedComment ref="O61" dT="2025-02-28T17:42:56.35" personId="{97EB442A-BA5A-4BA8-A59A-7061902B9186}" id="{95329D8C-BDCA-4D7B-BD82-A5E421E1F79B}">
    <text>McDonagh, P. M.; Reardon, J. F. Ionic Association and Mobility IV. Ionophores in Dimethylsulfoxide at 25°C. Journal of Solution Chemistry 1998, 27 (7), 675–683. https://doi.org/10.1023/A:1022602109299.</text>
    <extLst>
      <x:ext xmlns:xltc2="http://schemas.microsoft.com/office/spreadsheetml/2020/threadedcomments2" uri="{F7C98A9C-CBB3-438F-8F68-D28B6AF4A901}">
        <xltc2:checksum>2153702695</xltc2:checksum>
        <xltc2:hyperlink startIndex="161" length="39" url="https://doi.org/10.1023/A:1022602109299"/>
      </x:ext>
    </extLst>
  </threadedComment>
  <threadedComment ref="C75" dT="2025-01-20T21:27:04.25" personId="{97EB442A-BA5A-4BA8-A59A-7061902B9186}" id="{30296810-9BEE-43D1-B25A-B06E81168087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5" dT="2025-02-28T17:47:00.64" personId="{97EB442A-BA5A-4BA8-A59A-7061902B9186}" id="{AD5AF100-2068-4853-81C2-6293560FBE0E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6" dT="2025-01-20T21:31:52.60" personId="{97EB442A-BA5A-4BA8-A59A-7061902B9186}" id="{06DC49BF-BD0D-4A1E-9D7C-F4CD7A74ADDA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D76" dT="2025-02-28T17:47:30.87" personId="{97EB442A-BA5A-4BA8-A59A-7061902B9186}" id="{05D31B46-3245-4EFF-B2CE-3B7C8121D431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7" dT="2025-01-20T21:27:11.44" personId="{97EB442A-BA5A-4BA8-A59A-7061902B9186}" id="{C4985599-33C8-4E93-8703-17FD436F52AF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7" dT="2025-02-28T17:47:55.20" personId="{97EB442A-BA5A-4BA8-A59A-7061902B9186}" id="{0B06D91A-118B-41A8-AD45-D3B4DF00D6EB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8" dT="2025-01-20T21:27:07.86" personId="{97EB442A-BA5A-4BA8-A59A-7061902B9186}" id="{60A4D9F1-60FC-42E7-A9B7-52B81A0860EB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C78" dT="2025-02-28T17:47:47.40" personId="{97EB442A-BA5A-4BA8-A59A-7061902B9186}" id="{CD6D2E6E-C2F3-4EA8-8D20-7A7AB31B9A3C}" parentId="{60A4D9F1-60FC-42E7-A9B7-52B81A0860EB}">
    <text xml:space="preserve">Izutsu, K. Electrochemistry in Nonaqueous Solutions, 1st ed.; Wiley, 2009. https://doi.org/10.1002/9783527629152.
Table 1.1
</text>
    <extLst>
      <x:ext xmlns:xltc2="http://schemas.microsoft.com/office/spreadsheetml/2020/threadedcomments2" uri="{F7C98A9C-CBB3-438F-8F68-D28B6AF4A901}">
        <xltc2:checksum>2504825948</xltc2:checksum>
        <xltc2:hyperlink startIndex="75" length="37" url="https://doi.org/10.1002/9783527629152"/>
      </x:ext>
    </extLst>
  </threadedComment>
  <threadedComment ref="D78" dT="2025-02-28T17:48:10.67" personId="{97EB442A-BA5A-4BA8-A59A-7061902B9186}" id="{20C26133-ECAA-4616-A30C-17E4EA0E1314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xlink.rsc.org/?DOI=C4GC00016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abSelected="1" topLeftCell="A7" zoomScale="115" zoomScaleNormal="115" workbookViewId="0">
      <selection activeCell="E10" sqref="E10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185</v>
      </c>
    </row>
    <row r="2" spans="1:6" ht="42.75" x14ac:dyDescent="0.2">
      <c r="A2" s="5" t="s">
        <v>144</v>
      </c>
      <c r="B2" s="5" t="s">
        <v>147</v>
      </c>
      <c r="C2" s="18">
        <v>1</v>
      </c>
      <c r="D2" s="5" t="s">
        <v>70</v>
      </c>
      <c r="E2" s="5" t="s">
        <v>188</v>
      </c>
      <c r="F2" s="39"/>
    </row>
    <row r="3" spans="1:6" ht="42.75" x14ac:dyDescent="0.2">
      <c r="A3" s="5" t="s">
        <v>145</v>
      </c>
      <c r="B3" s="5" t="s">
        <v>146</v>
      </c>
      <c r="C3" s="18">
        <v>0.3</v>
      </c>
      <c r="D3" s="5" t="s">
        <v>70</v>
      </c>
      <c r="E3" s="5" t="s">
        <v>188</v>
      </c>
      <c r="F3" s="39" t="s">
        <v>189</v>
      </c>
    </row>
    <row r="4" spans="1:6" ht="42.75" x14ac:dyDescent="0.2">
      <c r="A4" s="4" t="s">
        <v>79</v>
      </c>
      <c r="B4" s="5" t="s">
        <v>63</v>
      </c>
      <c r="C4" s="8">
        <v>75</v>
      </c>
      <c r="D4" s="4" t="s">
        <v>64</v>
      </c>
      <c r="E4" s="15" t="s">
        <v>122</v>
      </c>
      <c r="F4" s="39" t="s">
        <v>121</v>
      </c>
    </row>
    <row r="5" spans="1:6" ht="42.75" x14ac:dyDescent="0.2">
      <c r="A5" s="4" t="s">
        <v>94</v>
      </c>
      <c r="B5" s="5" t="s">
        <v>111</v>
      </c>
      <c r="C5" s="23">
        <v>1.4500000000000001E-2</v>
      </c>
      <c r="D5" s="4" t="s">
        <v>108</v>
      </c>
      <c r="E5" s="15" t="s">
        <v>113</v>
      </c>
      <c r="F5" s="39" t="s">
        <v>112</v>
      </c>
    </row>
    <row r="6" spans="1:6" ht="57" x14ac:dyDescent="0.2">
      <c r="A6" s="4" t="s">
        <v>114</v>
      </c>
      <c r="B6" s="5" t="s">
        <v>115</v>
      </c>
      <c r="C6" s="16">
        <f>5000*800/773.1</f>
        <v>5173.9749062217043</v>
      </c>
      <c r="D6" s="4" t="s">
        <v>116</v>
      </c>
      <c r="E6" s="15" t="s">
        <v>123</v>
      </c>
      <c r="F6" s="39" t="s">
        <v>166</v>
      </c>
    </row>
    <row r="7" spans="1:6" ht="85.5" x14ac:dyDescent="0.2">
      <c r="A7" s="4" t="s">
        <v>159</v>
      </c>
      <c r="B7" s="5" t="s">
        <v>163</v>
      </c>
      <c r="C7" s="16">
        <f>1.3*950000*1.24*(800/444.2)*((1000)/(2160/(Solvents!H4*C19/1000)))^0.7</f>
        <v>37949.118483929997</v>
      </c>
      <c r="D7" s="4" t="s">
        <v>162</v>
      </c>
      <c r="E7" s="15" t="s">
        <v>195</v>
      </c>
      <c r="F7" s="39" t="s">
        <v>186</v>
      </c>
    </row>
    <row r="8" spans="1:6" ht="57" x14ac:dyDescent="0.2">
      <c r="A8" s="4" t="s">
        <v>158</v>
      </c>
      <c r="B8" s="5" t="s">
        <v>160</v>
      </c>
      <c r="C8" s="16">
        <f>1.3*1989043*800/596.2</f>
        <v>3469648.9768534047</v>
      </c>
      <c r="D8" s="4" t="s">
        <v>161</v>
      </c>
      <c r="E8" s="15" t="s">
        <v>19</v>
      </c>
      <c r="F8" s="39" t="s">
        <v>167</v>
      </c>
    </row>
    <row r="9" spans="1:6" ht="28.5" x14ac:dyDescent="0.2">
      <c r="A9" s="4" t="s">
        <v>81</v>
      </c>
      <c r="B9" s="4" t="s">
        <v>273</v>
      </c>
      <c r="C9" s="8">
        <v>0</v>
      </c>
      <c r="D9" s="4" t="s">
        <v>16</v>
      </c>
      <c r="E9" s="4"/>
      <c r="F9" s="39" t="s">
        <v>140</v>
      </c>
    </row>
    <row r="10" spans="1:6" ht="28.5" x14ac:dyDescent="0.2">
      <c r="A10" s="4" t="s">
        <v>142</v>
      </c>
      <c r="B10" s="4" t="s">
        <v>143</v>
      </c>
      <c r="C10" s="7">
        <v>1000</v>
      </c>
      <c r="D10" s="4" t="s">
        <v>45</v>
      </c>
      <c r="E10" s="4"/>
      <c r="F10" s="39"/>
    </row>
    <row r="11" spans="1:6" ht="42.75" x14ac:dyDescent="0.2">
      <c r="A11" s="5" t="s">
        <v>78</v>
      </c>
      <c r="B11" s="5" t="s">
        <v>73</v>
      </c>
      <c r="C11" s="10">
        <v>0.9</v>
      </c>
      <c r="D11" s="5"/>
      <c r="E11" s="15" t="s">
        <v>74</v>
      </c>
      <c r="F11" s="39"/>
    </row>
    <row r="12" spans="1:6" ht="28.5" x14ac:dyDescent="0.2">
      <c r="A12" s="4" t="s">
        <v>91</v>
      </c>
      <c r="B12" s="4" t="s">
        <v>156</v>
      </c>
      <c r="C12" s="48">
        <v>0.2</v>
      </c>
      <c r="D12" s="4"/>
      <c r="E12" s="15"/>
      <c r="F12" s="39"/>
    </row>
    <row r="13" spans="1:6" ht="28.5" x14ac:dyDescent="0.2">
      <c r="A13" s="5" t="s">
        <v>91</v>
      </c>
      <c r="B13" s="5" t="s">
        <v>61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135</v>
      </c>
      <c r="B14" s="5" t="s">
        <v>138</v>
      </c>
      <c r="C14" s="9">
        <f>0.8/10</f>
        <v>0.08</v>
      </c>
      <c r="D14" s="5" t="s">
        <v>136</v>
      </c>
      <c r="E14" s="15" t="s">
        <v>137</v>
      </c>
    </row>
    <row r="15" spans="1:6" ht="42.75" x14ac:dyDescent="0.2">
      <c r="A15" s="5" t="s">
        <v>133</v>
      </c>
      <c r="B15" s="5" t="s">
        <v>134</v>
      </c>
      <c r="C15" s="9">
        <v>0.22</v>
      </c>
      <c r="D15" s="5" t="s">
        <v>21</v>
      </c>
      <c r="E15" s="15" t="s">
        <v>196</v>
      </c>
      <c r="F15" s="43" t="s">
        <v>206</v>
      </c>
    </row>
    <row r="16" spans="1:6" ht="42.75" x14ac:dyDescent="0.2">
      <c r="A16" s="5" t="s">
        <v>76</v>
      </c>
      <c r="B16" s="5" t="s">
        <v>32</v>
      </c>
      <c r="C16" s="9">
        <v>1.23</v>
      </c>
      <c r="D16" s="5" t="s">
        <v>52</v>
      </c>
      <c r="E16" s="15" t="s">
        <v>18</v>
      </c>
    </row>
    <row r="17" spans="1:6" ht="15.75" x14ac:dyDescent="0.2">
      <c r="A17" s="4" t="s">
        <v>82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132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80</v>
      </c>
      <c r="B19" s="4" t="s">
        <v>41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89</v>
      </c>
      <c r="B20" s="5" t="s">
        <v>67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87</v>
      </c>
      <c r="B21" s="5" t="s">
        <v>44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96</v>
      </c>
      <c r="B22" s="4" t="s">
        <v>42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88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101</v>
      </c>
      <c r="B24" s="4" t="s">
        <v>102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106</v>
      </c>
      <c r="B25" s="4" t="s">
        <v>107</v>
      </c>
      <c r="C25" s="18">
        <v>0</v>
      </c>
      <c r="D25" s="4"/>
      <c r="E25" s="4"/>
      <c r="F25" s="39"/>
    </row>
    <row r="26" spans="1:6" ht="28.5" x14ac:dyDescent="0.2">
      <c r="A26" s="4" t="s">
        <v>103</v>
      </c>
      <c r="B26" s="4" t="s">
        <v>104</v>
      </c>
      <c r="C26" s="20">
        <v>10</v>
      </c>
      <c r="D26" s="4" t="s">
        <v>105</v>
      </c>
      <c r="E26" s="4"/>
      <c r="F26" s="39"/>
    </row>
    <row r="27" spans="1:6" ht="28.5" x14ac:dyDescent="0.2">
      <c r="A27" s="4" t="s">
        <v>98</v>
      </c>
      <c r="B27" s="4" t="s">
        <v>99</v>
      </c>
      <c r="C27" s="19">
        <v>3000</v>
      </c>
      <c r="D27" s="4" t="s">
        <v>100</v>
      </c>
      <c r="E27" s="4"/>
      <c r="F27" s="39"/>
    </row>
    <row r="28" spans="1:6" ht="28.5" x14ac:dyDescent="0.2">
      <c r="A28" s="4" t="s">
        <v>119</v>
      </c>
      <c r="B28" s="5" t="s">
        <v>120</v>
      </c>
      <c r="C28" s="19">
        <v>1</v>
      </c>
      <c r="D28" s="4" t="s">
        <v>105</v>
      </c>
      <c r="E28" s="4"/>
      <c r="F28" s="39"/>
    </row>
    <row r="29" spans="1:6" ht="42.75" x14ac:dyDescent="0.2">
      <c r="A29" s="5" t="s">
        <v>97</v>
      </c>
      <c r="B29" s="5" t="s">
        <v>69</v>
      </c>
      <c r="C29" s="10">
        <v>0.05</v>
      </c>
      <c r="D29" s="5"/>
      <c r="E29" s="15"/>
      <c r="F29" s="39"/>
    </row>
    <row r="30" spans="1:6" ht="42.75" x14ac:dyDescent="0.2">
      <c r="A30" s="5" t="s">
        <v>164</v>
      </c>
      <c r="B30" s="5" t="s">
        <v>165</v>
      </c>
      <c r="C30" s="18">
        <v>500</v>
      </c>
      <c r="D30" s="5" t="s">
        <v>203</v>
      </c>
      <c r="E30" s="15"/>
      <c r="F30" s="39" t="s">
        <v>187</v>
      </c>
    </row>
    <row r="31" spans="1:6" ht="28.5" x14ac:dyDescent="0.2">
      <c r="A31" s="5" t="s">
        <v>95</v>
      </c>
      <c r="B31" s="5" t="s">
        <v>68</v>
      </c>
      <c r="C31" s="18">
        <v>2500</v>
      </c>
      <c r="D31" s="5" t="s">
        <v>110</v>
      </c>
      <c r="E31" s="15"/>
      <c r="F31" s="39"/>
    </row>
    <row r="32" spans="1:6" ht="28.5" x14ac:dyDescent="0.2">
      <c r="A32" s="5" t="s">
        <v>90</v>
      </c>
      <c r="B32" s="5" t="s">
        <v>35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77</v>
      </c>
      <c r="B33" s="5" t="s">
        <v>33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75</v>
      </c>
      <c r="B34" s="5" t="s">
        <v>34</v>
      </c>
      <c r="C34" s="5">
        <f>0.041*1000</f>
        <v>41</v>
      </c>
      <c r="D34" s="5" t="s">
        <v>118</v>
      </c>
      <c r="E34" s="15" t="s">
        <v>19</v>
      </c>
      <c r="F34" s="39"/>
    </row>
    <row r="35" spans="1:6" ht="28.5" x14ac:dyDescent="0.2">
      <c r="A35" s="5" t="s">
        <v>92</v>
      </c>
      <c r="B35" s="5" t="s">
        <v>36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93</v>
      </c>
      <c r="B36" s="4" t="s">
        <v>117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83</v>
      </c>
      <c r="B37" s="5" t="s">
        <v>37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84</v>
      </c>
      <c r="B38" s="5" t="s">
        <v>38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85</v>
      </c>
      <c r="B39" s="5" t="s">
        <v>40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86</v>
      </c>
      <c r="B40" s="5" t="s">
        <v>39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zoomScaleNormal="100" workbookViewId="0">
      <pane xSplit="1" topLeftCell="G1" activePane="topRight" state="frozen"/>
      <selection pane="topRight" activeCell="K17" sqref="K17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47</v>
      </c>
      <c r="B1" s="6" t="s">
        <v>58</v>
      </c>
      <c r="C1" s="6" t="s">
        <v>48</v>
      </c>
      <c r="D1" s="6" t="s">
        <v>54</v>
      </c>
      <c r="E1" s="6" t="s">
        <v>55</v>
      </c>
      <c r="F1" s="6" t="s">
        <v>49</v>
      </c>
      <c r="G1" s="17" t="s">
        <v>62</v>
      </c>
      <c r="H1" s="6" t="s">
        <v>57</v>
      </c>
      <c r="I1" s="6" t="s">
        <v>50</v>
      </c>
      <c r="J1" s="6" t="s">
        <v>51</v>
      </c>
      <c r="K1" s="6" t="s">
        <v>56</v>
      </c>
      <c r="L1" s="6" t="s">
        <v>66</v>
      </c>
      <c r="M1" s="6" t="s">
        <v>168</v>
      </c>
      <c r="N1" s="6" t="s">
        <v>205</v>
      </c>
      <c r="O1" s="11" t="s">
        <v>23</v>
      </c>
      <c r="P1" s="11" t="s">
        <v>191</v>
      </c>
      <c r="Q1" s="11" t="s">
        <v>192</v>
      </c>
    </row>
    <row r="2" spans="1:17" ht="17.25" x14ac:dyDescent="0.2">
      <c r="A2" s="24" t="s">
        <v>53</v>
      </c>
      <c r="B2" s="4" t="s">
        <v>59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46</v>
      </c>
      <c r="B3" s="4" t="s">
        <v>59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198</v>
      </c>
      <c r="Q3" s="4"/>
    </row>
    <row r="4" spans="1:17" ht="71.25" x14ac:dyDescent="0.2">
      <c r="A4" s="24" t="s">
        <v>155</v>
      </c>
      <c r="B4" s="5" t="s">
        <v>141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19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172</v>
      </c>
      <c r="P4" s="45" t="s">
        <v>197</v>
      </c>
      <c r="Q4" s="15" t="s">
        <v>171</v>
      </c>
    </row>
    <row r="5" spans="1:17" s="21" customFormat="1" ht="57" x14ac:dyDescent="0.2">
      <c r="A5" s="24" t="s">
        <v>23</v>
      </c>
      <c r="B5" s="5" t="s">
        <v>60</v>
      </c>
      <c r="C5" s="5" t="s">
        <v>60</v>
      </c>
      <c r="D5" s="15" t="s">
        <v>124</v>
      </c>
      <c r="E5" s="5" t="s">
        <v>60</v>
      </c>
      <c r="F5" s="4" t="s">
        <v>190</v>
      </c>
      <c r="G5" s="5" t="s">
        <v>193</v>
      </c>
      <c r="H5" s="15" t="s">
        <v>125</v>
      </c>
      <c r="I5" s="5" t="s">
        <v>190</v>
      </c>
      <c r="J5" s="5" t="s">
        <v>190</v>
      </c>
      <c r="K5" s="5" t="s">
        <v>190</v>
      </c>
      <c r="L5" s="5" t="s">
        <v>188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B1" activePane="topRight" state="frozen"/>
      <selection pane="topRight" activeCell="G3" sqref="G3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148</v>
      </c>
      <c r="B1" s="6" t="s">
        <v>48</v>
      </c>
      <c r="C1" s="17" t="s">
        <v>149</v>
      </c>
      <c r="D1" s="4" t="s">
        <v>170</v>
      </c>
      <c r="E1" s="5" t="s">
        <v>151</v>
      </c>
      <c r="F1" s="5" t="s">
        <v>177</v>
      </c>
      <c r="G1" s="5" t="s">
        <v>202</v>
      </c>
      <c r="H1" s="5" t="s">
        <v>157</v>
      </c>
      <c r="I1" s="5" t="s">
        <v>173</v>
      </c>
      <c r="J1" s="5" t="s">
        <v>175</v>
      </c>
      <c r="K1" s="5" t="s">
        <v>180</v>
      </c>
      <c r="L1" s="5" t="s">
        <v>174</v>
      </c>
    </row>
    <row r="2" spans="1:12" x14ac:dyDescent="0.25">
      <c r="A2" s="24" t="s">
        <v>139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176</v>
      </c>
    </row>
    <row r="3" spans="1:12" ht="28.5" x14ac:dyDescent="0.25">
      <c r="A3" s="24" t="s">
        <v>153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179</v>
      </c>
    </row>
    <row r="4" spans="1:12" x14ac:dyDescent="0.25">
      <c r="A4" s="26" t="s">
        <v>154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178</v>
      </c>
    </row>
    <row r="5" spans="1:12" x14ac:dyDescent="0.25">
      <c r="A5" s="26" t="s">
        <v>169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176</v>
      </c>
    </row>
    <row r="6" spans="1:12" s="5" customFormat="1" ht="85.5" x14ac:dyDescent="0.25">
      <c r="A6" s="24" t="s">
        <v>23</v>
      </c>
      <c r="B6" s="5" t="s">
        <v>194</v>
      </c>
      <c r="C6" s="5" t="s">
        <v>190</v>
      </c>
      <c r="D6" s="5" t="s">
        <v>194</v>
      </c>
      <c r="E6" s="5" t="s">
        <v>190</v>
      </c>
      <c r="F6" s="5" t="s">
        <v>190</v>
      </c>
      <c r="G6" s="8" t="s">
        <v>271</v>
      </c>
      <c r="H6" s="5" t="s">
        <v>199</v>
      </c>
      <c r="I6" s="5" t="s">
        <v>194</v>
      </c>
      <c r="J6" s="5" t="s">
        <v>194</v>
      </c>
      <c r="K6" s="7"/>
      <c r="L6" s="5" t="s">
        <v>194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zoomScale="97" zoomScaleNormal="160" workbookViewId="0">
      <pane xSplit="1" topLeftCell="B1" activePane="topRight" state="frozen"/>
      <selection pane="topRight" activeCell="C6" sqref="C6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150</v>
      </c>
      <c r="B1" s="6" t="s">
        <v>48</v>
      </c>
      <c r="C1" s="17" t="s">
        <v>152</v>
      </c>
      <c r="D1" s="5" t="s">
        <v>201</v>
      </c>
    </row>
    <row r="2" spans="1:6" x14ac:dyDescent="0.25">
      <c r="A2" s="24" t="s">
        <v>181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182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183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184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60</v>
      </c>
      <c r="C6" s="15" t="s">
        <v>200</v>
      </c>
      <c r="D6" s="8" t="s">
        <v>271</v>
      </c>
    </row>
  </sheetData>
  <phoneticPr fontId="17" type="noConversion"/>
  <hyperlinks>
    <hyperlink ref="C6" r:id="rId1" display="https://xlink.rsc.org/?DOI=C4GC00016A" xr:uid="{DE1E8B53-ACDC-4E0B-B896-B8420133203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I5" sqref="I5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126</v>
      </c>
      <c r="E3" s="76" t="s">
        <v>128</v>
      </c>
      <c r="F3" s="75" t="s">
        <v>129</v>
      </c>
    </row>
    <row r="4" spans="1:6" ht="28.5" x14ac:dyDescent="0.25">
      <c r="A4" s="36" t="s">
        <v>72</v>
      </c>
      <c r="B4" s="32">
        <v>2.4E-2</v>
      </c>
      <c r="C4" s="28">
        <v>20</v>
      </c>
      <c r="D4" s="33" t="s">
        <v>126</v>
      </c>
      <c r="E4" s="76"/>
      <c r="F4" s="75"/>
    </row>
    <row r="5" spans="1:6" ht="28.5" x14ac:dyDescent="0.25">
      <c r="A5" s="36" t="s">
        <v>71</v>
      </c>
      <c r="B5" s="32">
        <v>4.2000000000000003E-2</v>
      </c>
      <c r="C5" s="28"/>
      <c r="D5" s="33" t="s">
        <v>127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130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204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131</v>
      </c>
    </row>
    <row r="9" spans="1:6" ht="28.5" x14ac:dyDescent="0.25">
      <c r="A9" s="36" t="s">
        <v>43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65</v>
      </c>
      <c r="B14" s="32">
        <v>200</v>
      </c>
      <c r="C14" s="28"/>
      <c r="D14" s="15" t="s">
        <v>109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3C3-39D1-4ED5-A491-3E778642522A}">
  <dimension ref="B1:U86"/>
  <sheetViews>
    <sheetView zoomScaleNormal="100" workbookViewId="0">
      <selection activeCell="M75" sqref="M75"/>
    </sheetView>
  </sheetViews>
  <sheetFormatPr defaultColWidth="15.5703125" defaultRowHeight="14.25" x14ac:dyDescent="0.25"/>
  <cols>
    <col min="1" max="1" width="9.7109375" style="28" bestFit="1" customWidth="1"/>
    <col min="2" max="2" width="13.42578125" style="28" bestFit="1" customWidth="1"/>
    <col min="3" max="3" width="17.85546875" style="60" bestFit="1" customWidth="1"/>
    <col min="4" max="4" width="14.140625" style="28" bestFit="1" customWidth="1"/>
    <col min="5" max="5" width="16.85546875" style="28" customWidth="1"/>
    <col min="6" max="6" width="15.140625" style="28" bestFit="1" customWidth="1"/>
    <col min="7" max="7" width="1.28515625" style="28" customWidth="1"/>
    <col min="8" max="8" width="17.28515625" style="28" bestFit="1" customWidth="1"/>
    <col min="9" max="9" width="14.140625" style="28" bestFit="1" customWidth="1"/>
    <col min="10" max="10" width="16.7109375" style="28" bestFit="1" customWidth="1"/>
    <col min="11" max="11" width="15.140625" style="28" bestFit="1" customWidth="1"/>
    <col min="12" max="12" width="1.7109375" style="28" customWidth="1"/>
    <col min="13" max="13" width="16.5703125" style="28" bestFit="1" customWidth="1"/>
    <col min="14" max="14" width="14.140625" style="28" bestFit="1" customWidth="1"/>
    <col min="15" max="15" width="16.7109375" style="28" bestFit="1" customWidth="1"/>
    <col min="16" max="16" width="15.140625" style="28" bestFit="1" customWidth="1"/>
    <col min="17" max="17" width="1.5703125" style="28" customWidth="1"/>
    <col min="18" max="18" width="16.5703125" style="28" bestFit="1" customWidth="1"/>
    <col min="19" max="19" width="15.140625" style="28" bestFit="1" customWidth="1"/>
    <col min="20" max="20" width="16.7109375" style="28" bestFit="1" customWidth="1"/>
    <col min="21" max="21" width="17.28515625" style="28" bestFit="1" customWidth="1"/>
    <col min="22" max="16384" width="15.5703125" style="28"/>
  </cols>
  <sheetData>
    <row r="1" spans="2:19" x14ac:dyDescent="0.25">
      <c r="B1" s="82" t="s">
        <v>226</v>
      </c>
      <c r="C1" s="82"/>
      <c r="D1" s="82"/>
      <c r="E1" s="82"/>
      <c r="F1" s="82"/>
      <c r="G1" s="82"/>
      <c r="H1" s="82"/>
      <c r="I1" s="52"/>
      <c r="J1" s="52"/>
      <c r="K1" s="52"/>
      <c r="S1" s="53"/>
    </row>
    <row r="2" spans="2:19" x14ac:dyDescent="0.2">
      <c r="B2" s="81" t="s">
        <v>225</v>
      </c>
      <c r="C2" s="81"/>
      <c r="D2" s="81"/>
      <c r="E2" s="81"/>
      <c r="F2" s="81"/>
      <c r="G2" s="81"/>
      <c r="H2" s="81"/>
      <c r="I2" s="3"/>
      <c r="J2" s="3"/>
      <c r="K2" s="3"/>
    </row>
    <row r="3" spans="2:19" ht="30" customHeight="1" x14ac:dyDescent="0.25">
      <c r="B3" s="83" t="s">
        <v>227</v>
      </c>
      <c r="C3" s="83"/>
      <c r="D3" s="83"/>
      <c r="E3" s="83"/>
      <c r="F3" s="83"/>
      <c r="G3" s="83"/>
      <c r="H3" s="83"/>
      <c r="I3" s="54"/>
      <c r="J3" s="54"/>
      <c r="K3" s="54"/>
    </row>
    <row r="5" spans="2:19" ht="29.25" customHeight="1" x14ac:dyDescent="0.25">
      <c r="B5" s="78" t="s">
        <v>224</v>
      </c>
      <c r="C5" s="78"/>
      <c r="D5" s="78"/>
      <c r="E5" s="78"/>
      <c r="F5" s="78"/>
      <c r="H5" s="78" t="s">
        <v>223</v>
      </c>
      <c r="I5" s="78"/>
      <c r="J5" s="78"/>
      <c r="K5" s="78"/>
    </row>
    <row r="6" spans="2:19" ht="35.25" customHeight="1" x14ac:dyDescent="0.25">
      <c r="B6" s="55"/>
      <c r="C6" s="55" t="s">
        <v>228</v>
      </c>
      <c r="D6" s="55" t="s">
        <v>229</v>
      </c>
      <c r="E6" s="55" t="s">
        <v>230</v>
      </c>
      <c r="F6" s="55" t="s">
        <v>181</v>
      </c>
      <c r="H6" s="56"/>
      <c r="I6" s="55" t="s">
        <v>222</v>
      </c>
      <c r="J6" s="55" t="s">
        <v>221</v>
      </c>
      <c r="K6" s="55" t="s">
        <v>220</v>
      </c>
    </row>
    <row r="7" spans="2:19" ht="17.25" x14ac:dyDescent="0.25">
      <c r="B7" s="56" t="s">
        <v>208</v>
      </c>
      <c r="C7" s="57">
        <f>F29</f>
        <v>2.5911618822705169E-2</v>
      </c>
      <c r="D7" s="56">
        <f>K29</f>
        <v>3.011259948001116E-2</v>
      </c>
      <c r="E7" s="56">
        <f>P29</f>
        <v>1.1081586510814711E-2</v>
      </c>
      <c r="F7" s="58">
        <f>U29</f>
        <v>2.9542007879697955E-2</v>
      </c>
      <c r="H7" s="55" t="s">
        <v>228</v>
      </c>
      <c r="I7" s="29">
        <f>C8/C7</f>
        <v>0.25447118373917371</v>
      </c>
      <c r="J7" s="29">
        <f>C9/C7</f>
        <v>0.48765370000986796</v>
      </c>
      <c r="K7" s="28">
        <f>C10/C7</f>
        <v>0.27404617625139061</v>
      </c>
    </row>
    <row r="8" spans="2:19" ht="17.25" x14ac:dyDescent="0.25">
      <c r="B8" s="56" t="s">
        <v>207</v>
      </c>
      <c r="C8" s="57">
        <f>F42</f>
        <v>6.5937603144120387E-3</v>
      </c>
      <c r="D8" s="56">
        <f>K42</f>
        <v>7.6435865352554094E-3</v>
      </c>
      <c r="E8" s="56">
        <f>P42</f>
        <v>6.9661986641874245E-3</v>
      </c>
      <c r="F8" s="58">
        <f>U42</f>
        <v>7.6010935691736524E-3</v>
      </c>
      <c r="H8" s="55" t="s">
        <v>229</v>
      </c>
      <c r="I8" s="29">
        <f>D8/D7</f>
        <v>0.2538335005029787</v>
      </c>
      <c r="J8" s="28">
        <f>D9/D7</f>
        <v>0.47827371437959321</v>
      </c>
      <c r="K8" s="28">
        <f>D10/D7</f>
        <v>0.27524214714615136</v>
      </c>
    </row>
    <row r="9" spans="2:19" ht="17.25" x14ac:dyDescent="0.25">
      <c r="B9" s="56" t="s">
        <v>169</v>
      </c>
      <c r="C9" s="59">
        <f>F55</f>
        <v>1.2635896792137514E-2</v>
      </c>
      <c r="D9" s="59">
        <f>K55</f>
        <v>1.4402064802929944E-2</v>
      </c>
      <c r="E9" s="56">
        <f>P55</f>
        <v>1.0071398968417234E-2</v>
      </c>
      <c r="F9" s="58">
        <f>U55</f>
        <v>1.480305238019964E-2</v>
      </c>
      <c r="H9" s="55" t="s">
        <v>230</v>
      </c>
      <c r="I9" s="29">
        <f>E8/E7</f>
        <v>0.6286282796591437</v>
      </c>
      <c r="J9" s="29">
        <f>E9/E7</f>
        <v>0.90884089192358719</v>
      </c>
      <c r="K9" s="28">
        <f>E10/E7</f>
        <v>0.68454939537044035</v>
      </c>
    </row>
    <row r="10" spans="2:19" x14ac:dyDescent="0.25">
      <c r="B10" s="56" t="s">
        <v>154</v>
      </c>
      <c r="C10" s="56">
        <f>F68</f>
        <v>7.1009800588459114E-3</v>
      </c>
      <c r="D10" s="58">
        <f>K68</f>
        <v>8.2882565370303533E-3</v>
      </c>
      <c r="E10" s="58">
        <f>P68</f>
        <v>7.5858933457234384E-3</v>
      </c>
      <c r="F10" s="58">
        <f>U68</f>
        <v>8.0751556306895549E-3</v>
      </c>
      <c r="H10" s="55" t="s">
        <v>181</v>
      </c>
      <c r="I10" s="29">
        <f>F8/F7</f>
        <v>0.25729779777079148</v>
      </c>
      <c r="J10" s="28">
        <f>F9/F7</f>
        <v>0.50108484299649403</v>
      </c>
      <c r="K10" s="28">
        <f>F10/F7</f>
        <v>0.27334484722817415</v>
      </c>
    </row>
    <row r="11" spans="2:19" x14ac:dyDescent="0.25">
      <c r="H11" s="61" t="s">
        <v>219</v>
      </c>
      <c r="I11" s="62">
        <f>AVERAGE(I7:I10)</f>
        <v>0.34855769041802187</v>
      </c>
      <c r="J11" s="62">
        <f>AVERAGE(J7:J10)</f>
        <v>0.59396328732738557</v>
      </c>
      <c r="K11" s="62">
        <f>AVERAGE(K7:K10)</f>
        <v>0.3767956414990391</v>
      </c>
    </row>
    <row r="12" spans="2:19" x14ac:dyDescent="0.25">
      <c r="H12" s="61" t="s">
        <v>218</v>
      </c>
      <c r="I12" s="62">
        <f>STDEV(I7:I10)</f>
        <v>0.18671979528868338</v>
      </c>
      <c r="J12" s="62">
        <f>STDEV(J7:J10)</f>
        <v>0.21012703851244535</v>
      </c>
      <c r="K12" s="62">
        <f>STDEV(K7:K10)</f>
        <v>0.20517066447323934</v>
      </c>
    </row>
    <row r="13" spans="2:19" x14ac:dyDescent="0.25">
      <c r="H13" s="61" t="s">
        <v>217</v>
      </c>
      <c r="I13" s="63">
        <f>I12/I11</f>
        <v>0.53569265697380575</v>
      </c>
      <c r="J13" s="63">
        <f>J12/J11</f>
        <v>0.35377108820637565</v>
      </c>
      <c r="K13" s="63">
        <f>K12/K11</f>
        <v>0.54451443136919242</v>
      </c>
    </row>
    <row r="14" spans="2:19" ht="33" customHeight="1" x14ac:dyDescent="0.25">
      <c r="H14" s="64" t="s">
        <v>231</v>
      </c>
      <c r="I14" s="62">
        <f>AVERAGE(I7:I8,I10)</f>
        <v>0.25520082733764798</v>
      </c>
      <c r="J14" s="62">
        <f>AVERAGE(J7:J8,J10)</f>
        <v>0.4890040857953184</v>
      </c>
      <c r="K14" s="62">
        <f>AVERAGE(K7:K8,K10)</f>
        <v>0.27421105687523872</v>
      </c>
      <c r="M14" s="87" t="s">
        <v>232</v>
      </c>
      <c r="N14" s="87"/>
      <c r="O14" s="87"/>
      <c r="P14" s="87"/>
    </row>
    <row r="15" spans="2:19" ht="31.5" x14ac:dyDescent="0.25">
      <c r="H15" s="64" t="s">
        <v>233</v>
      </c>
      <c r="I15" s="62">
        <f>STDEV(I7:I8,I10)</f>
        <v>1.8438068568967876E-3</v>
      </c>
      <c r="J15" s="62">
        <f>STDEV(J7:J8,J10)</f>
        <v>1.1465363209308192E-2</v>
      </c>
      <c r="K15" s="62">
        <f>STDEV(K7:K8,K10)</f>
        <v>9.5933620789558907E-4</v>
      </c>
      <c r="M15" s="87"/>
      <c r="N15" s="87"/>
      <c r="O15" s="87"/>
      <c r="P15" s="87"/>
    </row>
    <row r="16" spans="2:19" ht="31.5" x14ac:dyDescent="0.25">
      <c r="H16" s="64" t="s">
        <v>234</v>
      </c>
      <c r="I16" s="63">
        <f>I15/I14</f>
        <v>7.2249250761922739E-3</v>
      </c>
      <c r="J16" s="63">
        <f>J15/J14</f>
        <v>2.3446354626384919E-2</v>
      </c>
      <c r="K16" s="63">
        <f>K15/K14</f>
        <v>3.4985321847618655E-3</v>
      </c>
      <c r="M16" s="51"/>
    </row>
    <row r="18" spans="3:21" x14ac:dyDescent="0.25">
      <c r="C18" s="80" t="s">
        <v>228</v>
      </c>
      <c r="D18" s="80"/>
      <c r="E18" s="80"/>
      <c r="F18" s="80"/>
      <c r="H18" s="80" t="s">
        <v>229</v>
      </c>
      <c r="I18" s="80"/>
      <c r="J18" s="80"/>
      <c r="K18" s="80"/>
      <c r="M18" s="80" t="s">
        <v>230</v>
      </c>
      <c r="N18" s="80"/>
      <c r="O18" s="80"/>
      <c r="P18" s="80"/>
      <c r="Q18" s="60"/>
      <c r="R18" s="80" t="s">
        <v>181</v>
      </c>
      <c r="S18" s="80"/>
      <c r="T18" s="80"/>
      <c r="U18" s="80"/>
    </row>
    <row r="19" spans="3:21" x14ac:dyDescent="0.25">
      <c r="D19" s="60"/>
      <c r="E19" s="60"/>
      <c r="F19" s="60"/>
      <c r="H19" s="60"/>
      <c r="I19" s="60"/>
      <c r="J19" s="60"/>
      <c r="K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3:21" ht="44.25" x14ac:dyDescent="0.25">
      <c r="C20" s="79" t="s">
        <v>208</v>
      </c>
      <c r="D20" s="66"/>
      <c r="E20" s="66" t="s">
        <v>235</v>
      </c>
      <c r="F20" s="66" t="s">
        <v>236</v>
      </c>
      <c r="H20" s="79" t="s">
        <v>208</v>
      </c>
      <c r="I20" s="66"/>
      <c r="J20" s="66" t="s">
        <v>235</v>
      </c>
      <c r="K20" s="66" t="s">
        <v>236</v>
      </c>
      <c r="M20" s="79" t="s">
        <v>208</v>
      </c>
      <c r="N20" s="66"/>
      <c r="O20" s="66" t="s">
        <v>235</v>
      </c>
      <c r="P20" s="66" t="s">
        <v>236</v>
      </c>
      <c r="Q20" s="60"/>
      <c r="R20" s="79" t="s">
        <v>208</v>
      </c>
      <c r="S20" s="66"/>
      <c r="T20" s="66" t="s">
        <v>235</v>
      </c>
      <c r="U20" s="66" t="s">
        <v>236</v>
      </c>
    </row>
    <row r="21" spans="3:21" ht="15.75" x14ac:dyDescent="0.25">
      <c r="C21" s="79"/>
      <c r="D21" s="66" t="s">
        <v>237</v>
      </c>
      <c r="E21" s="66">
        <v>61.63</v>
      </c>
      <c r="F21" s="66">
        <f>$E$75*E23+$F$75</f>
        <v>143.97423691447224</v>
      </c>
      <c r="H21" s="79"/>
      <c r="I21" s="66" t="s">
        <v>238</v>
      </c>
      <c r="J21" s="66">
        <v>85.19</v>
      </c>
      <c r="K21" s="66">
        <f>$E$75*J23+$F$75</f>
        <v>161.42236098999606</v>
      </c>
      <c r="M21" s="79"/>
      <c r="N21" s="66" t="s">
        <v>237</v>
      </c>
      <c r="O21" s="66">
        <v>61.63</v>
      </c>
      <c r="P21" s="66">
        <f>$E$75*O23+$F$75</f>
        <v>82.37998906382218</v>
      </c>
      <c r="Q21" s="60"/>
      <c r="R21" s="79"/>
      <c r="S21" s="66" t="s">
        <v>238</v>
      </c>
      <c r="T21" s="66">
        <v>85.19</v>
      </c>
      <c r="U21" s="66">
        <f>$E$75*T23+$F$75</f>
        <v>159.05249693899114</v>
      </c>
    </row>
    <row r="22" spans="3:21" ht="17.25" x14ac:dyDescent="0.25">
      <c r="C22" s="79"/>
      <c r="D22" s="66" t="s">
        <v>239</v>
      </c>
      <c r="E22" s="66">
        <v>103.6</v>
      </c>
      <c r="F22" s="66"/>
      <c r="H22" s="79"/>
      <c r="I22" s="66" t="s">
        <v>239</v>
      </c>
      <c r="J22" s="66">
        <v>103.6</v>
      </c>
      <c r="K22" s="67"/>
      <c r="M22" s="79"/>
      <c r="N22" s="66" t="s">
        <v>240</v>
      </c>
      <c r="O22" s="66">
        <v>20.43</v>
      </c>
      <c r="P22" s="66"/>
      <c r="Q22" s="60"/>
      <c r="R22" s="79"/>
      <c r="S22" s="66" t="s">
        <v>241</v>
      </c>
      <c r="T22" s="66">
        <v>100.4</v>
      </c>
      <c r="U22" s="66"/>
    </row>
    <row r="23" spans="3:21" x14ac:dyDescent="0.25">
      <c r="C23" s="79"/>
      <c r="D23" s="66" t="s">
        <v>216</v>
      </c>
      <c r="E23" s="66">
        <f>E22+E21</f>
        <v>165.23</v>
      </c>
      <c r="F23" s="66"/>
      <c r="H23" s="79"/>
      <c r="I23" s="66" t="s">
        <v>216</v>
      </c>
      <c r="J23" s="66">
        <f>J22+J21</f>
        <v>188.79</v>
      </c>
      <c r="K23" s="67"/>
      <c r="M23" s="79"/>
      <c r="N23" s="66" t="s">
        <v>216</v>
      </c>
      <c r="O23" s="66">
        <f>O22+O21</f>
        <v>82.06</v>
      </c>
      <c r="P23" s="66"/>
      <c r="Q23" s="60"/>
      <c r="R23" s="79"/>
      <c r="S23" s="66" t="s">
        <v>216</v>
      </c>
      <c r="T23" s="66">
        <f>T22+T21</f>
        <v>185.59</v>
      </c>
      <c r="U23" s="66"/>
    </row>
    <row r="24" spans="3:21" ht="42.75" x14ac:dyDescent="0.25">
      <c r="C24" s="79"/>
      <c r="D24" s="65" t="s">
        <v>215</v>
      </c>
      <c r="E24" s="65" t="s">
        <v>214</v>
      </c>
      <c r="F24" s="65" t="s">
        <v>213</v>
      </c>
      <c r="H24" s="79"/>
      <c r="I24" s="65" t="s">
        <v>215</v>
      </c>
      <c r="J24" s="65" t="s">
        <v>214</v>
      </c>
      <c r="K24" s="65" t="s">
        <v>213</v>
      </c>
      <c r="M24" s="79"/>
      <c r="N24" s="65" t="s">
        <v>215</v>
      </c>
      <c r="O24" s="65" t="s">
        <v>214</v>
      </c>
      <c r="P24" s="65" t="s">
        <v>213</v>
      </c>
      <c r="Q24" s="60"/>
      <c r="R24" s="79"/>
      <c r="S24" s="65" t="s">
        <v>215</v>
      </c>
      <c r="T24" s="65" t="s">
        <v>214</v>
      </c>
      <c r="U24" s="65" t="s">
        <v>213</v>
      </c>
    </row>
    <row r="25" spans="3:21" x14ac:dyDescent="0.25">
      <c r="C25" s="79"/>
      <c r="D25" s="68">
        <v>1E-3</v>
      </c>
      <c r="E25" s="68">
        <f t="shared" ref="E25:E31" si="0">$E$23-$F$21*SQRT(D25)</f>
        <v>160.67713486965573</v>
      </c>
      <c r="F25" s="68">
        <f t="shared" ref="F25:F31" si="1">E25*D25/1000</f>
        <v>1.6067713486965575E-4</v>
      </c>
      <c r="H25" s="79"/>
      <c r="I25" s="68">
        <v>1E-3</v>
      </c>
      <c r="J25" s="68">
        <f t="shared" ref="J25:J31" si="2">$J$23-$K$21*SQRT(I25)</f>
        <v>183.68537673989698</v>
      </c>
      <c r="K25" s="68">
        <f t="shared" ref="K25:K31" si="3">J25*I25/1000</f>
        <v>1.8368537673989698E-4</v>
      </c>
      <c r="M25" s="79"/>
      <c r="N25" s="68">
        <v>1E-3</v>
      </c>
      <c r="O25" s="68">
        <f t="shared" ref="O25:O31" si="4">$O$23-$P$21*SQRT(N25)</f>
        <v>79.454916009385599</v>
      </c>
      <c r="P25" s="68">
        <f t="shared" ref="P25:P31" si="5">O25*N25/1000</f>
        <v>7.94549160093856E-5</v>
      </c>
      <c r="R25" s="79"/>
      <c r="S25" s="68">
        <v>1E-3</v>
      </c>
      <c r="T25" s="68">
        <f t="shared" ref="T25:T31" si="6">$T$23-$U$21*SQRT(S25)</f>
        <v>180.56031842135829</v>
      </c>
      <c r="U25" s="68">
        <f t="shared" ref="U25:U31" si="7">T25*S25/1000</f>
        <v>1.8056031842135831E-4</v>
      </c>
    </row>
    <row r="26" spans="3:21" x14ac:dyDescent="0.25">
      <c r="C26" s="79"/>
      <c r="D26" s="68">
        <v>2E-3</v>
      </c>
      <c r="E26" s="68">
        <f t="shared" si="0"/>
        <v>158.7912763850116</v>
      </c>
      <c r="F26" s="68">
        <f t="shared" si="1"/>
        <v>3.1758255277002323E-4</v>
      </c>
      <c r="H26" s="79"/>
      <c r="I26" s="68">
        <v>2E-3</v>
      </c>
      <c r="J26" s="68">
        <f t="shared" si="2"/>
        <v>181.57097255475716</v>
      </c>
      <c r="K26" s="68">
        <f t="shared" si="3"/>
        <v>3.6314194510951429E-4</v>
      </c>
      <c r="M26" s="79"/>
      <c r="N26" s="68">
        <v>2E-3</v>
      </c>
      <c r="O26" s="68">
        <f t="shared" si="4"/>
        <v>78.375854889352084</v>
      </c>
      <c r="P26" s="68">
        <f t="shared" si="5"/>
        <v>1.5675170977870419E-4</v>
      </c>
      <c r="R26" s="79"/>
      <c r="S26" s="68">
        <v>2E-3</v>
      </c>
      <c r="T26" s="68">
        <f t="shared" si="6"/>
        <v>178.47695609706676</v>
      </c>
      <c r="U26" s="68">
        <f t="shared" si="7"/>
        <v>3.5695391219413351E-4</v>
      </c>
    </row>
    <row r="27" spans="3:21" x14ac:dyDescent="0.25">
      <c r="C27" s="79"/>
      <c r="D27" s="68">
        <v>3.0000000000000001E-3</v>
      </c>
      <c r="E27" s="68">
        <f t="shared" si="0"/>
        <v>157.34420627423503</v>
      </c>
      <c r="F27" s="68">
        <f t="shared" si="1"/>
        <v>4.720326188227051E-4</v>
      </c>
      <c r="H27" s="79"/>
      <c r="I27" s="68">
        <v>3.0000000000000001E-3</v>
      </c>
      <c r="J27" s="68">
        <f t="shared" si="2"/>
        <v>179.94853316000371</v>
      </c>
      <c r="K27" s="68">
        <f t="shared" si="3"/>
        <v>5.3984559948001105E-4</v>
      </c>
      <c r="M27" s="79"/>
      <c r="N27" s="68">
        <v>3.0000000000000001E-3</v>
      </c>
      <c r="O27" s="68">
        <f t="shared" si="4"/>
        <v>77.547862170271571</v>
      </c>
      <c r="P27" s="68">
        <f t="shared" si="5"/>
        <v>2.326435865108147E-4</v>
      </c>
      <c r="R27" s="79"/>
      <c r="S27" s="68">
        <v>3.0000000000000001E-3</v>
      </c>
      <c r="T27" s="68">
        <f t="shared" si="6"/>
        <v>176.87833595989932</v>
      </c>
      <c r="U27" s="68">
        <f t="shared" si="7"/>
        <v>5.3063500787969798E-4</v>
      </c>
    </row>
    <row r="28" spans="3:21" x14ac:dyDescent="0.25">
      <c r="C28" s="79"/>
      <c r="D28" s="68">
        <v>4.0000000000000001E-3</v>
      </c>
      <c r="E28" s="68">
        <f t="shared" si="0"/>
        <v>156.1242697393115</v>
      </c>
      <c r="F28" s="68">
        <f t="shared" si="1"/>
        <v>6.2449707895724602E-4</v>
      </c>
      <c r="H28" s="79"/>
      <c r="I28" s="68">
        <v>4.0000000000000001E-3</v>
      </c>
      <c r="J28" s="68">
        <f t="shared" si="2"/>
        <v>178.580753479794</v>
      </c>
      <c r="K28" s="68">
        <f t="shared" si="3"/>
        <v>7.1432301391917592E-4</v>
      </c>
      <c r="M28" s="79"/>
      <c r="N28" s="68">
        <v>4.0000000000000001E-3</v>
      </c>
      <c r="O28" s="68">
        <f t="shared" si="4"/>
        <v>76.849832018771195</v>
      </c>
      <c r="P28" s="68">
        <f t="shared" si="5"/>
        <v>3.0739932807508481E-4</v>
      </c>
      <c r="R28" s="79"/>
      <c r="S28" s="68">
        <v>4.0000000000000001E-3</v>
      </c>
      <c r="T28" s="68">
        <f t="shared" si="6"/>
        <v>175.53063684271658</v>
      </c>
      <c r="U28" s="68">
        <f t="shared" si="7"/>
        <v>7.0212254737086631E-4</v>
      </c>
    </row>
    <row r="29" spans="3:21" x14ac:dyDescent="0.25">
      <c r="C29" s="79"/>
      <c r="D29" s="68">
        <v>0.3</v>
      </c>
      <c r="E29" s="68">
        <f t="shared" si="0"/>
        <v>86.372062742350565</v>
      </c>
      <c r="F29" s="68">
        <f t="shared" si="1"/>
        <v>2.5911618822705169E-2</v>
      </c>
      <c r="H29" s="79"/>
      <c r="I29" s="68">
        <v>0.3</v>
      </c>
      <c r="J29" s="68">
        <f t="shared" si="2"/>
        <v>100.3753316000372</v>
      </c>
      <c r="K29" s="68">
        <f t="shared" si="3"/>
        <v>3.011259948001116E-2</v>
      </c>
      <c r="M29" s="79"/>
      <c r="N29" s="68">
        <v>0.3</v>
      </c>
      <c r="O29" s="68">
        <f t="shared" si="4"/>
        <v>36.938621702715707</v>
      </c>
      <c r="P29" s="68">
        <f t="shared" si="5"/>
        <v>1.1081586510814711E-2</v>
      </c>
      <c r="R29" s="79"/>
      <c r="S29" s="68">
        <v>0.3</v>
      </c>
      <c r="T29" s="68">
        <f t="shared" si="6"/>
        <v>98.473359598993184</v>
      </c>
      <c r="U29" s="68">
        <f t="shared" si="7"/>
        <v>2.9542007879697955E-2</v>
      </c>
    </row>
    <row r="30" spans="3:21" x14ac:dyDescent="0.25">
      <c r="C30" s="79"/>
      <c r="D30" s="68">
        <v>5.0000000000000001E-3</v>
      </c>
      <c r="E30" s="68">
        <f t="shared" si="0"/>
        <v>155.0494840761618</v>
      </c>
      <c r="F30" s="68">
        <f t="shared" si="1"/>
        <v>7.7524742038080911E-4</v>
      </c>
      <c r="H30" s="79"/>
      <c r="I30" s="68">
        <v>5.0000000000000001E-3</v>
      </c>
      <c r="J30" s="68">
        <f t="shared" si="2"/>
        <v>177.3757153908831</v>
      </c>
      <c r="K30" s="68">
        <f t="shared" si="3"/>
        <v>8.8687857695441557E-4</v>
      </c>
      <c r="M30" s="79"/>
      <c r="N30" s="68">
        <v>5.0000000000000001E-3</v>
      </c>
      <c r="O30" s="68">
        <f t="shared" si="4"/>
        <v>76.234855109889779</v>
      </c>
      <c r="P30" s="68">
        <f t="shared" si="5"/>
        <v>3.8117427554944889E-4</v>
      </c>
      <c r="R30" s="79"/>
      <c r="S30" s="68">
        <v>5.0000000000000001E-3</v>
      </c>
      <c r="T30" s="68">
        <f t="shared" si="6"/>
        <v>174.34329008497869</v>
      </c>
      <c r="U30" s="68">
        <f t="shared" si="7"/>
        <v>8.7171645042489348E-4</v>
      </c>
    </row>
    <row r="31" spans="3:21" x14ac:dyDescent="0.25">
      <c r="C31" s="79"/>
      <c r="D31" s="68">
        <v>6.0000000000000001E-3</v>
      </c>
      <c r="E31" s="68">
        <f t="shared" si="0"/>
        <v>154.07780356294654</v>
      </c>
      <c r="F31" s="68">
        <f t="shared" si="1"/>
        <v>9.2446682137767929E-4</v>
      </c>
      <c r="H31" s="79"/>
      <c r="I31" s="68">
        <v>6.0000000000000001E-3</v>
      </c>
      <c r="J31" s="68">
        <f t="shared" si="2"/>
        <v>176.28627768360525</v>
      </c>
      <c r="K31" s="68">
        <f t="shared" si="3"/>
        <v>1.0577176661016314E-3</v>
      </c>
      <c r="M31" s="79"/>
      <c r="N31" s="68">
        <v>6.0000000000000001E-3</v>
      </c>
      <c r="O31" s="68">
        <f t="shared" si="4"/>
        <v>75.678873485901349</v>
      </c>
      <c r="P31" s="68">
        <f t="shared" si="5"/>
        <v>4.5407324091540811E-4</v>
      </c>
      <c r="R31" s="79"/>
      <c r="S31" s="68">
        <v>6.0000000000000001E-3</v>
      </c>
      <c r="T31" s="68">
        <f t="shared" si="6"/>
        <v>173.26984656365164</v>
      </c>
      <c r="U31" s="68">
        <f t="shared" si="7"/>
        <v>1.0396190793819098E-3</v>
      </c>
    </row>
    <row r="32" spans="3:21" x14ac:dyDescent="0.25">
      <c r="C32" s="28"/>
    </row>
    <row r="33" spans="3:21" ht="44.25" x14ac:dyDescent="0.25">
      <c r="C33" s="79" t="s">
        <v>207</v>
      </c>
      <c r="D33" s="66"/>
      <c r="E33" s="66" t="s">
        <v>235</v>
      </c>
      <c r="F33" s="66" t="s">
        <v>236</v>
      </c>
      <c r="H33" s="79" t="s">
        <v>207</v>
      </c>
      <c r="I33" s="66"/>
      <c r="J33" s="66" t="s">
        <v>235</v>
      </c>
      <c r="K33" s="66" t="s">
        <v>236</v>
      </c>
      <c r="M33" s="79" t="s">
        <v>207</v>
      </c>
      <c r="N33" s="66"/>
      <c r="O33" s="66" t="s">
        <v>235</v>
      </c>
      <c r="P33" s="66" t="s">
        <v>236</v>
      </c>
      <c r="R33" s="79" t="s">
        <v>207</v>
      </c>
      <c r="S33" s="66"/>
      <c r="T33" s="66" t="s">
        <v>235</v>
      </c>
      <c r="U33" s="66" t="s">
        <v>236</v>
      </c>
    </row>
    <row r="34" spans="3:21" ht="15.75" x14ac:dyDescent="0.25">
      <c r="C34" s="79"/>
      <c r="D34" s="66" t="s">
        <v>237</v>
      </c>
      <c r="E34" s="66">
        <v>8.98</v>
      </c>
      <c r="F34" s="66">
        <f>$E$76*E36+$F$76</f>
        <v>10.846365318638243</v>
      </c>
      <c r="H34" s="79"/>
      <c r="I34" s="66" t="s">
        <v>238</v>
      </c>
      <c r="J34" s="66">
        <v>13.18</v>
      </c>
      <c r="K34" s="66">
        <f>$E$76*J36+$F$76</f>
        <v>12.125442205751522</v>
      </c>
      <c r="M34" s="79"/>
      <c r="N34" s="66" t="s">
        <v>237</v>
      </c>
      <c r="O34" s="66">
        <v>8.98</v>
      </c>
      <c r="P34" s="66">
        <f>$E$76*O36+$F$76</f>
        <v>11.300133071447476</v>
      </c>
      <c r="R34" s="79"/>
      <c r="S34" s="66" t="s">
        <v>238</v>
      </c>
      <c r="T34" s="66">
        <v>13.18</v>
      </c>
      <c r="U34" s="66">
        <f>$E$76*T36+$F$76</f>
        <v>12.073670046035032</v>
      </c>
    </row>
    <row r="35" spans="3:21" ht="17.25" x14ac:dyDescent="0.25">
      <c r="C35" s="79"/>
      <c r="D35" s="66" t="s">
        <v>239</v>
      </c>
      <c r="E35" s="66">
        <v>18.940000000000001</v>
      </c>
      <c r="F35" s="66"/>
      <c r="H35" s="79"/>
      <c r="I35" s="66" t="s">
        <v>239</v>
      </c>
      <c r="J35" s="66">
        <v>18.940000000000001</v>
      </c>
      <c r="K35" s="66"/>
      <c r="M35" s="79"/>
      <c r="N35" s="66" t="s">
        <v>240</v>
      </c>
      <c r="O35" s="66">
        <v>20.43</v>
      </c>
      <c r="P35" s="66"/>
      <c r="R35" s="79"/>
      <c r="S35" s="66" t="s">
        <v>241</v>
      </c>
      <c r="T35" s="66">
        <v>18.77</v>
      </c>
      <c r="U35" s="66"/>
    </row>
    <row r="36" spans="3:21" x14ac:dyDescent="0.25">
      <c r="C36" s="79"/>
      <c r="D36" s="66" t="s">
        <v>216</v>
      </c>
      <c r="E36" s="66">
        <f>E35+E34</f>
        <v>27.92</v>
      </c>
      <c r="F36" s="66"/>
      <c r="H36" s="79"/>
      <c r="I36" s="66" t="s">
        <v>216</v>
      </c>
      <c r="J36" s="66">
        <f>J35+J34</f>
        <v>32.120000000000005</v>
      </c>
      <c r="K36" s="67"/>
      <c r="M36" s="79"/>
      <c r="N36" s="66" t="s">
        <v>216</v>
      </c>
      <c r="O36" s="66">
        <f>O35+O34</f>
        <v>29.41</v>
      </c>
      <c r="P36" s="66"/>
      <c r="Q36" s="60"/>
      <c r="R36" s="79"/>
      <c r="S36" s="66" t="s">
        <v>216</v>
      </c>
      <c r="T36" s="66">
        <f>T35+T34</f>
        <v>31.95</v>
      </c>
      <c r="U36" s="66"/>
    </row>
    <row r="37" spans="3:21" ht="42.75" x14ac:dyDescent="0.25">
      <c r="C37" s="79"/>
      <c r="D37" s="65" t="s">
        <v>215</v>
      </c>
      <c r="E37" s="65" t="s">
        <v>214</v>
      </c>
      <c r="F37" s="65" t="s">
        <v>213</v>
      </c>
      <c r="H37" s="79"/>
      <c r="I37" s="65" t="s">
        <v>215</v>
      </c>
      <c r="J37" s="65" t="s">
        <v>214</v>
      </c>
      <c r="K37" s="65" t="s">
        <v>213</v>
      </c>
      <c r="M37" s="79"/>
      <c r="N37" s="65" t="s">
        <v>215</v>
      </c>
      <c r="O37" s="65" t="s">
        <v>214</v>
      </c>
      <c r="P37" s="65" t="s">
        <v>213</v>
      </c>
      <c r="Q37" s="60"/>
      <c r="R37" s="79"/>
      <c r="S37" s="65" t="s">
        <v>215</v>
      </c>
      <c r="T37" s="65" t="s">
        <v>214</v>
      </c>
      <c r="U37" s="65" t="s">
        <v>213</v>
      </c>
    </row>
    <row r="38" spans="3:21" x14ac:dyDescent="0.25">
      <c r="C38" s="79"/>
      <c r="D38" s="68">
        <v>1E-3</v>
      </c>
      <c r="E38" s="68">
        <f t="shared" ref="E38:E44" si="8">$E$36-$F$34*SQRT(D38)</f>
        <v>27.577007812588455</v>
      </c>
      <c r="F38" s="68">
        <f t="shared" ref="F38:F44" si="9">E38*D38/1000</f>
        <v>2.7577007812588457E-5</v>
      </c>
      <c r="H38" s="79"/>
      <c r="I38" s="68">
        <v>1E-3</v>
      </c>
      <c r="J38" s="68">
        <f t="shared" ref="J38:J44" si="10">$J$36-$K$34*SQRT(I38)</f>
        <v>31.736559849930895</v>
      </c>
      <c r="K38" s="68">
        <f t="shared" ref="K38:K44" si="11">J38*I38/1000</f>
        <v>3.1736559849930896E-5</v>
      </c>
      <c r="M38" s="79"/>
      <c r="N38" s="68">
        <v>1E-3</v>
      </c>
      <c r="O38" s="68">
        <f t="shared" ref="O38:O44" si="12">$O$36-$P$34*SQRT(N38)</f>
        <v>29.052658416312319</v>
      </c>
      <c r="P38" s="68">
        <f t="shared" ref="P38:P44" si="13">O38*N38/1000</f>
        <v>2.9052658416312318E-5</v>
      </c>
      <c r="R38" s="79"/>
      <c r="S38" s="68">
        <v>1E-3</v>
      </c>
      <c r="T38" s="68">
        <f t="shared" ref="T38:T44" si="14">$T$36-$U$34*SQRT(S38)</f>
        <v>31.568197029371792</v>
      </c>
      <c r="U38" s="68">
        <f t="shared" ref="U38:U44" si="15">T38*S38/1000</f>
        <v>3.1568197029371788E-5</v>
      </c>
    </row>
    <row r="39" spans="3:21" x14ac:dyDescent="0.25">
      <c r="C39" s="79"/>
      <c r="D39" s="68">
        <v>2E-3</v>
      </c>
      <c r="E39" s="68">
        <f t="shared" si="8"/>
        <v>27.434935796774575</v>
      </c>
      <c r="F39" s="68">
        <f t="shared" si="9"/>
        <v>5.4869871593549151E-5</v>
      </c>
      <c r="H39" s="79"/>
      <c r="I39" s="68">
        <v>2E-3</v>
      </c>
      <c r="J39" s="68">
        <f t="shared" si="10"/>
        <v>31.577733739413897</v>
      </c>
      <c r="K39" s="68">
        <f t="shared" si="11"/>
        <v>6.3155467478827784E-5</v>
      </c>
      <c r="M39" s="79"/>
      <c r="N39" s="68">
        <v>2E-3</v>
      </c>
      <c r="O39" s="68">
        <f t="shared" si="12"/>
        <v>28.904642685949</v>
      </c>
      <c r="P39" s="68">
        <f t="shared" si="13"/>
        <v>5.7809285371898002E-5</v>
      </c>
      <c r="R39" s="79"/>
      <c r="S39" s="68">
        <v>2E-3</v>
      </c>
      <c r="T39" s="68">
        <f t="shared" si="14"/>
        <v>31.410049060783251</v>
      </c>
      <c r="U39" s="68">
        <f t="shared" si="15"/>
        <v>6.2820098121566494E-5</v>
      </c>
    </row>
    <row r="40" spans="3:21" x14ac:dyDescent="0.25">
      <c r="C40" s="79"/>
      <c r="D40" s="68">
        <v>3.0000000000000001E-3</v>
      </c>
      <c r="E40" s="68">
        <f t="shared" si="8"/>
        <v>27.325920104804013</v>
      </c>
      <c r="F40" s="68">
        <f t="shared" si="9"/>
        <v>8.1977760314412034E-5</v>
      </c>
      <c r="H40" s="79"/>
      <c r="I40" s="68">
        <v>3.0000000000000001E-3</v>
      </c>
      <c r="J40" s="68">
        <f t="shared" si="10"/>
        <v>31.455862178418474</v>
      </c>
      <c r="K40" s="68">
        <f t="shared" si="11"/>
        <v>9.4367586535255423E-5</v>
      </c>
      <c r="M40" s="79"/>
      <c r="N40" s="68">
        <v>3.0000000000000001E-3</v>
      </c>
      <c r="O40" s="68">
        <f t="shared" si="12"/>
        <v>28.791066221395809</v>
      </c>
      <c r="P40" s="68">
        <f t="shared" si="13"/>
        <v>8.6373198664187431E-5</v>
      </c>
      <c r="R40" s="79"/>
      <c r="S40" s="68">
        <v>3.0000000000000001E-3</v>
      </c>
      <c r="T40" s="68">
        <f t="shared" si="14"/>
        <v>31.288697856391217</v>
      </c>
      <c r="U40" s="68">
        <f t="shared" si="15"/>
        <v>9.3866093569173648E-5</v>
      </c>
    </row>
    <row r="41" spans="3:21" x14ac:dyDescent="0.25">
      <c r="C41" s="79"/>
      <c r="D41" s="68">
        <v>4.0000000000000001E-3</v>
      </c>
      <c r="E41" s="68">
        <f t="shared" si="8"/>
        <v>27.234015625176905</v>
      </c>
      <c r="F41" s="68">
        <f t="shared" si="9"/>
        <v>1.0893606250070763E-4</v>
      </c>
      <c r="H41" s="79"/>
      <c r="I41" s="68">
        <v>4.0000000000000001E-3</v>
      </c>
      <c r="J41" s="68">
        <f t="shared" si="10"/>
        <v>31.353119699861789</v>
      </c>
      <c r="K41" s="68">
        <f t="shared" si="11"/>
        <v>1.2541247879944718E-4</v>
      </c>
      <c r="M41" s="79"/>
      <c r="N41" s="68">
        <v>4.0000000000000001E-3</v>
      </c>
      <c r="O41" s="68">
        <f t="shared" si="12"/>
        <v>28.695316832624634</v>
      </c>
      <c r="P41" s="68">
        <f t="shared" si="13"/>
        <v>1.1478126733049854E-4</v>
      </c>
      <c r="R41" s="79"/>
      <c r="S41" s="68">
        <v>4.0000000000000001E-3</v>
      </c>
      <c r="T41" s="68">
        <f t="shared" si="14"/>
        <v>31.186394058743584</v>
      </c>
      <c r="U41" s="68">
        <f t="shared" si="15"/>
        <v>1.2474557623497434E-4</v>
      </c>
    </row>
    <row r="42" spans="3:21" x14ac:dyDescent="0.25">
      <c r="C42" s="79"/>
      <c r="D42" s="68">
        <v>0.3</v>
      </c>
      <c r="E42" s="68">
        <f t="shared" si="8"/>
        <v>21.979201048040128</v>
      </c>
      <c r="F42" s="68">
        <f t="shared" si="9"/>
        <v>6.5937603144120387E-3</v>
      </c>
      <c r="H42" s="79"/>
      <c r="I42" s="68">
        <v>0.3</v>
      </c>
      <c r="J42" s="68">
        <f t="shared" si="10"/>
        <v>25.4786217841847</v>
      </c>
      <c r="K42" s="68">
        <f t="shared" si="11"/>
        <v>7.6435865352554094E-3</v>
      </c>
      <c r="M42" s="79"/>
      <c r="N42" s="68">
        <v>0.3</v>
      </c>
      <c r="O42" s="68">
        <f t="shared" si="12"/>
        <v>23.220662213958082</v>
      </c>
      <c r="P42" s="68">
        <f t="shared" si="13"/>
        <v>6.9661986641874245E-3</v>
      </c>
      <c r="R42" s="79"/>
      <c r="S42" s="68">
        <v>0.3</v>
      </c>
      <c r="T42" s="68">
        <f t="shared" si="14"/>
        <v>25.336978563912176</v>
      </c>
      <c r="U42" s="68">
        <f t="shared" si="15"/>
        <v>7.6010935691736524E-3</v>
      </c>
    </row>
    <row r="43" spans="3:21" x14ac:dyDescent="0.25">
      <c r="C43" s="79"/>
      <c r="D43" s="68">
        <v>5.0000000000000001E-3</v>
      </c>
      <c r="E43" s="68">
        <f t="shared" si="8"/>
        <v>27.153046153196431</v>
      </c>
      <c r="F43" s="68">
        <f t="shared" si="9"/>
        <v>1.3576523076598215E-4</v>
      </c>
      <c r="H43" s="79"/>
      <c r="I43" s="68">
        <v>5.0000000000000001E-3</v>
      </c>
      <c r="J43" s="68">
        <f t="shared" si="10"/>
        <v>31.262601759142758</v>
      </c>
      <c r="K43" s="68">
        <f t="shared" si="11"/>
        <v>1.563130087957138E-4</v>
      </c>
      <c r="M43" s="79"/>
      <c r="N43" s="68">
        <v>5.0000000000000001E-3</v>
      </c>
      <c r="O43" s="68">
        <f t="shared" si="12"/>
        <v>28.610959927686913</v>
      </c>
      <c r="P43" s="68">
        <f t="shared" si="13"/>
        <v>1.4305479963843456E-4</v>
      </c>
      <c r="R43" s="79"/>
      <c r="S43" s="68">
        <v>5.0000000000000001E-3</v>
      </c>
      <c r="T43" s="68">
        <f t="shared" si="14"/>
        <v>31.096262603663973</v>
      </c>
      <c r="U43" s="68">
        <f t="shared" si="15"/>
        <v>1.5548131301831988E-4</v>
      </c>
    </row>
    <row r="44" spans="3:21" x14ac:dyDescent="0.25">
      <c r="C44" s="79"/>
      <c r="D44" s="68">
        <v>6.0000000000000001E-3</v>
      </c>
      <c r="E44" s="68">
        <f t="shared" si="8"/>
        <v>27.07984415508065</v>
      </c>
      <c r="F44" s="68">
        <f t="shared" si="9"/>
        <v>1.6247906493048388E-4</v>
      </c>
      <c r="H44" s="79"/>
      <c r="I44" s="68">
        <v>6.0000000000000001E-3</v>
      </c>
      <c r="J44" s="68">
        <f t="shared" si="10"/>
        <v>31.180767285434481</v>
      </c>
      <c r="K44" s="68">
        <f t="shared" si="11"/>
        <v>1.8708460371260688E-4</v>
      </c>
      <c r="M44" s="79"/>
      <c r="N44" s="68">
        <v>6.0000000000000001E-3</v>
      </c>
      <c r="O44" s="68">
        <f t="shared" si="12"/>
        <v>28.534695456087125</v>
      </c>
      <c r="P44" s="68">
        <f t="shared" si="13"/>
        <v>1.7120817273652276E-4</v>
      </c>
      <c r="R44" s="79"/>
      <c r="S44" s="68">
        <v>6.0000000000000001E-3</v>
      </c>
      <c r="T44" s="68">
        <f t="shared" si="14"/>
        <v>31.014777539682058</v>
      </c>
      <c r="U44" s="68">
        <f t="shared" si="15"/>
        <v>1.8608866523809234E-4</v>
      </c>
    </row>
    <row r="45" spans="3:21" x14ac:dyDescent="0.25">
      <c r="C45" s="28"/>
    </row>
    <row r="46" spans="3:21" ht="44.25" x14ac:dyDescent="0.25">
      <c r="C46" s="79" t="s">
        <v>169</v>
      </c>
      <c r="D46" s="66"/>
      <c r="E46" s="66" t="s">
        <v>235</v>
      </c>
      <c r="F46" s="66" t="s">
        <v>236</v>
      </c>
      <c r="H46" s="79" t="s">
        <v>169</v>
      </c>
      <c r="I46" s="66"/>
      <c r="J46" s="66" t="s">
        <v>235</v>
      </c>
      <c r="K46" s="66" t="s">
        <v>236</v>
      </c>
      <c r="M46" s="79" t="s">
        <v>169</v>
      </c>
      <c r="N46" s="66"/>
      <c r="O46" s="66" t="s">
        <v>235</v>
      </c>
      <c r="P46" s="66" t="s">
        <v>236</v>
      </c>
      <c r="R46" s="79" t="s">
        <v>169</v>
      </c>
      <c r="S46" s="66"/>
      <c r="T46" s="66" t="s">
        <v>235</v>
      </c>
      <c r="U46" s="66" t="s">
        <v>236</v>
      </c>
    </row>
    <row r="47" spans="3:21" ht="15.75" x14ac:dyDescent="0.25">
      <c r="C47" s="79"/>
      <c r="D47" s="66" t="s">
        <v>237</v>
      </c>
      <c r="E47" s="66">
        <v>26.68</v>
      </c>
      <c r="F47" s="66">
        <f>$E$77*E49+$F$77</f>
        <v>66.019453701004863</v>
      </c>
      <c r="H47" s="79"/>
      <c r="I47" s="66" t="s">
        <v>238</v>
      </c>
      <c r="J47" s="66">
        <v>36.369999999999997</v>
      </c>
      <c r="K47" s="66">
        <f>$E$77*J49+$F$77</f>
        <v>72.962336087810144</v>
      </c>
      <c r="M47" s="79"/>
      <c r="N47" s="66" t="s">
        <v>237</v>
      </c>
      <c r="O47" s="66">
        <v>26.68</v>
      </c>
      <c r="P47" s="66">
        <f>$E$77*O49+$F$77</f>
        <v>55.938302495395973</v>
      </c>
      <c r="R47" s="79"/>
      <c r="S47" s="66" t="s">
        <v>238</v>
      </c>
      <c r="T47" s="66">
        <v>36.369999999999997</v>
      </c>
      <c r="U47" s="66">
        <f>$E$77*T49+$F$77</f>
        <v>74.538635494515148</v>
      </c>
    </row>
    <row r="48" spans="3:21" ht="17.25" x14ac:dyDescent="0.25">
      <c r="C48" s="79"/>
      <c r="D48" s="66" t="s">
        <v>239</v>
      </c>
      <c r="E48" s="66">
        <v>51.6</v>
      </c>
      <c r="F48" s="66"/>
      <c r="H48" s="79"/>
      <c r="I48" s="66" t="s">
        <v>239</v>
      </c>
      <c r="J48" s="66">
        <v>51.6</v>
      </c>
      <c r="K48" s="66"/>
      <c r="M48" s="79"/>
      <c r="N48" s="66" t="s">
        <v>240</v>
      </c>
      <c r="O48" s="66">
        <v>37.53</v>
      </c>
      <c r="P48" s="66"/>
      <c r="R48" s="79"/>
      <c r="S48" s="66" t="s">
        <v>241</v>
      </c>
      <c r="T48" s="66">
        <v>53.8</v>
      </c>
      <c r="U48" s="66"/>
    </row>
    <row r="49" spans="3:21" x14ac:dyDescent="0.25">
      <c r="C49" s="79"/>
      <c r="D49" s="66" t="s">
        <v>216</v>
      </c>
      <c r="E49" s="66">
        <f>E48+E47</f>
        <v>78.28</v>
      </c>
      <c r="F49" s="66"/>
      <c r="H49" s="79"/>
      <c r="I49" s="66" t="s">
        <v>216</v>
      </c>
      <c r="J49" s="66">
        <f>J48+J47</f>
        <v>87.97</v>
      </c>
      <c r="K49" s="67"/>
      <c r="M49" s="79"/>
      <c r="N49" s="66" t="s">
        <v>216</v>
      </c>
      <c r="O49" s="66">
        <f>O48+O47</f>
        <v>64.210000000000008</v>
      </c>
      <c r="P49" s="66"/>
      <c r="Q49" s="60"/>
      <c r="R49" s="79"/>
      <c r="S49" s="66" t="s">
        <v>216</v>
      </c>
      <c r="T49" s="66">
        <f>T48+T47</f>
        <v>90.169999999999987</v>
      </c>
      <c r="U49" s="66"/>
    </row>
    <row r="50" spans="3:21" ht="42.75" x14ac:dyDescent="0.25">
      <c r="C50" s="79"/>
      <c r="D50" s="65" t="s">
        <v>215</v>
      </c>
      <c r="E50" s="65" t="s">
        <v>214</v>
      </c>
      <c r="F50" s="65" t="s">
        <v>213</v>
      </c>
      <c r="H50" s="79"/>
      <c r="I50" s="65" t="s">
        <v>215</v>
      </c>
      <c r="J50" s="65" t="s">
        <v>214</v>
      </c>
      <c r="K50" s="65" t="s">
        <v>213</v>
      </c>
      <c r="M50" s="79"/>
      <c r="N50" s="65" t="s">
        <v>215</v>
      </c>
      <c r="O50" s="65" t="s">
        <v>214</v>
      </c>
      <c r="P50" s="65" t="s">
        <v>213</v>
      </c>
      <c r="Q50" s="60"/>
      <c r="R50" s="79"/>
      <c r="S50" s="65" t="s">
        <v>215</v>
      </c>
      <c r="T50" s="65" t="s">
        <v>214</v>
      </c>
      <c r="U50" s="65" t="s">
        <v>213</v>
      </c>
    </row>
    <row r="51" spans="3:21" x14ac:dyDescent="0.25">
      <c r="C51" s="79"/>
      <c r="D51" s="68">
        <v>1E-3</v>
      </c>
      <c r="E51" s="68">
        <f t="shared" ref="E51:E57" si="16">$E$49-$F$47*SQRT(D51)</f>
        <v>76.192281564247921</v>
      </c>
      <c r="F51" s="68">
        <f t="shared" ref="F51:F57" si="17">E51*D51/1000</f>
        <v>7.6192281564247928E-5</v>
      </c>
      <c r="H51" s="79"/>
      <c r="I51" s="68">
        <v>1E-3</v>
      </c>
      <c r="J51" s="68">
        <f t="shared" ref="J51:J57" si="18">$J$49-$K$47*SQRT(I51)</f>
        <v>85.662728345558207</v>
      </c>
      <c r="K51" s="68">
        <f t="shared" ref="K51:K57" si="19">J51*I51/1000</f>
        <v>8.5662728345558216E-5</v>
      </c>
      <c r="M51" s="79"/>
      <c r="N51" s="68">
        <v>1E-3</v>
      </c>
      <c r="O51" s="68">
        <f t="shared" ref="O51:O57" si="20">$O$49-$P$47*SQRT(N51)</f>
        <v>62.441075556710693</v>
      </c>
      <c r="P51" s="68">
        <f t="shared" ref="P51:P57" si="21">O51*N51/1000</f>
        <v>6.2441075556710703E-5</v>
      </c>
      <c r="R51" s="79"/>
      <c r="S51" s="68">
        <v>1E-3</v>
      </c>
      <c r="T51" s="68">
        <f t="shared" ref="T51:T57" si="22">$T$49-$U$47*SQRT(S51)</f>
        <v>87.81288138156259</v>
      </c>
      <c r="U51" s="68">
        <f t="shared" ref="U51:U57" si="23">T51*S51/1000</f>
        <v>8.7812881381562602E-5</v>
      </c>
    </row>
    <row r="52" spans="3:21" x14ac:dyDescent="0.25">
      <c r="C52" s="79"/>
      <c r="D52" s="68">
        <v>2E-3</v>
      </c>
      <c r="E52" s="68">
        <f t="shared" si="16"/>
        <v>75.327520273743062</v>
      </c>
      <c r="F52" s="68">
        <f t="shared" si="17"/>
        <v>1.5065504054748613E-4</v>
      </c>
      <c r="H52" s="79"/>
      <c r="I52" s="68">
        <v>2E-3</v>
      </c>
      <c r="J52" s="68">
        <f t="shared" si="18"/>
        <v>84.707025134209402</v>
      </c>
      <c r="K52" s="68">
        <f t="shared" si="19"/>
        <v>1.694140502684188E-4</v>
      </c>
      <c r="M52" s="79"/>
      <c r="N52" s="68">
        <v>2E-3</v>
      </c>
      <c r="O52" s="68">
        <f t="shared" si="20"/>
        <v>61.708363061486978</v>
      </c>
      <c r="P52" s="68">
        <f t="shared" si="21"/>
        <v>1.2341672612297395E-4</v>
      </c>
      <c r="R52" s="79"/>
      <c r="S52" s="68">
        <v>2E-3</v>
      </c>
      <c r="T52" s="68">
        <f t="shared" si="22"/>
        <v>86.8365308816837</v>
      </c>
      <c r="U52" s="68">
        <f t="shared" si="23"/>
        <v>1.7367306176336743E-4</v>
      </c>
    </row>
    <row r="53" spans="3:21" x14ac:dyDescent="0.25">
      <c r="C53" s="79"/>
      <c r="D53" s="68">
        <v>3.0000000000000001E-3</v>
      </c>
      <c r="E53" s="68">
        <f t="shared" si="16"/>
        <v>74.663965597379175</v>
      </c>
      <c r="F53" s="68">
        <f t="shared" si="17"/>
        <v>2.2399189679213753E-4</v>
      </c>
      <c r="H53" s="79"/>
      <c r="I53" s="68">
        <v>3.0000000000000001E-3</v>
      </c>
      <c r="J53" s="68">
        <f t="shared" si="18"/>
        <v>83.973688267643311</v>
      </c>
      <c r="K53" s="68">
        <f t="shared" si="19"/>
        <v>2.519210648029299E-4</v>
      </c>
      <c r="M53" s="79"/>
      <c r="N53" s="68">
        <v>3.0000000000000001E-3</v>
      </c>
      <c r="O53" s="68">
        <f t="shared" si="20"/>
        <v>61.14613298947242</v>
      </c>
      <c r="P53" s="68">
        <f t="shared" si="21"/>
        <v>1.8343839896841726E-4</v>
      </c>
      <c r="R53" s="79"/>
      <c r="S53" s="68">
        <v>3.0000000000000001E-3</v>
      </c>
      <c r="T53" s="68">
        <f t="shared" si="22"/>
        <v>86.087350793399864</v>
      </c>
      <c r="U53" s="68">
        <f t="shared" si="23"/>
        <v>2.5826205238019961E-4</v>
      </c>
    </row>
    <row r="54" spans="3:21" x14ac:dyDescent="0.25">
      <c r="C54" s="79"/>
      <c r="D54" s="68">
        <v>4.0000000000000001E-3</v>
      </c>
      <c r="E54" s="68">
        <f t="shared" si="16"/>
        <v>74.10456312849584</v>
      </c>
      <c r="F54" s="68">
        <f t="shared" si="17"/>
        <v>2.9641825251398336E-4</v>
      </c>
      <c r="H54" s="79"/>
      <c r="I54" s="68">
        <v>4.0000000000000001E-3</v>
      </c>
      <c r="J54" s="68">
        <f t="shared" si="18"/>
        <v>83.355456691116416</v>
      </c>
      <c r="K54" s="68">
        <f t="shared" si="19"/>
        <v>3.3342182676446568E-4</v>
      </c>
      <c r="M54" s="79"/>
      <c r="N54" s="68">
        <v>4.0000000000000001E-3</v>
      </c>
      <c r="O54" s="68">
        <f t="shared" si="20"/>
        <v>60.672151113421371</v>
      </c>
      <c r="P54" s="68">
        <f t="shared" si="21"/>
        <v>2.4268860445368547E-4</v>
      </c>
      <c r="R54" s="79"/>
      <c r="S54" s="68">
        <v>4.0000000000000001E-3</v>
      </c>
      <c r="T54" s="68">
        <f t="shared" si="22"/>
        <v>85.455762763125207</v>
      </c>
      <c r="U54" s="68">
        <f t="shared" si="23"/>
        <v>3.4182305105250082E-4</v>
      </c>
    </row>
    <row r="55" spans="3:21" x14ac:dyDescent="0.25">
      <c r="C55" s="79"/>
      <c r="D55" s="68">
        <v>0.3</v>
      </c>
      <c r="E55" s="68">
        <f t="shared" si="16"/>
        <v>42.119655973791716</v>
      </c>
      <c r="F55" s="68">
        <f t="shared" si="17"/>
        <v>1.2635896792137514E-2</v>
      </c>
      <c r="H55" s="79"/>
      <c r="I55" s="68">
        <v>0.3</v>
      </c>
      <c r="J55" s="68">
        <f t="shared" si="18"/>
        <v>48.00688267643315</v>
      </c>
      <c r="K55" s="68">
        <f t="shared" si="19"/>
        <v>1.4402064802929944E-2</v>
      </c>
      <c r="M55" s="79"/>
      <c r="N55" s="68">
        <v>0.3</v>
      </c>
      <c r="O55" s="68">
        <f t="shared" si="20"/>
        <v>33.571329894724116</v>
      </c>
      <c r="P55" s="68">
        <f t="shared" si="21"/>
        <v>1.0071398968417234E-2</v>
      </c>
      <c r="R55" s="79"/>
      <c r="S55" s="68">
        <v>0.3</v>
      </c>
      <c r="T55" s="68">
        <f t="shared" si="22"/>
        <v>49.343507933998801</v>
      </c>
      <c r="U55" s="68">
        <f t="shared" si="23"/>
        <v>1.480305238019964E-2</v>
      </c>
    </row>
    <row r="56" spans="3:21" x14ac:dyDescent="0.25">
      <c r="C56" s="79"/>
      <c r="D56" s="68">
        <v>5.0000000000000001E-3</v>
      </c>
      <c r="E56" s="68">
        <f t="shared" si="16"/>
        <v>73.611719659778814</v>
      </c>
      <c r="F56" s="68">
        <f t="shared" si="17"/>
        <v>3.6805859829889409E-4</v>
      </c>
      <c r="H56" s="79"/>
      <c r="I56" s="68">
        <v>5.0000000000000001E-3</v>
      </c>
      <c r="J56" s="68">
        <f t="shared" si="18"/>
        <v>82.810783738109748</v>
      </c>
      <c r="K56" s="68">
        <f t="shared" si="19"/>
        <v>4.1405391869054877E-4</v>
      </c>
      <c r="M56" s="79"/>
      <c r="N56" s="68">
        <v>5.0000000000000001E-3</v>
      </c>
      <c r="O56" s="68">
        <f t="shared" si="20"/>
        <v>60.254564697744122</v>
      </c>
      <c r="P56" s="68">
        <f t="shared" si="21"/>
        <v>3.0127282348872063E-4</v>
      </c>
      <c r="R56" s="79"/>
      <c r="S56" s="68">
        <v>5.0000000000000001E-3</v>
      </c>
      <c r="T56" s="68">
        <f t="shared" si="22"/>
        <v>84.899322538143593</v>
      </c>
      <c r="U56" s="68">
        <f t="shared" si="23"/>
        <v>4.2449661269071799E-4</v>
      </c>
    </row>
    <row r="57" spans="3:21" x14ac:dyDescent="0.25">
      <c r="C57" s="79"/>
      <c r="D57" s="68">
        <v>6.0000000000000001E-3</v>
      </c>
      <c r="E57" s="68">
        <f t="shared" si="16"/>
        <v>73.166155105805927</v>
      </c>
      <c r="F57" s="68">
        <f t="shared" si="17"/>
        <v>4.3899693063483556E-4</v>
      </c>
      <c r="H57" s="79"/>
      <c r="I57" s="68">
        <v>6.0000000000000001E-3</v>
      </c>
      <c r="J57" s="68">
        <f t="shared" si="18"/>
        <v>82.318361748630451</v>
      </c>
      <c r="K57" s="68">
        <f t="shared" si="19"/>
        <v>4.9391017049178266E-4</v>
      </c>
      <c r="M57" s="79"/>
      <c r="N57" s="68">
        <v>6.0000000000000001E-3</v>
      </c>
      <c r="O57" s="68">
        <f t="shared" si="20"/>
        <v>59.877037720404381</v>
      </c>
      <c r="P57" s="68">
        <f t="shared" si="21"/>
        <v>3.5926222632242624E-4</v>
      </c>
      <c r="R57" s="79"/>
      <c r="S57" s="68">
        <v>6.0000000000000001E-3</v>
      </c>
      <c r="T57" s="68">
        <f t="shared" si="22"/>
        <v>84.396262121614342</v>
      </c>
      <c r="U57" s="68">
        <f t="shared" si="23"/>
        <v>5.0637757272968607E-4</v>
      </c>
    </row>
    <row r="58" spans="3:21" x14ac:dyDescent="0.25">
      <c r="C58" s="28"/>
    </row>
    <row r="59" spans="3:21" ht="44.25" x14ac:dyDescent="0.25">
      <c r="C59" s="79" t="s">
        <v>154</v>
      </c>
      <c r="D59" s="66"/>
      <c r="E59" s="66" t="s">
        <v>235</v>
      </c>
      <c r="F59" s="66" t="s">
        <v>236</v>
      </c>
      <c r="H59" s="79" t="s">
        <v>154</v>
      </c>
      <c r="I59" s="66"/>
      <c r="J59" s="66" t="s">
        <v>235</v>
      </c>
      <c r="K59" s="66" t="s">
        <v>236</v>
      </c>
      <c r="M59" s="84" t="s">
        <v>154</v>
      </c>
      <c r="N59" s="66"/>
      <c r="O59" s="66" t="s">
        <v>235</v>
      </c>
      <c r="P59" s="66" t="s">
        <v>236</v>
      </c>
      <c r="R59" s="79" t="s">
        <v>154</v>
      </c>
      <c r="S59" s="66"/>
      <c r="T59" s="66" t="s">
        <v>235</v>
      </c>
      <c r="U59" s="66" t="s">
        <v>236</v>
      </c>
    </row>
    <row r="60" spans="3:21" ht="15.75" x14ac:dyDescent="0.25">
      <c r="C60" s="79"/>
      <c r="D60" s="66" t="s">
        <v>237</v>
      </c>
      <c r="E60" s="66">
        <v>10.93</v>
      </c>
      <c r="F60" s="66">
        <f>$E$78*E62+$F$78</f>
        <v>21.270014007783026</v>
      </c>
      <c r="H60" s="79"/>
      <c r="I60" s="66" t="s">
        <v>238</v>
      </c>
      <c r="J60" s="66">
        <v>16.39</v>
      </c>
      <c r="K60" s="66">
        <f>$E$78*J62+$F$78</f>
        <v>24.013030008855846</v>
      </c>
      <c r="M60" s="85"/>
      <c r="N60" s="66" t="s">
        <v>237</v>
      </c>
      <c r="O60" s="66">
        <v>10.93</v>
      </c>
      <c r="P60" s="66">
        <f>$E$78*O62+$F$78</f>
        <v>22.39033006682925</v>
      </c>
      <c r="R60" s="79"/>
      <c r="S60" s="66" t="s">
        <v>238</v>
      </c>
      <c r="T60" s="66">
        <v>16.39</v>
      </c>
      <c r="U60" s="66">
        <f>$E$78*T62+$F$78</f>
        <v>23.520693803535082</v>
      </c>
    </row>
    <row r="61" spans="3:21" ht="17.25" x14ac:dyDescent="0.25">
      <c r="C61" s="79"/>
      <c r="D61" s="66" t="s">
        <v>239</v>
      </c>
      <c r="E61" s="66">
        <v>24.39</v>
      </c>
      <c r="F61" s="66"/>
      <c r="H61" s="79"/>
      <c r="I61" s="66" t="s">
        <v>239</v>
      </c>
      <c r="J61" s="66">
        <v>24.39</v>
      </c>
      <c r="K61" s="66"/>
      <c r="M61" s="85"/>
      <c r="N61" s="66" t="s">
        <v>240</v>
      </c>
      <c r="O61" s="66">
        <v>26.62</v>
      </c>
      <c r="P61" s="66"/>
      <c r="R61" s="79"/>
      <c r="S61" s="66" t="s">
        <v>241</v>
      </c>
      <c r="T61" s="66">
        <v>23.41</v>
      </c>
      <c r="U61" s="66"/>
    </row>
    <row r="62" spans="3:21" x14ac:dyDescent="0.25">
      <c r="C62" s="79"/>
      <c r="D62" s="66" t="s">
        <v>216</v>
      </c>
      <c r="E62" s="66">
        <f>E61+E60</f>
        <v>35.32</v>
      </c>
      <c r="F62" s="66"/>
      <c r="H62" s="79"/>
      <c r="I62" s="66" t="s">
        <v>216</v>
      </c>
      <c r="J62" s="66">
        <f>J61+J60</f>
        <v>40.78</v>
      </c>
      <c r="K62" s="67"/>
      <c r="M62" s="85"/>
      <c r="N62" s="66" t="s">
        <v>216</v>
      </c>
      <c r="O62" s="66">
        <f>O61+O60</f>
        <v>37.549999999999997</v>
      </c>
      <c r="P62" s="66"/>
      <c r="Q62" s="60"/>
      <c r="R62" s="79"/>
      <c r="S62" s="66" t="s">
        <v>216</v>
      </c>
      <c r="T62" s="66">
        <f>T61+T60</f>
        <v>39.799999999999997</v>
      </c>
      <c r="U62" s="66"/>
    </row>
    <row r="63" spans="3:21" ht="42.75" x14ac:dyDescent="0.25">
      <c r="C63" s="79"/>
      <c r="D63" s="65" t="s">
        <v>215</v>
      </c>
      <c r="E63" s="65" t="s">
        <v>214</v>
      </c>
      <c r="F63" s="65" t="s">
        <v>213</v>
      </c>
      <c r="H63" s="79"/>
      <c r="I63" s="65" t="s">
        <v>215</v>
      </c>
      <c r="J63" s="65" t="s">
        <v>214</v>
      </c>
      <c r="K63" s="65" t="s">
        <v>213</v>
      </c>
      <c r="M63" s="85"/>
      <c r="N63" s="65" t="s">
        <v>215</v>
      </c>
      <c r="O63" s="65" t="s">
        <v>214</v>
      </c>
      <c r="P63" s="65" t="s">
        <v>213</v>
      </c>
      <c r="Q63" s="60"/>
      <c r="R63" s="79"/>
      <c r="S63" s="65" t="s">
        <v>215</v>
      </c>
      <c r="T63" s="65" t="s">
        <v>214</v>
      </c>
      <c r="U63" s="65" t="s">
        <v>213</v>
      </c>
    </row>
    <row r="64" spans="3:21" x14ac:dyDescent="0.25">
      <c r="C64" s="79"/>
      <c r="D64" s="68">
        <v>1E-3</v>
      </c>
      <c r="E64" s="68">
        <f t="shared" ref="E64:E70" si="24">$E$62-$F$60*SQRT(D64)</f>
        <v>34.647383098717192</v>
      </c>
      <c r="F64" s="68">
        <f t="shared" ref="F64:F70" si="25">E64*D64/1000</f>
        <v>3.4647383098717194E-5</v>
      </c>
      <c r="H64" s="79"/>
      <c r="I64" s="68">
        <v>1E-3</v>
      </c>
      <c r="J64" s="68">
        <f t="shared" ref="J64:J70" si="26">$J$62-$K$60*SQRT(I64)</f>
        <v>40.020641316500424</v>
      </c>
      <c r="K64" s="68">
        <f t="shared" ref="K64:K70" si="27">J64*I64/1000</f>
        <v>4.0020641316500427E-5</v>
      </c>
      <c r="M64" s="85"/>
      <c r="N64" s="68">
        <v>1E-3</v>
      </c>
      <c r="O64" s="68">
        <f t="shared" ref="O64:O70" si="28">$O$62-$P$60*SQRT(N64)</f>
        <v>36.841955594258692</v>
      </c>
      <c r="P64" s="68">
        <f t="shared" ref="P64:P70" si="29">O64*N64/1000</f>
        <v>3.6841955594258693E-5</v>
      </c>
      <c r="R64" s="79"/>
      <c r="S64" s="68">
        <v>1E-3</v>
      </c>
      <c r="T64" s="68">
        <f t="shared" ref="T64:T70" si="30">$T$62-$U$60*SQRT(S64)</f>
        <v>39.056210354334198</v>
      </c>
      <c r="U64" s="68">
        <f t="shared" ref="U64:U70" si="31">T64*S64/1000</f>
        <v>3.9056210354334205E-5</v>
      </c>
    </row>
    <row r="65" spans="2:21" x14ac:dyDescent="0.25">
      <c r="C65" s="79"/>
      <c r="D65" s="68">
        <v>2E-3</v>
      </c>
      <c r="E65" s="68">
        <f t="shared" si="24"/>
        <v>34.368776055924485</v>
      </c>
      <c r="F65" s="68">
        <f t="shared" si="25"/>
        <v>6.8737552111848972E-5</v>
      </c>
      <c r="H65" s="79"/>
      <c r="I65" s="68">
        <v>2E-3</v>
      </c>
      <c r="J65" s="68">
        <f t="shared" si="26"/>
        <v>39.70610465108912</v>
      </c>
      <c r="K65" s="68">
        <f t="shared" si="27"/>
        <v>7.9412209302178241E-5</v>
      </c>
      <c r="M65" s="85"/>
      <c r="N65" s="68">
        <v>2E-3</v>
      </c>
      <c r="O65" s="68">
        <f t="shared" si="28"/>
        <v>36.548673998638243</v>
      </c>
      <c r="P65" s="68">
        <f t="shared" si="29"/>
        <v>7.3097347997276484E-5</v>
      </c>
      <c r="R65" s="79"/>
      <c r="S65" s="68">
        <v>2E-3</v>
      </c>
      <c r="T65" s="68">
        <f t="shared" si="30"/>
        <v>38.748122595546747</v>
      </c>
      <c r="U65" s="68">
        <f t="shared" si="31"/>
        <v>7.7496245191093494E-5</v>
      </c>
    </row>
    <row r="66" spans="2:21" x14ac:dyDescent="0.25">
      <c r="C66" s="79"/>
      <c r="D66" s="68">
        <v>3.0000000000000001E-3</v>
      </c>
      <c r="E66" s="68">
        <f t="shared" si="24"/>
        <v>34.154993352948637</v>
      </c>
      <c r="F66" s="68">
        <f t="shared" si="25"/>
        <v>1.0246498005884591E-4</v>
      </c>
      <c r="H66" s="79"/>
      <c r="I66" s="68">
        <v>3.0000000000000001E-3</v>
      </c>
      <c r="J66" s="68">
        <f t="shared" si="26"/>
        <v>39.464752179010119</v>
      </c>
      <c r="K66" s="68">
        <f t="shared" si="27"/>
        <v>1.1839425653703035E-4</v>
      </c>
      <c r="M66" s="85"/>
      <c r="N66" s="68">
        <v>3.0000000000000001E-3</v>
      </c>
      <c r="O66" s="68">
        <f t="shared" si="28"/>
        <v>36.323631115241142</v>
      </c>
      <c r="P66" s="68">
        <f t="shared" si="29"/>
        <v>1.0897089334572343E-4</v>
      </c>
      <c r="R66" s="79"/>
      <c r="S66" s="68">
        <v>3.0000000000000001E-3</v>
      </c>
      <c r="T66" s="68">
        <f t="shared" si="30"/>
        <v>38.511718543563184</v>
      </c>
      <c r="U66" s="68">
        <f t="shared" si="31"/>
        <v>1.1553515563068955E-4</v>
      </c>
    </row>
    <row r="67" spans="2:21" x14ac:dyDescent="0.25">
      <c r="C67" s="79"/>
      <c r="D67" s="68">
        <v>4.0000000000000001E-3</v>
      </c>
      <c r="E67" s="68">
        <f t="shared" si="24"/>
        <v>33.974766197434384</v>
      </c>
      <c r="F67" s="68">
        <f t="shared" si="25"/>
        <v>1.3589906478973755E-4</v>
      </c>
      <c r="H67" s="79"/>
      <c r="I67" s="68">
        <v>4.0000000000000001E-3</v>
      </c>
      <c r="J67" s="68">
        <f t="shared" si="26"/>
        <v>39.261282633000846</v>
      </c>
      <c r="K67" s="68">
        <f t="shared" si="27"/>
        <v>1.5704513053200339E-4</v>
      </c>
      <c r="M67" s="85"/>
      <c r="N67" s="68">
        <v>4.0000000000000001E-3</v>
      </c>
      <c r="O67" s="68">
        <f t="shared" si="28"/>
        <v>36.133911188517388</v>
      </c>
      <c r="P67" s="68">
        <f t="shared" si="29"/>
        <v>1.4453564475406955E-4</v>
      </c>
      <c r="R67" s="79"/>
      <c r="S67" s="68">
        <v>4.0000000000000001E-3</v>
      </c>
      <c r="T67" s="68">
        <f t="shared" si="30"/>
        <v>38.312420708668398</v>
      </c>
      <c r="U67" s="68">
        <f t="shared" si="31"/>
        <v>1.5324968283467359E-4</v>
      </c>
    </row>
    <row r="68" spans="2:21" x14ac:dyDescent="0.25">
      <c r="C68" s="79"/>
      <c r="D68" s="68">
        <v>0.3</v>
      </c>
      <c r="E68" s="68">
        <f t="shared" si="24"/>
        <v>23.669933529486372</v>
      </c>
      <c r="F68" s="68">
        <f t="shared" si="25"/>
        <v>7.1009800588459114E-3</v>
      </c>
      <c r="H68" s="79"/>
      <c r="I68" s="68">
        <v>0.3</v>
      </c>
      <c r="J68" s="68">
        <f t="shared" si="26"/>
        <v>27.627521790101177</v>
      </c>
      <c r="K68" s="68">
        <f t="shared" si="27"/>
        <v>8.2882565370303533E-3</v>
      </c>
      <c r="M68" s="85"/>
      <c r="N68" s="68">
        <v>0.3</v>
      </c>
      <c r="O68" s="68">
        <f t="shared" si="28"/>
        <v>25.286311152411464</v>
      </c>
      <c r="P68" s="68">
        <f t="shared" si="29"/>
        <v>7.5858933457234384E-3</v>
      </c>
      <c r="R68" s="79"/>
      <c r="S68" s="68">
        <v>0.3</v>
      </c>
      <c r="T68" s="68">
        <f t="shared" si="30"/>
        <v>26.917185435631851</v>
      </c>
      <c r="U68" s="68">
        <f t="shared" si="31"/>
        <v>8.0751556306895549E-3</v>
      </c>
    </row>
    <row r="69" spans="2:21" x14ac:dyDescent="0.25">
      <c r="C69" s="79"/>
      <c r="D69" s="68">
        <v>5.0000000000000001E-3</v>
      </c>
      <c r="E69" s="68">
        <f t="shared" si="24"/>
        <v>33.815982885916377</v>
      </c>
      <c r="F69" s="68">
        <f t="shared" si="25"/>
        <v>1.690799144295819E-4</v>
      </c>
      <c r="H69" s="79"/>
      <c r="I69" s="68">
        <v>5.0000000000000001E-3</v>
      </c>
      <c r="J69" s="68">
        <f t="shared" si="26"/>
        <v>39.082022364390198</v>
      </c>
      <c r="K69" s="68">
        <f t="shared" si="27"/>
        <v>1.9541011182195101E-4</v>
      </c>
      <c r="M69" s="85"/>
      <c r="N69" s="68">
        <v>5.0000000000000001E-3</v>
      </c>
      <c r="O69" s="68">
        <f t="shared" si="28"/>
        <v>35.966764577673999</v>
      </c>
      <c r="P69" s="68">
        <f t="shared" si="29"/>
        <v>1.7983382288837E-4</v>
      </c>
      <c r="R69" s="79"/>
      <c r="S69" s="68">
        <v>5.0000000000000001E-3</v>
      </c>
      <c r="T69" s="68">
        <f t="shared" si="30"/>
        <v>38.136835791330789</v>
      </c>
      <c r="U69" s="68">
        <f t="shared" si="31"/>
        <v>1.9068417895665396E-4</v>
      </c>
    </row>
    <row r="70" spans="2:21" x14ac:dyDescent="0.25">
      <c r="C70" s="79"/>
      <c r="D70" s="68">
        <v>6.0000000000000001E-3</v>
      </c>
      <c r="E70" s="68">
        <f t="shared" si="24"/>
        <v>33.67243179948516</v>
      </c>
      <c r="F70" s="68">
        <f t="shared" si="25"/>
        <v>2.0203459079691096E-4</v>
      </c>
      <c r="H70" s="79"/>
      <c r="I70" s="68">
        <v>6.0000000000000001E-3</v>
      </c>
      <c r="J70" s="68">
        <f t="shared" si="26"/>
        <v>38.919958693674445</v>
      </c>
      <c r="K70" s="68">
        <f t="shared" si="27"/>
        <v>2.3351975216204669E-4</v>
      </c>
      <c r="M70" s="86"/>
      <c r="N70" s="68">
        <v>6.0000000000000001E-3</v>
      </c>
      <c r="O70" s="68">
        <f t="shared" si="28"/>
        <v>35.815652490701659</v>
      </c>
      <c r="P70" s="68">
        <f t="shared" si="29"/>
        <v>2.1489391494420996E-4</v>
      </c>
      <c r="R70" s="79"/>
      <c r="S70" s="68">
        <v>6.0000000000000001E-3</v>
      </c>
      <c r="T70" s="68">
        <f t="shared" si="30"/>
        <v>37.978094892153287</v>
      </c>
      <c r="U70" s="68">
        <f t="shared" si="31"/>
        <v>2.278685693529197E-4</v>
      </c>
    </row>
    <row r="71" spans="2:21" x14ac:dyDescent="0.25">
      <c r="H71" s="60"/>
      <c r="M71" s="69"/>
      <c r="R71" s="60"/>
    </row>
    <row r="72" spans="2:21" x14ac:dyDescent="0.25">
      <c r="H72" s="60"/>
      <c r="M72" s="60"/>
      <c r="R72" s="60"/>
    </row>
    <row r="73" spans="2:21" x14ac:dyDescent="0.25">
      <c r="C73" s="28"/>
    </row>
    <row r="74" spans="2:21" ht="28.5" x14ac:dyDescent="0.25">
      <c r="B74" s="56"/>
      <c r="C74" s="55" t="s">
        <v>212</v>
      </c>
      <c r="D74" s="55" t="s">
        <v>211</v>
      </c>
      <c r="E74" s="55" t="s">
        <v>210</v>
      </c>
      <c r="F74" s="55" t="s">
        <v>209</v>
      </c>
      <c r="H74" s="77"/>
      <c r="I74" s="77"/>
      <c r="J74" s="77"/>
      <c r="K74" s="77"/>
      <c r="L74" s="77"/>
    </row>
    <row r="75" spans="2:21" x14ac:dyDescent="0.25">
      <c r="B75" s="55" t="s">
        <v>208</v>
      </c>
      <c r="C75" s="28">
        <f>0.369/100</f>
        <v>3.6900000000000001E-3</v>
      </c>
      <c r="D75" s="28">
        <v>35.9</v>
      </c>
      <c r="E75" s="28">
        <f>2800000  *   0.5/(  (D75*298.15)^(3/2) *  (1+0.5^0.5) )</f>
        <v>0.74058251593904145</v>
      </c>
      <c r="F75" s="28">
        <f>8.249/(C75*(D75*298.15)^(1/2))</f>
        <v>21.607787805864429</v>
      </c>
      <c r="H75" s="77"/>
      <c r="I75" s="77"/>
      <c r="J75" s="77"/>
      <c r="K75" s="77"/>
      <c r="L75" s="77"/>
    </row>
    <row r="76" spans="2:21" x14ac:dyDescent="0.25">
      <c r="B76" s="55" t="s">
        <v>207</v>
      </c>
      <c r="C76" s="28">
        <f>2.53/100</f>
        <v>2.53E-2</v>
      </c>
      <c r="D76" s="28">
        <v>64.92</v>
      </c>
      <c r="E76" s="28">
        <f>2800000  *   0.5/(  (D76*298.15)^(3/2) *  (1+0.5^0.5) )</f>
        <v>0.30454211597935216</v>
      </c>
      <c r="F76" s="28">
        <f>8.249/(C76*(D76*298.15)^(1/2))</f>
        <v>2.3435494404947295</v>
      </c>
      <c r="H76" s="77"/>
      <c r="I76" s="77"/>
      <c r="J76" s="77"/>
      <c r="K76" s="77"/>
      <c r="L76" s="77"/>
    </row>
    <row r="77" spans="2:21" x14ac:dyDescent="0.25">
      <c r="B77" s="55" t="s">
        <v>169</v>
      </c>
      <c r="C77" s="28">
        <f>0.794/100</f>
        <v>7.9400000000000009E-3</v>
      </c>
      <c r="D77" s="28">
        <v>36.700000000000003</v>
      </c>
      <c r="E77" s="28">
        <f>2800000  *   0.5/(  (D77*298.15)^(3/2) *  (1+0.5^0.5) )</f>
        <v>0.71649973032046199</v>
      </c>
      <c r="F77" s="28">
        <f>8.249/(C77*(D77*298.15)^(1/2))</f>
        <v>9.9318548115191021</v>
      </c>
      <c r="H77" s="77"/>
      <c r="I77" s="77"/>
      <c r="J77" s="77"/>
      <c r="K77" s="77"/>
      <c r="L77" s="77"/>
    </row>
    <row r="78" spans="2:21" x14ac:dyDescent="0.25">
      <c r="B78" s="55" t="s">
        <v>154</v>
      </c>
      <c r="C78" s="28">
        <f>1.987/100</f>
        <v>1.9870000000000002E-2</v>
      </c>
      <c r="D78" s="28">
        <v>46.5</v>
      </c>
      <c r="E78" s="28">
        <f>2800000  *   0.5/(  (D78*298.15)^(3/2) *  (1+0.5^0.5) )</f>
        <v>0.50238388298036973</v>
      </c>
      <c r="F78" s="28">
        <f>8.249/(C78*(D78*298.15)^(1/2))</f>
        <v>3.5258152609163678</v>
      </c>
      <c r="H78" s="77"/>
      <c r="I78" s="77"/>
      <c r="J78" s="77"/>
      <c r="K78" s="77"/>
      <c r="L78" s="77"/>
    </row>
    <row r="79" spans="2:21" x14ac:dyDescent="0.25">
      <c r="E79" s="60"/>
      <c r="H79" s="77"/>
      <c r="I79" s="77"/>
      <c r="J79" s="77"/>
      <c r="K79" s="77"/>
      <c r="L79" s="77"/>
    </row>
    <row r="80" spans="2:21" x14ac:dyDescent="0.25">
      <c r="F80" s="60"/>
      <c r="H80" s="77"/>
      <c r="I80" s="77"/>
      <c r="J80" s="77"/>
      <c r="K80" s="77"/>
      <c r="L80" s="77"/>
    </row>
    <row r="81" spans="6:12" ht="22.5" customHeight="1" x14ac:dyDescent="0.25">
      <c r="F81" s="60"/>
      <c r="H81" s="77"/>
      <c r="I81" s="77"/>
      <c r="J81" s="77"/>
      <c r="K81" s="77"/>
      <c r="L81" s="77"/>
    </row>
    <row r="82" spans="6:12" ht="15.75" x14ac:dyDescent="0.25">
      <c r="F82" s="60"/>
      <c r="H82" s="51" t="s">
        <v>242</v>
      </c>
    </row>
    <row r="83" spans="6:12" x14ac:dyDescent="0.25">
      <c r="F83" s="60"/>
    </row>
    <row r="84" spans="6:12" x14ac:dyDescent="0.25">
      <c r="F84" s="60"/>
    </row>
    <row r="85" spans="6:12" x14ac:dyDescent="0.25">
      <c r="F85" s="60"/>
    </row>
    <row r="86" spans="6:12" x14ac:dyDescent="0.25">
      <c r="F86" s="60"/>
    </row>
  </sheetData>
  <mergeCells count="27">
    <mergeCell ref="B2:H2"/>
    <mergeCell ref="B1:H1"/>
    <mergeCell ref="B3:H3"/>
    <mergeCell ref="M59:M70"/>
    <mergeCell ref="M14:P15"/>
    <mergeCell ref="M18:P18"/>
    <mergeCell ref="C33:C44"/>
    <mergeCell ref="C18:F18"/>
    <mergeCell ref="H18:K18"/>
    <mergeCell ref="H33:H44"/>
    <mergeCell ref="H59:H70"/>
    <mergeCell ref="M20:M31"/>
    <mergeCell ref="B5:F5"/>
    <mergeCell ref="C46:C57"/>
    <mergeCell ref="C59:C70"/>
    <mergeCell ref="H46:H57"/>
    <mergeCell ref="C20:C31"/>
    <mergeCell ref="H20:H31"/>
    <mergeCell ref="R33:R44"/>
    <mergeCell ref="M33:M44"/>
    <mergeCell ref="M46:M57"/>
    <mergeCell ref="H74:L81"/>
    <mergeCell ref="H5:K5"/>
    <mergeCell ref="R46:R57"/>
    <mergeCell ref="R59:R70"/>
    <mergeCell ref="R18:U18"/>
    <mergeCell ref="R20:R31"/>
  </mergeCells>
  <conditionalFormatting sqref="C7:F10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CE23-AB5C-4649-A47B-A5B4495DCC7D}">
  <dimension ref="A1:Y67"/>
  <sheetViews>
    <sheetView zoomScale="85" zoomScaleNormal="85" workbookViewId="0">
      <selection activeCell="N9" sqref="N9"/>
    </sheetView>
  </sheetViews>
  <sheetFormatPr defaultColWidth="9.140625" defaultRowHeight="14.25" x14ac:dyDescent="0.25"/>
  <cols>
    <col min="1" max="1" width="7.7109375" style="28" bestFit="1" customWidth="1"/>
    <col min="2" max="2" width="19" style="60" customWidth="1"/>
    <col min="3" max="4" width="19" style="28" customWidth="1"/>
    <col min="5" max="5" width="25.85546875" style="28" customWidth="1"/>
    <col min="6" max="6" width="4.5703125" style="28" customWidth="1"/>
    <col min="7" max="8" width="17.7109375" style="28" customWidth="1"/>
    <col min="9" max="9" width="17.7109375" style="60" customWidth="1"/>
    <col min="10" max="10" width="27.5703125" style="60" customWidth="1"/>
    <col min="11" max="11" width="4.140625" style="28" customWidth="1"/>
    <col min="12" max="14" width="19.7109375" style="28" customWidth="1"/>
    <col min="15" max="15" width="27.5703125" style="28" customWidth="1"/>
    <col min="16" max="16" width="3.85546875" style="28" customWidth="1"/>
    <col min="17" max="19" width="19.85546875" style="28" customWidth="1"/>
    <col min="20" max="20" width="27.5703125" style="28" customWidth="1"/>
    <col min="21" max="21" width="9.140625" style="28"/>
    <col min="22" max="22" width="11.42578125" style="28" bestFit="1" customWidth="1"/>
    <col min="23" max="23" width="10.42578125" style="28" bestFit="1" customWidth="1"/>
    <col min="24" max="16384" width="9.140625" style="28"/>
  </cols>
  <sheetData>
    <row r="1" spans="1:25" ht="33" customHeight="1" x14ac:dyDescent="0.25">
      <c r="A1" s="78" t="s">
        <v>270</v>
      </c>
      <c r="B1" s="78"/>
      <c r="C1" s="78"/>
      <c r="D1" s="78"/>
      <c r="E1" s="78"/>
      <c r="G1" s="78" t="s">
        <v>269</v>
      </c>
      <c r="H1" s="78"/>
      <c r="I1" s="78"/>
      <c r="J1" s="78"/>
      <c r="L1" s="77" t="s">
        <v>272</v>
      </c>
    </row>
    <row r="2" spans="1:25" ht="17.25" x14ac:dyDescent="0.25">
      <c r="A2" s="55"/>
      <c r="B2" s="55" t="s">
        <v>228</v>
      </c>
      <c r="C2" s="55" t="s">
        <v>229</v>
      </c>
      <c r="D2" s="55" t="s">
        <v>230</v>
      </c>
      <c r="E2" s="55" t="s">
        <v>181</v>
      </c>
      <c r="G2" s="56"/>
      <c r="H2" s="55" t="s">
        <v>268</v>
      </c>
      <c r="I2" s="55" t="s">
        <v>267</v>
      </c>
      <c r="J2" s="55" t="s">
        <v>266</v>
      </c>
      <c r="L2" s="77"/>
    </row>
    <row r="3" spans="1:25" ht="17.25" x14ac:dyDescent="0.25">
      <c r="A3" s="56" t="s">
        <v>208</v>
      </c>
      <c r="B3" s="57">
        <f>D30</f>
        <v>1.7230000000000002E-2</v>
      </c>
      <c r="C3" s="56">
        <f>I30</f>
        <v>2.0932000000000003E-2</v>
      </c>
      <c r="D3" s="56">
        <f>N30</f>
        <v>2.1827000000000003E-2</v>
      </c>
      <c r="E3" s="58">
        <f>S30</f>
        <v>4.4509999999999994E-2</v>
      </c>
      <c r="G3" s="55" t="s">
        <v>228</v>
      </c>
      <c r="H3" s="56">
        <f>B4/B3</f>
        <v>0.23726059199071381</v>
      </c>
      <c r="I3" s="56">
        <f>B5/B3</f>
        <v>0.50905397562391164</v>
      </c>
      <c r="J3" s="56">
        <f>B6/B3</f>
        <v>0.71490423679628545</v>
      </c>
      <c r="L3" s="77"/>
    </row>
    <row r="4" spans="1:25" ht="17.25" x14ac:dyDescent="0.25">
      <c r="A4" s="56" t="s">
        <v>207</v>
      </c>
      <c r="B4" s="57">
        <f>D42</f>
        <v>4.0879999999999996E-3</v>
      </c>
      <c r="C4" s="56">
        <f>I42</f>
        <v>5.8310000000000002E-3</v>
      </c>
      <c r="D4" s="56">
        <f>N42</f>
        <v>4.7520000000000001E-3</v>
      </c>
      <c r="E4" s="58">
        <f>S42</f>
        <v>8.4349999999999998E-3</v>
      </c>
      <c r="G4" s="55" t="s">
        <v>229</v>
      </c>
      <c r="H4" s="56">
        <f>C4/C3</f>
        <v>0.27856869864322564</v>
      </c>
      <c r="I4" s="56">
        <f>C5/C3</f>
        <v>0.67647620867571168</v>
      </c>
      <c r="J4" s="56">
        <f>C6/C3</f>
        <v>1.175711828778903</v>
      </c>
      <c r="L4" s="77"/>
    </row>
    <row r="5" spans="1:25" ht="17.25" x14ac:dyDescent="0.25">
      <c r="A5" s="56" t="s">
        <v>169</v>
      </c>
      <c r="B5" s="59">
        <f>D54</f>
        <v>8.7709999999999993E-3</v>
      </c>
      <c r="C5" s="59">
        <f>I54</f>
        <v>1.4159999999999999E-2</v>
      </c>
      <c r="D5" s="56">
        <f>N54</f>
        <v>1.0366E-2</v>
      </c>
      <c r="E5" s="58">
        <f>S54</f>
        <v>2.3101E-2</v>
      </c>
      <c r="G5" s="55" t="s">
        <v>230</v>
      </c>
      <c r="H5" s="56">
        <f>D4/D3</f>
        <v>0.21771200806340768</v>
      </c>
      <c r="I5" s="56">
        <f>D5/D3</f>
        <v>0.47491638795986618</v>
      </c>
      <c r="J5" s="56">
        <f>D6/D3</f>
        <v>1.4853163513080128</v>
      </c>
      <c r="L5" s="77"/>
    </row>
    <row r="6" spans="1:25" x14ac:dyDescent="0.25">
      <c r="A6" s="56" t="s">
        <v>154</v>
      </c>
      <c r="B6" s="56">
        <f>D65</f>
        <v>1.23178E-2</v>
      </c>
      <c r="C6" s="58">
        <f>I65</f>
        <v>2.461E-2</v>
      </c>
      <c r="D6" s="58">
        <f>N65</f>
        <v>3.2419999999999997E-2</v>
      </c>
      <c r="E6" s="58">
        <f>S65</f>
        <v>1.0567999999999999E-2</v>
      </c>
      <c r="G6" s="55" t="s">
        <v>181</v>
      </c>
      <c r="H6" s="56">
        <f>E4/E3</f>
        <v>0.18950797573578973</v>
      </c>
      <c r="I6" s="56">
        <f>E5/E3</f>
        <v>0.51900696472702768</v>
      </c>
      <c r="J6" s="56">
        <f>E6/E3</f>
        <v>0.23742979105818918</v>
      </c>
      <c r="L6" s="77"/>
    </row>
    <row r="7" spans="1:25" x14ac:dyDescent="0.25">
      <c r="B7" s="28"/>
      <c r="G7" s="61" t="s">
        <v>219</v>
      </c>
      <c r="H7" s="61">
        <f>AVERAGE(H3:H6)</f>
        <v>0.23076231860828419</v>
      </c>
      <c r="I7" s="61">
        <f>AVERAGE(I3:I6)</f>
        <v>0.54486338424662928</v>
      </c>
      <c r="J7" s="61">
        <f>AVERAGE(J3:J6)</f>
        <v>0.90334055198534768</v>
      </c>
      <c r="L7" s="77"/>
    </row>
    <row r="8" spans="1:25" x14ac:dyDescent="0.25">
      <c r="B8" s="28"/>
      <c r="C8" s="53"/>
      <c r="G8" s="61" t="s">
        <v>218</v>
      </c>
      <c r="H8" s="61">
        <f>STDEV(H3:H6)</f>
        <v>3.7416168252762609E-2</v>
      </c>
      <c r="I8" s="61">
        <f>STDEV(I3:I6)</f>
        <v>8.9750368652954091E-2</v>
      </c>
      <c r="J8" s="61">
        <f>STDEV(J3:J6)</f>
        <v>0.54523002174006763</v>
      </c>
      <c r="L8" s="77"/>
    </row>
    <row r="9" spans="1:25" x14ac:dyDescent="0.2">
      <c r="B9" s="28"/>
      <c r="C9" s="3"/>
      <c r="G9" s="61" t="s">
        <v>217</v>
      </c>
      <c r="H9" s="70">
        <f>H8/H7</f>
        <v>0.16214158567316198</v>
      </c>
      <c r="I9" s="70">
        <f>I8/I7</f>
        <v>0.16472086627191873</v>
      </c>
      <c r="J9" s="70">
        <f>J8/J7</f>
        <v>0.60357084661124716</v>
      </c>
      <c r="L9" s="77"/>
    </row>
    <row r="10" spans="1:25" x14ac:dyDescent="0.25">
      <c r="B10" s="28"/>
      <c r="H10" s="71"/>
      <c r="I10" s="71"/>
      <c r="J10" s="71"/>
    </row>
    <row r="11" spans="1:25" x14ac:dyDescent="0.25">
      <c r="B11" s="28"/>
      <c r="H11" s="71"/>
      <c r="I11" s="71"/>
      <c r="J11" s="71"/>
    </row>
    <row r="12" spans="1:25" ht="18" customHeight="1" x14ac:dyDescent="0.25">
      <c r="B12" s="80" t="s">
        <v>228</v>
      </c>
      <c r="C12" s="80"/>
      <c r="D12" s="80"/>
      <c r="E12" s="80"/>
      <c r="G12" s="80" t="s">
        <v>229</v>
      </c>
      <c r="H12" s="80"/>
      <c r="I12" s="80"/>
      <c r="J12" s="80"/>
      <c r="L12" s="80" t="s">
        <v>230</v>
      </c>
      <c r="M12" s="80"/>
      <c r="N12" s="80"/>
      <c r="O12" s="80"/>
      <c r="Q12" s="80" t="s">
        <v>181</v>
      </c>
      <c r="R12" s="80"/>
      <c r="S12" s="80"/>
      <c r="T12" s="80"/>
    </row>
    <row r="13" spans="1:25" ht="28.5" x14ac:dyDescent="0.25">
      <c r="C13" s="60" t="s">
        <v>215</v>
      </c>
      <c r="D13" s="60" t="s">
        <v>213</v>
      </c>
      <c r="E13" s="60" t="s">
        <v>265</v>
      </c>
      <c r="G13" s="60"/>
      <c r="H13" s="60" t="s">
        <v>215</v>
      </c>
      <c r="I13" s="60" t="s">
        <v>213</v>
      </c>
      <c r="J13" s="60" t="s">
        <v>265</v>
      </c>
      <c r="L13" s="60"/>
      <c r="M13" s="60" t="s">
        <v>215</v>
      </c>
      <c r="N13" s="60" t="s">
        <v>213</v>
      </c>
      <c r="O13" s="60" t="s">
        <v>265</v>
      </c>
      <c r="Q13" s="60"/>
      <c r="R13" s="60" t="s">
        <v>215</v>
      </c>
      <c r="S13" s="60" t="s">
        <v>213</v>
      </c>
      <c r="T13" s="60" t="s">
        <v>265</v>
      </c>
    </row>
    <row r="15" spans="1:25" ht="225" customHeight="1" x14ac:dyDescent="0.25">
      <c r="B15" s="84" t="s">
        <v>208</v>
      </c>
      <c r="C15" s="68">
        <f>'[1]House J Org Chem 1971'!B4</f>
        <v>0.6</v>
      </c>
      <c r="D15" s="68">
        <f>'[1]House J Org Chem 1971'!D4</f>
        <v>2.7027027027027029E-2</v>
      </c>
      <c r="E15" s="88" t="s">
        <v>250</v>
      </c>
      <c r="G15" s="84" t="s">
        <v>208</v>
      </c>
      <c r="H15" s="68">
        <v>1</v>
      </c>
      <c r="I15" s="68">
        <f>'[1]Gong EES 2015'!H11/1000</f>
        <v>5.0058999999999999E-2</v>
      </c>
      <c r="J15" s="68" t="s">
        <v>253</v>
      </c>
      <c r="L15" s="84" t="s">
        <v>208</v>
      </c>
      <c r="M15" s="68">
        <v>0.1</v>
      </c>
      <c r="N15" s="68">
        <f>'[1]Shinkle J Pow Sources 2014'!B9/1000</f>
        <v>9.9299999999999996E-3</v>
      </c>
      <c r="O15" s="68" t="s">
        <v>252</v>
      </c>
      <c r="Q15" s="84" t="s">
        <v>208</v>
      </c>
      <c r="R15" s="68">
        <f>'[1]Kalugin Kharkiv Univ Bull 2019 '!C36</f>
        <v>3.056445E-4</v>
      </c>
      <c r="S15" s="68">
        <f>'[1]Kalugin Kharkiv Univ Bull 2019 '!E36</f>
        <v>4.9534000000000004E-5</v>
      </c>
      <c r="T15" s="88" t="s">
        <v>262</v>
      </c>
      <c r="V15" s="87" t="s">
        <v>264</v>
      </c>
      <c r="W15" s="87"/>
      <c r="X15" s="87"/>
      <c r="Y15" s="87"/>
    </row>
    <row r="16" spans="1:25" x14ac:dyDescent="0.25">
      <c r="B16" s="85"/>
      <c r="C16" s="68">
        <f>'[1]House J Org Chem 1971'!B5</f>
        <v>0.5</v>
      </c>
      <c r="D16" s="68">
        <f>'[1]House J Org Chem 1971'!D5</f>
        <v>2.564102564102564E-2</v>
      </c>
      <c r="E16" s="89"/>
      <c r="G16" s="85"/>
      <c r="H16" s="68">
        <f>'[1]Wypych J Mol Liq 2014'!A7</f>
        <v>1E-3</v>
      </c>
      <c r="I16" s="68">
        <f>'[1]Wypych J Mol Liq 2014'!B7</f>
        <v>1.8489633683833073E-4</v>
      </c>
      <c r="J16" s="88" t="s">
        <v>263</v>
      </c>
      <c r="L16" s="85"/>
      <c r="M16" s="68">
        <f>'[1]House J Org Chem 1971'!B9</f>
        <v>1</v>
      </c>
      <c r="N16" s="68">
        <f>'[1]House J Org Chem 1971'!D9</f>
        <v>3.2258064516129031E-2</v>
      </c>
      <c r="O16" s="88" t="s">
        <v>250</v>
      </c>
      <c r="Q16" s="85"/>
      <c r="R16" s="68">
        <f>'[1]Kalugin Kharkiv Univ Bull 2019 '!C37</f>
        <v>3.4152994999999997E-4</v>
      </c>
      <c r="S16" s="68">
        <f>'[1]Kalugin Kharkiv Univ Bull 2019 '!E37</f>
        <v>5.5266000000000009E-5</v>
      </c>
      <c r="T16" s="90"/>
      <c r="V16" s="87"/>
      <c r="W16" s="87"/>
      <c r="X16" s="87"/>
      <c r="Y16" s="87"/>
    </row>
    <row r="17" spans="2:23" ht="127.5" customHeight="1" x14ac:dyDescent="0.25">
      <c r="B17" s="85"/>
      <c r="C17" s="68">
        <f>'[1]Anand Z Phys Chem 2016'!A6</f>
        <v>5.0310095439384403E-2</v>
      </c>
      <c r="D17" s="68">
        <f>'[1]Anand Z Phys Chem 2016'!C6</f>
        <v>8.7890164651051978E-4</v>
      </c>
      <c r="E17" s="88" t="s">
        <v>260</v>
      </c>
      <c r="G17" s="85"/>
      <c r="H17" s="68">
        <f>'[1]Wypych J Mol Liq 2014'!A8</f>
        <v>2E-3</v>
      </c>
      <c r="I17" s="68">
        <f>'[1]Wypych J Mol Liq 2014'!B8</f>
        <v>3.6553980786422442E-4</v>
      </c>
      <c r="J17" s="90"/>
      <c r="L17" s="85"/>
      <c r="M17" s="68">
        <f>'[1]House J Org Chem 1971'!B10</f>
        <v>0.5</v>
      </c>
      <c r="N17" s="68">
        <f>'[1]House J Org Chem 1971'!D10</f>
        <v>3.0303030303030304E-2</v>
      </c>
      <c r="O17" s="89"/>
      <c r="Q17" s="85"/>
      <c r="R17" s="68">
        <f>'[1]Kalugin Kharkiv Univ Bull 2019 '!C38</f>
        <v>3.8171914999999998E-4</v>
      </c>
      <c r="S17" s="68">
        <f>'[1]Kalugin Kharkiv Univ Bull 2019 '!E38</f>
        <v>6.0946000000000002E-5</v>
      </c>
      <c r="T17" s="90"/>
    </row>
    <row r="18" spans="2:23" ht="60" customHeight="1" x14ac:dyDescent="0.25">
      <c r="B18" s="85"/>
      <c r="C18" s="68">
        <f>'[1]Anand Z Phys Chem 2016'!A7</f>
        <v>4.5050031372807997E-2</v>
      </c>
      <c r="D18" s="68">
        <f>'[1]Anand Z Phys Chem 2016'!C7</f>
        <v>6.9661650396890843E-4</v>
      </c>
      <c r="E18" s="90"/>
      <c r="G18" s="85"/>
      <c r="H18" s="68">
        <f>'[1]Wypych J Mol Liq 2014'!A9</f>
        <v>3.0000000000000001E-3</v>
      </c>
      <c r="I18" s="68">
        <f>'[1]Wypych J Mol Liq 2014'!B9</f>
        <v>5.4341470372513251E-4</v>
      </c>
      <c r="J18" s="90"/>
      <c r="L18" s="85"/>
      <c r="M18" s="68">
        <f>'[1]Kalugin Kharkiv Univ Bull 2019 '!C12</f>
        <v>7.9658500000000004E-4</v>
      </c>
      <c r="N18" s="68">
        <f>'[1]Kalugin Kharkiv Univ Bull 2019 '!E12</f>
        <v>1.2805E-4</v>
      </c>
      <c r="O18" s="88" t="s">
        <v>262</v>
      </c>
      <c r="Q18" s="85"/>
      <c r="R18" s="68">
        <f>'[1]Kalugin Kharkiv Univ Bull 2019 '!C39</f>
        <v>4.3208084999999996E-4</v>
      </c>
      <c r="S18" s="68">
        <f>'[1]Kalugin Kharkiv Univ Bull 2019 '!E39</f>
        <v>6.8356000000000008E-5</v>
      </c>
      <c r="T18" s="90"/>
    </row>
    <row r="19" spans="2:23" ht="60" customHeight="1" x14ac:dyDescent="0.25">
      <c r="B19" s="85"/>
      <c r="C19" s="68">
        <f>'[1]Anand Z Phys Chem 2016'!A8</f>
        <v>4.0268154948647598E-2</v>
      </c>
      <c r="D19" s="68">
        <f>'[1]Anand Z Phys Chem 2016'!C8</f>
        <v>5.822742283504975E-4</v>
      </c>
      <c r="E19" s="90"/>
      <c r="G19" s="85"/>
      <c r="H19" s="68">
        <f>'[1]Wypych J Mol Liq 2014'!A10</f>
        <v>4.0000000000000001E-3</v>
      </c>
      <c r="I19" s="68">
        <f>'[1]Wypych J Mol Liq 2014'!B10</f>
        <v>7.190506947066461E-4</v>
      </c>
      <c r="J19" s="90"/>
      <c r="L19" s="85"/>
      <c r="M19" s="68">
        <f>'[1]Kalugin Kharkiv Univ Bull 2019 '!C13</f>
        <v>9.6583974999999995E-4</v>
      </c>
      <c r="N19" s="68">
        <f>'[1]Kalugin Kharkiv Univ Bull 2019 '!E13</f>
        <v>1.5412000000000002E-4</v>
      </c>
      <c r="O19" s="90"/>
      <c r="Q19" s="85"/>
      <c r="R19" s="68">
        <f>'[1]Kalugin Kharkiv Univ Bull 2019 '!C40</f>
        <v>5.8671850000000002E-4</v>
      </c>
      <c r="S19" s="68">
        <f>'[1]Kalugin Kharkiv Univ Bull 2019 '!E40</f>
        <v>9.7729000000000012E-5</v>
      </c>
      <c r="T19" s="90"/>
    </row>
    <row r="20" spans="2:23" ht="60" customHeight="1" x14ac:dyDescent="0.25">
      <c r="B20" s="85"/>
      <c r="C20" s="68">
        <f>'[1]Anand Z Phys Chem 2016'!A9</f>
        <v>3.6203559988111297E-2</v>
      </c>
      <c r="D20" s="68">
        <f>'[1]Anand Z Phys Chem 2016'!C9</f>
        <v>4.6901833621402599E-4</v>
      </c>
      <c r="E20" s="90"/>
      <c r="G20" s="85"/>
      <c r="H20" s="68">
        <f>'[1]Wypych J Mol Liq 2014'!A11</f>
        <v>5.0000000000000001E-3</v>
      </c>
      <c r="I20" s="68">
        <f>'[1]Wypych J Mol Liq 2014'!B11</f>
        <v>8.9275390098460543E-4</v>
      </c>
      <c r="J20" s="90"/>
      <c r="L20" s="85"/>
      <c r="M20" s="68">
        <f>'[1]Kalugin Kharkiv Univ Bull 2019 '!C14</f>
        <v>1.3707834999999999E-3</v>
      </c>
      <c r="N20" s="68">
        <f>'[1]Kalugin Kharkiv Univ Bull 2019 '!E14</f>
        <v>2.1596000000000001E-4</v>
      </c>
      <c r="O20" s="90"/>
      <c r="Q20" s="85"/>
      <c r="R20" s="68">
        <f>'[1]Kalugin Kharkiv Univ Bull 2019 '!C41</f>
        <v>7.6976089999999996E-4</v>
      </c>
      <c r="S20" s="68">
        <f>'[1]Kalugin Kharkiv Univ Bull 2019 '!E41</f>
        <v>1.1561000000000001E-4</v>
      </c>
      <c r="T20" s="89"/>
    </row>
    <row r="21" spans="2:23" ht="60" customHeight="1" x14ac:dyDescent="0.25">
      <c r="B21" s="85"/>
      <c r="C21" s="68">
        <f>'[1]Anand Z Phys Chem 2016'!A10</f>
        <v>3.0226214457910801E-2</v>
      </c>
      <c r="D21" s="68">
        <f>'[1]Anand Z Phys Chem 2016'!C10</f>
        <v>3.4609465816630875E-4</v>
      </c>
      <c r="E21" s="90"/>
      <c r="G21" s="85"/>
      <c r="H21" s="68">
        <f>'[1]Wypych J Mol Liq 2014'!A12</f>
        <v>6.0000000000000001E-3</v>
      </c>
      <c r="I21" s="68">
        <f>'[1]Wypych J Mol Liq 2014'!B12</f>
        <v>1.0647308684555239E-3</v>
      </c>
      <c r="J21" s="90"/>
      <c r="L21" s="85"/>
      <c r="M21" s="68">
        <f>'[1]Kalugin Kharkiv Univ Bull 2019 '!C15</f>
        <v>1.6890262500000002E-3</v>
      </c>
      <c r="N21" s="68">
        <f>'[1]Kalugin Kharkiv Univ Bull 2019 '!E15</f>
        <v>2.6379000000000002E-4</v>
      </c>
      <c r="O21" s="90"/>
      <c r="Q21" s="85"/>
      <c r="R21" s="68">
        <f>'[1]Das JCED 1999'!B9</f>
        <v>2.5535000000000002E-3</v>
      </c>
      <c r="S21" s="68">
        <f>'[1]Das JCED 1999'!D9</f>
        <v>4.2089340500000005E-4</v>
      </c>
      <c r="T21" s="88" t="s">
        <v>261</v>
      </c>
      <c r="W21" s="60"/>
    </row>
    <row r="22" spans="2:23" ht="60" customHeight="1" x14ac:dyDescent="0.25">
      <c r="B22" s="85"/>
      <c r="C22" s="68">
        <f>'[1]Anand Z Phys Chem 2016'!A11</f>
        <v>1.99451801459661E-2</v>
      </c>
      <c r="D22" s="68">
        <f>'[1]Anand Z Phys Chem 2016'!C11</f>
        <v>1.6834489332651469E-4</v>
      </c>
      <c r="E22" s="90"/>
      <c r="G22" s="85"/>
      <c r="H22" s="68">
        <f>'[1]Wypych J Mol Liq 2014'!A13</f>
        <v>7.0000000000000001E-3</v>
      </c>
      <c r="I22" s="68">
        <f>'[1]Wypych J Mol Liq 2014'!B13</f>
        <v>1.2351332277161472E-3</v>
      </c>
      <c r="J22" s="89"/>
      <c r="L22" s="85"/>
      <c r="M22" s="68">
        <f>'[1]Kalugin Kharkiv Univ Bull 2019 '!C16</f>
        <v>2.04615925E-3</v>
      </c>
      <c r="N22" s="68">
        <f>'[1]Kalugin Kharkiv Univ Bull 2019 '!E16</f>
        <v>3.1684000000000004E-4</v>
      </c>
      <c r="O22" s="90"/>
      <c r="Q22" s="85"/>
      <c r="R22" s="68">
        <f>'[1]Das JCED 1999'!B10</f>
        <v>3.5412E-3</v>
      </c>
      <c r="S22" s="68">
        <f>'[1]Das JCED 1999'!D10</f>
        <v>5.7062896799999993E-4</v>
      </c>
      <c r="T22" s="90"/>
    </row>
    <row r="23" spans="2:23" ht="142.5" x14ac:dyDescent="0.25">
      <c r="B23" s="85"/>
      <c r="C23" s="68">
        <f>'[1]Anand Z Phys Chem 2016'!A12</f>
        <v>1.0142333476437299E-2</v>
      </c>
      <c r="D23" s="68">
        <f>'[1]Anand Z Phys Chem 2016'!C12</f>
        <v>5.5079061725431765E-5</v>
      </c>
      <c r="E23" s="89"/>
      <c r="G23" s="85"/>
      <c r="H23" s="68">
        <f>'[1]House J Org Chem 1971'!B7</f>
        <v>0.6</v>
      </c>
      <c r="I23" s="68">
        <f>'[1]House J Org Chem 1971'!D7</f>
        <v>3.8461538461538464E-2</v>
      </c>
      <c r="J23" s="68" t="s">
        <v>250</v>
      </c>
      <c r="L23" s="85"/>
      <c r="M23" s="68">
        <f>'[1]Kalugin Kharkiv Univ Bull 2019 '!C17</f>
        <v>2.4298189999999997E-3</v>
      </c>
      <c r="N23" s="68">
        <f>'[1]Kalugin Kharkiv Univ Bull 2019 '!E17</f>
        <v>3.7332000000000006E-4</v>
      </c>
      <c r="O23" s="90"/>
      <c r="Q23" s="85"/>
      <c r="R23" s="68">
        <f>'[1]Das JCED 1999'!B11</f>
        <v>4.0008000000000005E-3</v>
      </c>
      <c r="S23" s="68">
        <f>'[1]Das JCED 1999'!D11</f>
        <v>6.3860769600000017E-4</v>
      </c>
      <c r="T23" s="90"/>
    </row>
    <row r="24" spans="2:23" ht="64.150000000000006" customHeight="1" x14ac:dyDescent="0.25">
      <c r="B24" s="85"/>
      <c r="C24" s="68"/>
      <c r="D24" s="68"/>
      <c r="E24" s="68"/>
      <c r="G24" s="85"/>
      <c r="H24" s="68">
        <f>'[1]Anand Z Phys Chem 2016'!A19</f>
        <v>4.4810937551599997E-2</v>
      </c>
      <c r="I24" s="68">
        <f>'[1]Kalugin Kharkiv Univ Bull 2019 '!C19</f>
        <v>0</v>
      </c>
      <c r="J24" s="88" t="s">
        <v>260</v>
      </c>
      <c r="L24" s="85"/>
      <c r="M24" s="68">
        <f>'[1]Anand Z Phys Chem 2016'!A18</f>
        <v>4.9831907796968299E-2</v>
      </c>
      <c r="N24" s="68">
        <f>'[1]Kalugin Kharkiv Univ Bull 2019 '!C18</f>
        <v>2.99541E-3</v>
      </c>
      <c r="O24" s="89"/>
      <c r="Q24" s="85"/>
      <c r="R24" s="68">
        <f>'[1]Das JCED 1999'!B12</f>
        <v>4.5163E-3</v>
      </c>
      <c r="S24" s="68">
        <f>'[1]Das JCED 1999'!D12</f>
        <v>7.1362056300000002E-4</v>
      </c>
      <c r="T24" s="89"/>
    </row>
    <row r="25" spans="2:23" ht="64.150000000000006" customHeight="1" x14ac:dyDescent="0.25">
      <c r="B25" s="85"/>
      <c r="C25" s="68"/>
      <c r="D25" s="68"/>
      <c r="E25" s="68"/>
      <c r="G25" s="85"/>
      <c r="H25" s="68">
        <f>'[1]Anand Z Phys Chem 2016'!A20</f>
        <v>3.6203559988111297E-2</v>
      </c>
      <c r="I25" s="68">
        <f>'[1]Kalugin Kharkiv Univ Bull 2019 '!C20</f>
        <v>0</v>
      </c>
      <c r="J25" s="90"/>
      <c r="L25" s="85"/>
      <c r="M25" s="68"/>
      <c r="N25" s="68"/>
      <c r="O25" s="68"/>
      <c r="Q25" s="85"/>
      <c r="R25" s="68">
        <f>'[1]Dilo Rev Cub Quim 2010'!A14</f>
        <v>1.0150000000000001E-3</v>
      </c>
      <c r="S25" s="68">
        <f>'[1]Dilo Rev Cub Quim 2010'!C14</f>
        <v>1.7378931500000003E-4</v>
      </c>
      <c r="T25" s="88" t="s">
        <v>259</v>
      </c>
    </row>
    <row r="26" spans="2:23" ht="64.150000000000006" customHeight="1" x14ac:dyDescent="0.25">
      <c r="B26" s="85"/>
      <c r="C26" s="68"/>
      <c r="D26" s="68"/>
      <c r="E26" s="68"/>
      <c r="G26" s="85"/>
      <c r="H26" s="68">
        <f>'[1]Anand Z Phys Chem 2016'!A21</f>
        <v>4.0029061127439598E-2</v>
      </c>
      <c r="I26" s="68">
        <f>'[1]Kalugin Kharkiv Univ Bull 2019 '!C21</f>
        <v>0</v>
      </c>
      <c r="J26" s="90"/>
      <c r="L26" s="85"/>
      <c r="M26" s="68"/>
      <c r="N26" s="68"/>
      <c r="O26" s="68"/>
      <c r="Q26" s="85"/>
      <c r="R26" s="68">
        <f>'[1]Dilo Rev Cub Quim 2010'!A15</f>
        <v>2.8806000000000001E-3</v>
      </c>
      <c r="S26" s="68">
        <f>'[1]Dilo Rev Cub Quim 2010'!C15</f>
        <v>4.6530619860000007E-4</v>
      </c>
      <c r="T26" s="90"/>
    </row>
    <row r="27" spans="2:23" ht="64.150000000000006" customHeight="1" x14ac:dyDescent="0.25">
      <c r="B27" s="85"/>
      <c r="C27" s="68"/>
      <c r="D27" s="68"/>
      <c r="E27" s="68"/>
      <c r="G27" s="85"/>
      <c r="H27" s="68">
        <f>'[1]Anand Z Phys Chem 2016'!A22</f>
        <v>2.9987120636702801E-2</v>
      </c>
      <c r="I27" s="68">
        <f>'[1]Kalugin Kharkiv Univ Bull 2019 '!C22</f>
        <v>0</v>
      </c>
      <c r="J27" s="90"/>
      <c r="L27" s="85"/>
      <c r="M27" s="68"/>
      <c r="N27" s="68"/>
      <c r="O27" s="68"/>
      <c r="Q27" s="85"/>
      <c r="R27" s="68">
        <f>'[1]Dilo Rev Cub Quim 2010'!A16</f>
        <v>4.6937000000000003E-3</v>
      </c>
      <c r="S27" s="68">
        <f>'[1]Dilo Rev Cub Quim 2010'!C16</f>
        <v>7.3750699990000012E-4</v>
      </c>
      <c r="T27" s="90"/>
    </row>
    <row r="28" spans="2:23" ht="64.150000000000006" customHeight="1" x14ac:dyDescent="0.25">
      <c r="B28" s="85"/>
      <c r="C28" s="68"/>
      <c r="D28" s="68"/>
      <c r="E28" s="68"/>
      <c r="G28" s="85"/>
      <c r="H28" s="68">
        <f>'[1]Anand Z Phys Chem 2016'!A23</f>
        <v>1.99451801459661E-2</v>
      </c>
      <c r="I28" s="68">
        <f>'[1]Kalugin Kharkiv Univ Bull 2019 '!C23</f>
        <v>0</v>
      </c>
      <c r="J28" s="89"/>
      <c r="L28" s="85"/>
      <c r="M28" s="68"/>
      <c r="N28" s="68"/>
      <c r="O28" s="68"/>
      <c r="Q28" s="85"/>
      <c r="R28" s="68">
        <f>'[1]Dilo Rev Cub Quim 2010'!A17</f>
        <v>6.5418000000000004E-3</v>
      </c>
      <c r="S28" s="68">
        <f>'[1]Dilo Rev Cub Quim 2010'!C17</f>
        <v>9.7656644580000011E-4</v>
      </c>
      <c r="T28" s="90"/>
    </row>
    <row r="29" spans="2:23" ht="30" customHeight="1" x14ac:dyDescent="0.25">
      <c r="B29" s="85"/>
      <c r="C29" s="68"/>
      <c r="D29" s="68"/>
      <c r="E29" s="68"/>
      <c r="G29" s="85"/>
      <c r="H29" s="68"/>
      <c r="I29" s="65"/>
      <c r="J29" s="65"/>
      <c r="L29" s="85"/>
      <c r="M29" s="68"/>
      <c r="N29" s="68"/>
      <c r="O29" s="68"/>
      <c r="Q29" s="85"/>
      <c r="R29" s="68">
        <f>'[1]Dilo Rev Cub Quim 2010'!A18</f>
        <v>8.4104000000000002E-3</v>
      </c>
      <c r="S29" s="68">
        <f>'[1]Dilo Rev Cub Quim 2010'!C18</f>
        <v>1.2169091864000002E-3</v>
      </c>
      <c r="T29" s="89"/>
    </row>
    <row r="30" spans="2:23" x14ac:dyDescent="0.25">
      <c r="B30" s="86"/>
      <c r="C30" s="72">
        <v>0.3</v>
      </c>
      <c r="D30" s="72">
        <f>-0.05*C30^2+0.0791*C30-0.002</f>
        <v>1.7230000000000002E-2</v>
      </c>
      <c r="E30" s="72" t="s">
        <v>248</v>
      </c>
      <c r="G30" s="86"/>
      <c r="H30" s="72">
        <v>0.3</v>
      </c>
      <c r="I30" s="72">
        <f>-0.0302*H30^2+0.0815*H30-0.0008</f>
        <v>2.0932000000000003E-2</v>
      </c>
      <c r="J30" s="72" t="s">
        <v>248</v>
      </c>
      <c r="L30" s="86"/>
      <c r="M30" s="72">
        <v>0.3</v>
      </c>
      <c r="N30" s="72">
        <f>-0.0577*M30^2+0.0898*M30+0.00008</f>
        <v>2.1827000000000003E-2</v>
      </c>
      <c r="O30" s="72" t="s">
        <v>248</v>
      </c>
      <c r="Q30" s="86"/>
      <c r="R30" s="73">
        <v>0.3</v>
      </c>
      <c r="S30" s="73">
        <f>0.1483*R30+0.00002</f>
        <v>4.4509999999999994E-2</v>
      </c>
      <c r="T30" s="73" t="s">
        <v>243</v>
      </c>
    </row>
    <row r="31" spans="2:23" x14ac:dyDescent="0.25">
      <c r="G31" s="60"/>
      <c r="I31" s="28"/>
      <c r="J31" s="28"/>
      <c r="L31" s="60"/>
      <c r="Q31" s="60"/>
    </row>
    <row r="32" spans="2:23" ht="30" customHeight="1" x14ac:dyDescent="0.25">
      <c r="B32" s="84" t="s">
        <v>207</v>
      </c>
      <c r="C32" s="68">
        <f>'[1]Mukherjee J Phys Chem 1969'!A11</f>
        <v>1E-3</v>
      </c>
      <c r="D32" s="68">
        <f>'[1]Mukherjee J Phys Chem 1969'!B11</f>
        <v>2.7211508808534348E-5</v>
      </c>
      <c r="E32" s="88" t="s">
        <v>258</v>
      </c>
      <c r="G32" s="84" t="s">
        <v>207</v>
      </c>
      <c r="H32" s="68">
        <f>'[1]Mukherjee J Phys Chem 1969'!D11</f>
        <v>1E-3</v>
      </c>
      <c r="I32" s="68">
        <f>'[1]Mukherjee J Phys Chem 1969'!E11</f>
        <v>3.1630033019835727E-5</v>
      </c>
      <c r="J32" s="88" t="s">
        <v>258</v>
      </c>
      <c r="L32" s="84" t="s">
        <v>207</v>
      </c>
      <c r="M32" s="68">
        <f>'[1]Ue JECS 1994'!B10</f>
        <v>0.65</v>
      </c>
      <c r="N32" s="68">
        <f>'[1]Ue JECS 1994'!C10/1000</f>
        <v>7.2300000000000003E-3</v>
      </c>
      <c r="O32" s="88" t="s">
        <v>251</v>
      </c>
      <c r="Q32" s="84" t="s">
        <v>207</v>
      </c>
      <c r="R32" s="68">
        <f>'[1]Mukherjee J Phys Chem 1969'!H11</f>
        <v>1E-3</v>
      </c>
      <c r="S32" s="68">
        <f>'[1]Mukherjee J Phys Chem 1969'!I11</f>
        <v>3.0656925958644218E-5</v>
      </c>
      <c r="T32" s="88" t="s">
        <v>258</v>
      </c>
    </row>
    <row r="33" spans="2:20" ht="30" customHeight="1" x14ac:dyDescent="0.25">
      <c r="B33" s="85"/>
      <c r="C33" s="68">
        <f>'[1]Mukherjee J Phys Chem 1969'!A12</f>
        <v>2E-3</v>
      </c>
      <c r="D33" s="68">
        <f>'[1]Mukherjee J Phys Chem 1969'!B12</f>
        <v>5.3728208474583968E-5</v>
      </c>
      <c r="E33" s="90"/>
      <c r="G33" s="85"/>
      <c r="H33" s="68">
        <f>'[1]Mukherjee J Phys Chem 1969'!D12</f>
        <v>2E-3</v>
      </c>
      <c r="I33" s="68">
        <f>'[1]Mukherjee J Phys Chem 1969'!E12</f>
        <v>6.2493155818728701E-5</v>
      </c>
      <c r="J33" s="90"/>
      <c r="L33" s="85"/>
      <c r="M33" s="68">
        <f>'[1]Ue JECS 1994'!A18</f>
        <v>2.77795812819834E-2</v>
      </c>
      <c r="N33" s="68">
        <f>'[1]Ue JECS 1994'!C18</f>
        <v>6.4151492372494E-4</v>
      </c>
      <c r="O33" s="90"/>
      <c r="Q33" s="85"/>
      <c r="R33" s="68">
        <f>'[1]Mukherjee J Phys Chem 1969'!H12</f>
        <v>2E-3</v>
      </c>
      <c r="S33" s="68">
        <f>'[1]Mukherjee J Phys Chem 1969'!I12</f>
        <v>6.0609080816895597E-5</v>
      </c>
      <c r="T33" s="90"/>
    </row>
    <row r="34" spans="2:20" ht="30" customHeight="1" x14ac:dyDescent="0.25">
      <c r="B34" s="85"/>
      <c r="C34" s="68">
        <f>'[1]Mukherjee J Phys Chem 1969'!A13</f>
        <v>3.0000000000000001E-3</v>
      </c>
      <c r="D34" s="68">
        <f>'[1]Mukherjee J Phys Chem 1969'!B13</f>
        <v>7.9852408146862777E-5</v>
      </c>
      <c r="E34" s="90"/>
      <c r="G34" s="85"/>
      <c r="H34" s="68">
        <f>'[1]Mukherjee J Phys Chem 1969'!D13</f>
        <v>3.0000000000000001E-3</v>
      </c>
      <c r="I34" s="68">
        <f>'[1]Mukherjee J Phys Chem 1969'!E13</f>
        <v>9.290406228820849E-5</v>
      </c>
      <c r="J34" s="90"/>
      <c r="L34" s="85"/>
      <c r="M34" s="68">
        <f>'[1]Ue JECS 1994'!A19</f>
        <v>6.06653893688439E-2</v>
      </c>
      <c r="N34" s="68">
        <f>'[1]Ue JECS 1994'!C19</f>
        <v>1.2375235666209502E-3</v>
      </c>
      <c r="O34" s="90"/>
      <c r="Q34" s="85"/>
      <c r="R34" s="68">
        <f>'[1]Mukherjee J Phys Chem 1969'!H13</f>
        <v>3.0000000000000001E-3</v>
      </c>
      <c r="S34" s="68">
        <f>'[1]Mukherjee J Phys Chem 1969'!I13</f>
        <v>9.0168179980480397E-5</v>
      </c>
      <c r="T34" s="90"/>
    </row>
    <row r="35" spans="2:20" ht="51" customHeight="1" x14ac:dyDescent="0.25">
      <c r="B35" s="85"/>
      <c r="C35" s="68">
        <f>'[1]Mukherjee J Phys Chem 1969'!A14</f>
        <v>4.0000000000000001E-3</v>
      </c>
      <c r="D35" s="68">
        <f>'[1]Mukherjee J Phys Chem 1969'!B14</f>
        <v>1.056922565948685E-4</v>
      </c>
      <c r="E35" s="89"/>
      <c r="G35" s="85"/>
      <c r="H35" s="68">
        <f>'[1]Mukherjee J Phys Chem 1969'!D14</f>
        <v>4.0000000000000001E-3</v>
      </c>
      <c r="I35" s="68">
        <f>'[1]Mukherjee J Phys Chem 1969'!E14</f>
        <v>1.2297527929804771E-4</v>
      </c>
      <c r="J35" s="89"/>
      <c r="L35" s="85"/>
      <c r="M35" s="68">
        <f>'[1]Ue JECS 1994'!A20</f>
        <v>8.3327532110991295E-2</v>
      </c>
      <c r="N35" s="68">
        <f>'[1]Ue JECS 1994'!C20</f>
        <v>1.72576387300134E-3</v>
      </c>
      <c r="O35" s="90"/>
      <c r="Q35" s="85"/>
      <c r="R35" s="68">
        <f>'[1]Mukherjee J Phys Chem 1969'!H14</f>
        <v>4.0000000000000001E-3</v>
      </c>
      <c r="S35" s="68">
        <f>'[1]Mukherjee J Phys Chem 1969'!I14</f>
        <v>1.194456188645813E-4</v>
      </c>
      <c r="T35" s="89"/>
    </row>
    <row r="36" spans="2:20" ht="156.75" x14ac:dyDescent="0.25">
      <c r="B36" s="85"/>
      <c r="C36" s="68">
        <f>'[1] Chernozhuk Chem Tech 2016'!A7</f>
        <v>1E-3</v>
      </c>
      <c r="D36" s="68">
        <f>'[1] Chernozhuk Chem Tech 2016'!C7</f>
        <v>2.7389311996581668E-5</v>
      </c>
      <c r="E36" s="88" t="s">
        <v>257</v>
      </c>
      <c r="G36" s="85"/>
      <c r="H36" s="68">
        <v>1</v>
      </c>
      <c r="I36" s="68">
        <f>'[1]Ue JECS 1994'!C70</f>
        <v>1.0999999999999999E-2</v>
      </c>
      <c r="J36" s="68" t="s">
        <v>251</v>
      </c>
      <c r="L36" s="85"/>
      <c r="M36" s="68">
        <f>'[1]Ue JECS 1994'!A21</f>
        <v>0.108230270238364</v>
      </c>
      <c r="N36" s="68">
        <f>'[1]Ue JECS 1994'!C21</f>
        <v>2.2249976506132701E-3</v>
      </c>
      <c r="O36" s="90"/>
      <c r="Q36" s="85"/>
      <c r="R36" s="68">
        <f>'[1]Dilo Rev Cub Quim 2010'!A5</f>
        <v>1.0326000000000001E-3</v>
      </c>
      <c r="S36" s="68">
        <f>'[1]Dilo Rev Cub Quim 2010'!C5</f>
        <v>3.2090213460000001E-5</v>
      </c>
      <c r="T36" s="88" t="s">
        <v>256</v>
      </c>
    </row>
    <row r="37" spans="2:20" ht="142.5" x14ac:dyDescent="0.25">
      <c r="B37" s="85"/>
      <c r="C37" s="68">
        <f>'[1] Chernozhuk Chem Tech 2016'!A8</f>
        <v>2E-3</v>
      </c>
      <c r="D37" s="68">
        <f>'[1] Chernozhuk Chem Tech 2016'!C8</f>
        <v>5.4757247986326682E-5</v>
      </c>
      <c r="E37" s="90"/>
      <c r="G37" s="85"/>
      <c r="H37" s="68">
        <v>0.65</v>
      </c>
      <c r="I37" s="68">
        <v>9.9000000000000008E-3</v>
      </c>
      <c r="J37" s="68" t="s">
        <v>255</v>
      </c>
      <c r="L37" s="85"/>
      <c r="M37" s="68">
        <f>'[1]Ue JECS 1994'!A22</f>
        <v>0.13311773213059999</v>
      </c>
      <c r="N37" s="68">
        <f>'[1]Ue JECS 1994'!C22</f>
        <v>2.7016735210060499E-3</v>
      </c>
      <c r="O37" s="90"/>
      <c r="Q37" s="85"/>
      <c r="R37" s="68">
        <f>'[1]Dilo Rev Cub Quim 2010'!A6</f>
        <v>2.8214999999999998E-3</v>
      </c>
      <c r="S37" s="68">
        <f>'[1]Dilo Rev Cub Quim 2010'!C6</f>
        <v>8.5098132899999983E-5</v>
      </c>
      <c r="T37" s="90"/>
    </row>
    <row r="38" spans="2:20" ht="42.75" customHeight="1" x14ac:dyDescent="0.25">
      <c r="B38" s="85"/>
      <c r="C38" s="68">
        <f>'[1] Chernozhuk Chem Tech 2016'!A9</f>
        <v>3.0000000000000001E-3</v>
      </c>
      <c r="D38" s="68">
        <f>'[1] Chernozhuk Chem Tech 2016'!C9</f>
        <v>8.2103807969235025E-5</v>
      </c>
      <c r="E38" s="89"/>
      <c r="G38" s="85"/>
      <c r="H38" s="68"/>
      <c r="I38" s="68"/>
      <c r="J38" s="68"/>
      <c r="L38" s="85"/>
      <c r="M38" s="68">
        <f>'[1]Ue JECS 1994'!A23</f>
        <v>0.160269821037543</v>
      </c>
      <c r="N38" s="68">
        <f>'[1]Ue JECS 1994'!C23</f>
        <v>3.2248295688289802E-3</v>
      </c>
      <c r="O38" s="90"/>
      <c r="Q38" s="85"/>
      <c r="R38" s="68">
        <f>'[1]Dilo Rev Cub Quim 2010'!A7</f>
        <v>4.6381E-3</v>
      </c>
      <c r="S38" s="68">
        <f>'[1]Dilo Rev Cub Quim 2010'!C7</f>
        <v>1.3677571376E-4</v>
      </c>
      <c r="T38" s="90"/>
    </row>
    <row r="39" spans="2:20" ht="45" customHeight="1" x14ac:dyDescent="0.25">
      <c r="B39" s="85"/>
      <c r="C39" s="68">
        <f>'[1]Salomon Electr Acta 1983'!B9</f>
        <v>4.9561600000000003E-3</v>
      </c>
      <c r="D39" s="68">
        <f>'[1]Salomon Electr Acta 1983'!D9</f>
        <v>9.9429832455423983E-5</v>
      </c>
      <c r="E39" s="88" t="s">
        <v>254</v>
      </c>
      <c r="G39" s="85"/>
      <c r="H39" s="68"/>
      <c r="I39" s="65"/>
      <c r="J39" s="68"/>
      <c r="L39" s="85"/>
      <c r="M39" s="68">
        <v>1</v>
      </c>
      <c r="N39" s="68">
        <f>'[1]Ue JECS 1994'!D70</f>
        <v>7.4000000000000003E-3</v>
      </c>
      <c r="O39" s="89"/>
      <c r="Q39" s="85"/>
      <c r="R39" s="68">
        <f>'[1]Dilo Rev Cub Quim 2010'!A8</f>
        <v>6.4580000000000002E-3</v>
      </c>
      <c r="S39" s="68">
        <f>'[1]Dilo Rev Cub Quim 2010'!C8</f>
        <v>1.8702367999999999E-4</v>
      </c>
      <c r="T39" s="90"/>
    </row>
    <row r="40" spans="2:20" ht="45" customHeight="1" x14ac:dyDescent="0.25">
      <c r="B40" s="85"/>
      <c r="C40" s="68">
        <f>'[1]Salomon Electr Acta 1983'!B10</f>
        <v>7.5689999999999993E-3</v>
      </c>
      <c r="D40" s="68">
        <f>'[1]Salomon Electr Acta 1983'!D10</f>
        <v>1.5103854135338336E-4</v>
      </c>
      <c r="E40" s="89"/>
      <c r="G40" s="85"/>
      <c r="H40" s="68"/>
      <c r="I40" s="65"/>
      <c r="J40" s="68"/>
      <c r="L40" s="85"/>
      <c r="M40" s="74"/>
      <c r="N40" s="74"/>
      <c r="O40" s="68"/>
      <c r="Q40" s="85"/>
      <c r="R40" s="68">
        <f>'[1]Dilo Rev Cub Quim 2010'!A9</f>
        <v>8.2468999999999997E-3</v>
      </c>
      <c r="S40" s="68">
        <f>'[1]Dilo Rev Cub Quim 2010'!C9</f>
        <v>2.3384827170999997E-4</v>
      </c>
      <c r="T40" s="89"/>
    </row>
    <row r="41" spans="2:20" ht="171" x14ac:dyDescent="0.25">
      <c r="B41" s="85"/>
      <c r="C41" s="68">
        <v>1</v>
      </c>
      <c r="D41" s="68">
        <f>'[1]Ue JECS 1994'!B70</f>
        <v>6.0000000000000001E-3</v>
      </c>
      <c r="E41" s="68" t="s">
        <v>251</v>
      </c>
      <c r="G41" s="85"/>
      <c r="H41" s="68"/>
      <c r="I41" s="65"/>
      <c r="J41" s="68"/>
      <c r="L41" s="85"/>
      <c r="M41" s="74"/>
      <c r="N41" s="74"/>
      <c r="O41" s="68"/>
      <c r="Q41" s="85"/>
      <c r="R41" s="68"/>
      <c r="S41" s="68"/>
      <c r="T41" s="68"/>
    </row>
    <row r="42" spans="2:20" x14ac:dyDescent="0.25">
      <c r="B42" s="86"/>
      <c r="C42" s="72">
        <v>0.3</v>
      </c>
      <c r="D42" s="72">
        <f>-0.0108*C42^2+0.0168*C42+0.00002</f>
        <v>4.0879999999999996E-3</v>
      </c>
      <c r="E42" s="72" t="s">
        <v>248</v>
      </c>
      <c r="G42" s="86"/>
      <c r="H42" s="72">
        <v>0.3</v>
      </c>
      <c r="I42" s="72">
        <f>-0.0121*H42^2+0.023*H42+0.00002</f>
        <v>5.8310000000000002E-3</v>
      </c>
      <c r="J42" s="72" t="s">
        <v>248</v>
      </c>
      <c r="L42" s="86"/>
      <c r="M42" s="72">
        <v>0.3</v>
      </c>
      <c r="N42" s="72">
        <f>-0.0112*M42^2+0.0182*M42+0.0003</f>
        <v>4.7520000000000001E-3</v>
      </c>
      <c r="O42" s="72" t="s">
        <v>248</v>
      </c>
      <c r="Q42" s="86"/>
      <c r="R42" s="73">
        <v>0.3</v>
      </c>
      <c r="S42" s="73">
        <f>0.0281*R42+0.000005</f>
        <v>8.4349999999999998E-3</v>
      </c>
      <c r="T42" s="73" t="s">
        <v>243</v>
      </c>
    </row>
    <row r="44" spans="2:20" ht="225" customHeight="1" x14ac:dyDescent="0.25">
      <c r="B44" s="84" t="s">
        <v>169</v>
      </c>
      <c r="C44" s="68">
        <f>'[1]House J Org Chem 1971'!B13</f>
        <v>0.6</v>
      </c>
      <c r="D44" s="68">
        <f>'[1]House J Org Chem 1971'!D13</f>
        <v>1.2987012987012988E-2</v>
      </c>
      <c r="E44" s="88" t="s">
        <v>250</v>
      </c>
      <c r="G44" s="84" t="s">
        <v>169</v>
      </c>
      <c r="H44" s="68">
        <v>1</v>
      </c>
      <c r="I44" s="68">
        <f>'[1]Ue JECS 1994'!C71</f>
        <v>2.4E-2</v>
      </c>
      <c r="J44" s="68" t="s">
        <v>251</v>
      </c>
      <c r="L44" s="84" t="s">
        <v>169</v>
      </c>
      <c r="M44" s="68">
        <v>1</v>
      </c>
      <c r="N44" s="68">
        <f>'[1]Gong EES 2015'!G7/1000</f>
        <v>1.4500000000000001E-2</v>
      </c>
      <c r="O44" s="68" t="s">
        <v>253</v>
      </c>
      <c r="Q44" s="84" t="s">
        <v>169</v>
      </c>
      <c r="R44" s="68">
        <f>'[1]Nakata Anal Sci 2001'!H14</f>
        <v>1.2892057784115549E-3</v>
      </c>
      <c r="S44" s="68">
        <f>'[1]Nakata Anal Sci 2001'!J14</f>
        <v>1.0612592494750185E-4</v>
      </c>
      <c r="T44" s="88" t="s">
        <v>245</v>
      </c>
    </row>
    <row r="45" spans="2:20" ht="156.75" x14ac:dyDescent="0.25">
      <c r="B45" s="85"/>
      <c r="C45" s="68">
        <f>'[1]House J Org Chem 1971'!B14</f>
        <v>0.5</v>
      </c>
      <c r="D45" s="68">
        <f>'[1]House J Org Chem 1971'!D14</f>
        <v>1.2195121951219513E-2</v>
      </c>
      <c r="E45" s="89"/>
      <c r="G45" s="85"/>
      <c r="H45" s="68">
        <f>'Debye-Huckel-Onsager'!I51</f>
        <v>1E-3</v>
      </c>
      <c r="I45" s="68">
        <f>'Debye-Huckel-Onsager'!K51</f>
        <v>8.5662728345558216E-5</v>
      </c>
      <c r="J45" s="88" t="s">
        <v>246</v>
      </c>
      <c r="L45" s="85"/>
      <c r="M45" s="68">
        <v>0.1</v>
      </c>
      <c r="N45" s="68">
        <f>'[1]Shinkle J Pow Sources 2014'!C9/1000</f>
        <v>4.7599999999999995E-3</v>
      </c>
      <c r="O45" s="68" t="s">
        <v>252</v>
      </c>
      <c r="Q45" s="85"/>
      <c r="R45" s="68">
        <f>'[1]Nakata Anal Sci 2001'!H15</f>
        <v>1.7284642569285133E-3</v>
      </c>
      <c r="S45" s="68">
        <f>'[1]Nakata Anal Sci 2001'!J15</f>
        <v>1.4003065501783159E-4</v>
      </c>
      <c r="T45" s="90"/>
    </row>
    <row r="46" spans="2:20" ht="156.75" x14ac:dyDescent="0.25">
      <c r="B46" s="85"/>
      <c r="C46" s="68">
        <f>'[1]Debye-Huckel-Onsager model'!D55</f>
        <v>1E-3</v>
      </c>
      <c r="D46" s="68">
        <f>'[1]Debye-Huckel-Onsager model'!F55</f>
        <v>7.6192281564247928E-5</v>
      </c>
      <c r="E46" s="68" t="s">
        <v>246</v>
      </c>
      <c r="G46" s="85"/>
      <c r="H46" s="68">
        <f>'Debye-Huckel-Onsager'!I52</f>
        <v>2E-3</v>
      </c>
      <c r="I46" s="68">
        <f>'Debye-Huckel-Onsager'!K52</f>
        <v>1.694140502684188E-4</v>
      </c>
      <c r="J46" s="90"/>
      <c r="L46" s="85"/>
      <c r="M46" s="68">
        <v>1</v>
      </c>
      <c r="N46" s="68">
        <f>'[1]Ue JECS 1994'!D71</f>
        <v>1.4E-2</v>
      </c>
      <c r="O46" s="68" t="s">
        <v>251</v>
      </c>
      <c r="Q46" s="85"/>
      <c r="R46" s="68">
        <f>'[1]Nakata Anal Sci 2001'!H16</f>
        <v>2.6034100068200046E-3</v>
      </c>
      <c r="S46" s="68">
        <f>'[1]Nakata Anal Sci 2001'!J16</f>
        <v>2.0449974256470167E-4</v>
      </c>
      <c r="T46" s="90"/>
    </row>
    <row r="47" spans="2:20" ht="142.5" x14ac:dyDescent="0.25">
      <c r="B47" s="85"/>
      <c r="C47" s="68"/>
      <c r="D47" s="68"/>
      <c r="E47" s="68"/>
      <c r="G47" s="85"/>
      <c r="H47" s="68">
        <f>'Debye-Huckel-Onsager'!I53</f>
        <v>3.0000000000000001E-3</v>
      </c>
      <c r="I47" s="68">
        <f>'Debye-Huckel-Onsager'!K53</f>
        <v>2.519210648029299E-4</v>
      </c>
      <c r="J47" s="90"/>
      <c r="L47" s="85"/>
      <c r="M47" s="68">
        <f>'[1]House J Org Chem 1971'!B17</f>
        <v>0.5</v>
      </c>
      <c r="N47" s="68">
        <f>'[1]House J Org Chem 1971'!D17</f>
        <v>1.3888888888888888E-2</v>
      </c>
      <c r="O47" s="68" t="s">
        <v>250</v>
      </c>
      <c r="Q47" s="85"/>
      <c r="R47" s="68">
        <f>'[1]Nakata Anal Sci 2001'!H17</f>
        <v>3.249897699795396E-3</v>
      </c>
      <c r="S47" s="68">
        <f>'[1]Nakata Anal Sci 2001'!J17</f>
        <v>2.4962982331761723E-4</v>
      </c>
      <c r="T47" s="89"/>
    </row>
    <row r="48" spans="2:20" ht="30" customHeight="1" x14ac:dyDescent="0.25">
      <c r="B48" s="85"/>
      <c r="C48" s="68"/>
      <c r="D48" s="68"/>
      <c r="E48" s="68"/>
      <c r="G48" s="85"/>
      <c r="H48" s="68">
        <f>'Debye-Huckel-Onsager'!I54</f>
        <v>4.0000000000000001E-3</v>
      </c>
      <c r="I48" s="68">
        <f>'Debye-Huckel-Onsager'!K54</f>
        <v>3.3342182676446568E-4</v>
      </c>
      <c r="J48" s="90"/>
      <c r="L48" s="85"/>
      <c r="M48" s="68"/>
      <c r="N48" s="68"/>
      <c r="O48" s="68"/>
      <c r="Q48" s="85"/>
      <c r="R48" s="68">
        <f>'[1]Sears JECS 1963'!A5</f>
        <v>8.9660000000000006E-5</v>
      </c>
      <c r="S48" s="68">
        <f>'[1]Sears JECS 1963'!C5</f>
        <v>7.6820688000000009E-6</v>
      </c>
      <c r="T48" s="88" t="s">
        <v>249</v>
      </c>
    </row>
    <row r="49" spans="2:20" ht="30" customHeight="1" x14ac:dyDescent="0.25">
      <c r="B49" s="85"/>
      <c r="C49" s="68"/>
      <c r="D49" s="68"/>
      <c r="E49" s="68"/>
      <c r="G49" s="85"/>
      <c r="H49" s="68">
        <f>'Debye-Huckel-Onsager'!I56</f>
        <v>5.0000000000000001E-3</v>
      </c>
      <c r="I49" s="68">
        <f>'Debye-Huckel-Onsager'!K56</f>
        <v>4.1405391869054877E-4</v>
      </c>
      <c r="J49" s="90"/>
      <c r="L49" s="85"/>
      <c r="M49" s="68"/>
      <c r="N49" s="68"/>
      <c r="O49" s="68"/>
      <c r="Q49" s="85"/>
      <c r="R49" s="68">
        <f>'[1]Sears JECS 1963'!A6</f>
        <v>2.2450000000000001E-4</v>
      </c>
      <c r="S49" s="68">
        <f>'[1]Sears JECS 1963'!C6</f>
        <v>1.8480839999999997E-5</v>
      </c>
      <c r="T49" s="90"/>
    </row>
    <row r="50" spans="2:20" ht="30" customHeight="1" x14ac:dyDescent="0.25">
      <c r="B50" s="85"/>
      <c r="C50" s="68"/>
      <c r="D50" s="68"/>
      <c r="E50" s="68"/>
      <c r="G50" s="85"/>
      <c r="H50" s="68">
        <f>'Debye-Huckel-Onsager'!I57</f>
        <v>6.0000000000000001E-3</v>
      </c>
      <c r="I50" s="68">
        <f>'Debye-Huckel-Onsager'!K57</f>
        <v>4.9391017049178266E-4</v>
      </c>
      <c r="J50" s="89"/>
      <c r="L50" s="85"/>
      <c r="M50" s="68"/>
      <c r="N50" s="68"/>
      <c r="O50" s="68"/>
      <c r="Q50" s="85"/>
      <c r="R50" s="68">
        <f>'[1]Sears JECS 1963'!A7</f>
        <v>4.1629999999999998E-4</v>
      </c>
      <c r="S50" s="68">
        <f>'[1]Sears JECS 1963'!C7</f>
        <v>3.2679550000000001E-5</v>
      </c>
      <c r="T50" s="90"/>
    </row>
    <row r="51" spans="2:20" ht="30" customHeight="1" x14ac:dyDescent="0.25">
      <c r="B51" s="85"/>
      <c r="C51" s="68"/>
      <c r="D51" s="68"/>
      <c r="E51" s="68"/>
      <c r="G51" s="85"/>
      <c r="H51" s="68"/>
      <c r="I51" s="68"/>
      <c r="J51" s="68"/>
      <c r="L51" s="85"/>
      <c r="M51" s="68"/>
      <c r="N51" s="68"/>
      <c r="O51" s="68"/>
      <c r="Q51" s="85"/>
      <c r="R51" s="68">
        <f>'[1]Sears JECS 1963'!A8</f>
        <v>6.7409999999999996E-4</v>
      </c>
      <c r="S51" s="68">
        <f>'[1]Sears JECS 1963'!C8</f>
        <v>5.0247414000000001E-5</v>
      </c>
      <c r="T51" s="90"/>
    </row>
    <row r="52" spans="2:20" ht="30" customHeight="1" x14ac:dyDescent="0.25">
      <c r="B52" s="85"/>
      <c r="C52" s="68"/>
      <c r="D52" s="68"/>
      <c r="E52" s="68"/>
      <c r="G52" s="85"/>
      <c r="H52" s="68"/>
      <c r="I52" s="65"/>
      <c r="J52" s="65"/>
      <c r="L52" s="85"/>
      <c r="M52" s="68"/>
      <c r="N52" s="68"/>
      <c r="O52" s="68"/>
      <c r="Q52" s="85"/>
      <c r="R52" s="68">
        <f>'[1]Sears JECS 1963'!A9</f>
        <v>1.0430000000000001E-3</v>
      </c>
      <c r="S52" s="68">
        <f>'[1]Sears JECS 1963'!C9</f>
        <v>7.3072580000000008E-5</v>
      </c>
      <c r="T52" s="90"/>
    </row>
    <row r="53" spans="2:20" ht="30" customHeight="1" x14ac:dyDescent="0.25">
      <c r="B53" s="85"/>
      <c r="C53" s="68"/>
      <c r="D53" s="68"/>
      <c r="E53" s="68"/>
      <c r="G53" s="85"/>
      <c r="H53" s="68"/>
      <c r="I53" s="68"/>
      <c r="J53" s="68"/>
      <c r="L53" s="85"/>
      <c r="M53" s="68"/>
      <c r="N53" s="68"/>
      <c r="O53" s="68"/>
      <c r="Q53" s="85"/>
      <c r="R53" s="68">
        <f>'[1]Sears JECS 1963'!A10</f>
        <v>1.629E-3</v>
      </c>
      <c r="S53" s="68">
        <f>'[1]Sears JECS 1963'!C10</f>
        <v>1.0549404000000001E-4</v>
      </c>
      <c r="T53" s="89"/>
    </row>
    <row r="54" spans="2:20" x14ac:dyDescent="0.25">
      <c r="B54" s="86"/>
      <c r="C54" s="72">
        <v>0.3</v>
      </c>
      <c r="D54" s="72">
        <f>-0.0251*C54^2+0.0368*C54-0.00001</f>
        <v>8.7709999999999993E-3</v>
      </c>
      <c r="E54" s="72" t="s">
        <v>243</v>
      </c>
      <c r="G54" s="86"/>
      <c r="H54" s="72">
        <v>0.3</v>
      </c>
      <c r="I54" s="72">
        <f>-0.033*H54^2+0.0568*H54+0.00009</f>
        <v>1.4159999999999999E-2</v>
      </c>
      <c r="J54" s="72" t="s">
        <v>248</v>
      </c>
      <c r="L54" s="86"/>
      <c r="M54" s="72">
        <v>0.3</v>
      </c>
      <c r="N54" s="72">
        <f>-0.0246*M54^2+0.0376*M54+0.0013</f>
        <v>1.0366E-2</v>
      </c>
      <c r="O54" s="72" t="s">
        <v>248</v>
      </c>
      <c r="Q54" s="86"/>
      <c r="R54" s="72">
        <v>0.3</v>
      </c>
      <c r="S54" s="72">
        <f>0.077*R54+0.000001</f>
        <v>2.3101E-2</v>
      </c>
      <c r="T54" s="72" t="s">
        <v>243</v>
      </c>
    </row>
    <row r="55" spans="2:20" x14ac:dyDescent="0.25">
      <c r="G55" s="60"/>
      <c r="I55" s="28"/>
      <c r="J55" s="28"/>
      <c r="L55" s="68"/>
      <c r="M55" s="68"/>
      <c r="N55" s="68"/>
      <c r="O55" s="68"/>
      <c r="Q55" s="60"/>
    </row>
    <row r="56" spans="2:20" ht="60" customHeight="1" x14ac:dyDescent="0.25">
      <c r="B56" s="84" t="s">
        <v>154</v>
      </c>
      <c r="C56" s="68">
        <f>'[1]Butler J Analytical Chem 1966'!A12</f>
        <v>3.0000000000000001E-3</v>
      </c>
      <c r="D56" s="68">
        <f>'[1]Butler J Analytical Chem 1966'!C12</f>
        <v>1.0720639957555545E-4</v>
      </c>
      <c r="E56" s="88" t="s">
        <v>247</v>
      </c>
      <c r="G56" s="84" t="s">
        <v>154</v>
      </c>
      <c r="H56" s="68">
        <f>'[1]Anand Z Phys Chem 2019'!B10</f>
        <v>3.9768339104477588E-3</v>
      </c>
      <c r="I56" s="68">
        <f>'[1]Anand Z Phys Chem 2019'!D10</f>
        <v>3.986378311832794E-4</v>
      </c>
      <c r="J56" s="88" t="s">
        <v>244</v>
      </c>
      <c r="L56" s="84" t="s">
        <v>154</v>
      </c>
      <c r="M56" s="68">
        <f>'Debye-Huckel-Onsager'!N64</f>
        <v>1E-3</v>
      </c>
      <c r="N56" s="68">
        <f>'Debye-Huckel-Onsager'!P64</f>
        <v>3.6841955594258693E-5</v>
      </c>
      <c r="O56" s="88" t="s">
        <v>246</v>
      </c>
      <c r="Q56" s="84" t="s">
        <v>154</v>
      </c>
      <c r="R56" s="68">
        <f>'[1]Nakata Anal Sci 2001'!B14</f>
        <v>2.3884328301715294E-3</v>
      </c>
      <c r="S56" s="68">
        <f>'[1]Nakata Anal Sci 2001'!D14</f>
        <v>9.1665547958706402E-5</v>
      </c>
      <c r="T56" s="88" t="s">
        <v>245</v>
      </c>
    </row>
    <row r="57" spans="2:20" ht="60" customHeight="1" x14ac:dyDescent="0.25">
      <c r="B57" s="85"/>
      <c r="C57" s="68">
        <f>'[1]Butler J Analytical Chem 1966'!A13</f>
        <v>4.0000000000000001E-3</v>
      </c>
      <c r="D57" s="68">
        <f>'[1]Butler J Analytical Chem 1966'!C13</f>
        <v>1.4285582146765418E-4</v>
      </c>
      <c r="E57" s="90"/>
      <c r="G57" s="85"/>
      <c r="H57" s="68">
        <f>'[1]Anand Z Phys Chem 2019'!B11</f>
        <v>4.3924897114427869E-3</v>
      </c>
      <c r="I57" s="68">
        <f>'[1]Anand Z Phys Chem 2019'!D11</f>
        <v>4.3257238678288523E-4</v>
      </c>
      <c r="J57" s="90"/>
      <c r="L57" s="85"/>
      <c r="M57" s="68">
        <f>'Debye-Huckel-Onsager'!N65</f>
        <v>2E-3</v>
      </c>
      <c r="N57" s="68">
        <f>'Debye-Huckel-Onsager'!P65</f>
        <v>7.3097347997276484E-5</v>
      </c>
      <c r="O57" s="90"/>
      <c r="Q57" s="85"/>
      <c r="R57" s="68">
        <f>'[1]Nakata Anal Sci 2001'!B15</f>
        <v>3.3884176898968934E-3</v>
      </c>
      <c r="S57" s="68">
        <f>'[1]Nakata Anal Sci 2001'!D15</f>
        <v>1.2746020825753812E-4</v>
      </c>
      <c r="T57" s="90"/>
    </row>
    <row r="58" spans="2:20" ht="60" customHeight="1" x14ac:dyDescent="0.25">
      <c r="B58" s="85"/>
      <c r="C58" s="68">
        <f>'[1]Butler J Analytical Chem 1966'!A14</f>
        <v>5.0000000000000001E-3</v>
      </c>
      <c r="D58" s="68">
        <f>'[1]Butler J Analytical Chem 1966'!C14</f>
        <v>1.7846222104320967E-4</v>
      </c>
      <c r="E58" s="90"/>
      <c r="G58" s="85"/>
      <c r="H58" s="68">
        <f>'[1]Anand Z Phys Chem 2019'!B12</f>
        <v>4.3924897114427869E-3</v>
      </c>
      <c r="I58" s="68">
        <f>'[1]Anand Z Phys Chem 2019'!D12</f>
        <v>4.3257238678288523E-4</v>
      </c>
      <c r="J58" s="90"/>
      <c r="L58" s="85"/>
      <c r="M58" s="68">
        <f>'Debye-Huckel-Onsager'!N66</f>
        <v>3.0000000000000001E-3</v>
      </c>
      <c r="N58" s="68">
        <f>'Debye-Huckel-Onsager'!P66</f>
        <v>1.0897089334572343E-4</v>
      </c>
      <c r="O58" s="90"/>
      <c r="Q58" s="85"/>
      <c r="R58" s="68">
        <f>'[1]Nakata Anal Sci 2001'!B16</f>
        <v>4.4790988508531544E-3</v>
      </c>
      <c r="S58" s="68">
        <f>'[1]Nakata Anal Sci 2001'!D16</f>
        <v>1.6583833388283441E-4</v>
      </c>
      <c r="T58" s="90"/>
    </row>
    <row r="59" spans="2:20" ht="60" customHeight="1" x14ac:dyDescent="0.25">
      <c r="B59" s="85"/>
      <c r="C59" s="68">
        <f>'[1]Butler J Analytical Chem 1966'!A15</f>
        <v>6.0000000000000001E-3</v>
      </c>
      <c r="D59" s="68">
        <f>'[1]Butler J Analytical Chem 1966'!C15</f>
        <v>2.1402559830222191E-4</v>
      </c>
      <c r="E59" s="89"/>
      <c r="G59" s="85"/>
      <c r="H59" s="68">
        <f>'[1]Anand Z Phys Chem 2019'!B13</f>
        <v>4.9506802786069603E-3</v>
      </c>
      <c r="I59" s="68">
        <f>'[1]Anand Z Phys Chem 2019'!D13</f>
        <v>4.8041401423601896E-4</v>
      </c>
      <c r="J59" s="90"/>
      <c r="L59" s="85"/>
      <c r="M59" s="68">
        <f>'Debye-Huckel-Onsager'!N67</f>
        <v>4.0000000000000001E-3</v>
      </c>
      <c r="N59" s="68">
        <f>'Debye-Huckel-Onsager'!P67</f>
        <v>1.4453564475406955E-4</v>
      </c>
      <c r="O59" s="89"/>
      <c r="Q59" s="85"/>
      <c r="R59" s="68">
        <f>'[1]Nakata Anal Sci 2001'!B17</f>
        <v>5.5348968190282854E-3</v>
      </c>
      <c r="S59" s="68">
        <f>'[1]Nakata Anal Sci 2001'!D17</f>
        <v>2.0259805765975052E-4</v>
      </c>
      <c r="T59" s="89"/>
    </row>
    <row r="60" spans="2:20" ht="60" customHeight="1" x14ac:dyDescent="0.25">
      <c r="B60" s="85"/>
      <c r="C60" s="68">
        <f>'[1]Anand Z Phys Chem 2019'!B23</f>
        <v>3.3040663084577021E-3</v>
      </c>
      <c r="D60" s="68">
        <f>'[1]Anand Z Phys Chem 2019'!D23</f>
        <v>2.9049350983960089E-4</v>
      </c>
      <c r="E60" s="88" t="s">
        <v>244</v>
      </c>
      <c r="G60" s="85"/>
      <c r="H60" s="68">
        <f>'[1]Anand Z Phys Chem 2019'!B14</f>
        <v>5.5195923582089515E-3</v>
      </c>
      <c r="I60" s="68">
        <f>'[1]Anand Z Phys Chem 2019'!D14</f>
        <v>5.2414049033552141E-4</v>
      </c>
      <c r="J60" s="89"/>
      <c r="L60" s="85"/>
      <c r="M60" s="68"/>
      <c r="N60" s="68"/>
      <c r="O60" s="68"/>
      <c r="Q60" s="85"/>
      <c r="R60" s="68"/>
      <c r="S60" s="68"/>
      <c r="T60" s="68"/>
    </row>
    <row r="61" spans="2:20" ht="60" customHeight="1" x14ac:dyDescent="0.25">
      <c r="B61" s="85"/>
      <c r="C61" s="68">
        <f>'[1]Anand Z Phys Chem 2019'!B24</f>
        <v>3.9500155223880506E-3</v>
      </c>
      <c r="D61" s="68">
        <f>'[1]Anand Z Phys Chem 2019'!D24</f>
        <v>3.4286134734328236E-4</v>
      </c>
      <c r="E61" s="90"/>
      <c r="G61" s="85"/>
      <c r="H61" s="68"/>
      <c r="I61" s="65"/>
      <c r="J61" s="65"/>
      <c r="L61" s="85"/>
      <c r="M61" s="68"/>
      <c r="N61" s="68"/>
      <c r="O61" s="68"/>
      <c r="Q61" s="85"/>
      <c r="R61" s="68"/>
      <c r="S61" s="68"/>
      <c r="T61" s="68"/>
    </row>
    <row r="62" spans="2:20" ht="60" customHeight="1" x14ac:dyDescent="0.25">
      <c r="B62" s="85"/>
      <c r="C62" s="68">
        <f>'[1]Anand Z Phys Chem 2019'!B25</f>
        <v>4.3987122786069638E-3</v>
      </c>
      <c r="D62" s="68">
        <f>'[1]Anand Z Phys Chem 2019'!D25</f>
        <v>3.761778740664671E-4</v>
      </c>
      <c r="E62" s="90"/>
      <c r="G62" s="85"/>
      <c r="H62" s="68"/>
      <c r="I62" s="65"/>
      <c r="J62" s="65"/>
      <c r="L62" s="85"/>
      <c r="M62" s="68"/>
      <c r="N62" s="68"/>
      <c r="O62" s="68"/>
      <c r="Q62" s="85"/>
      <c r="R62" s="68"/>
      <c r="S62" s="68"/>
      <c r="T62" s="68"/>
    </row>
    <row r="63" spans="2:20" ht="60" customHeight="1" x14ac:dyDescent="0.25">
      <c r="B63" s="85"/>
      <c r="C63" s="68">
        <f>'[1]Anand Z Phys Chem 2019'!B26</f>
        <v>4.9570781293532262E-3</v>
      </c>
      <c r="D63" s="68">
        <f>'[1]Anand Z Phys Chem 2019'!D26</f>
        <v>4.1917052661810835E-4</v>
      </c>
      <c r="E63" s="90"/>
      <c r="G63" s="85"/>
      <c r="H63" s="68"/>
      <c r="I63" s="65"/>
      <c r="J63" s="65"/>
      <c r="L63" s="85"/>
      <c r="M63" s="68"/>
      <c r="N63" s="68"/>
      <c r="O63" s="68"/>
      <c r="Q63" s="85"/>
      <c r="R63" s="68"/>
      <c r="S63" s="68"/>
      <c r="T63" s="68"/>
    </row>
    <row r="64" spans="2:20" ht="60" customHeight="1" x14ac:dyDescent="0.25">
      <c r="B64" s="85"/>
      <c r="C64" s="68">
        <f>'[1]Anand Z Phys Chem 2019'!B27</f>
        <v>5.5151518407960095E-3</v>
      </c>
      <c r="D64" s="68">
        <f>'[1]Anand Z Phys Chem 2019'!D27</f>
        <v>4.5665457241790905E-4</v>
      </c>
      <c r="E64" s="89"/>
      <c r="G64" s="85"/>
      <c r="H64" s="68"/>
      <c r="I64" s="65"/>
      <c r="J64" s="65"/>
      <c r="L64" s="85"/>
      <c r="M64" s="68"/>
      <c r="N64" s="68"/>
      <c r="O64" s="68"/>
      <c r="Q64" s="85"/>
      <c r="R64" s="68"/>
      <c r="S64" s="68"/>
      <c r="T64" s="68"/>
    </row>
    <row r="65" spans="2:20" x14ac:dyDescent="0.25">
      <c r="B65" s="86"/>
      <c r="C65" s="72">
        <v>0.3</v>
      </c>
      <c r="D65" s="72">
        <f>-0.02558*C65^2+0.0485*C65+0.00007</f>
        <v>1.23178E-2</v>
      </c>
      <c r="E65" s="72" t="s">
        <v>243</v>
      </c>
      <c r="G65" s="86"/>
      <c r="H65" s="73">
        <v>0.3</v>
      </c>
      <c r="I65" s="73">
        <f>0.0818*H65+0.00007</f>
        <v>2.461E-2</v>
      </c>
      <c r="J65" s="73" t="s">
        <v>243</v>
      </c>
      <c r="L65" s="86"/>
      <c r="M65" s="73">
        <v>0.3</v>
      </c>
      <c r="N65" s="73">
        <f>0.1094*M65-0.0004</f>
        <v>3.2419999999999997E-2</v>
      </c>
      <c r="O65" s="73" t="s">
        <v>243</v>
      </c>
      <c r="Q65" s="86"/>
      <c r="R65" s="73">
        <v>0.3</v>
      </c>
      <c r="S65" s="73">
        <f>0.0352*R65+0.000008</f>
        <v>1.0567999999999999E-2</v>
      </c>
      <c r="T65" s="73" t="s">
        <v>243</v>
      </c>
    </row>
    <row r="67" spans="2:20" x14ac:dyDescent="0.25">
      <c r="B67" s="28"/>
    </row>
  </sheetData>
  <mergeCells count="49">
    <mergeCell ref="T44:T47"/>
    <mergeCell ref="T36:T40"/>
    <mergeCell ref="T32:T35"/>
    <mergeCell ref="J32:J35"/>
    <mergeCell ref="V15:Y16"/>
    <mergeCell ref="T25:T29"/>
    <mergeCell ref="T21:T24"/>
    <mergeCell ref="T15:T20"/>
    <mergeCell ref="J56:J60"/>
    <mergeCell ref="E56:E59"/>
    <mergeCell ref="E60:E64"/>
    <mergeCell ref="E32:E35"/>
    <mergeCell ref="E36:E38"/>
    <mergeCell ref="E39:E40"/>
    <mergeCell ref="T56:T59"/>
    <mergeCell ref="T48:T53"/>
    <mergeCell ref="Q12:T12"/>
    <mergeCell ref="B56:B65"/>
    <mergeCell ref="G56:G65"/>
    <mergeCell ref="L56:L65"/>
    <mergeCell ref="Q56:Q65"/>
    <mergeCell ref="G44:G54"/>
    <mergeCell ref="L44:L54"/>
    <mergeCell ref="Q44:Q54"/>
    <mergeCell ref="O56:O59"/>
    <mergeCell ref="J24:J28"/>
    <mergeCell ref="J16:J22"/>
    <mergeCell ref="O16:O17"/>
    <mergeCell ref="O18:O24"/>
    <mergeCell ref="O32:O39"/>
    <mergeCell ref="B44:B54"/>
    <mergeCell ref="B15:B30"/>
    <mergeCell ref="Q15:Q30"/>
    <mergeCell ref="B32:B42"/>
    <mergeCell ref="G32:G42"/>
    <mergeCell ref="L32:L42"/>
    <mergeCell ref="Q32:Q42"/>
    <mergeCell ref="G15:G30"/>
    <mergeCell ref="L15:L30"/>
    <mergeCell ref="E44:E45"/>
    <mergeCell ref="E15:E16"/>
    <mergeCell ref="J45:J50"/>
    <mergeCell ref="E17:E23"/>
    <mergeCell ref="A1:E1"/>
    <mergeCell ref="G1:J1"/>
    <mergeCell ref="B12:E12"/>
    <mergeCell ref="G12:J12"/>
    <mergeCell ref="L12:O12"/>
    <mergeCell ref="L1:L9"/>
  </mergeCells>
  <conditionalFormatting sqref="B3:E6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Constants and assumptions</vt:lpstr>
      <vt:lpstr>Products</vt:lpstr>
      <vt:lpstr>Solvents</vt:lpstr>
      <vt:lpstr>Supporting electrolytes</vt:lpstr>
      <vt:lpstr>Utilities</vt:lpstr>
      <vt:lpstr>Debye-Huckel-Onsager</vt:lpstr>
      <vt:lpstr>Literature conductivity data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2025-07-25T16:24:55Z</dcterms:modified>
</cp:coreProperties>
</file>