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cd2358_eid_utexas_edu/Documents/RCL Code/TEA/Streamlit/"/>
    </mc:Choice>
  </mc:AlternateContent>
  <xr:revisionPtr revIDLastSave="2603" documentId="8_{31750E0B-A732-4503-8EA8-2753BAB2D178}" xr6:coauthVersionLast="47" xr6:coauthVersionMax="47" xr10:uidLastSave="{DF1D7921-2630-4735-8C67-AF6E9FEF9493}"/>
  <bookViews>
    <workbookView xWindow="-105" yWindow="0" windowWidth="14610" windowHeight="15585" activeTab="1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5" i="12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T27" i="11" l="1"/>
  <c r="U27" i="11" s="1"/>
  <c r="J7" i="12"/>
  <c r="E70" i="11"/>
  <c r="F70" i="11" s="1"/>
  <c r="O54" i="1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J10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J4" i="7"/>
  <c r="C11" i="3"/>
  <c r="G3" i="7"/>
  <c r="I16" i="11" l="1"/>
  <c r="J11" i="11"/>
  <c r="K11" i="11"/>
  <c r="K15" i="11"/>
  <c r="K16" i="11" s="1"/>
  <c r="J15" i="11"/>
  <c r="J16" i="11" s="1"/>
  <c r="I11" i="11"/>
  <c r="I13" i="11" s="1"/>
  <c r="J12" i="11"/>
  <c r="J13" i="11" s="1"/>
  <c r="K12" i="11"/>
  <c r="K13" i="11" s="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<sst xmlns="http://schemas.openxmlformats.org/spreadsheetml/2006/main" count="540" uniqueCount="274">
  <si>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</si>
  <si>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</si>
  <si>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</si>
  <si>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</si>
  <si>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</si>
  <si>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</si>
  <si>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</si>
  <si>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</si>
  <si>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</si>
  <si>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</si>
  <si>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</si>
  <si>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</si>
  <si>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</si>
  <si>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</si>
  <si>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</si>
  <si>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</si>
  <si>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</si>
  <si>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</si>
  <si>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</si>
  <si>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</si>
  <si>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</si>
  <si>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</si>
  <si>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</si>
  <si>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</si>
  <si>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</si>
  <si>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</si>
  <si>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</si>
  <si>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</si>
  <si>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</si>
  <si>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</si>
  <si>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</si>
  <si>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</si>
  <si>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</si>
  <si>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</si>
  <si>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</si>
  <si>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</si>
  <si>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</si>
  <si>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</si>
  <si>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</si>
  <si>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</si>
  <si>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</si>
  <si>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</si>
  <si>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</si>
  <si>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</si>
  <si>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</si>
  <si>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</si>
  <si>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</si>
  <si>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</si>
  <si>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</si>
  <si>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</si>
  <si>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</si>
  <si>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</si>
  <si>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</si>
  <si>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</si>
  <si>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</si>
  <si>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</si>
  <si>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</si>
  <si>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</si>
  <si>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</si>
  <si>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</si>
  <si>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</si>
  <si>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</si>
  <si>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</si>
  <si>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</si>
  <si>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</si>
  <si>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</si>
  <si>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</si>
  <si>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</si>
  <si>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</si>
  <si>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</si>
  <si>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</si>
  <si>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</si>
  <si>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</si>
  <si>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</si>
  <si>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</si>
  <si>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</si>
  <si>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</si>
  <si>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</si>
  <si>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</si>
  <si>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</si>
  <si>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</si>
  <si>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</si>
  <si>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</si>
  <si>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</si>
  <si>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</si>
  <si>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</si>
  <si>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</si>
  <si>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</si>
  <si>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</si>
  <si>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</si>
  <si>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</si>
  <si>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</si>
  <si>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</si>
  <si>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</si>
  <si>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</si>
  <si>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</si>
  <si>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</si>
  <si>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</si>
  <si>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</si>
  <si>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</si>
  <si>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</si>
  <si>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</si>
  <si>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</si>
  <si>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</si>
  <si>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</si>
  <si>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</si>
  <si>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</si>
  <si>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</si>
  <si>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</si>
  <si>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</si>
  <si>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</si>
  <si>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</si>
  <si>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</si>
  <si>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</si>
  <si>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</si>
  <si>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</si>
  <si>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</si>
  <si>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</si>
  <si>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</si>
  <si>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</si>
  <si>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</si>
  <si>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</si>
  <si>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</si>
  <si>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</si>
  <si>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</si>
  <si>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</si>
  <si>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</si>
  <si>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</si>
  <si>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</si>
  <si>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</si>
  <si>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</si>
  <si>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</si>
  <si>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</si>
  <si>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</si>
  <si>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</si>
  <si>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</si>
  <si>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</si>
  <si>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</si>
  <si>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</si>
  <si>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</si>
  <si>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</si>
  <si>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</si>
  <si>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</si>
  <si>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</si>
  <si>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</si>
  <si>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</si>
  <si>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</si>
  <si>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</si>
  <si>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</si>
  <si>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</si>
  <si>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</si>
  <si>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</si>
  <si>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</si>
  <si>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</si>
  <si>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</si>
  <si>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</si>
  <si>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</si>
  <si>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</si>
  <si>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</si>
  <si>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</si>
  <si>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</si>
  <si>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</si>
  <si>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</si>
  <si>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</si>
  <si>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</si>
  <si>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</si>
  <si>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</si>
  <si>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</si>
  <si>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</si>
  <si>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</si>
  <si>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</si>
  <si>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</si>
  <si>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</si>
  <si>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</si>
  <si>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</si>
  <si>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</si>
  <si>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</si>
  <si>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</si>
  <si>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</si>
  <si>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</si>
  <si>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</si>
  <si>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</si>
  <si>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</si>
  <si>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</si>
  <si>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</si>
  <si>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</si>
  <si>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</si>
  <si>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</si>
  <si>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</si>
  <si>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</si>
  <si>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</si>
  <si>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</si>
  <si>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</si>
  <si>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</si>
  <si>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</si>
  <si>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</si>
  <si>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</si>
  <si>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</si>
  <si>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</si>
  <si>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</si>
  <si>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</si>
  <si>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</si>
  <si>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</si>
  <si>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</si>
  <si>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</si>
  <si>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</si>
  <si>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</si>
  <si>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</si>
  <si>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</si>
  <si>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</si>
  <si>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</si>
  <si>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</si>
  <si>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</si>
  <si>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</si>
  <si>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</si>
  <si>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</si>
  <si>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</si>
  <si>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</si>
  <si>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</si>
  <si>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</si>
  <si>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</si>
  <si>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</si>
  <si>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</si>
  <si>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</si>
  <si>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</si>
  <si>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</si>
  <si>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</si>
  <si>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</si>
  <si>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</si>
  <si>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</si>
  <si>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</si>
  <si>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</si>
  <si>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</si>
  <si>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</si>
  <si>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</si>
  <si>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</si>
  <si>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</si>
  <si>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</si>
  <si>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</si>
  <si>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</si>
  <si>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</si>
  <si>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</si>
  <si>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</si>
  <si>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</si>
  <si>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</si>
  <si>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</si>
  <si>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</si>
  <si>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</si>
  <si>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</si>
  <si>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</si>
  <si>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</si>
  <si>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</si>
  <si>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</si>
  <si>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</si>
  <si>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</si>
  <si>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</si>
  <si>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</si>
  <si>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</si>
  <si>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</si>
  <si>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</si>
  <si>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</si>
  <si>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</si>
  <si>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</si>
  <si>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</si>
  <si>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</si>
  <si>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</si>
  <si>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</si>
  <si>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</si>
  <si>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</si>
  <si>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</si>
  <si>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</si>
  <si>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</si>
  <si>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</si>
  <si>
    <t>crossover_acid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</si>
</sst>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opLeftCell="A4" zoomScale="115" zoomScaleNormal="115" workbookViewId="0">
      <selection activeCell="B10" sqref="B10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185</v>
      </c>
    </row>
    <row r="2" spans="1:6" ht="42.75" x14ac:dyDescent="0.2">
      <c r="A2" s="5" t="s">
        <v>144</v>
      </c>
      <c r="B2" s="5" t="s">
        <v>147</v>
      </c>
      <c r="C2" s="18">
        <v>1</v>
      </c>
      <c r="D2" s="5" t="s">
        <v>70</v>
      </c>
      <c r="E2" s="5" t="s">
        <v>188</v>
      </c>
      <c r="F2" s="39"/>
    </row>
    <row r="3" spans="1:6" ht="42.75" x14ac:dyDescent="0.2">
      <c r="A3" s="5" t="s">
        <v>145</v>
      </c>
      <c r="B3" s="5" t="s">
        <v>146</v>
      </c>
      <c r="C3" s="18">
        <v>0.3</v>
      </c>
      <c r="D3" s="5" t="s">
        <v>70</v>
      </c>
      <c r="E3" s="5" t="s">
        <v>188</v>
      </c>
      <c r="F3" s="39" t="s">
        <v>189</v>
      </c>
    </row>
    <row r="4" spans="1:6" ht="42.75" x14ac:dyDescent="0.2">
      <c r="A4" s="4" t="s">
        <v>79</v>
      </c>
      <c r="B4" s="5" t="s">
        <v>63</v>
      </c>
      <c r="C4" s="8">
        <v>75</v>
      </c>
      <c r="D4" s="4" t="s">
        <v>64</v>
      </c>
      <c r="E4" s="15" t="s">
        <v>122</v>
      </c>
      <c r="F4" s="39" t="s">
        <v>121</v>
      </c>
    </row>
    <row r="5" spans="1:6" ht="42.75" x14ac:dyDescent="0.2">
      <c r="A5" s="4" t="s">
        <v>94</v>
      </c>
      <c r="B5" s="5" t="s">
        <v>111</v>
      </c>
      <c r="C5" s="23">
        <v>1.4500000000000001E-2</v>
      </c>
      <c r="D5" s="4" t="s">
        <v>108</v>
      </c>
      <c r="E5" s="15" t="s">
        <v>113</v>
      </c>
      <c r="F5" s="39" t="s">
        <v>112</v>
      </c>
    </row>
    <row r="6" spans="1:6" ht="57" x14ac:dyDescent="0.2">
      <c r="A6" s="4" t="s">
        <v>114</v>
      </c>
      <c r="B6" s="5" t="s">
        <v>115</v>
      </c>
      <c r="C6" s="16">
        <f>5000*800/773.1</f>
        <v>5173.9749062217043</v>
      </c>
      <c r="D6" s="4" t="s">
        <v>116</v>
      </c>
      <c r="E6" s="15" t="s">
        <v>123</v>
      </c>
      <c r="F6" s="39" t="s">
        <v>166</v>
      </c>
    </row>
    <row r="7" spans="1:6" ht="85.5" x14ac:dyDescent="0.2">
      <c r="A7" s="4" t="s">
        <v>159</v>
      </c>
      <c r="B7" s="5" t="s">
        <v>163</v>
      </c>
      <c r="C7" s="16">
        <f>1.3*950000*1.24*(800/444.2)*((1000)/(2160/(Solvents!H4*C19/1000)))^0.7</f>
        <v>37949.118483929997</v>
      </c>
      <c r="D7" s="4" t="s">
        <v>162</v>
      </c>
      <c r="E7" s="15" t="s">
        <v>195</v>
      </c>
      <c r="F7" s="39" t="s">
        <v>186</v>
      </c>
    </row>
    <row r="8" spans="1:6" ht="57" x14ac:dyDescent="0.2">
      <c r="A8" s="4" t="s">
        <v>158</v>
      </c>
      <c r="B8" s="5" t="s">
        <v>160</v>
      </c>
      <c r="C8" s="16">
        <f>1.3*1989043*800/596.2</f>
        <v>3469648.9768534047</v>
      </c>
      <c r="D8" s="4" t="s">
        <v>161</v>
      </c>
      <c r="E8" s="15" t="s">
        <v>19</v>
      </c>
      <c r="F8" s="39" t="s">
        <v>167</v>
      </c>
    </row>
    <row r="9" spans="1:6" ht="28.5" x14ac:dyDescent="0.2">
      <c r="A9" s="4" t="s">
        <v>81</v>
      </c>
      <c r="B9" s="4" t="s">
        <v>273</v>
      </c>
      <c r="C9" s="8">
        <v>0</v>
      </c>
      <c r="D9" s="4" t="s">
        <v>16</v>
      </c>
      <c r="E9" s="4"/>
      <c r="F9" s="39" t="s">
        <v>140</v>
      </c>
    </row>
    <row r="10" spans="1:6" ht="28.5" x14ac:dyDescent="0.2">
      <c r="A10" s="4" t="s">
        <v>142</v>
      </c>
      <c r="B10" s="4" t="s">
        <v>143</v>
      </c>
      <c r="C10" s="7">
        <v>1000</v>
      </c>
      <c r="D10" s="4" t="s">
        <v>45</v>
      </c>
      <c r="E10" s="4"/>
      <c r="F10" s="39"/>
    </row>
    <row r="11" spans="1:6" ht="42.75" x14ac:dyDescent="0.2">
      <c r="A11" s="5" t="s">
        <v>78</v>
      </c>
      <c r="B11" s="5" t="s">
        <v>73</v>
      </c>
      <c r="C11" s="10">
        <v>0.9</v>
      </c>
      <c r="D11" s="5"/>
      <c r="E11" s="15" t="s">
        <v>74</v>
      </c>
      <c r="F11" s="39"/>
    </row>
    <row r="12" spans="1:6" ht="28.5" x14ac:dyDescent="0.2">
      <c r="A12" s="4" t="s">
        <v>91</v>
      </c>
      <c r="B12" s="4" t="s">
        <v>156</v>
      </c>
      <c r="C12" s="48">
        <v>0.2</v>
      </c>
      <c r="D12" s="4"/>
      <c r="E12" s="15"/>
      <c r="F12" s="39"/>
    </row>
    <row r="13" spans="1:6" ht="28.5" x14ac:dyDescent="0.2">
      <c r="A13" s="5" t="s">
        <v>91</v>
      </c>
      <c r="B13" s="5" t="s">
        <v>61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135</v>
      </c>
      <c r="B14" s="5" t="s">
        <v>138</v>
      </c>
      <c r="C14" s="9">
        <f>0.8/10</f>
        <v>0.08</v>
      </c>
      <c r="D14" s="5" t="s">
        <v>136</v>
      </c>
      <c r="E14" s="15" t="s">
        <v>137</v>
      </c>
    </row>
    <row r="15" spans="1:6" ht="42.75" x14ac:dyDescent="0.2">
      <c r="A15" s="5" t="s">
        <v>133</v>
      </c>
      <c r="B15" s="5" t="s">
        <v>134</v>
      </c>
      <c r="C15" s="9">
        <v>0.22</v>
      </c>
      <c r="D15" s="5" t="s">
        <v>21</v>
      </c>
      <c r="E15" s="15" t="s">
        <v>196</v>
      </c>
      <c r="F15" s="43" t="s">
        <v>206</v>
      </c>
    </row>
    <row r="16" spans="1:6" ht="42.75" x14ac:dyDescent="0.2">
      <c r="A16" s="5" t="s">
        <v>76</v>
      </c>
      <c r="B16" s="5" t="s">
        <v>32</v>
      </c>
      <c r="C16" s="9">
        <v>1.23</v>
      </c>
      <c r="D16" s="5" t="s">
        <v>52</v>
      </c>
      <c r="E16" s="15" t="s">
        <v>18</v>
      </c>
    </row>
    <row r="17" spans="1:6" ht="15.75" x14ac:dyDescent="0.2">
      <c r="A17" s="4" t="s">
        <v>82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132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80</v>
      </c>
      <c r="B19" s="4" t="s">
        <v>41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89</v>
      </c>
      <c r="B20" s="5" t="s">
        <v>67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87</v>
      </c>
      <c r="B21" s="5" t="s">
        <v>44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96</v>
      </c>
      <c r="B22" s="4" t="s">
        <v>42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88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101</v>
      </c>
      <c r="B24" s="4" t="s">
        <v>102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106</v>
      </c>
      <c r="B25" s="4" t="s">
        <v>107</v>
      </c>
      <c r="C25" s="18">
        <v>0</v>
      </c>
      <c r="D25" s="4"/>
      <c r="E25" s="4"/>
      <c r="F25" s="39"/>
    </row>
    <row r="26" spans="1:6" ht="28.5" x14ac:dyDescent="0.2">
      <c r="A26" s="4" t="s">
        <v>103</v>
      </c>
      <c r="B26" s="4" t="s">
        <v>104</v>
      </c>
      <c r="C26" s="20">
        <v>10</v>
      </c>
      <c r="D26" s="4" t="s">
        <v>105</v>
      </c>
      <c r="E26" s="4"/>
      <c r="F26" s="39"/>
    </row>
    <row r="27" spans="1:6" ht="28.5" x14ac:dyDescent="0.2">
      <c r="A27" s="4" t="s">
        <v>98</v>
      </c>
      <c r="B27" s="4" t="s">
        <v>99</v>
      </c>
      <c r="C27" s="19">
        <v>3000</v>
      </c>
      <c r="D27" s="4" t="s">
        <v>100</v>
      </c>
      <c r="E27" s="4"/>
      <c r="F27" s="39"/>
    </row>
    <row r="28" spans="1:6" ht="28.5" x14ac:dyDescent="0.2">
      <c r="A28" s="4" t="s">
        <v>119</v>
      </c>
      <c r="B28" s="5" t="s">
        <v>120</v>
      </c>
      <c r="C28" s="19">
        <v>1</v>
      </c>
      <c r="D28" s="4" t="s">
        <v>105</v>
      </c>
      <c r="E28" s="4"/>
      <c r="F28" s="39"/>
    </row>
    <row r="29" spans="1:6" ht="42.75" x14ac:dyDescent="0.2">
      <c r="A29" s="5" t="s">
        <v>97</v>
      </c>
      <c r="B29" s="5" t="s">
        <v>69</v>
      </c>
      <c r="C29" s="10">
        <v>0.05</v>
      </c>
      <c r="D29" s="5"/>
      <c r="E29" s="15"/>
      <c r="F29" s="39"/>
    </row>
    <row r="30" spans="1:6" ht="42.75" x14ac:dyDescent="0.2">
      <c r="A30" s="5" t="s">
        <v>164</v>
      </c>
      <c r="B30" s="5" t="s">
        <v>165</v>
      </c>
      <c r="C30" s="18">
        <v>500</v>
      </c>
      <c r="D30" s="5" t="s">
        <v>203</v>
      </c>
      <c r="E30" s="15"/>
      <c r="F30" s="39" t="s">
        <v>187</v>
      </c>
    </row>
    <row r="31" spans="1:6" ht="28.5" x14ac:dyDescent="0.2">
      <c r="A31" s="5" t="s">
        <v>95</v>
      </c>
      <c r="B31" s="5" t="s">
        <v>68</v>
      </c>
      <c r="C31" s="18">
        <v>2500</v>
      </c>
      <c r="D31" s="5" t="s">
        <v>110</v>
      </c>
      <c r="E31" s="15"/>
      <c r="F31" s="39"/>
    </row>
    <row r="32" spans="1:6" ht="28.5" x14ac:dyDescent="0.2">
      <c r="A32" s="5" t="s">
        <v>90</v>
      </c>
      <c r="B32" s="5" t="s">
        <v>35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77</v>
      </c>
      <c r="B33" s="5" t="s">
        <v>33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75</v>
      </c>
      <c r="B34" s="5" t="s">
        <v>34</v>
      </c>
      <c r="C34" s="5">
        <f>0.041*1000</f>
        <v>41</v>
      </c>
      <c r="D34" s="5" t="s">
        <v>118</v>
      </c>
      <c r="E34" s="15" t="s">
        <v>19</v>
      </c>
      <c r="F34" s="39"/>
    </row>
    <row r="35" spans="1:6" ht="28.5" x14ac:dyDescent="0.2">
      <c r="A35" s="5" t="s">
        <v>92</v>
      </c>
      <c r="B35" s="5" t="s">
        <v>36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93</v>
      </c>
      <c r="B36" s="4" t="s">
        <v>117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83</v>
      </c>
      <c r="B37" s="5" t="s">
        <v>37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84</v>
      </c>
      <c r="B38" s="5" t="s">
        <v>38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85</v>
      </c>
      <c r="B39" s="5" t="s">
        <v>40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86</v>
      </c>
      <c r="B40" s="5" t="s">
        <v>39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tabSelected="1" zoomScaleNormal="100" workbookViewId="0">
      <pane xSplit="1" topLeftCell="H1" activePane="topRight" state="frozen"/>
      <selection pane="topRight" activeCell="K17" sqref="K17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47</v>
      </c>
      <c r="B1" s="6" t="s">
        <v>58</v>
      </c>
      <c r="C1" s="6" t="s">
        <v>48</v>
      </c>
      <c r="D1" s="6" t="s">
        <v>54</v>
      </c>
      <c r="E1" s="6" t="s">
        <v>55</v>
      </c>
      <c r="F1" s="6" t="s">
        <v>49</v>
      </c>
      <c r="G1" s="17" t="s">
        <v>62</v>
      </c>
      <c r="H1" s="6" t="s">
        <v>57</v>
      </c>
      <c r="I1" s="6" t="s">
        <v>50</v>
      </c>
      <c r="J1" s="6" t="s">
        <v>51</v>
      </c>
      <c r="K1" s="6" t="s">
        <v>56</v>
      </c>
      <c r="L1" s="6" t="s">
        <v>66</v>
      </c>
      <c r="M1" s="6" t="s">
        <v>168</v>
      </c>
      <c r="N1" s="6" t="s">
        <v>205</v>
      </c>
      <c r="O1" s="11" t="s">
        <v>23</v>
      </c>
      <c r="P1" s="11" t="s">
        <v>191</v>
      </c>
      <c r="Q1" s="11" t="s">
        <v>192</v>
      </c>
    </row>
    <row r="2" spans="1:17" ht="17.25" x14ac:dyDescent="0.2">
      <c r="A2" s="24" t="s">
        <v>53</v>
      </c>
      <c r="B2" s="4" t="s">
        <v>59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46</v>
      </c>
      <c r="B3" s="4" t="s">
        <v>59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198</v>
      </c>
      <c r="Q3" s="4"/>
    </row>
    <row r="4" spans="1:17" ht="71.25" x14ac:dyDescent="0.2">
      <c r="A4" s="24" t="s">
        <v>155</v>
      </c>
      <c r="B4" s="5" t="s">
        <v>141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172</v>
      </c>
      <c r="P4" s="45" t="s">
        <v>197</v>
      </c>
      <c r="Q4" s="15" t="s">
        <v>171</v>
      </c>
    </row>
    <row r="5" spans="1:17" s="21" customFormat="1" ht="57" x14ac:dyDescent="0.2">
      <c r="A5" s="24" t="s">
        <v>23</v>
      </c>
      <c r="B5" s="5" t="s">
        <v>60</v>
      </c>
      <c r="C5" s="5" t="s">
        <v>60</v>
      </c>
      <c r="D5" s="15" t="s">
        <v>124</v>
      </c>
      <c r="E5" s="5" t="s">
        <v>60</v>
      </c>
      <c r="F5" s="4" t="s">
        <v>190</v>
      </c>
      <c r="G5" s="5" t="s">
        <v>193</v>
      </c>
      <c r="H5" s="15" t="s">
        <v>125</v>
      </c>
      <c r="I5" s="5" t="s">
        <v>190</v>
      </c>
      <c r="J5" s="5" t="s">
        <v>190</v>
      </c>
      <c r="K5" s="5" t="s">
        <v>190</v>
      </c>
      <c r="L5" s="5" t="s">
        <v>188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148</v>
      </c>
      <c r="B1" s="6" t="s">
        <v>48</v>
      </c>
      <c r="C1" s="17" t="s">
        <v>149</v>
      </c>
      <c r="D1" s="4" t="s">
        <v>170</v>
      </c>
      <c r="E1" s="5" t="s">
        <v>151</v>
      </c>
      <c r="F1" s="5" t="s">
        <v>177</v>
      </c>
      <c r="G1" s="5" t="s">
        <v>202</v>
      </c>
      <c r="H1" s="5" t="s">
        <v>157</v>
      </c>
      <c r="I1" s="5" t="s">
        <v>173</v>
      </c>
      <c r="J1" s="5" t="s">
        <v>175</v>
      </c>
      <c r="K1" s="5" t="s">
        <v>180</v>
      </c>
      <c r="L1" s="5" t="s">
        <v>174</v>
      </c>
    </row>
    <row r="2" spans="1:12" x14ac:dyDescent="0.25">
      <c r="A2" s="24" t="s">
        <v>139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176</v>
      </c>
    </row>
    <row r="3" spans="1:12" ht="28.5" x14ac:dyDescent="0.25">
      <c r="A3" s="24" t="s">
        <v>153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179</v>
      </c>
    </row>
    <row r="4" spans="1:12" x14ac:dyDescent="0.25">
      <c r="A4" s="26" t="s">
        <v>154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178</v>
      </c>
    </row>
    <row r="5" spans="1:12" x14ac:dyDescent="0.25">
      <c r="A5" s="26" t="s">
        <v>169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176</v>
      </c>
    </row>
    <row r="6" spans="1:12" s="5" customFormat="1" ht="85.5" x14ac:dyDescent="0.25">
      <c r="A6" s="24" t="s">
        <v>23</v>
      </c>
      <c r="B6" s="5" t="s">
        <v>194</v>
      </c>
      <c r="C6" s="5" t="s">
        <v>190</v>
      </c>
      <c r="D6" s="5" t="s">
        <v>194</v>
      </c>
      <c r="E6" s="5" t="s">
        <v>190</v>
      </c>
      <c r="F6" s="5" t="s">
        <v>190</v>
      </c>
      <c r="G6" s="8" t="s">
        <v>271</v>
      </c>
      <c r="H6" s="5" t="s">
        <v>199</v>
      </c>
      <c r="I6" s="5" t="s">
        <v>194</v>
      </c>
      <c r="J6" s="5" t="s">
        <v>194</v>
      </c>
      <c r="K6" s="7"/>
      <c r="L6" s="5" t="s">
        <v>194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150</v>
      </c>
      <c r="B1" s="6" t="s">
        <v>48</v>
      </c>
      <c r="C1" s="17" t="s">
        <v>152</v>
      </c>
      <c r="D1" s="5" t="s">
        <v>201</v>
      </c>
    </row>
    <row r="2" spans="1:6" x14ac:dyDescent="0.25">
      <c r="A2" s="24" t="s">
        <v>181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182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183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184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60</v>
      </c>
      <c r="C6" s="15" t="s">
        <v>200</v>
      </c>
      <c r="D6" s="8" t="s">
        <v>271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126</v>
      </c>
      <c r="E3" s="76" t="s">
        <v>128</v>
      </c>
      <c r="F3" s="75" t="s">
        <v>129</v>
      </c>
    </row>
    <row r="4" spans="1:6" ht="28.5" x14ac:dyDescent="0.25">
      <c r="A4" s="36" t="s">
        <v>72</v>
      </c>
      <c r="B4" s="32">
        <v>2.4E-2</v>
      </c>
      <c r="C4" s="28">
        <v>20</v>
      </c>
      <c r="D4" s="33" t="s">
        <v>126</v>
      </c>
      <c r="E4" s="76"/>
      <c r="F4" s="75"/>
    </row>
    <row r="5" spans="1:6" ht="28.5" x14ac:dyDescent="0.25">
      <c r="A5" s="36" t="s">
        <v>71</v>
      </c>
      <c r="B5" s="32">
        <v>4.2000000000000003E-2</v>
      </c>
      <c r="C5" s="28"/>
      <c r="D5" s="33" t="s">
        <v>127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130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204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131</v>
      </c>
    </row>
    <row r="9" spans="1:6" ht="28.5" x14ac:dyDescent="0.25">
      <c r="A9" s="36" t="s">
        <v>43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65</v>
      </c>
      <c r="B14" s="32">
        <v>200</v>
      </c>
      <c r="C14" s="28"/>
      <c r="D14" s="15" t="s">
        <v>109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78" t="s">
        <v>226</v>
      </c>
      <c r="C1" s="78"/>
      <c r="D1" s="78"/>
      <c r="E1" s="78"/>
      <c r="F1" s="78"/>
      <c r="G1" s="78"/>
      <c r="H1" s="78"/>
      <c r="I1" s="52"/>
      <c r="J1" s="52"/>
      <c r="K1" s="52"/>
      <c r="S1" s="53"/>
    </row>
    <row r="2" spans="2:19" x14ac:dyDescent="0.2">
      <c r="B2" s="77" t="s">
        <v>225</v>
      </c>
      <c r="C2" s="77"/>
      <c r="D2" s="77"/>
      <c r="E2" s="77"/>
      <c r="F2" s="77"/>
      <c r="G2" s="77"/>
      <c r="H2" s="77"/>
      <c r="I2" s="3"/>
      <c r="J2" s="3"/>
      <c r="K2" s="3"/>
    </row>
    <row r="3" spans="2:19" ht="30" customHeight="1" x14ac:dyDescent="0.25">
      <c r="B3" s="79" t="s">
        <v>227</v>
      </c>
      <c r="C3" s="79"/>
      <c r="D3" s="79"/>
      <c r="E3" s="79"/>
      <c r="F3" s="79"/>
      <c r="G3" s="79"/>
      <c r="H3" s="79"/>
      <c r="I3" s="54"/>
      <c r="J3" s="54"/>
      <c r="K3" s="54"/>
    </row>
    <row r="5" spans="2:19" ht="29.25" customHeight="1" x14ac:dyDescent="0.25">
      <c r="B5" s="86" t="s">
        <v>224</v>
      </c>
      <c r="C5" s="86"/>
      <c r="D5" s="86"/>
      <c r="E5" s="86"/>
      <c r="F5" s="86"/>
      <c r="H5" s="86" t="s">
        <v>223</v>
      </c>
      <c r="I5" s="86"/>
      <c r="J5" s="86"/>
      <c r="K5" s="86"/>
    </row>
    <row r="6" spans="2:19" ht="35.25" customHeight="1" x14ac:dyDescent="0.25">
      <c r="B6" s="55"/>
      <c r="C6" s="55" t="s">
        <v>228</v>
      </c>
      <c r="D6" s="55" t="s">
        <v>229</v>
      </c>
      <c r="E6" s="55" t="s">
        <v>230</v>
      </c>
      <c r="F6" s="55" t="s">
        <v>181</v>
      </c>
      <c r="H6" s="56"/>
      <c r="I6" s="55" t="s">
        <v>222</v>
      </c>
      <c r="J6" s="55" t="s">
        <v>221</v>
      </c>
      <c r="K6" s="55" t="s">
        <v>220</v>
      </c>
    </row>
    <row r="7" spans="2:19" ht="17.25" x14ac:dyDescent="0.25">
      <c r="B7" s="56" t="s">
        <v>208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228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207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229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169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230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154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181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219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218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217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231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3" t="s">
        <v>232</v>
      </c>
      <c r="N14" s="83"/>
      <c r="O14" s="83"/>
      <c r="P14" s="83"/>
    </row>
    <row r="15" spans="2:19" ht="31.5" x14ac:dyDescent="0.25">
      <c r="H15" s="64" t="s">
        <v>233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3"/>
      <c r="N15" s="83"/>
      <c r="O15" s="83"/>
      <c r="P15" s="83"/>
    </row>
    <row r="16" spans="2:19" ht="31.5" x14ac:dyDescent="0.25">
      <c r="H16" s="64" t="s">
        <v>234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4" t="s">
        <v>228</v>
      </c>
      <c r="D18" s="84"/>
      <c r="E18" s="84"/>
      <c r="F18" s="84"/>
      <c r="H18" s="84" t="s">
        <v>229</v>
      </c>
      <c r="I18" s="84"/>
      <c r="J18" s="84"/>
      <c r="K18" s="84"/>
      <c r="M18" s="84" t="s">
        <v>230</v>
      </c>
      <c r="N18" s="84"/>
      <c r="O18" s="84"/>
      <c r="P18" s="84"/>
      <c r="Q18" s="60"/>
      <c r="R18" s="84" t="s">
        <v>181</v>
      </c>
      <c r="S18" s="84"/>
      <c r="T18" s="84"/>
      <c r="U18" s="84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85" t="s">
        <v>208</v>
      </c>
      <c r="D20" s="66"/>
      <c r="E20" s="66" t="s">
        <v>235</v>
      </c>
      <c r="F20" s="66" t="s">
        <v>236</v>
      </c>
      <c r="H20" s="85" t="s">
        <v>208</v>
      </c>
      <c r="I20" s="66"/>
      <c r="J20" s="66" t="s">
        <v>235</v>
      </c>
      <c r="K20" s="66" t="s">
        <v>236</v>
      </c>
      <c r="M20" s="85" t="s">
        <v>208</v>
      </c>
      <c r="N20" s="66"/>
      <c r="O20" s="66" t="s">
        <v>235</v>
      </c>
      <c r="P20" s="66" t="s">
        <v>236</v>
      </c>
      <c r="Q20" s="60"/>
      <c r="R20" s="85" t="s">
        <v>208</v>
      </c>
      <c r="S20" s="66"/>
      <c r="T20" s="66" t="s">
        <v>235</v>
      </c>
      <c r="U20" s="66" t="s">
        <v>236</v>
      </c>
    </row>
    <row r="21" spans="3:21" ht="15.75" x14ac:dyDescent="0.25">
      <c r="C21" s="85"/>
      <c r="D21" s="66" t="s">
        <v>237</v>
      </c>
      <c r="E21" s="66">
        <v>61.63</v>
      </c>
      <c r="F21" s="66">
        <f>$E$75*E23+$F$75</f>
        <v>143.97423691447224</v>
      </c>
      <c r="H21" s="85"/>
      <c r="I21" s="66" t="s">
        <v>238</v>
      </c>
      <c r="J21" s="66">
        <v>85.19</v>
      </c>
      <c r="K21" s="66">
        <f>$E$75*J23+$F$75</f>
        <v>161.42236098999606</v>
      </c>
      <c r="M21" s="85"/>
      <c r="N21" s="66" t="s">
        <v>237</v>
      </c>
      <c r="O21" s="66">
        <v>61.63</v>
      </c>
      <c r="P21" s="66">
        <f>$E$75*O23+$F$75</f>
        <v>82.37998906382218</v>
      </c>
      <c r="Q21" s="60"/>
      <c r="R21" s="85"/>
      <c r="S21" s="66" t="s">
        <v>238</v>
      </c>
      <c r="T21" s="66">
        <v>85.19</v>
      </c>
      <c r="U21" s="66">
        <f>$E$75*T23+$F$75</f>
        <v>159.05249693899114</v>
      </c>
    </row>
    <row r="22" spans="3:21" ht="17.25" x14ac:dyDescent="0.25">
      <c r="C22" s="85"/>
      <c r="D22" s="66" t="s">
        <v>239</v>
      </c>
      <c r="E22" s="66">
        <v>103.6</v>
      </c>
      <c r="F22" s="66"/>
      <c r="H22" s="85"/>
      <c r="I22" s="66" t="s">
        <v>239</v>
      </c>
      <c r="J22" s="66">
        <v>103.6</v>
      </c>
      <c r="K22" s="67"/>
      <c r="M22" s="85"/>
      <c r="N22" s="66" t="s">
        <v>240</v>
      </c>
      <c r="O22" s="66">
        <v>20.43</v>
      </c>
      <c r="P22" s="66"/>
      <c r="Q22" s="60"/>
      <c r="R22" s="85"/>
      <c r="S22" s="66" t="s">
        <v>241</v>
      </c>
      <c r="T22" s="66">
        <v>100.4</v>
      </c>
      <c r="U22" s="66"/>
    </row>
    <row r="23" spans="3:21" x14ac:dyDescent="0.25">
      <c r="C23" s="85"/>
      <c r="D23" s="66" t="s">
        <v>216</v>
      </c>
      <c r="E23" s="66">
        <f>E22+E21</f>
        <v>165.23</v>
      </c>
      <c r="F23" s="66"/>
      <c r="H23" s="85"/>
      <c r="I23" s="66" t="s">
        <v>216</v>
      </c>
      <c r="J23" s="66">
        <f>J22+J21</f>
        <v>188.79</v>
      </c>
      <c r="K23" s="67"/>
      <c r="M23" s="85"/>
      <c r="N23" s="66" t="s">
        <v>216</v>
      </c>
      <c r="O23" s="66">
        <f>O22+O21</f>
        <v>82.06</v>
      </c>
      <c r="P23" s="66"/>
      <c r="Q23" s="60"/>
      <c r="R23" s="85"/>
      <c r="S23" s="66" t="s">
        <v>216</v>
      </c>
      <c r="T23" s="66">
        <f>T22+T21</f>
        <v>185.59</v>
      </c>
      <c r="U23" s="66"/>
    </row>
    <row r="24" spans="3:21" ht="42.75" x14ac:dyDescent="0.25">
      <c r="C24" s="85"/>
      <c r="D24" s="65" t="s">
        <v>215</v>
      </c>
      <c r="E24" s="65" t="s">
        <v>214</v>
      </c>
      <c r="F24" s="65" t="s">
        <v>213</v>
      </c>
      <c r="H24" s="85"/>
      <c r="I24" s="65" t="s">
        <v>215</v>
      </c>
      <c r="J24" s="65" t="s">
        <v>214</v>
      </c>
      <c r="K24" s="65" t="s">
        <v>213</v>
      </c>
      <c r="M24" s="85"/>
      <c r="N24" s="65" t="s">
        <v>215</v>
      </c>
      <c r="O24" s="65" t="s">
        <v>214</v>
      </c>
      <c r="P24" s="65" t="s">
        <v>213</v>
      </c>
      <c r="Q24" s="60"/>
      <c r="R24" s="85"/>
      <c r="S24" s="65" t="s">
        <v>215</v>
      </c>
      <c r="T24" s="65" t="s">
        <v>214</v>
      </c>
      <c r="U24" s="65" t="s">
        <v>213</v>
      </c>
    </row>
    <row r="25" spans="3:21" x14ac:dyDescent="0.25">
      <c r="C25" s="85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85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85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85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85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85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85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85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85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85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85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85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85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85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85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85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85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85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85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85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85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85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85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85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85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85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85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85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85" t="s">
        <v>207</v>
      </c>
      <c r="D33" s="66"/>
      <c r="E33" s="66" t="s">
        <v>235</v>
      </c>
      <c r="F33" s="66" t="s">
        <v>236</v>
      </c>
      <c r="H33" s="85" t="s">
        <v>207</v>
      </c>
      <c r="I33" s="66"/>
      <c r="J33" s="66" t="s">
        <v>235</v>
      </c>
      <c r="K33" s="66" t="s">
        <v>236</v>
      </c>
      <c r="M33" s="85" t="s">
        <v>207</v>
      </c>
      <c r="N33" s="66"/>
      <c r="O33" s="66" t="s">
        <v>235</v>
      </c>
      <c r="P33" s="66" t="s">
        <v>236</v>
      </c>
      <c r="R33" s="85" t="s">
        <v>207</v>
      </c>
      <c r="S33" s="66"/>
      <c r="T33" s="66" t="s">
        <v>235</v>
      </c>
      <c r="U33" s="66" t="s">
        <v>236</v>
      </c>
    </row>
    <row r="34" spans="3:21" ht="15.75" x14ac:dyDescent="0.25">
      <c r="C34" s="85"/>
      <c r="D34" s="66" t="s">
        <v>237</v>
      </c>
      <c r="E34" s="66">
        <v>8.98</v>
      </c>
      <c r="F34" s="66">
        <f>$E$76*E36+$F$76</f>
        <v>10.846365318638243</v>
      </c>
      <c r="H34" s="85"/>
      <c r="I34" s="66" t="s">
        <v>238</v>
      </c>
      <c r="J34" s="66">
        <v>13.18</v>
      </c>
      <c r="K34" s="66">
        <f>$E$76*J36+$F$76</f>
        <v>12.125442205751522</v>
      </c>
      <c r="M34" s="85"/>
      <c r="N34" s="66" t="s">
        <v>237</v>
      </c>
      <c r="O34" s="66">
        <v>8.98</v>
      </c>
      <c r="P34" s="66">
        <f>$E$76*O36+$F$76</f>
        <v>11.300133071447476</v>
      </c>
      <c r="R34" s="85"/>
      <c r="S34" s="66" t="s">
        <v>238</v>
      </c>
      <c r="T34" s="66">
        <v>13.18</v>
      </c>
      <c r="U34" s="66">
        <f>$E$76*T36+$F$76</f>
        <v>12.073670046035032</v>
      </c>
    </row>
    <row r="35" spans="3:21" ht="17.25" x14ac:dyDescent="0.25">
      <c r="C35" s="85"/>
      <c r="D35" s="66" t="s">
        <v>239</v>
      </c>
      <c r="E35" s="66">
        <v>18.940000000000001</v>
      </c>
      <c r="F35" s="66"/>
      <c r="H35" s="85"/>
      <c r="I35" s="66" t="s">
        <v>239</v>
      </c>
      <c r="J35" s="66">
        <v>18.940000000000001</v>
      </c>
      <c r="K35" s="66"/>
      <c r="M35" s="85"/>
      <c r="N35" s="66" t="s">
        <v>240</v>
      </c>
      <c r="O35" s="66">
        <v>20.43</v>
      </c>
      <c r="P35" s="66"/>
      <c r="R35" s="85"/>
      <c r="S35" s="66" t="s">
        <v>241</v>
      </c>
      <c r="T35" s="66">
        <v>18.77</v>
      </c>
      <c r="U35" s="66"/>
    </row>
    <row r="36" spans="3:21" x14ac:dyDescent="0.25">
      <c r="C36" s="85"/>
      <c r="D36" s="66" t="s">
        <v>216</v>
      </c>
      <c r="E36" s="66">
        <f>E35+E34</f>
        <v>27.92</v>
      </c>
      <c r="F36" s="66"/>
      <c r="H36" s="85"/>
      <c r="I36" s="66" t="s">
        <v>216</v>
      </c>
      <c r="J36" s="66">
        <f>J35+J34</f>
        <v>32.120000000000005</v>
      </c>
      <c r="K36" s="67"/>
      <c r="M36" s="85"/>
      <c r="N36" s="66" t="s">
        <v>216</v>
      </c>
      <c r="O36" s="66">
        <f>O35+O34</f>
        <v>29.41</v>
      </c>
      <c r="P36" s="66"/>
      <c r="Q36" s="60"/>
      <c r="R36" s="85"/>
      <c r="S36" s="66" t="s">
        <v>216</v>
      </c>
      <c r="T36" s="66">
        <f>T35+T34</f>
        <v>31.95</v>
      </c>
      <c r="U36" s="66"/>
    </row>
    <row r="37" spans="3:21" ht="42.75" x14ac:dyDescent="0.25">
      <c r="C37" s="85"/>
      <c r="D37" s="65" t="s">
        <v>215</v>
      </c>
      <c r="E37" s="65" t="s">
        <v>214</v>
      </c>
      <c r="F37" s="65" t="s">
        <v>213</v>
      </c>
      <c r="H37" s="85"/>
      <c r="I37" s="65" t="s">
        <v>215</v>
      </c>
      <c r="J37" s="65" t="s">
        <v>214</v>
      </c>
      <c r="K37" s="65" t="s">
        <v>213</v>
      </c>
      <c r="M37" s="85"/>
      <c r="N37" s="65" t="s">
        <v>215</v>
      </c>
      <c r="O37" s="65" t="s">
        <v>214</v>
      </c>
      <c r="P37" s="65" t="s">
        <v>213</v>
      </c>
      <c r="Q37" s="60"/>
      <c r="R37" s="85"/>
      <c r="S37" s="65" t="s">
        <v>215</v>
      </c>
      <c r="T37" s="65" t="s">
        <v>214</v>
      </c>
      <c r="U37" s="65" t="s">
        <v>213</v>
      </c>
    </row>
    <row r="38" spans="3:21" x14ac:dyDescent="0.25">
      <c r="C38" s="85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85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85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85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85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85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85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85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85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85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85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85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85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85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85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85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85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85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85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85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85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85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85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85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85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85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85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85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85" t="s">
        <v>169</v>
      </c>
      <c r="D46" s="66"/>
      <c r="E46" s="66" t="s">
        <v>235</v>
      </c>
      <c r="F46" s="66" t="s">
        <v>236</v>
      </c>
      <c r="H46" s="85" t="s">
        <v>169</v>
      </c>
      <c r="I46" s="66"/>
      <c r="J46" s="66" t="s">
        <v>235</v>
      </c>
      <c r="K46" s="66" t="s">
        <v>236</v>
      </c>
      <c r="M46" s="85" t="s">
        <v>169</v>
      </c>
      <c r="N46" s="66"/>
      <c r="O46" s="66" t="s">
        <v>235</v>
      </c>
      <c r="P46" s="66" t="s">
        <v>236</v>
      </c>
      <c r="R46" s="85" t="s">
        <v>169</v>
      </c>
      <c r="S46" s="66"/>
      <c r="T46" s="66" t="s">
        <v>235</v>
      </c>
      <c r="U46" s="66" t="s">
        <v>236</v>
      </c>
    </row>
    <row r="47" spans="3:21" ht="15.75" x14ac:dyDescent="0.25">
      <c r="C47" s="85"/>
      <c r="D47" s="66" t="s">
        <v>237</v>
      </c>
      <c r="E47" s="66">
        <v>26.68</v>
      </c>
      <c r="F47" s="66">
        <f>$E$77*E49+$F$77</f>
        <v>66.019453701004863</v>
      </c>
      <c r="H47" s="85"/>
      <c r="I47" s="66" t="s">
        <v>238</v>
      </c>
      <c r="J47" s="66">
        <v>36.369999999999997</v>
      </c>
      <c r="K47" s="66">
        <f>$E$77*J49+$F$77</f>
        <v>72.962336087810144</v>
      </c>
      <c r="M47" s="85"/>
      <c r="N47" s="66" t="s">
        <v>237</v>
      </c>
      <c r="O47" s="66">
        <v>26.68</v>
      </c>
      <c r="P47" s="66">
        <f>$E$77*O49+$F$77</f>
        <v>55.938302495395973</v>
      </c>
      <c r="R47" s="85"/>
      <c r="S47" s="66" t="s">
        <v>238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85"/>
      <c r="D48" s="66" t="s">
        <v>239</v>
      </c>
      <c r="E48" s="66">
        <v>51.6</v>
      </c>
      <c r="F48" s="66"/>
      <c r="H48" s="85"/>
      <c r="I48" s="66" t="s">
        <v>239</v>
      </c>
      <c r="J48" s="66">
        <v>51.6</v>
      </c>
      <c r="K48" s="66"/>
      <c r="M48" s="85"/>
      <c r="N48" s="66" t="s">
        <v>240</v>
      </c>
      <c r="O48" s="66">
        <v>37.53</v>
      </c>
      <c r="P48" s="66"/>
      <c r="R48" s="85"/>
      <c r="S48" s="66" t="s">
        <v>241</v>
      </c>
      <c r="T48" s="66">
        <v>53.8</v>
      </c>
      <c r="U48" s="66"/>
    </row>
    <row r="49" spans="3:21" x14ac:dyDescent="0.25">
      <c r="C49" s="85"/>
      <c r="D49" s="66" t="s">
        <v>216</v>
      </c>
      <c r="E49" s="66">
        <f>E48+E47</f>
        <v>78.28</v>
      </c>
      <c r="F49" s="66"/>
      <c r="H49" s="85"/>
      <c r="I49" s="66" t="s">
        <v>216</v>
      </c>
      <c r="J49" s="66">
        <f>J48+J47</f>
        <v>87.97</v>
      </c>
      <c r="K49" s="67"/>
      <c r="M49" s="85"/>
      <c r="N49" s="66" t="s">
        <v>216</v>
      </c>
      <c r="O49" s="66">
        <f>O48+O47</f>
        <v>64.210000000000008</v>
      </c>
      <c r="P49" s="66"/>
      <c r="Q49" s="60"/>
      <c r="R49" s="85"/>
      <c r="S49" s="66" t="s">
        <v>216</v>
      </c>
      <c r="T49" s="66">
        <f>T48+T47</f>
        <v>90.169999999999987</v>
      </c>
      <c r="U49" s="66"/>
    </row>
    <row r="50" spans="3:21" ht="42.75" x14ac:dyDescent="0.25">
      <c r="C50" s="85"/>
      <c r="D50" s="65" t="s">
        <v>215</v>
      </c>
      <c r="E50" s="65" t="s">
        <v>214</v>
      </c>
      <c r="F50" s="65" t="s">
        <v>213</v>
      </c>
      <c r="H50" s="85"/>
      <c r="I50" s="65" t="s">
        <v>215</v>
      </c>
      <c r="J50" s="65" t="s">
        <v>214</v>
      </c>
      <c r="K50" s="65" t="s">
        <v>213</v>
      </c>
      <c r="M50" s="85"/>
      <c r="N50" s="65" t="s">
        <v>215</v>
      </c>
      <c r="O50" s="65" t="s">
        <v>214</v>
      </c>
      <c r="P50" s="65" t="s">
        <v>213</v>
      </c>
      <c r="Q50" s="60"/>
      <c r="R50" s="85"/>
      <c r="S50" s="65" t="s">
        <v>215</v>
      </c>
      <c r="T50" s="65" t="s">
        <v>214</v>
      </c>
      <c r="U50" s="65" t="s">
        <v>213</v>
      </c>
    </row>
    <row r="51" spans="3:21" x14ac:dyDescent="0.25">
      <c r="C51" s="85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85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85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85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85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85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85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85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85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85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85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85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85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85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85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85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85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85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85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85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85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85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85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85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85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85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85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85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85" t="s">
        <v>154</v>
      </c>
      <c r="D59" s="66"/>
      <c r="E59" s="66" t="s">
        <v>235</v>
      </c>
      <c r="F59" s="66" t="s">
        <v>236</v>
      </c>
      <c r="H59" s="85" t="s">
        <v>154</v>
      </c>
      <c r="I59" s="66"/>
      <c r="J59" s="66" t="s">
        <v>235</v>
      </c>
      <c r="K59" s="66" t="s">
        <v>236</v>
      </c>
      <c r="M59" s="80" t="s">
        <v>154</v>
      </c>
      <c r="N59" s="66"/>
      <c r="O59" s="66" t="s">
        <v>235</v>
      </c>
      <c r="P59" s="66" t="s">
        <v>236</v>
      </c>
      <c r="R59" s="85" t="s">
        <v>154</v>
      </c>
      <c r="S59" s="66"/>
      <c r="T59" s="66" t="s">
        <v>235</v>
      </c>
      <c r="U59" s="66" t="s">
        <v>236</v>
      </c>
    </row>
    <row r="60" spans="3:21" ht="15.75" x14ac:dyDescent="0.25">
      <c r="C60" s="85"/>
      <c r="D60" s="66" t="s">
        <v>237</v>
      </c>
      <c r="E60" s="66">
        <v>10.93</v>
      </c>
      <c r="F60" s="66">
        <f>$E$78*E62+$F$78</f>
        <v>21.270014007783026</v>
      </c>
      <c r="H60" s="85"/>
      <c r="I60" s="66" t="s">
        <v>238</v>
      </c>
      <c r="J60" s="66">
        <v>16.39</v>
      </c>
      <c r="K60" s="66">
        <f>$E$78*J62+$F$78</f>
        <v>24.013030008855846</v>
      </c>
      <c r="M60" s="81"/>
      <c r="N60" s="66" t="s">
        <v>237</v>
      </c>
      <c r="O60" s="66">
        <v>10.93</v>
      </c>
      <c r="P60" s="66">
        <f>$E$78*O62+$F$78</f>
        <v>22.39033006682925</v>
      </c>
      <c r="R60" s="85"/>
      <c r="S60" s="66" t="s">
        <v>238</v>
      </c>
      <c r="T60" s="66">
        <v>16.39</v>
      </c>
      <c r="U60" s="66">
        <f>$E$78*T62+$F$78</f>
        <v>23.520693803535082</v>
      </c>
    </row>
    <row r="61" spans="3:21" ht="17.25" x14ac:dyDescent="0.25">
      <c r="C61" s="85"/>
      <c r="D61" s="66" t="s">
        <v>239</v>
      </c>
      <c r="E61" s="66">
        <v>24.39</v>
      </c>
      <c r="F61" s="66"/>
      <c r="H61" s="85"/>
      <c r="I61" s="66" t="s">
        <v>239</v>
      </c>
      <c r="J61" s="66">
        <v>24.39</v>
      </c>
      <c r="K61" s="66"/>
      <c r="M61" s="81"/>
      <c r="N61" s="66" t="s">
        <v>240</v>
      </c>
      <c r="O61" s="66">
        <v>26.62</v>
      </c>
      <c r="P61" s="66"/>
      <c r="R61" s="85"/>
      <c r="S61" s="66" t="s">
        <v>241</v>
      </c>
      <c r="T61" s="66">
        <v>23.41</v>
      </c>
      <c r="U61" s="66"/>
    </row>
    <row r="62" spans="3:21" x14ac:dyDescent="0.25">
      <c r="C62" s="85"/>
      <c r="D62" s="66" t="s">
        <v>216</v>
      </c>
      <c r="E62" s="66">
        <f>E61+E60</f>
        <v>35.32</v>
      </c>
      <c r="F62" s="66"/>
      <c r="H62" s="85"/>
      <c r="I62" s="66" t="s">
        <v>216</v>
      </c>
      <c r="J62" s="66">
        <f>J61+J60</f>
        <v>40.78</v>
      </c>
      <c r="K62" s="67"/>
      <c r="M62" s="81"/>
      <c r="N62" s="66" t="s">
        <v>216</v>
      </c>
      <c r="O62" s="66">
        <f>O61+O60</f>
        <v>37.549999999999997</v>
      </c>
      <c r="P62" s="66"/>
      <c r="Q62" s="60"/>
      <c r="R62" s="85"/>
      <c r="S62" s="66" t="s">
        <v>216</v>
      </c>
      <c r="T62" s="66">
        <f>T61+T60</f>
        <v>39.799999999999997</v>
      </c>
      <c r="U62" s="66"/>
    </row>
    <row r="63" spans="3:21" ht="42.75" x14ac:dyDescent="0.25">
      <c r="C63" s="85"/>
      <c r="D63" s="65" t="s">
        <v>215</v>
      </c>
      <c r="E63" s="65" t="s">
        <v>214</v>
      </c>
      <c r="F63" s="65" t="s">
        <v>213</v>
      </c>
      <c r="H63" s="85"/>
      <c r="I63" s="65" t="s">
        <v>215</v>
      </c>
      <c r="J63" s="65" t="s">
        <v>214</v>
      </c>
      <c r="K63" s="65" t="s">
        <v>213</v>
      </c>
      <c r="M63" s="81"/>
      <c r="N63" s="65" t="s">
        <v>215</v>
      </c>
      <c r="O63" s="65" t="s">
        <v>214</v>
      </c>
      <c r="P63" s="65" t="s">
        <v>213</v>
      </c>
      <c r="Q63" s="60"/>
      <c r="R63" s="85"/>
      <c r="S63" s="65" t="s">
        <v>215</v>
      </c>
      <c r="T63" s="65" t="s">
        <v>214</v>
      </c>
      <c r="U63" s="65" t="s">
        <v>213</v>
      </c>
    </row>
    <row r="64" spans="3:21" x14ac:dyDescent="0.25">
      <c r="C64" s="85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85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1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85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85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85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1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85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85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85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1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85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85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85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1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85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85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85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1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85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85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85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1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85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85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85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2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85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212</v>
      </c>
      <c r="D74" s="55" t="s">
        <v>211</v>
      </c>
      <c r="E74" s="55" t="s">
        <v>210</v>
      </c>
      <c r="F74" s="55" t="s">
        <v>209</v>
      </c>
      <c r="H74" s="87"/>
      <c r="I74" s="87"/>
      <c r="J74" s="87"/>
      <c r="K74" s="87"/>
      <c r="L74" s="87"/>
    </row>
    <row r="75" spans="2:21" x14ac:dyDescent="0.25">
      <c r="B75" s="55" t="s">
        <v>208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87"/>
      <c r="I75" s="87"/>
      <c r="J75" s="87"/>
      <c r="K75" s="87"/>
      <c r="L75" s="87"/>
    </row>
    <row r="76" spans="2:21" x14ac:dyDescent="0.25">
      <c r="B76" s="55" t="s">
        <v>207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87"/>
      <c r="I76" s="87"/>
      <c r="J76" s="87"/>
      <c r="K76" s="87"/>
      <c r="L76" s="87"/>
    </row>
    <row r="77" spans="2:21" x14ac:dyDescent="0.25">
      <c r="B77" s="55" t="s">
        <v>169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87"/>
      <c r="I77" s="87"/>
      <c r="J77" s="87"/>
      <c r="K77" s="87"/>
      <c r="L77" s="87"/>
    </row>
    <row r="78" spans="2:21" x14ac:dyDescent="0.25">
      <c r="B78" s="55" t="s">
        <v>154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87"/>
      <c r="I78" s="87"/>
      <c r="J78" s="87"/>
      <c r="K78" s="87"/>
      <c r="L78" s="87"/>
    </row>
    <row r="79" spans="2:21" x14ac:dyDescent="0.25">
      <c r="E79" s="60"/>
      <c r="H79" s="87"/>
      <c r="I79" s="87"/>
      <c r="J79" s="87"/>
      <c r="K79" s="87"/>
      <c r="L79" s="87"/>
    </row>
    <row r="80" spans="2:21" x14ac:dyDescent="0.25">
      <c r="F80" s="60"/>
      <c r="H80" s="87"/>
      <c r="I80" s="87"/>
      <c r="J80" s="87"/>
      <c r="K80" s="87"/>
      <c r="L80" s="87"/>
    </row>
    <row r="81" spans="6:12" ht="22.5" customHeight="1" x14ac:dyDescent="0.25">
      <c r="F81" s="60"/>
      <c r="H81" s="87"/>
      <c r="I81" s="87"/>
      <c r="J81" s="87"/>
      <c r="K81" s="87"/>
      <c r="L81" s="87"/>
    </row>
    <row r="82" spans="6:12" ht="15.75" x14ac:dyDescent="0.25">
      <c r="F82" s="60"/>
      <c r="H82" s="51" t="s">
        <v>242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H74:L81"/>
    <mergeCell ref="H5:K5"/>
    <mergeCell ref="R46:R57"/>
    <mergeCell ref="R59:R70"/>
    <mergeCell ref="R18:U18"/>
    <mergeCell ref="R20:R31"/>
    <mergeCell ref="C20:C31"/>
    <mergeCell ref="H20:H31"/>
    <mergeCell ref="R33:R44"/>
    <mergeCell ref="M33:M44"/>
    <mergeCell ref="M46:M57"/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86" t="s">
        <v>270</v>
      </c>
      <c r="B1" s="86"/>
      <c r="C1" s="86"/>
      <c r="D1" s="86"/>
      <c r="E1" s="86"/>
      <c r="G1" s="86" t="s">
        <v>269</v>
      </c>
      <c r="H1" s="86"/>
      <c r="I1" s="86"/>
      <c r="J1" s="86"/>
      <c r="L1" s="87" t="s">
        <v>272</v>
      </c>
    </row>
    <row r="2" spans="1:25" ht="17.25" x14ac:dyDescent="0.25">
      <c r="A2" s="55"/>
      <c r="B2" s="55" t="s">
        <v>228</v>
      </c>
      <c r="C2" s="55" t="s">
        <v>229</v>
      </c>
      <c r="D2" s="55" t="s">
        <v>230</v>
      </c>
      <c r="E2" s="55" t="s">
        <v>181</v>
      </c>
      <c r="G2" s="56"/>
      <c r="H2" s="55" t="s">
        <v>268</v>
      </c>
      <c r="I2" s="55" t="s">
        <v>267</v>
      </c>
      <c r="J2" s="55" t="s">
        <v>266</v>
      </c>
      <c r="L2" s="87"/>
    </row>
    <row r="3" spans="1:25" ht="17.25" x14ac:dyDescent="0.25">
      <c r="A3" s="56" t="s">
        <v>208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228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87"/>
    </row>
    <row r="4" spans="1:25" ht="17.25" x14ac:dyDescent="0.25">
      <c r="A4" s="56" t="s">
        <v>207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229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87"/>
    </row>
    <row r="5" spans="1:25" ht="17.25" x14ac:dyDescent="0.25">
      <c r="A5" s="56" t="s">
        <v>169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230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87"/>
    </row>
    <row r="6" spans="1:25" x14ac:dyDescent="0.25">
      <c r="A6" s="56" t="s">
        <v>154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181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87"/>
    </row>
    <row r="7" spans="1:25" x14ac:dyDescent="0.25">
      <c r="B7" s="28"/>
      <c r="G7" s="61" t="s">
        <v>219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87"/>
    </row>
    <row r="8" spans="1:25" x14ac:dyDescent="0.25">
      <c r="B8" s="28"/>
      <c r="C8" s="53"/>
      <c r="G8" s="61" t="s">
        <v>218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87"/>
    </row>
    <row r="9" spans="1:25" x14ac:dyDescent="0.2">
      <c r="B9" s="28"/>
      <c r="C9" s="3"/>
      <c r="G9" s="61" t="s">
        <v>217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87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4" t="s">
        <v>228</v>
      </c>
      <c r="C12" s="84"/>
      <c r="D12" s="84"/>
      <c r="E12" s="84"/>
      <c r="G12" s="84" t="s">
        <v>229</v>
      </c>
      <c r="H12" s="84"/>
      <c r="I12" s="84"/>
      <c r="J12" s="84"/>
      <c r="L12" s="84" t="s">
        <v>230</v>
      </c>
      <c r="M12" s="84"/>
      <c r="N12" s="84"/>
      <c r="O12" s="84"/>
      <c r="Q12" s="84" t="s">
        <v>181</v>
      </c>
      <c r="R12" s="84"/>
      <c r="S12" s="84"/>
      <c r="T12" s="84"/>
    </row>
    <row r="13" spans="1:25" ht="28.5" x14ac:dyDescent="0.25">
      <c r="C13" s="60" t="s">
        <v>215</v>
      </c>
      <c r="D13" s="60" t="s">
        <v>213</v>
      </c>
      <c r="E13" s="60" t="s">
        <v>265</v>
      </c>
      <c r="G13" s="60"/>
      <c r="H13" s="60" t="s">
        <v>215</v>
      </c>
      <c r="I13" s="60" t="s">
        <v>213</v>
      </c>
      <c r="J13" s="60" t="s">
        <v>265</v>
      </c>
      <c r="L13" s="60"/>
      <c r="M13" s="60" t="s">
        <v>215</v>
      </c>
      <c r="N13" s="60" t="s">
        <v>213</v>
      </c>
      <c r="O13" s="60" t="s">
        <v>265</v>
      </c>
      <c r="Q13" s="60"/>
      <c r="R13" s="60" t="s">
        <v>215</v>
      </c>
      <c r="S13" s="60" t="s">
        <v>213</v>
      </c>
      <c r="T13" s="60" t="s">
        <v>265</v>
      </c>
    </row>
    <row r="15" spans="1:25" ht="225" customHeight="1" x14ac:dyDescent="0.25">
      <c r="B15" s="80" t="s">
        <v>208</v>
      </c>
      <c r="C15" s="68">
        <f>'[1]House J Org Chem 1971'!B4</f>
        <v>0.6</v>
      </c>
      <c r="D15" s="68">
        <f>'[1]House J Org Chem 1971'!D4</f>
        <v>2.7027027027027029E-2</v>
      </c>
      <c r="E15" s="88" t="s">
        <v>250</v>
      </c>
      <c r="G15" s="80" t="s">
        <v>208</v>
      </c>
      <c r="H15" s="68">
        <v>1</v>
      </c>
      <c r="I15" s="68">
        <f>'[1]Gong EES 2015'!H11/1000</f>
        <v>5.0058999999999999E-2</v>
      </c>
      <c r="J15" s="68" t="s">
        <v>253</v>
      </c>
      <c r="L15" s="80" t="s">
        <v>208</v>
      </c>
      <c r="M15" s="68">
        <v>0.1</v>
      </c>
      <c r="N15" s="68">
        <f>'[1]Shinkle J Pow Sources 2014'!B9/1000</f>
        <v>9.9299999999999996E-3</v>
      </c>
      <c r="O15" s="68" t="s">
        <v>252</v>
      </c>
      <c r="Q15" s="80" t="s">
        <v>208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8" t="s">
        <v>262</v>
      </c>
      <c r="V15" s="83" t="s">
        <v>264</v>
      </c>
      <c r="W15" s="83"/>
      <c r="X15" s="83"/>
      <c r="Y15" s="83"/>
    </row>
    <row r="16" spans="1:25" x14ac:dyDescent="0.25">
      <c r="B16" s="81"/>
      <c r="C16" s="68">
        <f>'[1]House J Org Chem 1971'!B5</f>
        <v>0.5</v>
      </c>
      <c r="D16" s="68">
        <f>'[1]House J Org Chem 1971'!D5</f>
        <v>2.564102564102564E-2</v>
      </c>
      <c r="E16" s="90"/>
      <c r="G16" s="81"/>
      <c r="H16" s="68">
        <f>'[1]Wypych J Mol Liq 2014'!A7</f>
        <v>1E-3</v>
      </c>
      <c r="I16" s="68">
        <f>'[1]Wypych J Mol Liq 2014'!B7</f>
        <v>1.8489633683833073E-4</v>
      </c>
      <c r="J16" s="88" t="s">
        <v>263</v>
      </c>
      <c r="L16" s="81"/>
      <c r="M16" s="68">
        <f>'[1]House J Org Chem 1971'!B9</f>
        <v>1</v>
      </c>
      <c r="N16" s="68">
        <f>'[1]House J Org Chem 1971'!D9</f>
        <v>3.2258064516129031E-2</v>
      </c>
      <c r="O16" s="88" t="s">
        <v>250</v>
      </c>
      <c r="Q16" s="81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89"/>
      <c r="V16" s="83"/>
      <c r="W16" s="83"/>
      <c r="X16" s="83"/>
      <c r="Y16" s="83"/>
    </row>
    <row r="17" spans="2:23" ht="127.5" customHeight="1" x14ac:dyDescent="0.25">
      <c r="B17" s="81"/>
      <c r="C17" s="68">
        <f>'[1]Anand Z Phys Chem 2016'!A6</f>
        <v>5.0310095439384403E-2</v>
      </c>
      <c r="D17" s="68">
        <f>'[1]Anand Z Phys Chem 2016'!C6</f>
        <v>8.7890164651051978E-4</v>
      </c>
      <c r="E17" s="88" t="s">
        <v>260</v>
      </c>
      <c r="G17" s="81"/>
      <c r="H17" s="68">
        <f>'[1]Wypych J Mol Liq 2014'!A8</f>
        <v>2E-3</v>
      </c>
      <c r="I17" s="68">
        <f>'[1]Wypych J Mol Liq 2014'!B8</f>
        <v>3.6553980786422442E-4</v>
      </c>
      <c r="J17" s="89"/>
      <c r="L17" s="81"/>
      <c r="M17" s="68">
        <f>'[1]House J Org Chem 1971'!B10</f>
        <v>0.5</v>
      </c>
      <c r="N17" s="68">
        <f>'[1]House J Org Chem 1971'!D10</f>
        <v>3.0303030303030304E-2</v>
      </c>
      <c r="O17" s="90"/>
      <c r="Q17" s="81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89"/>
    </row>
    <row r="18" spans="2:23" ht="60" customHeight="1" x14ac:dyDescent="0.25">
      <c r="B18" s="81"/>
      <c r="C18" s="68">
        <f>'[1]Anand Z Phys Chem 2016'!A7</f>
        <v>4.5050031372807997E-2</v>
      </c>
      <c r="D18" s="68">
        <f>'[1]Anand Z Phys Chem 2016'!C7</f>
        <v>6.9661650396890843E-4</v>
      </c>
      <c r="E18" s="89"/>
      <c r="G18" s="81"/>
      <c r="H18" s="68">
        <f>'[1]Wypych J Mol Liq 2014'!A9</f>
        <v>3.0000000000000001E-3</v>
      </c>
      <c r="I18" s="68">
        <f>'[1]Wypych J Mol Liq 2014'!B9</f>
        <v>5.4341470372513251E-4</v>
      </c>
      <c r="J18" s="89"/>
      <c r="L18" s="81"/>
      <c r="M18" s="68">
        <f>'[1]Kalugin Kharkiv Univ Bull 2019 '!C12</f>
        <v>7.9658500000000004E-4</v>
      </c>
      <c r="N18" s="68">
        <f>'[1]Kalugin Kharkiv Univ Bull 2019 '!E12</f>
        <v>1.2805E-4</v>
      </c>
      <c r="O18" s="88" t="s">
        <v>262</v>
      </c>
      <c r="Q18" s="81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89"/>
    </row>
    <row r="19" spans="2:23" ht="60" customHeight="1" x14ac:dyDescent="0.25">
      <c r="B19" s="81"/>
      <c r="C19" s="68">
        <f>'[1]Anand Z Phys Chem 2016'!A8</f>
        <v>4.0268154948647598E-2</v>
      </c>
      <c r="D19" s="68">
        <f>'[1]Anand Z Phys Chem 2016'!C8</f>
        <v>5.822742283504975E-4</v>
      </c>
      <c r="E19" s="89"/>
      <c r="G19" s="81"/>
      <c r="H19" s="68">
        <f>'[1]Wypych J Mol Liq 2014'!A10</f>
        <v>4.0000000000000001E-3</v>
      </c>
      <c r="I19" s="68">
        <f>'[1]Wypych J Mol Liq 2014'!B10</f>
        <v>7.190506947066461E-4</v>
      </c>
      <c r="J19" s="89"/>
      <c r="L19" s="81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89"/>
      <c r="Q19" s="81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89"/>
    </row>
    <row r="20" spans="2:23" ht="60" customHeight="1" x14ac:dyDescent="0.25">
      <c r="B20" s="81"/>
      <c r="C20" s="68">
        <f>'[1]Anand Z Phys Chem 2016'!A9</f>
        <v>3.6203559988111297E-2</v>
      </c>
      <c r="D20" s="68">
        <f>'[1]Anand Z Phys Chem 2016'!C9</f>
        <v>4.6901833621402599E-4</v>
      </c>
      <c r="E20" s="89"/>
      <c r="G20" s="81"/>
      <c r="H20" s="68">
        <f>'[1]Wypych J Mol Liq 2014'!A11</f>
        <v>5.0000000000000001E-3</v>
      </c>
      <c r="I20" s="68">
        <f>'[1]Wypych J Mol Liq 2014'!B11</f>
        <v>8.9275390098460543E-4</v>
      </c>
      <c r="J20" s="89"/>
      <c r="L20" s="81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89"/>
      <c r="Q20" s="81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90"/>
    </row>
    <row r="21" spans="2:23" ht="60" customHeight="1" x14ac:dyDescent="0.25">
      <c r="B21" s="81"/>
      <c r="C21" s="68">
        <f>'[1]Anand Z Phys Chem 2016'!A10</f>
        <v>3.0226214457910801E-2</v>
      </c>
      <c r="D21" s="68">
        <f>'[1]Anand Z Phys Chem 2016'!C10</f>
        <v>3.4609465816630875E-4</v>
      </c>
      <c r="E21" s="89"/>
      <c r="G21" s="81"/>
      <c r="H21" s="68">
        <f>'[1]Wypych J Mol Liq 2014'!A12</f>
        <v>6.0000000000000001E-3</v>
      </c>
      <c r="I21" s="68">
        <f>'[1]Wypych J Mol Liq 2014'!B12</f>
        <v>1.0647308684555239E-3</v>
      </c>
      <c r="J21" s="89"/>
      <c r="L21" s="81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89"/>
      <c r="Q21" s="81"/>
      <c r="R21" s="68">
        <f>'[1]Das JCED 1999'!B9</f>
        <v>2.5535000000000002E-3</v>
      </c>
      <c r="S21" s="68">
        <f>'[1]Das JCED 1999'!D9</f>
        <v>4.2089340500000005E-4</v>
      </c>
      <c r="T21" s="88" t="s">
        <v>261</v>
      </c>
      <c r="W21" s="60"/>
    </row>
    <row r="22" spans="2:23" ht="60" customHeight="1" x14ac:dyDescent="0.25">
      <c r="B22" s="81"/>
      <c r="C22" s="68">
        <f>'[1]Anand Z Phys Chem 2016'!A11</f>
        <v>1.99451801459661E-2</v>
      </c>
      <c r="D22" s="68">
        <f>'[1]Anand Z Phys Chem 2016'!C11</f>
        <v>1.6834489332651469E-4</v>
      </c>
      <c r="E22" s="89"/>
      <c r="G22" s="81"/>
      <c r="H22" s="68">
        <f>'[1]Wypych J Mol Liq 2014'!A13</f>
        <v>7.0000000000000001E-3</v>
      </c>
      <c r="I22" s="68">
        <f>'[1]Wypych J Mol Liq 2014'!B13</f>
        <v>1.2351332277161472E-3</v>
      </c>
      <c r="J22" s="90"/>
      <c r="L22" s="81"/>
      <c r="M22" s="68">
        <f>'[1]Kalugin Kharkiv Univ Bull 2019 '!C16</f>
        <v>2.04615925E-3</v>
      </c>
      <c r="N22" s="68">
        <f>'[1]Kalugin Kharkiv Univ Bull 2019 '!E16</f>
        <v>3.1684000000000004E-4</v>
      </c>
      <c r="O22" s="89"/>
      <c r="Q22" s="81"/>
      <c r="R22" s="68">
        <f>'[1]Das JCED 1999'!B10</f>
        <v>3.5412E-3</v>
      </c>
      <c r="S22" s="68">
        <f>'[1]Das JCED 1999'!D10</f>
        <v>5.7062896799999993E-4</v>
      </c>
      <c r="T22" s="89"/>
    </row>
    <row r="23" spans="2:23" ht="142.5" x14ac:dyDescent="0.25">
      <c r="B23" s="81"/>
      <c r="C23" s="68">
        <f>'[1]Anand Z Phys Chem 2016'!A12</f>
        <v>1.0142333476437299E-2</v>
      </c>
      <c r="D23" s="68">
        <f>'[1]Anand Z Phys Chem 2016'!C12</f>
        <v>5.5079061725431765E-5</v>
      </c>
      <c r="E23" s="90"/>
      <c r="G23" s="81"/>
      <c r="H23" s="68">
        <f>'[1]House J Org Chem 1971'!B7</f>
        <v>0.6</v>
      </c>
      <c r="I23" s="68">
        <f>'[1]House J Org Chem 1971'!D7</f>
        <v>3.8461538461538464E-2</v>
      </c>
      <c r="J23" s="68" t="s">
        <v>250</v>
      </c>
      <c r="L23" s="81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89"/>
      <c r="Q23" s="81"/>
      <c r="R23" s="68">
        <f>'[1]Das JCED 1999'!B11</f>
        <v>4.0008000000000005E-3</v>
      </c>
      <c r="S23" s="68">
        <f>'[1]Das JCED 1999'!D11</f>
        <v>6.3860769600000017E-4</v>
      </c>
      <c r="T23" s="89"/>
    </row>
    <row r="24" spans="2:23" ht="64.150000000000006" customHeight="1" x14ac:dyDescent="0.25">
      <c r="B24" s="81"/>
      <c r="C24" s="68"/>
      <c r="D24" s="68"/>
      <c r="E24" s="68"/>
      <c r="G24" s="81"/>
      <c r="H24" s="68">
        <f>'[1]Anand Z Phys Chem 2016'!A19</f>
        <v>4.4810937551599997E-2</v>
      </c>
      <c r="I24" s="68">
        <f>'[1]Kalugin Kharkiv Univ Bull 2019 '!C19</f>
        <v>0</v>
      </c>
      <c r="J24" s="88" t="s">
        <v>260</v>
      </c>
      <c r="L24" s="81"/>
      <c r="M24" s="68">
        <f>'[1]Anand Z Phys Chem 2016'!A18</f>
        <v>4.9831907796968299E-2</v>
      </c>
      <c r="N24" s="68">
        <f>'[1]Kalugin Kharkiv Univ Bull 2019 '!C18</f>
        <v>2.99541E-3</v>
      </c>
      <c r="O24" s="90"/>
      <c r="Q24" s="81"/>
      <c r="R24" s="68">
        <f>'[1]Das JCED 1999'!B12</f>
        <v>4.5163E-3</v>
      </c>
      <c r="S24" s="68">
        <f>'[1]Das JCED 1999'!D12</f>
        <v>7.1362056300000002E-4</v>
      </c>
      <c r="T24" s="90"/>
    </row>
    <row r="25" spans="2:23" ht="64.150000000000006" customHeight="1" x14ac:dyDescent="0.25">
      <c r="B25" s="81"/>
      <c r="C25" s="68"/>
      <c r="D25" s="68"/>
      <c r="E25" s="68"/>
      <c r="G25" s="81"/>
      <c r="H25" s="68">
        <f>'[1]Anand Z Phys Chem 2016'!A20</f>
        <v>3.6203559988111297E-2</v>
      </c>
      <c r="I25" s="68">
        <f>'[1]Kalugin Kharkiv Univ Bull 2019 '!C20</f>
        <v>0</v>
      </c>
      <c r="J25" s="89"/>
      <c r="L25" s="81"/>
      <c r="M25" s="68"/>
      <c r="N25" s="68"/>
      <c r="O25" s="68"/>
      <c r="Q25" s="81"/>
      <c r="R25" s="68">
        <f>'[1]Dilo Rev Cub Quim 2010'!A14</f>
        <v>1.0150000000000001E-3</v>
      </c>
      <c r="S25" s="68">
        <f>'[1]Dilo Rev Cub Quim 2010'!C14</f>
        <v>1.7378931500000003E-4</v>
      </c>
      <c r="T25" s="88" t="s">
        <v>259</v>
      </c>
    </row>
    <row r="26" spans="2:23" ht="64.150000000000006" customHeight="1" x14ac:dyDescent="0.25">
      <c r="B26" s="81"/>
      <c r="C26" s="68"/>
      <c r="D26" s="68"/>
      <c r="E26" s="68"/>
      <c r="G26" s="81"/>
      <c r="H26" s="68">
        <f>'[1]Anand Z Phys Chem 2016'!A21</f>
        <v>4.0029061127439598E-2</v>
      </c>
      <c r="I26" s="68">
        <f>'[1]Kalugin Kharkiv Univ Bull 2019 '!C21</f>
        <v>0</v>
      </c>
      <c r="J26" s="89"/>
      <c r="L26" s="81"/>
      <c r="M26" s="68"/>
      <c r="N26" s="68"/>
      <c r="O26" s="68"/>
      <c r="Q26" s="81"/>
      <c r="R26" s="68">
        <f>'[1]Dilo Rev Cub Quim 2010'!A15</f>
        <v>2.8806000000000001E-3</v>
      </c>
      <c r="S26" s="68">
        <f>'[1]Dilo Rev Cub Quim 2010'!C15</f>
        <v>4.6530619860000007E-4</v>
      </c>
      <c r="T26" s="89"/>
    </row>
    <row r="27" spans="2:23" ht="64.150000000000006" customHeight="1" x14ac:dyDescent="0.25">
      <c r="B27" s="81"/>
      <c r="C27" s="68"/>
      <c r="D27" s="68"/>
      <c r="E27" s="68"/>
      <c r="G27" s="81"/>
      <c r="H27" s="68">
        <f>'[1]Anand Z Phys Chem 2016'!A22</f>
        <v>2.9987120636702801E-2</v>
      </c>
      <c r="I27" s="68">
        <f>'[1]Kalugin Kharkiv Univ Bull 2019 '!C22</f>
        <v>0</v>
      </c>
      <c r="J27" s="89"/>
      <c r="L27" s="81"/>
      <c r="M27" s="68"/>
      <c r="N27" s="68"/>
      <c r="O27" s="68"/>
      <c r="Q27" s="81"/>
      <c r="R27" s="68">
        <f>'[1]Dilo Rev Cub Quim 2010'!A16</f>
        <v>4.6937000000000003E-3</v>
      </c>
      <c r="S27" s="68">
        <f>'[1]Dilo Rev Cub Quim 2010'!C16</f>
        <v>7.3750699990000012E-4</v>
      </c>
      <c r="T27" s="89"/>
    </row>
    <row r="28" spans="2:23" ht="64.150000000000006" customHeight="1" x14ac:dyDescent="0.25">
      <c r="B28" s="81"/>
      <c r="C28" s="68"/>
      <c r="D28" s="68"/>
      <c r="E28" s="68"/>
      <c r="G28" s="81"/>
      <c r="H28" s="68">
        <f>'[1]Anand Z Phys Chem 2016'!A23</f>
        <v>1.99451801459661E-2</v>
      </c>
      <c r="I28" s="68">
        <f>'[1]Kalugin Kharkiv Univ Bull 2019 '!C23</f>
        <v>0</v>
      </c>
      <c r="J28" s="90"/>
      <c r="L28" s="81"/>
      <c r="M28" s="68"/>
      <c r="N28" s="68"/>
      <c r="O28" s="68"/>
      <c r="Q28" s="81"/>
      <c r="R28" s="68">
        <f>'[1]Dilo Rev Cub Quim 2010'!A17</f>
        <v>6.5418000000000004E-3</v>
      </c>
      <c r="S28" s="68">
        <f>'[1]Dilo Rev Cub Quim 2010'!C17</f>
        <v>9.7656644580000011E-4</v>
      </c>
      <c r="T28" s="89"/>
    </row>
    <row r="29" spans="2:23" ht="30" customHeight="1" x14ac:dyDescent="0.25">
      <c r="B29" s="81"/>
      <c r="C29" s="68"/>
      <c r="D29" s="68"/>
      <c r="E29" s="68"/>
      <c r="G29" s="81"/>
      <c r="H29" s="68"/>
      <c r="I29" s="65"/>
      <c r="J29" s="65"/>
      <c r="L29" s="81"/>
      <c r="M29" s="68"/>
      <c r="N29" s="68"/>
      <c r="O29" s="68"/>
      <c r="Q29" s="81"/>
      <c r="R29" s="68">
        <f>'[1]Dilo Rev Cub Quim 2010'!A18</f>
        <v>8.4104000000000002E-3</v>
      </c>
      <c r="S29" s="68">
        <f>'[1]Dilo Rev Cub Quim 2010'!C18</f>
        <v>1.2169091864000002E-3</v>
      </c>
      <c r="T29" s="90"/>
    </row>
    <row r="30" spans="2:23" x14ac:dyDescent="0.25">
      <c r="B30" s="82"/>
      <c r="C30" s="72">
        <v>0.3</v>
      </c>
      <c r="D30" s="72">
        <f>-0.05*C30^2+0.0791*C30-0.002</f>
        <v>1.7230000000000002E-2</v>
      </c>
      <c r="E30" s="72" t="s">
        <v>248</v>
      </c>
      <c r="G30" s="82"/>
      <c r="H30" s="72">
        <v>0.3</v>
      </c>
      <c r="I30" s="72">
        <f>-0.0302*H30^2+0.0815*H30-0.0008</f>
        <v>2.0932000000000003E-2</v>
      </c>
      <c r="J30" s="72" t="s">
        <v>248</v>
      </c>
      <c r="L30" s="82"/>
      <c r="M30" s="72">
        <v>0.3</v>
      </c>
      <c r="N30" s="72">
        <f>-0.0577*M30^2+0.0898*M30+0.00008</f>
        <v>2.1827000000000003E-2</v>
      </c>
      <c r="O30" s="72" t="s">
        <v>248</v>
      </c>
      <c r="Q30" s="82"/>
      <c r="R30" s="73">
        <v>0.3</v>
      </c>
      <c r="S30" s="73">
        <f>0.1483*R30+0.00002</f>
        <v>4.4509999999999994E-2</v>
      </c>
      <c r="T30" s="73" t="s">
        <v>243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0" t="s">
        <v>207</v>
      </c>
      <c r="C32" s="68">
        <f>'[1]Mukherjee J Phys Chem 1969'!A11</f>
        <v>1E-3</v>
      </c>
      <c r="D32" s="68">
        <f>'[1]Mukherjee J Phys Chem 1969'!B11</f>
        <v>2.7211508808534348E-5</v>
      </c>
      <c r="E32" s="88" t="s">
        <v>258</v>
      </c>
      <c r="G32" s="80" t="s">
        <v>207</v>
      </c>
      <c r="H32" s="68">
        <f>'[1]Mukherjee J Phys Chem 1969'!D11</f>
        <v>1E-3</v>
      </c>
      <c r="I32" s="68">
        <f>'[1]Mukherjee J Phys Chem 1969'!E11</f>
        <v>3.1630033019835727E-5</v>
      </c>
      <c r="J32" s="88" t="s">
        <v>258</v>
      </c>
      <c r="L32" s="80" t="s">
        <v>207</v>
      </c>
      <c r="M32" s="68">
        <f>'[1]Ue JECS 1994'!B10</f>
        <v>0.65</v>
      </c>
      <c r="N32" s="68">
        <f>'[1]Ue JECS 1994'!C10/1000</f>
        <v>7.2300000000000003E-3</v>
      </c>
      <c r="O32" s="88" t="s">
        <v>251</v>
      </c>
      <c r="Q32" s="80" t="s">
        <v>207</v>
      </c>
      <c r="R32" s="68">
        <f>'[1]Mukherjee J Phys Chem 1969'!H11</f>
        <v>1E-3</v>
      </c>
      <c r="S32" s="68">
        <f>'[1]Mukherjee J Phys Chem 1969'!I11</f>
        <v>3.0656925958644218E-5</v>
      </c>
      <c r="T32" s="88" t="s">
        <v>258</v>
      </c>
    </row>
    <row r="33" spans="2:20" ht="30" customHeight="1" x14ac:dyDescent="0.25">
      <c r="B33" s="81"/>
      <c r="C33" s="68">
        <f>'[1]Mukherjee J Phys Chem 1969'!A12</f>
        <v>2E-3</v>
      </c>
      <c r="D33" s="68">
        <f>'[1]Mukherjee J Phys Chem 1969'!B12</f>
        <v>5.3728208474583968E-5</v>
      </c>
      <c r="E33" s="89"/>
      <c r="G33" s="81"/>
      <c r="H33" s="68">
        <f>'[1]Mukherjee J Phys Chem 1969'!D12</f>
        <v>2E-3</v>
      </c>
      <c r="I33" s="68">
        <f>'[1]Mukherjee J Phys Chem 1969'!E12</f>
        <v>6.2493155818728701E-5</v>
      </c>
      <c r="J33" s="89"/>
      <c r="L33" s="81"/>
      <c r="M33" s="68">
        <f>'[1]Ue JECS 1994'!A18</f>
        <v>2.77795812819834E-2</v>
      </c>
      <c r="N33" s="68">
        <f>'[1]Ue JECS 1994'!C18</f>
        <v>6.4151492372494E-4</v>
      </c>
      <c r="O33" s="89"/>
      <c r="Q33" s="81"/>
      <c r="R33" s="68">
        <f>'[1]Mukherjee J Phys Chem 1969'!H12</f>
        <v>2E-3</v>
      </c>
      <c r="S33" s="68">
        <f>'[1]Mukherjee J Phys Chem 1969'!I12</f>
        <v>6.0609080816895597E-5</v>
      </c>
      <c r="T33" s="89"/>
    </row>
    <row r="34" spans="2:20" ht="30" customHeight="1" x14ac:dyDescent="0.25">
      <c r="B34" s="81"/>
      <c r="C34" s="68">
        <f>'[1]Mukherjee J Phys Chem 1969'!A13</f>
        <v>3.0000000000000001E-3</v>
      </c>
      <c r="D34" s="68">
        <f>'[1]Mukherjee J Phys Chem 1969'!B13</f>
        <v>7.9852408146862777E-5</v>
      </c>
      <c r="E34" s="89"/>
      <c r="G34" s="81"/>
      <c r="H34" s="68">
        <f>'[1]Mukherjee J Phys Chem 1969'!D13</f>
        <v>3.0000000000000001E-3</v>
      </c>
      <c r="I34" s="68">
        <f>'[1]Mukherjee J Phys Chem 1969'!E13</f>
        <v>9.290406228820849E-5</v>
      </c>
      <c r="J34" s="89"/>
      <c r="L34" s="81"/>
      <c r="M34" s="68">
        <f>'[1]Ue JECS 1994'!A19</f>
        <v>6.06653893688439E-2</v>
      </c>
      <c r="N34" s="68">
        <f>'[1]Ue JECS 1994'!C19</f>
        <v>1.2375235666209502E-3</v>
      </c>
      <c r="O34" s="89"/>
      <c r="Q34" s="81"/>
      <c r="R34" s="68">
        <f>'[1]Mukherjee J Phys Chem 1969'!H13</f>
        <v>3.0000000000000001E-3</v>
      </c>
      <c r="S34" s="68">
        <f>'[1]Mukherjee J Phys Chem 1969'!I13</f>
        <v>9.0168179980480397E-5</v>
      </c>
      <c r="T34" s="89"/>
    </row>
    <row r="35" spans="2:20" ht="51" customHeight="1" x14ac:dyDescent="0.25">
      <c r="B35" s="81"/>
      <c r="C35" s="68">
        <f>'[1]Mukherjee J Phys Chem 1969'!A14</f>
        <v>4.0000000000000001E-3</v>
      </c>
      <c r="D35" s="68">
        <f>'[1]Mukherjee J Phys Chem 1969'!B14</f>
        <v>1.056922565948685E-4</v>
      </c>
      <c r="E35" s="90"/>
      <c r="G35" s="81"/>
      <c r="H35" s="68">
        <f>'[1]Mukherjee J Phys Chem 1969'!D14</f>
        <v>4.0000000000000001E-3</v>
      </c>
      <c r="I35" s="68">
        <f>'[1]Mukherjee J Phys Chem 1969'!E14</f>
        <v>1.2297527929804771E-4</v>
      </c>
      <c r="J35" s="90"/>
      <c r="L35" s="81"/>
      <c r="M35" s="68">
        <f>'[1]Ue JECS 1994'!A20</f>
        <v>8.3327532110991295E-2</v>
      </c>
      <c r="N35" s="68">
        <f>'[1]Ue JECS 1994'!C20</f>
        <v>1.72576387300134E-3</v>
      </c>
      <c r="O35" s="89"/>
      <c r="Q35" s="81"/>
      <c r="R35" s="68">
        <f>'[1]Mukherjee J Phys Chem 1969'!H14</f>
        <v>4.0000000000000001E-3</v>
      </c>
      <c r="S35" s="68">
        <f>'[1]Mukherjee J Phys Chem 1969'!I14</f>
        <v>1.194456188645813E-4</v>
      </c>
      <c r="T35" s="90"/>
    </row>
    <row r="36" spans="2:20" ht="156.75" x14ac:dyDescent="0.25">
      <c r="B36" s="81"/>
      <c r="C36" s="68">
        <f>'[1] Chernozhuk Chem Tech 2016'!A7</f>
        <v>1E-3</v>
      </c>
      <c r="D36" s="68">
        <f>'[1] Chernozhuk Chem Tech 2016'!C7</f>
        <v>2.7389311996581668E-5</v>
      </c>
      <c r="E36" s="88" t="s">
        <v>257</v>
      </c>
      <c r="G36" s="81"/>
      <c r="H36" s="68">
        <v>1</v>
      </c>
      <c r="I36" s="68">
        <f>'[1]Ue JECS 1994'!C70</f>
        <v>1.0999999999999999E-2</v>
      </c>
      <c r="J36" s="68" t="s">
        <v>251</v>
      </c>
      <c r="L36" s="81"/>
      <c r="M36" s="68">
        <f>'[1]Ue JECS 1994'!A21</f>
        <v>0.108230270238364</v>
      </c>
      <c r="N36" s="68">
        <f>'[1]Ue JECS 1994'!C21</f>
        <v>2.2249976506132701E-3</v>
      </c>
      <c r="O36" s="89"/>
      <c r="Q36" s="81"/>
      <c r="R36" s="68">
        <f>'[1]Dilo Rev Cub Quim 2010'!A5</f>
        <v>1.0326000000000001E-3</v>
      </c>
      <c r="S36" s="68">
        <f>'[1]Dilo Rev Cub Quim 2010'!C5</f>
        <v>3.2090213460000001E-5</v>
      </c>
      <c r="T36" s="88" t="s">
        <v>256</v>
      </c>
    </row>
    <row r="37" spans="2:20" ht="142.5" x14ac:dyDescent="0.25">
      <c r="B37" s="81"/>
      <c r="C37" s="68">
        <f>'[1] Chernozhuk Chem Tech 2016'!A8</f>
        <v>2E-3</v>
      </c>
      <c r="D37" s="68">
        <f>'[1] Chernozhuk Chem Tech 2016'!C8</f>
        <v>5.4757247986326682E-5</v>
      </c>
      <c r="E37" s="89"/>
      <c r="G37" s="81"/>
      <c r="H37" s="68">
        <v>0.65</v>
      </c>
      <c r="I37" s="68">
        <v>9.9000000000000008E-3</v>
      </c>
      <c r="J37" s="68" t="s">
        <v>255</v>
      </c>
      <c r="L37" s="81"/>
      <c r="M37" s="68">
        <f>'[1]Ue JECS 1994'!A22</f>
        <v>0.13311773213059999</v>
      </c>
      <c r="N37" s="68">
        <f>'[1]Ue JECS 1994'!C22</f>
        <v>2.7016735210060499E-3</v>
      </c>
      <c r="O37" s="89"/>
      <c r="Q37" s="81"/>
      <c r="R37" s="68">
        <f>'[1]Dilo Rev Cub Quim 2010'!A6</f>
        <v>2.8214999999999998E-3</v>
      </c>
      <c r="S37" s="68">
        <f>'[1]Dilo Rev Cub Quim 2010'!C6</f>
        <v>8.5098132899999983E-5</v>
      </c>
      <c r="T37" s="89"/>
    </row>
    <row r="38" spans="2:20" ht="42.75" customHeight="1" x14ac:dyDescent="0.25">
      <c r="B38" s="81"/>
      <c r="C38" s="68">
        <f>'[1] Chernozhuk Chem Tech 2016'!A9</f>
        <v>3.0000000000000001E-3</v>
      </c>
      <c r="D38" s="68">
        <f>'[1] Chernozhuk Chem Tech 2016'!C9</f>
        <v>8.2103807969235025E-5</v>
      </c>
      <c r="E38" s="90"/>
      <c r="G38" s="81"/>
      <c r="H38" s="68"/>
      <c r="I38" s="68"/>
      <c r="J38" s="68"/>
      <c r="L38" s="81"/>
      <c r="M38" s="68">
        <f>'[1]Ue JECS 1994'!A23</f>
        <v>0.160269821037543</v>
      </c>
      <c r="N38" s="68">
        <f>'[1]Ue JECS 1994'!C23</f>
        <v>3.2248295688289802E-3</v>
      </c>
      <c r="O38" s="89"/>
      <c r="Q38" s="81"/>
      <c r="R38" s="68">
        <f>'[1]Dilo Rev Cub Quim 2010'!A7</f>
        <v>4.6381E-3</v>
      </c>
      <c r="S38" s="68">
        <f>'[1]Dilo Rev Cub Quim 2010'!C7</f>
        <v>1.3677571376E-4</v>
      </c>
      <c r="T38" s="89"/>
    </row>
    <row r="39" spans="2:20" ht="45" customHeight="1" x14ac:dyDescent="0.25">
      <c r="B39" s="81"/>
      <c r="C39" s="68">
        <f>'[1]Salomon Electr Acta 1983'!B9</f>
        <v>4.9561600000000003E-3</v>
      </c>
      <c r="D39" s="68">
        <f>'[1]Salomon Electr Acta 1983'!D9</f>
        <v>9.9429832455423983E-5</v>
      </c>
      <c r="E39" s="88" t="s">
        <v>254</v>
      </c>
      <c r="G39" s="81"/>
      <c r="H39" s="68"/>
      <c r="I39" s="65"/>
      <c r="J39" s="68"/>
      <c r="L39" s="81"/>
      <c r="M39" s="68">
        <v>1</v>
      </c>
      <c r="N39" s="68">
        <f>'[1]Ue JECS 1994'!D70</f>
        <v>7.4000000000000003E-3</v>
      </c>
      <c r="O39" s="90"/>
      <c r="Q39" s="81"/>
      <c r="R39" s="68">
        <f>'[1]Dilo Rev Cub Quim 2010'!A8</f>
        <v>6.4580000000000002E-3</v>
      </c>
      <c r="S39" s="68">
        <f>'[1]Dilo Rev Cub Quim 2010'!C8</f>
        <v>1.8702367999999999E-4</v>
      </c>
      <c r="T39" s="89"/>
    </row>
    <row r="40" spans="2:20" ht="45" customHeight="1" x14ac:dyDescent="0.25">
      <c r="B40" s="81"/>
      <c r="C40" s="68">
        <f>'[1]Salomon Electr Acta 1983'!B10</f>
        <v>7.5689999999999993E-3</v>
      </c>
      <c r="D40" s="68">
        <f>'[1]Salomon Electr Acta 1983'!D10</f>
        <v>1.5103854135338336E-4</v>
      </c>
      <c r="E40" s="90"/>
      <c r="G40" s="81"/>
      <c r="H40" s="68"/>
      <c r="I40" s="65"/>
      <c r="J40" s="68"/>
      <c r="L40" s="81"/>
      <c r="M40" s="74"/>
      <c r="N40" s="74"/>
      <c r="O40" s="68"/>
      <c r="Q40" s="81"/>
      <c r="R40" s="68">
        <f>'[1]Dilo Rev Cub Quim 2010'!A9</f>
        <v>8.2468999999999997E-3</v>
      </c>
      <c r="S40" s="68">
        <f>'[1]Dilo Rev Cub Quim 2010'!C9</f>
        <v>2.3384827170999997E-4</v>
      </c>
      <c r="T40" s="90"/>
    </row>
    <row r="41" spans="2:20" ht="171" x14ac:dyDescent="0.25">
      <c r="B41" s="81"/>
      <c r="C41" s="68">
        <v>1</v>
      </c>
      <c r="D41" s="68">
        <f>'[1]Ue JECS 1994'!B70</f>
        <v>6.0000000000000001E-3</v>
      </c>
      <c r="E41" s="68" t="s">
        <v>251</v>
      </c>
      <c r="G41" s="81"/>
      <c r="H41" s="68"/>
      <c r="I41" s="65"/>
      <c r="J41" s="68"/>
      <c r="L41" s="81"/>
      <c r="M41" s="74"/>
      <c r="N41" s="74"/>
      <c r="O41" s="68"/>
      <c r="Q41" s="81"/>
      <c r="R41" s="68"/>
      <c r="S41" s="68"/>
      <c r="T41" s="68"/>
    </row>
    <row r="42" spans="2:20" x14ac:dyDescent="0.25">
      <c r="B42" s="82"/>
      <c r="C42" s="72">
        <v>0.3</v>
      </c>
      <c r="D42" s="72">
        <f>-0.0108*C42^2+0.0168*C42+0.00002</f>
        <v>4.0879999999999996E-3</v>
      </c>
      <c r="E42" s="72" t="s">
        <v>248</v>
      </c>
      <c r="G42" s="82"/>
      <c r="H42" s="72">
        <v>0.3</v>
      </c>
      <c r="I42" s="72">
        <f>-0.0121*H42^2+0.023*H42+0.00002</f>
        <v>5.8310000000000002E-3</v>
      </c>
      <c r="J42" s="72" t="s">
        <v>248</v>
      </c>
      <c r="L42" s="82"/>
      <c r="M42" s="72">
        <v>0.3</v>
      </c>
      <c r="N42" s="72">
        <f>-0.0112*M42^2+0.0182*M42+0.0003</f>
        <v>4.7520000000000001E-3</v>
      </c>
      <c r="O42" s="72" t="s">
        <v>248</v>
      </c>
      <c r="Q42" s="82"/>
      <c r="R42" s="73">
        <v>0.3</v>
      </c>
      <c r="S42" s="73">
        <f>0.0281*R42+0.000005</f>
        <v>8.4349999999999998E-3</v>
      </c>
      <c r="T42" s="73" t="s">
        <v>243</v>
      </c>
    </row>
    <row r="44" spans="2:20" ht="225" customHeight="1" x14ac:dyDescent="0.25">
      <c r="B44" s="80" t="s">
        <v>169</v>
      </c>
      <c r="C44" s="68">
        <f>'[1]House J Org Chem 1971'!B13</f>
        <v>0.6</v>
      </c>
      <c r="D44" s="68">
        <f>'[1]House J Org Chem 1971'!D13</f>
        <v>1.2987012987012988E-2</v>
      </c>
      <c r="E44" s="88" t="s">
        <v>250</v>
      </c>
      <c r="G44" s="80" t="s">
        <v>169</v>
      </c>
      <c r="H44" s="68">
        <v>1</v>
      </c>
      <c r="I44" s="68">
        <f>'[1]Ue JECS 1994'!C71</f>
        <v>2.4E-2</v>
      </c>
      <c r="J44" s="68" t="s">
        <v>251</v>
      </c>
      <c r="L44" s="80" t="s">
        <v>169</v>
      </c>
      <c r="M44" s="68">
        <v>1</v>
      </c>
      <c r="N44" s="68">
        <f>'[1]Gong EES 2015'!G7/1000</f>
        <v>1.4500000000000001E-2</v>
      </c>
      <c r="O44" s="68" t="s">
        <v>253</v>
      </c>
      <c r="Q44" s="80" t="s">
        <v>169</v>
      </c>
      <c r="R44" s="68">
        <f>'[1]Nakata Anal Sci 2001'!H14</f>
        <v>1.2892057784115549E-3</v>
      </c>
      <c r="S44" s="68">
        <f>'[1]Nakata Anal Sci 2001'!J14</f>
        <v>1.0612592494750185E-4</v>
      </c>
      <c r="T44" s="88" t="s">
        <v>245</v>
      </c>
    </row>
    <row r="45" spans="2:20" ht="156.75" x14ac:dyDescent="0.25">
      <c r="B45" s="81"/>
      <c r="C45" s="68">
        <f>'[1]House J Org Chem 1971'!B14</f>
        <v>0.5</v>
      </c>
      <c r="D45" s="68">
        <f>'[1]House J Org Chem 1971'!D14</f>
        <v>1.2195121951219513E-2</v>
      </c>
      <c r="E45" s="90"/>
      <c r="G45" s="81"/>
      <c r="H45" s="68">
        <f>'Debye-Huckel-Onsager'!I51</f>
        <v>1E-3</v>
      </c>
      <c r="I45" s="68">
        <f>'Debye-Huckel-Onsager'!K51</f>
        <v>8.5662728345558216E-5</v>
      </c>
      <c r="J45" s="88" t="s">
        <v>246</v>
      </c>
      <c r="L45" s="81"/>
      <c r="M45" s="68">
        <v>0.1</v>
      </c>
      <c r="N45" s="68">
        <f>'[1]Shinkle J Pow Sources 2014'!C9/1000</f>
        <v>4.7599999999999995E-3</v>
      </c>
      <c r="O45" s="68" t="s">
        <v>252</v>
      </c>
      <c r="Q45" s="81"/>
      <c r="R45" s="68">
        <f>'[1]Nakata Anal Sci 2001'!H15</f>
        <v>1.7284642569285133E-3</v>
      </c>
      <c r="S45" s="68">
        <f>'[1]Nakata Anal Sci 2001'!J15</f>
        <v>1.4003065501783159E-4</v>
      </c>
      <c r="T45" s="89"/>
    </row>
    <row r="46" spans="2:20" ht="156.75" x14ac:dyDescent="0.25">
      <c r="B46" s="81"/>
      <c r="C46" s="68">
        <f>'[1]Debye-Huckel-Onsager model'!D55</f>
        <v>1E-3</v>
      </c>
      <c r="D46" s="68">
        <f>'[1]Debye-Huckel-Onsager model'!F55</f>
        <v>7.6192281564247928E-5</v>
      </c>
      <c r="E46" s="68" t="s">
        <v>246</v>
      </c>
      <c r="G46" s="81"/>
      <c r="H46" s="68">
        <f>'Debye-Huckel-Onsager'!I52</f>
        <v>2E-3</v>
      </c>
      <c r="I46" s="68">
        <f>'Debye-Huckel-Onsager'!K52</f>
        <v>1.694140502684188E-4</v>
      </c>
      <c r="J46" s="89"/>
      <c r="L46" s="81"/>
      <c r="M46" s="68">
        <v>1</v>
      </c>
      <c r="N46" s="68">
        <f>'[1]Ue JECS 1994'!D71</f>
        <v>1.4E-2</v>
      </c>
      <c r="O46" s="68" t="s">
        <v>251</v>
      </c>
      <c r="Q46" s="81"/>
      <c r="R46" s="68">
        <f>'[1]Nakata Anal Sci 2001'!H16</f>
        <v>2.6034100068200046E-3</v>
      </c>
      <c r="S46" s="68">
        <f>'[1]Nakata Anal Sci 2001'!J16</f>
        <v>2.0449974256470167E-4</v>
      </c>
      <c r="T46" s="89"/>
    </row>
    <row r="47" spans="2:20" ht="142.5" x14ac:dyDescent="0.25">
      <c r="B47" s="81"/>
      <c r="C47" s="68"/>
      <c r="D47" s="68"/>
      <c r="E47" s="68"/>
      <c r="G47" s="81"/>
      <c r="H47" s="68">
        <f>'Debye-Huckel-Onsager'!I53</f>
        <v>3.0000000000000001E-3</v>
      </c>
      <c r="I47" s="68">
        <f>'Debye-Huckel-Onsager'!K53</f>
        <v>2.519210648029299E-4</v>
      </c>
      <c r="J47" s="89"/>
      <c r="L47" s="81"/>
      <c r="M47" s="68">
        <f>'[1]House J Org Chem 1971'!B17</f>
        <v>0.5</v>
      </c>
      <c r="N47" s="68">
        <f>'[1]House J Org Chem 1971'!D17</f>
        <v>1.3888888888888888E-2</v>
      </c>
      <c r="O47" s="68" t="s">
        <v>250</v>
      </c>
      <c r="Q47" s="81"/>
      <c r="R47" s="68">
        <f>'[1]Nakata Anal Sci 2001'!H17</f>
        <v>3.249897699795396E-3</v>
      </c>
      <c r="S47" s="68">
        <f>'[1]Nakata Anal Sci 2001'!J17</f>
        <v>2.4962982331761723E-4</v>
      </c>
      <c r="T47" s="90"/>
    </row>
    <row r="48" spans="2:20" ht="30" customHeight="1" x14ac:dyDescent="0.25">
      <c r="B48" s="81"/>
      <c r="C48" s="68"/>
      <c r="D48" s="68"/>
      <c r="E48" s="68"/>
      <c r="G48" s="81"/>
      <c r="H48" s="68">
        <f>'Debye-Huckel-Onsager'!I54</f>
        <v>4.0000000000000001E-3</v>
      </c>
      <c r="I48" s="68">
        <f>'Debye-Huckel-Onsager'!K54</f>
        <v>3.3342182676446568E-4</v>
      </c>
      <c r="J48" s="89"/>
      <c r="L48" s="81"/>
      <c r="M48" s="68"/>
      <c r="N48" s="68"/>
      <c r="O48" s="68"/>
      <c r="Q48" s="81"/>
      <c r="R48" s="68">
        <f>'[1]Sears JECS 1963'!A5</f>
        <v>8.9660000000000006E-5</v>
      </c>
      <c r="S48" s="68">
        <f>'[1]Sears JECS 1963'!C5</f>
        <v>7.6820688000000009E-6</v>
      </c>
      <c r="T48" s="88" t="s">
        <v>249</v>
      </c>
    </row>
    <row r="49" spans="2:20" ht="30" customHeight="1" x14ac:dyDescent="0.25">
      <c r="B49" s="81"/>
      <c r="C49" s="68"/>
      <c r="D49" s="68"/>
      <c r="E49" s="68"/>
      <c r="G49" s="81"/>
      <c r="H49" s="68">
        <f>'Debye-Huckel-Onsager'!I56</f>
        <v>5.0000000000000001E-3</v>
      </c>
      <c r="I49" s="68">
        <f>'Debye-Huckel-Onsager'!K56</f>
        <v>4.1405391869054877E-4</v>
      </c>
      <c r="J49" s="89"/>
      <c r="L49" s="81"/>
      <c r="M49" s="68"/>
      <c r="N49" s="68"/>
      <c r="O49" s="68"/>
      <c r="Q49" s="81"/>
      <c r="R49" s="68">
        <f>'[1]Sears JECS 1963'!A6</f>
        <v>2.2450000000000001E-4</v>
      </c>
      <c r="S49" s="68">
        <f>'[1]Sears JECS 1963'!C6</f>
        <v>1.8480839999999997E-5</v>
      </c>
      <c r="T49" s="89"/>
    </row>
    <row r="50" spans="2:20" ht="30" customHeight="1" x14ac:dyDescent="0.25">
      <c r="B50" s="81"/>
      <c r="C50" s="68"/>
      <c r="D50" s="68"/>
      <c r="E50" s="68"/>
      <c r="G50" s="81"/>
      <c r="H50" s="68">
        <f>'Debye-Huckel-Onsager'!I57</f>
        <v>6.0000000000000001E-3</v>
      </c>
      <c r="I50" s="68">
        <f>'Debye-Huckel-Onsager'!K57</f>
        <v>4.9391017049178266E-4</v>
      </c>
      <c r="J50" s="90"/>
      <c r="L50" s="81"/>
      <c r="M50" s="68"/>
      <c r="N50" s="68"/>
      <c r="O50" s="68"/>
      <c r="Q50" s="81"/>
      <c r="R50" s="68">
        <f>'[1]Sears JECS 1963'!A7</f>
        <v>4.1629999999999998E-4</v>
      </c>
      <c r="S50" s="68">
        <f>'[1]Sears JECS 1963'!C7</f>
        <v>3.2679550000000001E-5</v>
      </c>
      <c r="T50" s="89"/>
    </row>
    <row r="51" spans="2:20" ht="30" customHeight="1" x14ac:dyDescent="0.25">
      <c r="B51" s="81"/>
      <c r="C51" s="68"/>
      <c r="D51" s="68"/>
      <c r="E51" s="68"/>
      <c r="G51" s="81"/>
      <c r="H51" s="68"/>
      <c r="I51" s="68"/>
      <c r="J51" s="68"/>
      <c r="L51" s="81"/>
      <c r="M51" s="68"/>
      <c r="N51" s="68"/>
      <c r="O51" s="68"/>
      <c r="Q51" s="81"/>
      <c r="R51" s="68">
        <f>'[1]Sears JECS 1963'!A8</f>
        <v>6.7409999999999996E-4</v>
      </c>
      <c r="S51" s="68">
        <f>'[1]Sears JECS 1963'!C8</f>
        <v>5.0247414000000001E-5</v>
      </c>
      <c r="T51" s="89"/>
    </row>
    <row r="52" spans="2:20" ht="30" customHeight="1" x14ac:dyDescent="0.25">
      <c r="B52" s="81"/>
      <c r="C52" s="68"/>
      <c r="D52" s="68"/>
      <c r="E52" s="68"/>
      <c r="G52" s="81"/>
      <c r="H52" s="68"/>
      <c r="I52" s="65"/>
      <c r="J52" s="65"/>
      <c r="L52" s="81"/>
      <c r="M52" s="68"/>
      <c r="N52" s="68"/>
      <c r="O52" s="68"/>
      <c r="Q52" s="81"/>
      <c r="R52" s="68">
        <f>'[1]Sears JECS 1963'!A9</f>
        <v>1.0430000000000001E-3</v>
      </c>
      <c r="S52" s="68">
        <f>'[1]Sears JECS 1963'!C9</f>
        <v>7.3072580000000008E-5</v>
      </c>
      <c r="T52" s="89"/>
    </row>
    <row r="53" spans="2:20" ht="30" customHeight="1" x14ac:dyDescent="0.25">
      <c r="B53" s="81"/>
      <c r="C53" s="68"/>
      <c r="D53" s="68"/>
      <c r="E53" s="68"/>
      <c r="G53" s="81"/>
      <c r="H53" s="68"/>
      <c r="I53" s="68"/>
      <c r="J53" s="68"/>
      <c r="L53" s="81"/>
      <c r="M53" s="68"/>
      <c r="N53" s="68"/>
      <c r="O53" s="68"/>
      <c r="Q53" s="81"/>
      <c r="R53" s="68">
        <f>'[1]Sears JECS 1963'!A10</f>
        <v>1.629E-3</v>
      </c>
      <c r="S53" s="68">
        <f>'[1]Sears JECS 1963'!C10</f>
        <v>1.0549404000000001E-4</v>
      </c>
      <c r="T53" s="90"/>
    </row>
    <row r="54" spans="2:20" x14ac:dyDescent="0.25">
      <c r="B54" s="82"/>
      <c r="C54" s="72">
        <v>0.3</v>
      </c>
      <c r="D54" s="72">
        <f>-0.0251*C54^2+0.0368*C54-0.00001</f>
        <v>8.7709999999999993E-3</v>
      </c>
      <c r="E54" s="72" t="s">
        <v>243</v>
      </c>
      <c r="G54" s="82"/>
      <c r="H54" s="72">
        <v>0.3</v>
      </c>
      <c r="I54" s="72">
        <f>-0.033*H54^2+0.0568*H54+0.00009</f>
        <v>1.4159999999999999E-2</v>
      </c>
      <c r="J54" s="72" t="s">
        <v>248</v>
      </c>
      <c r="L54" s="82"/>
      <c r="M54" s="72">
        <v>0.3</v>
      </c>
      <c r="N54" s="72">
        <f>-0.0246*M54^2+0.0376*M54+0.0013</f>
        <v>1.0366E-2</v>
      </c>
      <c r="O54" s="72" t="s">
        <v>248</v>
      </c>
      <c r="Q54" s="82"/>
      <c r="R54" s="72">
        <v>0.3</v>
      </c>
      <c r="S54" s="72">
        <f>0.077*R54+0.000001</f>
        <v>2.3101E-2</v>
      </c>
      <c r="T54" s="72" t="s">
        <v>243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0" t="s">
        <v>154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8" t="s">
        <v>247</v>
      </c>
      <c r="G56" s="80" t="s">
        <v>154</v>
      </c>
      <c r="H56" s="68">
        <f>'[1]Anand Z Phys Chem 2019'!B10</f>
        <v>3.9768339104477588E-3</v>
      </c>
      <c r="I56" s="68">
        <f>'[1]Anand Z Phys Chem 2019'!D10</f>
        <v>3.986378311832794E-4</v>
      </c>
      <c r="J56" s="88" t="s">
        <v>244</v>
      </c>
      <c r="L56" s="80" t="s">
        <v>154</v>
      </c>
      <c r="M56" s="68">
        <f>'Debye-Huckel-Onsager'!N64</f>
        <v>1E-3</v>
      </c>
      <c r="N56" s="68">
        <f>'Debye-Huckel-Onsager'!P64</f>
        <v>3.6841955594258693E-5</v>
      </c>
      <c r="O56" s="88" t="s">
        <v>246</v>
      </c>
      <c r="Q56" s="80" t="s">
        <v>154</v>
      </c>
      <c r="R56" s="68">
        <f>'[1]Nakata Anal Sci 2001'!B14</f>
        <v>2.3884328301715294E-3</v>
      </c>
      <c r="S56" s="68">
        <f>'[1]Nakata Anal Sci 2001'!D14</f>
        <v>9.1665547958706402E-5</v>
      </c>
      <c r="T56" s="88" t="s">
        <v>245</v>
      </c>
    </row>
    <row r="57" spans="2:20" ht="60" customHeight="1" x14ac:dyDescent="0.25">
      <c r="B57" s="81"/>
      <c r="C57" s="68">
        <f>'[1]Butler J Analytical Chem 1966'!A13</f>
        <v>4.0000000000000001E-3</v>
      </c>
      <c r="D57" s="68">
        <f>'[1]Butler J Analytical Chem 1966'!C13</f>
        <v>1.4285582146765418E-4</v>
      </c>
      <c r="E57" s="89"/>
      <c r="G57" s="81"/>
      <c r="H57" s="68">
        <f>'[1]Anand Z Phys Chem 2019'!B11</f>
        <v>4.3924897114427869E-3</v>
      </c>
      <c r="I57" s="68">
        <f>'[1]Anand Z Phys Chem 2019'!D11</f>
        <v>4.3257238678288523E-4</v>
      </c>
      <c r="J57" s="89"/>
      <c r="L57" s="81"/>
      <c r="M57" s="68">
        <f>'Debye-Huckel-Onsager'!N65</f>
        <v>2E-3</v>
      </c>
      <c r="N57" s="68">
        <f>'Debye-Huckel-Onsager'!P65</f>
        <v>7.3097347997276484E-5</v>
      </c>
      <c r="O57" s="89"/>
      <c r="Q57" s="81"/>
      <c r="R57" s="68">
        <f>'[1]Nakata Anal Sci 2001'!B15</f>
        <v>3.3884176898968934E-3</v>
      </c>
      <c r="S57" s="68">
        <f>'[1]Nakata Anal Sci 2001'!D15</f>
        <v>1.2746020825753812E-4</v>
      </c>
      <c r="T57" s="89"/>
    </row>
    <row r="58" spans="2:20" ht="60" customHeight="1" x14ac:dyDescent="0.25">
      <c r="B58" s="81"/>
      <c r="C58" s="68">
        <f>'[1]Butler J Analytical Chem 1966'!A14</f>
        <v>5.0000000000000001E-3</v>
      </c>
      <c r="D58" s="68">
        <f>'[1]Butler J Analytical Chem 1966'!C14</f>
        <v>1.7846222104320967E-4</v>
      </c>
      <c r="E58" s="89"/>
      <c r="G58" s="81"/>
      <c r="H58" s="68">
        <f>'[1]Anand Z Phys Chem 2019'!B12</f>
        <v>4.3924897114427869E-3</v>
      </c>
      <c r="I58" s="68">
        <f>'[1]Anand Z Phys Chem 2019'!D12</f>
        <v>4.3257238678288523E-4</v>
      </c>
      <c r="J58" s="89"/>
      <c r="L58" s="81"/>
      <c r="M58" s="68">
        <f>'Debye-Huckel-Onsager'!N66</f>
        <v>3.0000000000000001E-3</v>
      </c>
      <c r="N58" s="68">
        <f>'Debye-Huckel-Onsager'!P66</f>
        <v>1.0897089334572343E-4</v>
      </c>
      <c r="O58" s="89"/>
      <c r="Q58" s="81"/>
      <c r="R58" s="68">
        <f>'[1]Nakata Anal Sci 2001'!B16</f>
        <v>4.4790988508531544E-3</v>
      </c>
      <c r="S58" s="68">
        <f>'[1]Nakata Anal Sci 2001'!D16</f>
        <v>1.6583833388283441E-4</v>
      </c>
      <c r="T58" s="89"/>
    </row>
    <row r="59" spans="2:20" ht="60" customHeight="1" x14ac:dyDescent="0.25">
      <c r="B59" s="81"/>
      <c r="C59" s="68">
        <f>'[1]Butler J Analytical Chem 1966'!A15</f>
        <v>6.0000000000000001E-3</v>
      </c>
      <c r="D59" s="68">
        <f>'[1]Butler J Analytical Chem 1966'!C15</f>
        <v>2.1402559830222191E-4</v>
      </c>
      <c r="E59" s="90"/>
      <c r="G59" s="81"/>
      <c r="H59" s="68">
        <f>'[1]Anand Z Phys Chem 2019'!B13</f>
        <v>4.9506802786069603E-3</v>
      </c>
      <c r="I59" s="68">
        <f>'[1]Anand Z Phys Chem 2019'!D13</f>
        <v>4.8041401423601896E-4</v>
      </c>
      <c r="J59" s="89"/>
      <c r="L59" s="81"/>
      <c r="M59" s="68">
        <f>'Debye-Huckel-Onsager'!N67</f>
        <v>4.0000000000000001E-3</v>
      </c>
      <c r="N59" s="68">
        <f>'Debye-Huckel-Onsager'!P67</f>
        <v>1.4453564475406955E-4</v>
      </c>
      <c r="O59" s="90"/>
      <c r="Q59" s="81"/>
      <c r="R59" s="68">
        <f>'[1]Nakata Anal Sci 2001'!B17</f>
        <v>5.5348968190282854E-3</v>
      </c>
      <c r="S59" s="68">
        <f>'[1]Nakata Anal Sci 2001'!D17</f>
        <v>2.0259805765975052E-4</v>
      </c>
      <c r="T59" s="90"/>
    </row>
    <row r="60" spans="2:20" ht="60" customHeight="1" x14ac:dyDescent="0.25">
      <c r="B60" s="81"/>
      <c r="C60" s="68">
        <f>'[1]Anand Z Phys Chem 2019'!B23</f>
        <v>3.3040663084577021E-3</v>
      </c>
      <c r="D60" s="68">
        <f>'[1]Anand Z Phys Chem 2019'!D23</f>
        <v>2.9049350983960089E-4</v>
      </c>
      <c r="E60" s="88" t="s">
        <v>244</v>
      </c>
      <c r="G60" s="81"/>
      <c r="H60" s="68">
        <f>'[1]Anand Z Phys Chem 2019'!B14</f>
        <v>5.5195923582089515E-3</v>
      </c>
      <c r="I60" s="68">
        <f>'[1]Anand Z Phys Chem 2019'!D14</f>
        <v>5.2414049033552141E-4</v>
      </c>
      <c r="J60" s="90"/>
      <c r="L60" s="81"/>
      <c r="M60" s="68"/>
      <c r="N60" s="68"/>
      <c r="O60" s="68"/>
      <c r="Q60" s="81"/>
      <c r="R60" s="68"/>
      <c r="S60" s="68"/>
      <c r="T60" s="68"/>
    </row>
    <row r="61" spans="2:20" ht="60" customHeight="1" x14ac:dyDescent="0.25">
      <c r="B61" s="81"/>
      <c r="C61" s="68">
        <f>'[1]Anand Z Phys Chem 2019'!B24</f>
        <v>3.9500155223880506E-3</v>
      </c>
      <c r="D61" s="68">
        <f>'[1]Anand Z Phys Chem 2019'!D24</f>
        <v>3.4286134734328236E-4</v>
      </c>
      <c r="E61" s="89"/>
      <c r="G61" s="81"/>
      <c r="H61" s="68"/>
      <c r="I61" s="65"/>
      <c r="J61" s="65"/>
      <c r="L61" s="81"/>
      <c r="M61" s="68"/>
      <c r="N61" s="68"/>
      <c r="O61" s="68"/>
      <c r="Q61" s="81"/>
      <c r="R61" s="68"/>
      <c r="S61" s="68"/>
      <c r="T61" s="68"/>
    </row>
    <row r="62" spans="2:20" ht="60" customHeight="1" x14ac:dyDescent="0.25">
      <c r="B62" s="81"/>
      <c r="C62" s="68">
        <f>'[1]Anand Z Phys Chem 2019'!B25</f>
        <v>4.3987122786069638E-3</v>
      </c>
      <c r="D62" s="68">
        <f>'[1]Anand Z Phys Chem 2019'!D25</f>
        <v>3.761778740664671E-4</v>
      </c>
      <c r="E62" s="89"/>
      <c r="G62" s="81"/>
      <c r="H62" s="68"/>
      <c r="I62" s="65"/>
      <c r="J62" s="65"/>
      <c r="L62" s="81"/>
      <c r="M62" s="68"/>
      <c r="N62" s="68"/>
      <c r="O62" s="68"/>
      <c r="Q62" s="81"/>
      <c r="R62" s="68"/>
      <c r="S62" s="68"/>
      <c r="T62" s="68"/>
    </row>
    <row r="63" spans="2:20" ht="60" customHeight="1" x14ac:dyDescent="0.25">
      <c r="B63" s="81"/>
      <c r="C63" s="68">
        <f>'[1]Anand Z Phys Chem 2019'!B26</f>
        <v>4.9570781293532262E-3</v>
      </c>
      <c r="D63" s="68">
        <f>'[1]Anand Z Phys Chem 2019'!D26</f>
        <v>4.1917052661810835E-4</v>
      </c>
      <c r="E63" s="89"/>
      <c r="G63" s="81"/>
      <c r="H63" s="68"/>
      <c r="I63" s="65"/>
      <c r="J63" s="65"/>
      <c r="L63" s="81"/>
      <c r="M63" s="68"/>
      <c r="N63" s="68"/>
      <c r="O63" s="68"/>
      <c r="Q63" s="81"/>
      <c r="R63" s="68"/>
      <c r="S63" s="68"/>
      <c r="T63" s="68"/>
    </row>
    <row r="64" spans="2:20" ht="60" customHeight="1" x14ac:dyDescent="0.25">
      <c r="B64" s="81"/>
      <c r="C64" s="68">
        <f>'[1]Anand Z Phys Chem 2019'!B27</f>
        <v>5.5151518407960095E-3</v>
      </c>
      <c r="D64" s="68">
        <f>'[1]Anand Z Phys Chem 2019'!D27</f>
        <v>4.5665457241790905E-4</v>
      </c>
      <c r="E64" s="90"/>
      <c r="G64" s="81"/>
      <c r="H64" s="68"/>
      <c r="I64" s="65"/>
      <c r="J64" s="65"/>
      <c r="L64" s="81"/>
      <c r="M64" s="68"/>
      <c r="N64" s="68"/>
      <c r="O64" s="68"/>
      <c r="Q64" s="81"/>
      <c r="R64" s="68"/>
      <c r="S64" s="68"/>
      <c r="T64" s="68"/>
    </row>
    <row r="65" spans="2:20" x14ac:dyDescent="0.25">
      <c r="B65" s="82"/>
      <c r="C65" s="72">
        <v>0.3</v>
      </c>
      <c r="D65" s="72">
        <f>-0.02558*C65^2+0.0485*C65+0.00007</f>
        <v>1.23178E-2</v>
      </c>
      <c r="E65" s="72" t="s">
        <v>243</v>
      </c>
      <c r="G65" s="82"/>
      <c r="H65" s="73">
        <v>0.3</v>
      </c>
      <c r="I65" s="73">
        <f>0.0818*H65+0.00007</f>
        <v>2.461E-2</v>
      </c>
      <c r="J65" s="73" t="s">
        <v>243</v>
      </c>
      <c r="L65" s="82"/>
      <c r="M65" s="73">
        <v>0.3</v>
      </c>
      <c r="N65" s="73">
        <f>0.1094*M65-0.0004</f>
        <v>3.2419999999999997E-2</v>
      </c>
      <c r="O65" s="73" t="s">
        <v>243</v>
      </c>
      <c r="Q65" s="82"/>
      <c r="R65" s="73">
        <v>0.3</v>
      </c>
      <c r="S65" s="73">
        <f>0.0352*R65+0.000008</f>
        <v>1.0567999999999999E-2</v>
      </c>
      <c r="T65" s="73" t="s">
        <v>243</v>
      </c>
    </row>
    <row r="67" spans="2:20" x14ac:dyDescent="0.25">
      <c r="B67" s="28"/>
    </row>
  </sheetData>
  <mergeCells count="49">
    <mergeCell ref="A1:E1"/>
    <mergeCell ref="G1:J1"/>
    <mergeCell ref="B12:E12"/>
    <mergeCell ref="G12:J12"/>
    <mergeCell ref="L12:O12"/>
    <mergeCell ref="L1:L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J56:J60"/>
    <mergeCell ref="E56:E59"/>
    <mergeCell ref="E60:E64"/>
    <mergeCell ref="E32:E35"/>
    <mergeCell ref="E36:E38"/>
    <mergeCell ref="E39:E40"/>
    <mergeCell ref="T44:T47"/>
    <mergeCell ref="T36:T40"/>
    <mergeCell ref="T32:T35"/>
    <mergeCell ref="J32:J35"/>
    <mergeCell ref="V15:Y16"/>
    <mergeCell ref="T25:T29"/>
    <mergeCell ref="T21:T24"/>
    <mergeCell ref="T15:T20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2025-07-25T16:23:04Z</dcterms:modified>
</cp:coreProperties>
</file>