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Streamlit/"/>
    </mc:Choice>
  </mc:AlternateContent>
  <xr:revisionPtr revIDLastSave="689" documentId="8_{31750E0B-A732-4503-8EA8-2753BAB2D178}" xr6:coauthVersionLast="47" xr6:coauthVersionMax="47" xr10:uidLastSave="{9CD11C04-94A0-46D6-B86D-2981C44CBC33}"/>
  <bookViews>
    <workbookView xWindow="780" yWindow="780" windowWidth="21600" windowHeight="11235" xr2:uid="{A43CA30C-0C57-4CA9-B7DA-D833452F41BC}"/>
  </bookViews>
  <sheets>
    <sheet name="Constants and assumptions" sheetId="2" r:id="rId1"/>
    <sheet name="Products" sheetId="7" r:id="rId2"/>
    <sheet name="Utilities" sheetId="3" r:id="rId3"/>
  </sheets>
  <externalReferences>
    <externalReference r:id="rId4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assumptions'!$C$32</definedName>
    <definedName name="kJ_per_kWh">'Constants and assumptions'!$C$33</definedName>
    <definedName name="kJ_per_mmBtu">'Constants and assumptions'!$C$34</definedName>
    <definedName name="kWh_per_mmBtu">'Constants and assumptions'!$C$35</definedName>
    <definedName name="mol_s_per_mA">#REF!</definedName>
    <definedName name="mol_s_per_sccm">#REF!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assumptions'!$C$31</definedName>
    <definedName name="T_sep">'Constants and assumptions'!$C$30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C4" i="2"/>
  <c r="C21" i="2" l="1"/>
  <c r="B7" i="3"/>
  <c r="B11" i="3" s="1"/>
  <c r="C2" i="7" l="1"/>
  <c r="K3" i="7"/>
  <c r="C34" i="2" l="1"/>
  <c r="C33" i="2"/>
  <c r="C8" i="3" l="1"/>
  <c r="B6" i="3"/>
  <c r="C12" i="3" l="1"/>
  <c r="C35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<sst xmlns="http://schemas.openxmlformats.org/spreadsheetml/2006/main" count="179" uniqueCount="152">
  <si>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</si>
  <si>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</si>
  <si>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</si>
  <si>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</si>
  <si>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</si>
  <si>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</si>
  <si>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</si>
  <si>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</si>
  <si>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</si>
  <si>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</si>
  <si>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</si>
  <si>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</si>
  <si>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</si>
  <si>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</si>
  <si>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</si>
  <si>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</si>
  <si>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</si>
  <si>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</si>
  <si>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</si>
  <si>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</si>
  <si>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</si>
  <si>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</si>
  <si>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</si>
  <si>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</si>
  <si>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</si>
  <si>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</si>
  <si>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</si>
  <si>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</si>
  <si>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</si>
  <si>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</si>
  <si>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</si>
  <si>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April 2023 Henry Hub (via EIA); Chen Allen Procedia 2019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</si>
  <si>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</si>
  <si>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</si>
  <si>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</si>
  <si>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</si>
  <si>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</si>
  <si>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</si>
  <si>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</si>
  <si>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</si>
  <si>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</si>
  <si>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</si>
  <si>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</si>
  <si>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</si>
  <si>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</si>
  <si>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</si>
  <si>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</si>
  <si>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</si>
  <si>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</si>
  <si>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</si>
  <si>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</si>
  <si>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</si>
  <si>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</si>
  <si>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</si>
  <si>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</si>
  <si>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</si>
  <si>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</si>
  <si>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</si>
  <si>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</si>
  <si>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Nitopi Jaramillo Chem Rev 2019</t>
  </si>
  <si>
    <t>Engineering Toolbox, Engineering Toolbox</t>
  </si>
  <si>
    <t>V vs RHE</t>
  </si>
  <si>
    <t>Bui Weber Chem Rev 2022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</si>
  <si>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</si>
  <si>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</si>
  <si>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</si>
  <si>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</si>
  <si>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</si>
  <si>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</si>
  <si>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</si>
  <si>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</si>
  <si>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</si>
  <si>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</si>
  <si>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</si>
  <si>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</si>
  <si>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</si>
  <si>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</si>
  <si>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</si>
  <si>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IEA, average for power generation; assumes zero transportation cost but has some buffer since transport is $2-14/t CO2</t>
  </si>
  <si>
    <t>See References 2 col</t>
  </si>
  <si>
    <t>Battery storage</t>
  </si>
  <si>
    <t>Jouny, Jiao I&amp;EC 2019 - but $0.6 Guerra 2023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</si>
  <si>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</si>
  <si>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</si>
  <si>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</si>
  <si>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</si>
  <si>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</si>
  <si>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</si>
  <si>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</si>
  <si>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</si>
  <si>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Lazard April 2023; GREET 2022</t>
  </si>
  <si>
    <t>Electricity - wind + storage</t>
  </si>
  <si>
    <t>https://www.lazard.com/research-insights/2023-levelized-cost-of-energyplus/</t>
  </si>
  <si>
    <t>https://www.nrel.gov/analysis/life-cycle-assessment.html - 75th percentile, harmonized</t>
  </si>
  <si>
    <t>Electricity - onshore wind</t>
  </si>
  <si>
    <t>April 2023 Industrial Retail EIA; GREET 2022</t>
  </si>
  <si>
    <t>April 2023 Industrial retail EIA; GREET 2022</t>
  </si>
  <si>
    <t>Lazard April 2023; NREL 2021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</si>
  <si>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</si>
  <si>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</si>
  <si>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</si>
  <si>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</si>
  <si>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</si>
  <si>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</si>
  <si>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</si>
  <si>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</si>
  <si>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</si>
  <si>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</si>
  <si>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</si>
  <si>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</si>
  <si>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</si>
  <si>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</si>
  <si>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</si>
  <si>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</si>
  <si>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</si>
  <si>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</si>
  <si>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</si>
  <si>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</si>
  <si>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Ideal gas constant</t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</si>
  <si>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</si>
  <si>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</si>
  <si>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</si>
  <si>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</si>
  <si>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</si>
  <si>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</si>
  <si>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</si>
  <si>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</si>
  <si>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</si>
  <si>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</si>
  <si>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</si>
  <si>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</si>
  <si>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</si>
  <si>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</si>
  <si>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</si>
  <si>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</si>
  <si>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</si>
  <si>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</si>
  <si>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</si>
  <si>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</si>
  <si>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George, Kirk-Othmer Encyclopedia 2001; (but $0.1 Guerra 2023)</t>
  </si>
  <si>
    <t>NREL 2021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</si>
  <si>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</si>
  <si>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</si>
  <si>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</si>
  <si>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</si>
  <si>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</si>
  <si>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</si>
  <si>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</si>
  <si>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</si>
  <si>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Badgett, Cortright (J Cleaner Prod 2022)</t>
  </si>
  <si>
    <t>T_streams</t>
  </si>
  <si>
    <t>mV/dec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</si>
</sst>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i/>
      <sz val="11"/>
      <color theme="1"/>
      <name val="Calibri"/>
      <family val="2"/>
      <scheme val="minor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2" fontId="0" fillId="0" borderId="0" xfId="0" applyNumberFormat="1"/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/>
    <xf numFmtId="2" fontId="6" fillId="0" borderId="0" xfId="0" applyNumberFormat="1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0" fontId="21" fillId="0" borderId="0" xfId="0" applyFont="1"/>
    <xf numFmtId="2" fontId="4" fillId="0" borderId="0" xfId="2" applyNumberFormat="1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3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5" totalsRowShown="0" headerRowDxfId="32" dataDxfId="31">
  <autoFilter ref="A1:E35" xr:uid="{4573E0AF-4F91-4E0C-A0FD-4101785DA193}"/>
  <sortState xmlns:xlrd2="http://schemas.microsoft.com/office/spreadsheetml/2017/richdata2" ref="A2:E35">
    <sortCondition ref="A1:A35"/>
  </sortState>
  <tableColumns count="5">
    <tableColumn id="1" xr3:uid="{0CD981D8-5D27-4DEC-AB19-B4CDEDE4E307}" name="Name" dataDxfId="30"/>
    <tableColumn id="5" xr3:uid="{447AB61C-D6A8-4C69-B914-F84CC2DD3D7F}" name="Variable name" dataDxfId="29"/>
    <tableColumn id="2" xr3:uid="{8D0B10A0-AAB3-497D-AACC-B47886E623F4}" name="Value" dataDxfId="28"/>
    <tableColumn id="3" xr3:uid="{13805BE1-5D36-4E51-B5A1-6DAB8482D1CA}" name="Unit" dataDxfId="27"/>
    <tableColumn id="4" xr3:uid="{D9E6851E-6681-4B84-8DD9-9DC84337FA8D}" name="References" dataDxfId="2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25" dataDxfId="24">
  <autoFilter ref="A1:Q5" xr:uid="{89323130-A0D1-49F6-A5DF-27B490E4A7F3}"/>
  <tableColumns count="17">
    <tableColumn id="1" xr3:uid="{3C50D7C6-76ED-4D16-B177-C24A6EDEF5E8}" name="Product" dataDxfId="23"/>
    <tableColumn id="13" xr3:uid="{E3E543EF-1CAC-4E7C-917B-9F6A2A12C5A5}" name="Phase" dataDxfId="22"/>
    <tableColumn id="5" xr3:uid="{60087321-E31A-4465-97EA-5E82B4930DEF}" name="Molecular weight (g/mol)" dataDxfId="21"/>
    <tableColumn id="2" xr3:uid="{73F411CA-0C00-43A6-8E8A-2C96DEBEAE56}" name="n (mol e-/ mol product)" dataDxfId="20"/>
    <tableColumn id="12" xr3:uid="{35098869-B8D6-4322-9A6F-55D84BD00AAD}" name="z (mol CO2/ mol product)" dataDxfId="19"/>
    <tableColumn id="3" xr3:uid="{42FF57EE-C82B-4BEE-B6E3-5CDCD61D73F4}" name="LHV (kJ/kg product)" dataDxfId="18"/>
    <tableColumn id="14" xr3:uid="{E9D086E2-203C-4567-AACC-7D8FDCBCFD52}" name="Cost ($/kg product)" dataDxfId="17"/>
    <tableColumn id="6" xr3:uid="{F6536296-A5EF-4707-BAA4-8ED36A0299FD}" name="Standard potential, pH = 0 (V vs SHE)" dataDxfId="16"/>
    <tableColumn id="11" xr3:uid="{9743353A-8C68-4F78-BBA8-5E6BBF94C823}" name="Standard potential (V vs RHE)" dataDxfId="15">
      <calculatedColumnFormula>Products[[#This Row],[Standard potential, pH = 0 (V vs SHE)]]-2.303*R_*T/F*6.8</calculatedColumnFormula>
    </tableColumn>
    <tableColumn id="9" xr3:uid="{44F64A4D-679B-4F83-A0F1-9FD50BE9A102}" name="Reference overpotential (V)" dataDxfId="14"/>
    <tableColumn id="8" xr3:uid="{63FE646D-E5BD-46A5-B63F-54D7C89DFC20}" name="Tafel slope (mV/dec)" dataDxfId="13"/>
    <tableColumn id="7" xr3:uid="{8762D60F-6494-4D48-BF71-09EE6526135E}" name="Reference current density (mA/cm2)" dataDxfId="12"/>
    <tableColumn id="15" xr3:uid="{C96EBEF2-D837-4395-8D46-7E2BC536E261}" name="FECO2R at SPC = 0" dataDxfId="11"/>
    <tableColumn id="16" xr3:uid="{F3E3F633-1F65-481C-8C36-D0FBD783D2AB}" name="Optimal SPC @ 7.6 c/kWh, Hawks model" dataDxfId="10"/>
    <tableColumn id="17" xr3:uid="{06806002-8BCC-442F-99A4-15A00506143C}" name="Optimal j @ 7.6 c/kWh, Hawks model" dataDxfId="9"/>
    <tableColumn id="4" xr3:uid="{EA53ED90-0A02-4FC0-8D2F-B62ACD3411A0}" name="References" dataDxfId="8"/>
    <tableColumn id="10" xr3:uid="{15AF80F1-11B7-4792-895F-6EC0B2B7A7A4}" name="References 2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6" tableBorderDxfId="5" totalsRowBorderDxfId="4">
  <autoFilter ref="A1:D14" xr:uid="{F90A0C8F-F9A6-4BD9-BE38-37BCD437C167}"/>
  <tableColumns count="4">
    <tableColumn id="1" xr3:uid="{019A737E-EC43-437D-A256-C18EEEE61274}" name="Utility" dataDxfId="3"/>
    <tableColumn id="2" xr3:uid="{339E3BF5-AD63-4805-BC84-16828025960D}" name="Cost ($/kWh)" dataDxfId="2" dataCellStyle="Currency"/>
    <tableColumn id="3" xr3:uid="{5BD4A003-8709-44FE-A299-AB3C44A1C92B}" name="CO2 emissions (g CO2/kWh)" dataDxfId="1"/>
    <tableColumn id="4" xr3:uid="{106C8FDA-1A54-408F-9E45-6177A2EA926F}" name="Referenc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lazard.com/research-insights/2023-levelized-cost-of-energyplus/" TargetMode="External"/><Relationship Id="rId7" Type="http://schemas.openxmlformats.org/officeDocument/2006/relationships/hyperlink" Target="https://www.lazard.com/research-insights/2023-levelized-cost-of-energyplus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nrel.gov/docs/fy21osti/79236.pdf" TargetMode="External"/><Relationship Id="rId5" Type="http://schemas.openxmlformats.org/officeDocument/2006/relationships/hyperlink" Target="https://www.nrel.gov/analysis/life-cycle-assessment.html%20-%2075th%20percentile,%20harmonized" TargetMode="External"/><Relationship Id="rId4" Type="http://schemas.openxmlformats.org/officeDocument/2006/relationships/hyperlink" Target="https://www.nrel.gov/analysis/life-cycle-assessment.html%20-%2075th%20percentile,%20harmonized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7"/>
  <sheetViews>
    <sheetView tabSelected="1" topLeftCell="A4" zoomScale="115" zoomScaleNormal="115" workbookViewId="0">
      <selection activeCell="C40" sqref="C40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23</v>
      </c>
      <c r="F1" s="7"/>
    </row>
    <row r="2" spans="1:6" ht="28.5" x14ac:dyDescent="0.2">
      <c r="A2" s="6" t="s">
        <v>142</v>
      </c>
      <c r="B2" s="6" t="s">
        <v>87</v>
      </c>
      <c r="C2" s="33">
        <v>1</v>
      </c>
      <c r="D2" s="6" t="s">
        <v>86</v>
      </c>
      <c r="E2" s="24"/>
      <c r="F2" s="5"/>
    </row>
    <row r="3" spans="1:6" ht="99.75" x14ac:dyDescent="0.2">
      <c r="A3" s="5" t="s">
        <v>104</v>
      </c>
      <c r="B3" s="6" t="s">
        <v>76</v>
      </c>
      <c r="C3" s="9">
        <v>75</v>
      </c>
      <c r="D3" s="5" t="s">
        <v>77</v>
      </c>
      <c r="E3" s="24" t="s">
        <v>78</v>
      </c>
      <c r="F3" s="5"/>
    </row>
    <row r="4" spans="1:6" ht="42.75" x14ac:dyDescent="0.2">
      <c r="A4" s="5" t="s">
        <v>123</v>
      </c>
      <c r="B4" s="6" t="s">
        <v>143</v>
      </c>
      <c r="C4" s="46">
        <f>0.0145</f>
        <v>1.4500000000000001E-2</v>
      </c>
      <c r="D4" s="5" t="s">
        <v>138</v>
      </c>
      <c r="E4" s="24" t="s">
        <v>145</v>
      </c>
      <c r="F4" s="5" t="s">
        <v>144</v>
      </c>
    </row>
    <row r="5" spans="1:6" ht="28.5" x14ac:dyDescent="0.2">
      <c r="A5" s="5" t="s">
        <v>146</v>
      </c>
      <c r="B5" s="6" t="s">
        <v>147</v>
      </c>
      <c r="C5" s="42">
        <v>5000</v>
      </c>
      <c r="D5" s="5" t="s">
        <v>148</v>
      </c>
      <c r="E5" s="24" t="s">
        <v>149</v>
      </c>
      <c r="F5" s="5"/>
    </row>
    <row r="6" spans="1:6" ht="28.5" x14ac:dyDescent="0.2">
      <c r="A6" s="5" t="s">
        <v>106</v>
      </c>
      <c r="B6" s="5" t="s">
        <v>33</v>
      </c>
      <c r="C6" s="9">
        <v>0</v>
      </c>
      <c r="D6" s="5" t="s">
        <v>16</v>
      </c>
      <c r="E6" s="5"/>
      <c r="F6" s="5"/>
    </row>
    <row r="7" spans="1:6" ht="28.5" x14ac:dyDescent="0.2">
      <c r="A7" s="5" t="s">
        <v>107</v>
      </c>
      <c r="B7" s="5" t="s">
        <v>35</v>
      </c>
      <c r="C7" s="9">
        <v>0.65</v>
      </c>
      <c r="D7" s="5" t="s">
        <v>16</v>
      </c>
      <c r="E7" s="5"/>
      <c r="F7" s="5"/>
    </row>
    <row r="8" spans="1:6" ht="28.5" x14ac:dyDescent="0.2">
      <c r="A8" s="5" t="s">
        <v>108</v>
      </c>
      <c r="B8" s="5" t="s">
        <v>34</v>
      </c>
      <c r="C8" s="9">
        <v>0.5</v>
      </c>
      <c r="D8" s="5" t="s">
        <v>16</v>
      </c>
      <c r="E8" s="5"/>
      <c r="F8" s="5"/>
    </row>
    <row r="9" spans="1:6" ht="15.75" x14ac:dyDescent="0.2">
      <c r="A9" s="5" t="s">
        <v>109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103</v>
      </c>
      <c r="B10" s="6" t="s">
        <v>98</v>
      </c>
      <c r="C10" s="11">
        <v>0.9</v>
      </c>
      <c r="D10" s="6"/>
      <c r="E10" s="24" t="s">
        <v>99</v>
      </c>
      <c r="F10" s="5"/>
    </row>
    <row r="11" spans="1:6" ht="28.5" x14ac:dyDescent="0.2">
      <c r="A11" s="6" t="s">
        <v>120</v>
      </c>
      <c r="B11" s="6" t="s">
        <v>74</v>
      </c>
      <c r="C11" s="11">
        <v>7.0000000000000007E-2</v>
      </c>
      <c r="D11" s="6"/>
      <c r="E11" s="24" t="s">
        <v>22</v>
      </c>
      <c r="F11" s="5"/>
    </row>
    <row r="12" spans="1:6" ht="42.75" x14ac:dyDescent="0.2">
      <c r="A12" s="6" t="s">
        <v>127</v>
      </c>
      <c r="B12" s="6" t="s">
        <v>45</v>
      </c>
      <c r="C12" s="10">
        <v>1</v>
      </c>
      <c r="D12" s="6" t="s">
        <v>21</v>
      </c>
      <c r="E12" s="24" t="s">
        <v>18</v>
      </c>
      <c r="F12" s="5"/>
    </row>
    <row r="13" spans="1:6" ht="42.75" x14ac:dyDescent="0.2">
      <c r="A13" s="6" t="s">
        <v>101</v>
      </c>
      <c r="B13" s="6" t="s">
        <v>36</v>
      </c>
      <c r="C13" s="10">
        <v>1.23</v>
      </c>
      <c r="D13" s="6" t="s">
        <v>61</v>
      </c>
      <c r="E13" s="24" t="s">
        <v>18</v>
      </c>
      <c r="F13" s="5"/>
    </row>
    <row r="14" spans="1:6" ht="27" customHeight="1" x14ac:dyDescent="0.2">
      <c r="A14" s="5" t="s">
        <v>110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118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105</v>
      </c>
      <c r="B16" s="5" t="s">
        <v>46</v>
      </c>
      <c r="C16" s="9">
        <v>44.009500000000003</v>
      </c>
      <c r="D16" s="5" t="s">
        <v>28</v>
      </c>
      <c r="E16" s="5"/>
      <c r="F16" s="5"/>
    </row>
    <row r="17" spans="1:6" ht="17.25" x14ac:dyDescent="0.2">
      <c r="A17" s="6" t="s">
        <v>117</v>
      </c>
      <c r="B17" s="6" t="s">
        <v>83</v>
      </c>
      <c r="C17" s="9">
        <v>138.2055</v>
      </c>
      <c r="D17" s="5" t="s">
        <v>28</v>
      </c>
      <c r="E17" s="5"/>
      <c r="F17" s="5"/>
    </row>
    <row r="18" spans="1:6" ht="17.25" x14ac:dyDescent="0.2">
      <c r="A18" s="5" t="s">
        <v>115</v>
      </c>
      <c r="B18" s="6" t="s">
        <v>49</v>
      </c>
      <c r="C18" s="9">
        <v>31.998799999999999</v>
      </c>
      <c r="D18" s="5" t="s">
        <v>28</v>
      </c>
      <c r="E18" s="5"/>
      <c r="F18" s="5"/>
    </row>
    <row r="19" spans="1:6" x14ac:dyDescent="0.2">
      <c r="A19" s="5" t="s">
        <v>125</v>
      </c>
      <c r="B19" s="5" t="s">
        <v>47</v>
      </c>
      <c r="C19" s="9">
        <v>18.015799999999999</v>
      </c>
      <c r="D19" s="5" t="s">
        <v>28</v>
      </c>
      <c r="E19" s="5"/>
      <c r="F19" s="5"/>
    </row>
    <row r="20" spans="1:6" x14ac:dyDescent="0.2">
      <c r="A20" s="5" t="s">
        <v>116</v>
      </c>
      <c r="B20" s="5" t="s">
        <v>14</v>
      </c>
      <c r="C20" s="8">
        <v>101325</v>
      </c>
      <c r="D20" s="5" t="s">
        <v>15</v>
      </c>
      <c r="E20" s="5"/>
      <c r="F20" s="5"/>
    </row>
    <row r="21" spans="1:6" ht="28.5" x14ac:dyDescent="0.2">
      <c r="A21" s="5" t="s">
        <v>131</v>
      </c>
      <c r="B21" s="5" t="s">
        <v>132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136</v>
      </c>
      <c r="B22" s="5" t="s">
        <v>137</v>
      </c>
      <c r="C22" s="33">
        <v>0</v>
      </c>
      <c r="D22" s="5"/>
      <c r="E22" s="5"/>
      <c r="F22" s="5"/>
    </row>
    <row r="23" spans="1:6" ht="28.5" x14ac:dyDescent="0.2">
      <c r="A23" s="5" t="s">
        <v>133</v>
      </c>
      <c r="B23" s="5" t="s">
        <v>134</v>
      </c>
      <c r="C23" s="43">
        <v>20</v>
      </c>
      <c r="D23" s="5" t="s">
        <v>135</v>
      </c>
      <c r="E23" s="5"/>
      <c r="F23" s="5"/>
    </row>
    <row r="24" spans="1:6" ht="28.5" x14ac:dyDescent="0.2">
      <c r="A24" s="5" t="s">
        <v>128</v>
      </c>
      <c r="B24" s="5" t="s">
        <v>129</v>
      </c>
      <c r="C24" s="42">
        <v>50000</v>
      </c>
      <c r="D24" s="5" t="s">
        <v>130</v>
      </c>
      <c r="E24" s="5"/>
      <c r="F24" s="5"/>
    </row>
    <row r="25" spans="1:6" ht="42.75" x14ac:dyDescent="0.2">
      <c r="A25" s="6" t="s">
        <v>126</v>
      </c>
      <c r="B25" s="6" t="s">
        <v>85</v>
      </c>
      <c r="C25" s="11">
        <v>0.05</v>
      </c>
      <c r="D25" s="6"/>
      <c r="E25" s="24"/>
      <c r="F25" s="5"/>
    </row>
    <row r="26" spans="1:6" ht="28.5" x14ac:dyDescent="0.2">
      <c r="A26" s="6" t="s">
        <v>124</v>
      </c>
      <c r="B26" s="6" t="s">
        <v>84</v>
      </c>
      <c r="C26" s="33">
        <v>2500</v>
      </c>
      <c r="D26" s="6" t="s">
        <v>141</v>
      </c>
      <c r="E26" s="24"/>
      <c r="F26" s="5"/>
    </row>
    <row r="27" spans="1:6" ht="28.5" x14ac:dyDescent="0.2">
      <c r="A27" s="6" t="s">
        <v>119</v>
      </c>
      <c r="B27" s="6" t="s">
        <v>39</v>
      </c>
      <c r="C27" s="6">
        <v>10</v>
      </c>
      <c r="D27" s="6" t="s">
        <v>20</v>
      </c>
      <c r="E27" s="24" t="s">
        <v>19</v>
      </c>
      <c r="F27" s="5"/>
    </row>
    <row r="28" spans="1:6" ht="28.5" x14ac:dyDescent="0.2">
      <c r="A28" s="6" t="s">
        <v>102</v>
      </c>
      <c r="B28" s="6" t="s">
        <v>37</v>
      </c>
      <c r="C28" s="6">
        <v>0.247</v>
      </c>
      <c r="D28" s="6" t="s">
        <v>17</v>
      </c>
      <c r="E28" s="24" t="s">
        <v>19</v>
      </c>
      <c r="F28" s="5"/>
    </row>
    <row r="29" spans="1:6" ht="28.5" x14ac:dyDescent="0.2">
      <c r="A29" s="6" t="s">
        <v>100</v>
      </c>
      <c r="B29" s="6" t="s">
        <v>38</v>
      </c>
      <c r="C29" s="6">
        <f>0.041*1000</f>
        <v>41</v>
      </c>
      <c r="D29" s="6" t="s">
        <v>151</v>
      </c>
      <c r="E29" s="24" t="s">
        <v>19</v>
      </c>
      <c r="F29" s="5"/>
    </row>
    <row r="30" spans="1:6" ht="28.5" x14ac:dyDescent="0.2">
      <c r="A30" s="6" t="s">
        <v>121</v>
      </c>
      <c r="B30" s="6" t="s">
        <v>40</v>
      </c>
      <c r="C30" s="10">
        <v>313.14999999999998</v>
      </c>
      <c r="D30" s="6" t="s">
        <v>13</v>
      </c>
      <c r="E30" s="24" t="s">
        <v>22</v>
      </c>
      <c r="F30" s="5"/>
    </row>
    <row r="31" spans="1:6" x14ac:dyDescent="0.2">
      <c r="A31" s="5" t="s">
        <v>122</v>
      </c>
      <c r="B31" s="5" t="s">
        <v>150</v>
      </c>
      <c r="C31" s="10">
        <v>313.14999999999998</v>
      </c>
      <c r="D31" s="5" t="s">
        <v>13</v>
      </c>
      <c r="E31" s="5"/>
      <c r="F31" s="5"/>
    </row>
    <row r="32" spans="1:6" ht="15" x14ac:dyDescent="0.2">
      <c r="A32" s="16" t="s">
        <v>111</v>
      </c>
      <c r="B32" s="6" t="s">
        <v>41</v>
      </c>
      <c r="C32" s="16">
        <v>273.14999999999998</v>
      </c>
      <c r="D32" s="16" t="s">
        <v>13</v>
      </c>
      <c r="E32" s="5"/>
      <c r="F32" s="5"/>
    </row>
    <row r="33" spans="1:6" ht="28.5" x14ac:dyDescent="0.2">
      <c r="A33" s="5" t="s">
        <v>112</v>
      </c>
      <c r="B33" s="6" t="s">
        <v>42</v>
      </c>
      <c r="C33" s="8">
        <f>3600</f>
        <v>3600</v>
      </c>
      <c r="D33" s="5" t="s">
        <v>26</v>
      </c>
      <c r="E33" s="5"/>
      <c r="F33" s="5"/>
    </row>
    <row r="34" spans="1:6" ht="28.5" x14ac:dyDescent="0.2">
      <c r="A34" s="5" t="s">
        <v>113</v>
      </c>
      <c r="B34" s="6" t="s">
        <v>44</v>
      </c>
      <c r="C34" s="8">
        <f>1055870</f>
        <v>1055870</v>
      </c>
      <c r="D34" s="5" t="s">
        <v>27</v>
      </c>
      <c r="E34" s="5"/>
      <c r="F34" s="5"/>
    </row>
    <row r="35" spans="1:6" ht="28.5" x14ac:dyDescent="0.2">
      <c r="A35" s="5" t="s">
        <v>114</v>
      </c>
      <c r="B35" s="6" t="s">
        <v>43</v>
      </c>
      <c r="C35" s="8">
        <f>kJ_per_mmBtu/kJ_per_kWh</f>
        <v>293.29722222222222</v>
      </c>
      <c r="D35" s="5" t="s">
        <v>30</v>
      </c>
      <c r="E35" s="5"/>
    </row>
    <row r="36" spans="1:6" x14ac:dyDescent="0.2">
      <c r="A36" s="4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5"/>
      <c r="B45" s="8"/>
      <c r="C45" s="5"/>
      <c r="D45" s="5"/>
    </row>
    <row r="46" spans="1:6" x14ac:dyDescent="0.2">
      <c r="A46" s="5"/>
      <c r="B46" s="9"/>
      <c r="C46" s="5"/>
      <c r="D46" s="5"/>
    </row>
    <row r="47" spans="1:6" x14ac:dyDescent="0.2">
      <c r="B47" s="6"/>
      <c r="C47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8" r:id="rId3" xr:uid="{214EAADB-058E-4DBA-880F-727E021F35A8}"/>
    <hyperlink ref="E13" r:id="rId4" xr:uid="{C621EBC1-D2D7-4FBE-8E4B-BC10DF4928D4}"/>
    <hyperlink ref="E12" r:id="rId5" xr:uid="{C255EE5C-FBDD-4176-A67A-8F3FD3120E2E}"/>
    <hyperlink ref="E30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H1" activePane="topRight" state="frozen"/>
      <selection pane="topRight" activeCell="M7" sqref="M7"/>
    </sheetView>
  </sheetViews>
  <sheetFormatPr defaultRowHeight="15" x14ac:dyDescent="0.25"/>
  <cols>
    <col min="1" max="1" width="13" bestFit="1" customWidth="1"/>
    <col min="2" max="2" width="13" customWidth="1"/>
    <col min="3" max="3" width="15" bestFit="1" customWidth="1"/>
    <col min="4" max="4" width="18.7109375" bestFit="1" customWidth="1"/>
    <col min="5" max="5" width="18.7109375" customWidth="1"/>
    <col min="6" max="6" width="15.7109375" bestFit="1" customWidth="1"/>
    <col min="7" max="7" width="15.7109375" style="25" customWidth="1"/>
    <col min="8" max="8" width="17.7109375" bestFit="1" customWidth="1"/>
    <col min="9" max="9" width="17.7109375" customWidth="1"/>
    <col min="10" max="10" width="16.42578125" bestFit="1" customWidth="1"/>
    <col min="11" max="11" width="13.28515625" bestFit="1" customWidth="1"/>
    <col min="12" max="12" width="15.140625" bestFit="1" customWidth="1"/>
    <col min="13" max="15" width="15.140625" customWidth="1"/>
    <col min="16" max="16" width="15.7109375" customWidth="1"/>
    <col min="17" max="17" width="12.85546875" style="32" bestFit="1" customWidth="1"/>
  </cols>
  <sheetData>
    <row r="1" spans="1:17" ht="58.5" x14ac:dyDescent="0.25">
      <c r="A1" s="7" t="s">
        <v>53</v>
      </c>
      <c r="B1" s="7" t="s">
        <v>71</v>
      </c>
      <c r="C1" s="7" t="s">
        <v>54</v>
      </c>
      <c r="D1" s="7" t="s">
        <v>65</v>
      </c>
      <c r="E1" s="7" t="s">
        <v>66</v>
      </c>
      <c r="F1" s="7" t="s">
        <v>55</v>
      </c>
      <c r="G1" s="30" t="s">
        <v>75</v>
      </c>
      <c r="H1" s="7" t="s">
        <v>69</v>
      </c>
      <c r="I1" s="7" t="s">
        <v>70</v>
      </c>
      <c r="J1" s="7" t="s">
        <v>56</v>
      </c>
      <c r="K1" s="7" t="s">
        <v>57</v>
      </c>
      <c r="L1" s="7" t="s">
        <v>67</v>
      </c>
      <c r="M1" s="7" t="s">
        <v>82</v>
      </c>
      <c r="N1" s="7" t="s">
        <v>88</v>
      </c>
      <c r="O1" s="7" t="s">
        <v>89</v>
      </c>
      <c r="P1" s="12" t="s">
        <v>23</v>
      </c>
      <c r="Q1" s="12" t="s">
        <v>68</v>
      </c>
    </row>
    <row r="2" spans="1:17" ht="17.25" x14ac:dyDescent="0.25">
      <c r="A2" s="5" t="s">
        <v>64</v>
      </c>
      <c r="B2" s="5" t="s">
        <v>72</v>
      </c>
      <c r="C2" s="9">
        <f>1.007947*2</f>
        <v>2.0158939999999999</v>
      </c>
      <c r="D2" s="5">
        <v>2</v>
      </c>
      <c r="E2" s="5">
        <v>0</v>
      </c>
      <c r="F2" s="26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0" x14ac:dyDescent="0.25">
      <c r="A3" s="5" t="s">
        <v>52</v>
      </c>
      <c r="B3" s="5" t="s">
        <v>72</v>
      </c>
      <c r="C3" s="9">
        <v>28.010100000000001</v>
      </c>
      <c r="D3" s="5">
        <v>2</v>
      </c>
      <c r="E3" s="5">
        <v>1</v>
      </c>
      <c r="F3" s="26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6">
        <v>0.11799999999999999</v>
      </c>
      <c r="O3" s="6">
        <v>420</v>
      </c>
      <c r="P3" s="24" t="s">
        <v>19</v>
      </c>
      <c r="Q3" s="31" t="s">
        <v>139</v>
      </c>
    </row>
    <row r="4" spans="1:17" ht="60" x14ac:dyDescent="0.25">
      <c r="A4" s="6" t="s">
        <v>58</v>
      </c>
      <c r="B4" s="6" t="s">
        <v>72</v>
      </c>
      <c r="C4" s="9">
        <v>28.053999999999998</v>
      </c>
      <c r="D4" s="5">
        <v>12</v>
      </c>
      <c r="E4" s="5">
        <v>2</v>
      </c>
      <c r="F4" s="26">
        <v>47741</v>
      </c>
      <c r="G4" s="9">
        <v>1.3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6">
        <v>2.7E-2</v>
      </c>
      <c r="O4" s="6">
        <v>384</v>
      </c>
      <c r="P4" s="24" t="s">
        <v>19</v>
      </c>
      <c r="Q4" s="31" t="s">
        <v>81</v>
      </c>
    </row>
    <row r="5" spans="1:17" s="29" customFormat="1" ht="57" x14ac:dyDescent="0.25">
      <c r="A5" s="27" t="s">
        <v>23</v>
      </c>
      <c r="B5" s="28" t="s">
        <v>73</v>
      </c>
      <c r="C5" s="28" t="s">
        <v>73</v>
      </c>
      <c r="D5" s="24" t="s">
        <v>59</v>
      </c>
      <c r="E5" s="28" t="s">
        <v>73</v>
      </c>
      <c r="F5" s="24" t="s">
        <v>60</v>
      </c>
      <c r="G5" s="28" t="s">
        <v>79</v>
      </c>
      <c r="H5" s="24" t="s">
        <v>62</v>
      </c>
      <c r="I5" s="24" t="s">
        <v>59</v>
      </c>
      <c r="J5" s="28" t="s">
        <v>63</v>
      </c>
      <c r="K5" s="28" t="s">
        <v>63</v>
      </c>
      <c r="L5" s="28" t="s">
        <v>63</v>
      </c>
      <c r="M5" s="28"/>
      <c r="N5" s="28"/>
      <c r="O5" s="28"/>
      <c r="P5" s="27"/>
      <c r="Q5" s="27"/>
    </row>
  </sheetData>
  <phoneticPr fontId="19" type="noConversion"/>
  <hyperlinks>
    <hyperlink ref="P3" r:id="rId1" xr:uid="{A4F65FF6-C6EC-40B1-9701-93F5858A18BD}"/>
    <hyperlink ref="D5" r:id="rId2" xr:uid="{A6CEC16A-5A29-4C4B-B6DC-2F13839F3E5E}"/>
    <hyperlink ref="F5" r:id="rId3" display="Engineering Toolbox" xr:uid="{0D86F13D-1D29-453A-84F4-38B2E4DB70A8}"/>
    <hyperlink ref="H5" r:id="rId4" xr:uid="{D54C8481-3AD6-4B97-878B-D2C90AD4D097}"/>
    <hyperlink ref="I5" r:id="rId5" xr:uid="{15A9F7F2-24C4-4947-B8AC-CCED0C43AB79}"/>
    <hyperlink ref="P4" r:id="rId6" xr:uid="{9E5C44A6-93F6-4ED1-B804-8649E4167F70}"/>
    <hyperlink ref="Q3" r:id="rId7" display="Jouny, Jiao I&amp;EC 2018" xr:uid="{10B5C8FC-32D4-41B8-BAEB-C077AC9722AB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C17" sqref="C17"/>
    </sheetView>
  </sheetViews>
  <sheetFormatPr defaultColWidth="9.140625" defaultRowHeight="15" x14ac:dyDescent="0.25"/>
  <cols>
    <col min="1" max="1" width="31.140625" style="14" bestFit="1" customWidth="1"/>
    <col min="2" max="2" width="15.42578125" style="40" customWidth="1"/>
    <col min="3" max="3" width="23.7109375" style="3" bestFit="1" customWidth="1"/>
    <col min="4" max="4" width="24.7109375" style="3" customWidth="1"/>
    <col min="5" max="5" width="9.140625" style="3"/>
    <col min="6" max="6" width="11.5703125" style="3" bestFit="1" customWidth="1"/>
    <col min="7" max="16384" width="9.140625" style="3"/>
  </cols>
  <sheetData>
    <row r="1" spans="1:6" s="2" customFormat="1" ht="34.5" x14ac:dyDescent="0.25">
      <c r="A1" s="23" t="s">
        <v>0</v>
      </c>
      <c r="B1" s="37" t="s">
        <v>4</v>
      </c>
      <c r="C1" s="13" t="s">
        <v>29</v>
      </c>
      <c r="D1" s="1" t="s">
        <v>23</v>
      </c>
    </row>
    <row r="2" spans="1:6" x14ac:dyDescent="0.25">
      <c r="A2" s="17"/>
      <c r="B2" s="38"/>
      <c r="C2" s="21"/>
      <c r="D2" s="22"/>
    </row>
    <row r="3" spans="1:6" ht="28.5" x14ac:dyDescent="0.25">
      <c r="A3" s="18" t="s">
        <v>5</v>
      </c>
      <c r="B3" s="38">
        <v>2.4E-2</v>
      </c>
      <c r="C3" s="21">
        <v>50</v>
      </c>
      <c r="D3" s="34" t="s">
        <v>97</v>
      </c>
      <c r="E3" s="35" t="s">
        <v>92</v>
      </c>
      <c r="F3" s="36" t="s">
        <v>93</v>
      </c>
    </row>
    <row r="4" spans="1:6" ht="28.5" x14ac:dyDescent="0.25">
      <c r="A4" s="18" t="s">
        <v>94</v>
      </c>
      <c r="B4" s="38">
        <v>2.4E-2</v>
      </c>
      <c r="C4" s="21">
        <v>20</v>
      </c>
      <c r="D4" s="34" t="s">
        <v>97</v>
      </c>
      <c r="E4" s="36" t="s">
        <v>92</v>
      </c>
      <c r="F4" s="36" t="s">
        <v>93</v>
      </c>
    </row>
    <row r="5" spans="1:6" ht="28.5" x14ac:dyDescent="0.25">
      <c r="A5" s="18" t="s">
        <v>91</v>
      </c>
      <c r="B5" s="38">
        <v>4.2000000000000003E-2</v>
      </c>
      <c r="C5" s="41"/>
      <c r="D5" s="34" t="s">
        <v>90</v>
      </c>
    </row>
    <row r="6" spans="1:6" ht="28.5" x14ac:dyDescent="0.25">
      <c r="A6" s="18" t="s">
        <v>2</v>
      </c>
      <c r="B6" s="38">
        <f>16.05/1000</f>
        <v>1.6050000000000002E-2</v>
      </c>
      <c r="C6" s="21">
        <f>[1]Electric!$G$557/kWh_per_mmBtu</f>
        <v>230.93061430996579</v>
      </c>
      <c r="D6" s="22" t="s">
        <v>95</v>
      </c>
    </row>
    <row r="7" spans="1:6" ht="28.5" x14ac:dyDescent="0.25">
      <c r="A7" s="18" t="s">
        <v>1</v>
      </c>
      <c r="B7" s="38">
        <f>7.62/100</f>
        <v>7.6200000000000004E-2</v>
      </c>
      <c r="C7" s="21" cm="1">
        <f t="array" ref="C7">[1]!Electricity_upstream_fuel_CO2/kWh_per_mmBtu</f>
        <v>414.10433834299573</v>
      </c>
      <c r="D7" s="22" t="s">
        <v>96</v>
      </c>
    </row>
    <row r="8" spans="1:6" ht="42.75" x14ac:dyDescent="0.25">
      <c r="A8" s="18" t="s">
        <v>3</v>
      </c>
      <c r="B8" s="38">
        <f>2.22/kWh_per_mmBtu</f>
        <v>7.5691136219420956E-3</v>
      </c>
      <c r="C8" s="21">
        <f>70.66/1000*kJ_per_kWh</f>
        <v>254.376</v>
      </c>
      <c r="D8" s="19" t="s">
        <v>31</v>
      </c>
    </row>
    <row r="9" spans="1:6" ht="28.5" x14ac:dyDescent="0.25">
      <c r="A9" s="18" t="s">
        <v>48</v>
      </c>
      <c r="B9" s="38">
        <v>0.03</v>
      </c>
      <c r="C9" s="44"/>
      <c r="D9" s="45" t="s">
        <v>19</v>
      </c>
    </row>
    <row r="10" spans="1:6" x14ac:dyDescent="0.25">
      <c r="A10" s="18"/>
      <c r="B10" s="38"/>
      <c r="C10" s="44"/>
      <c r="D10" s="44"/>
    </row>
    <row r="11" spans="1:6" x14ac:dyDescent="0.25">
      <c r="A11" s="18" t="s">
        <v>24</v>
      </c>
      <c r="B11" s="38">
        <f>B7</f>
        <v>7.6200000000000004E-2</v>
      </c>
      <c r="C11" s="44">
        <f>C7</f>
        <v>414.10433834299573</v>
      </c>
      <c r="D11" s="44"/>
    </row>
    <row r="12" spans="1:6" x14ac:dyDescent="0.25">
      <c r="A12" s="20" t="s">
        <v>25</v>
      </c>
      <c r="B12" s="39">
        <f>B8</f>
        <v>7.5691136219420956E-3</v>
      </c>
      <c r="C12" s="44">
        <f>C8</f>
        <v>254.376</v>
      </c>
      <c r="D12" s="44"/>
    </row>
    <row r="13" spans="1:6" x14ac:dyDescent="0.25">
      <c r="A13" s="20"/>
      <c r="B13" s="39"/>
      <c r="C13" s="44"/>
      <c r="D13" s="44"/>
    </row>
    <row r="14" spans="1:6" x14ac:dyDescent="0.25">
      <c r="A14" s="18" t="s">
        <v>80</v>
      </c>
      <c r="B14" s="38">
        <v>200</v>
      </c>
      <c r="C14" s="44"/>
      <c r="D14" s="45" t="s">
        <v>140</v>
      </c>
    </row>
  </sheetData>
  <hyperlinks>
    <hyperlink ref="D3" r:id="rId1" display="Lazard April 2023; GREET 2022" xr:uid="{30AD102F-86CC-45B4-864B-ED7B59346D8B}"/>
    <hyperlink ref="D4" r:id="rId2" display="Lazard April 2023; GREET 2022" xr:uid="{4C8929C4-58BB-4A32-B432-8DB55D83FB1A}"/>
    <hyperlink ref="D5" r:id="rId3" xr:uid="{1F2B7BF5-663B-4DAD-9B10-2CA45B85411D}"/>
    <hyperlink ref="F3" r:id="rId4" xr:uid="{3B32718D-979A-40E2-98A6-A140F52AD9CF}"/>
    <hyperlink ref="F4" r:id="rId5" xr:uid="{73490A46-4569-4A74-86E0-630A7C65D59D}"/>
    <hyperlink ref="D14" r:id="rId6" xr:uid="{AE632364-779F-4089-A88D-F487214F42B4}"/>
    <hyperlink ref="E4" r:id="rId7" xr:uid="{28F6F1BD-1AFA-404B-AE3D-A4E0C0DB2211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Constants and assumptions</vt:lpstr>
      <vt:lpstr>Products</vt:lpstr>
      <vt:lpstr>Utilities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2024-06-19T22:31:55Z</dcterms:modified>
</cp:coreProperties>
</file>