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texas-my.sharepoint.com/personal/shashwati_dacunha_austin_utexas_edu/Documents/RCL Code/TEA/Non-aqueous/"/>
    </mc:Choice>
  </mc:AlternateContent>
  <xr:revisionPtr revIDLastSave="973" documentId="8_{97D819C2-9B4C-48A2-B33E-A96F1BF521DD}" xr6:coauthVersionLast="47" xr6:coauthVersionMax="47" xr10:uidLastSave="{562F3E45-7D47-46FC-A893-D2485BE184F7}"/>
  <bookViews>
    <workbookView xWindow="14295" yWindow="0" windowWidth="14610" windowHeight="15585" xr2:uid="{BDE6CFB9-7D30-4E96-8671-5B86BEA4C6ED}"/>
  </bookViews>
  <sheets>
    <sheet name="Waterfall" sheetId="1" r:id="rId1"/>
    <sheet name="Functional units" sheetId="2" r:id="rId2"/>
  </sheets>
  <definedNames>
    <definedName name="_xlchart.v1.0" hidden="1">Waterfall!$A$2:$A$12</definedName>
    <definedName name="_xlchart.v1.1" hidden="1">Waterfall!$C$2:$C$12</definedName>
    <definedName name="F_">'Functional units'!$B$54</definedName>
    <definedName name="FE_C2H4">'Functional units'!$B$45</definedName>
    <definedName name="FE_CO_aq">'Functional units'!$B$44</definedName>
    <definedName name="FE_CO_nonaq">'Functional units'!$B$46</definedName>
    <definedName name="FE_OA">'Functional units'!$B$47</definedName>
    <definedName name="MW_C2H4">'Functional units'!$B$34</definedName>
    <definedName name="MW_CO">'Functional units'!$B$33</definedName>
    <definedName name="MW_CO2">'Functional units'!$B$36</definedName>
    <definedName name="MW_DMF">'Functional units'!$B$40</definedName>
    <definedName name="MW_DMSO">'Functional units'!$B$41</definedName>
    <definedName name="MW_H2">'Functional units'!$B$32</definedName>
    <definedName name="MW_K2CO3">'Functional units'!$B$37</definedName>
    <definedName name="MW_O2">'Functional units'!$B$38</definedName>
    <definedName name="MW_OA">'Functional units'!$B$35</definedName>
    <definedName name="MW_TEACl">'Functional units'!$B$42</definedName>
    <definedName name="MW_water">'Functional units'!$B$39</definedName>
    <definedName name="P_">'Functional units'!$B$51</definedName>
    <definedName name="R_">'Functional units'!$B$52</definedName>
    <definedName name="T_">'Functional units'!$B$53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/>
  <c r="C13" i="2"/>
  <c r="C12" i="2"/>
  <c r="C11" i="2"/>
  <c r="D11" i="2" s="1"/>
  <c r="F12" i="2"/>
  <c r="E6" i="2" s="1"/>
  <c r="F13" i="2"/>
  <c r="F6" i="2" s="1"/>
  <c r="F14" i="2"/>
  <c r="G6" i="2" s="1"/>
  <c r="F11" i="2"/>
  <c r="D6" i="2" s="1"/>
  <c r="C19" i="2"/>
  <c r="D23" i="2"/>
  <c r="E23" i="2" s="1"/>
  <c r="D24" i="2"/>
  <c r="E24" i="2" s="1"/>
  <c r="D26" i="2"/>
  <c r="E26" i="2" s="1"/>
  <c r="D25" i="2"/>
  <c r="E25" i="2" s="1"/>
  <c r="G5" i="2"/>
  <c r="E5" i="2"/>
  <c r="F5" i="2"/>
  <c r="D5" i="2"/>
  <c r="G4" i="2"/>
  <c r="F4" i="2"/>
  <c r="E4" i="2"/>
  <c r="D4" i="2"/>
  <c r="E2" i="2"/>
  <c r="F2" i="2"/>
  <c r="G2" i="2"/>
  <c r="E3" i="2"/>
  <c r="F3" i="2"/>
  <c r="G3" i="2"/>
  <c r="D3" i="2"/>
  <c r="D2" i="2"/>
  <c r="F23" i="2" l="1"/>
  <c r="D7" i="2" s="1"/>
  <c r="F25" i="2"/>
  <c r="F7" i="2" s="1"/>
  <c r="F26" i="2"/>
  <c r="G7" i="2" s="1"/>
  <c r="F24" i="2" a="1"/>
  <c r="F24" i="2" s="1"/>
  <c r="E7" i="2" s="1"/>
  <c r="D12" i="2" a="1"/>
  <c r="D12" i="2" s="1"/>
  <c r="D13" i="2"/>
  <c r="C20" i="2"/>
  <c r="C18" i="2"/>
  <c r="C17" i="2"/>
  <c r="D14" i="2"/>
  <c r="C9" i="1" l="1"/>
  <c r="C10" i="1"/>
  <c r="C11" i="1"/>
  <c r="C6" i="1"/>
  <c r="C7" i="1"/>
  <c r="C4" i="1"/>
  <c r="C5" i="1"/>
  <c r="C8" i="1"/>
  <c r="C3" i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<sst xmlns="http://schemas.openxmlformats.org/spreadsheetml/2006/main" count="102" uniqueCount="88">
  <si>
    <t xml:space="preserve">Current cost </t>
  </si>
  <si>
    <t>Market price</t>
  </si>
  <si>
    <t>Point</t>
  </si>
  <si>
    <t>Price</t>
  </si>
  <si>
    <t>Change</t>
  </si>
  <si>
    <t>Electricity price reduction from 8.2 c/kWh to 5 c/kWh</t>
  </si>
  <si>
    <t>Plant lifetime from 10 to 20 years</t>
  </si>
  <si>
    <t>Catholyte flow from 500 to 250 mol solvent/mol CO₂</t>
  </si>
  <si>
    <r>
      <t xml:space="preserve">Electrolyte thickness from 0.8 mm to 50 </t>
    </r>
    <r>
      <rPr>
        <sz val="11"/>
        <color theme="1"/>
        <rFont val="Aptos Narrow"/>
        <family val="2"/>
      </rPr>
      <t>μ</t>
    </r>
    <r>
      <rPr>
        <sz val="11"/>
        <color theme="1"/>
        <rFont val="Aptos"/>
        <family val="2"/>
      </rPr>
      <t>m</t>
    </r>
  </si>
  <si>
    <t>Selectivity  from 70% to 95%</t>
  </si>
  <si>
    <t>Current density from 200 to 500 mA/cm²</t>
  </si>
  <si>
    <t>Optimum is 1343 mA/cm2</t>
  </si>
  <si>
    <t>Liquid separation capex from $33K to $25K per 1000 mol/hr</t>
  </si>
  <si>
    <t>Stack lifetime from 1 to 3 years</t>
  </si>
  <si>
    <t>Production scale from 3 t/day to 30 t/day</t>
  </si>
  <si>
    <t>Comparison metric</t>
  </si>
  <si>
    <t>Basis</t>
  </si>
  <si>
    <t>3,000 kg/day</t>
  </si>
  <si>
    <t>$/kg product</t>
  </si>
  <si>
    <t>$/t CO2</t>
  </si>
  <si>
    <t>Cost of carbon utilization</t>
  </si>
  <si>
    <t>Cost on electron basis</t>
  </si>
  <si>
    <t>Cost per mass of final product</t>
  </si>
  <si>
    <t>30 t/day</t>
  </si>
  <si>
    <t>Cost per mass of product, pilot scale</t>
  </si>
  <si>
    <t>30,000 kg/day</t>
  </si>
  <si>
    <t>Cost per mass of product, production scale</t>
  </si>
  <si>
    <t>Cost of energy utilization</t>
  </si>
  <si>
    <t>$/MWh</t>
  </si>
  <si>
    <r>
      <t>$/m</t>
    </r>
    <r>
      <rPr>
        <vertAlign val="superscript"/>
        <sz val="11"/>
        <color theme="1"/>
        <rFont val="Aptos"/>
        <family val="2"/>
      </rPr>
      <t>2</t>
    </r>
  </si>
  <si>
    <t>?? kg/day glycolic acid</t>
  </si>
  <si>
    <t>Current (A)</t>
  </si>
  <si>
    <t>Mole flow rate (mol/s)</t>
  </si>
  <si>
    <t>CO</t>
  </si>
  <si>
    <t>OA</t>
  </si>
  <si>
    <t>Product</t>
  </si>
  <si>
    <t>Molecular weight (g/mol)</t>
  </si>
  <si>
    <t>Cost ($/kg)</t>
  </si>
  <si>
    <t>Oxalic acid</t>
  </si>
  <si>
    <t>Water</t>
  </si>
  <si>
    <t>DMF</t>
  </si>
  <si>
    <t>DMSO</t>
  </si>
  <si>
    <t>TEACl</t>
  </si>
  <si>
    <t>P, Pa</t>
  </si>
  <si>
    <t>R, J/mol.K</t>
  </si>
  <si>
    <t>T, K</t>
  </si>
  <si>
    <t>F, C/mol</t>
  </si>
  <si>
    <r>
      <t>H</t>
    </r>
    <r>
      <rPr>
        <vertAlign val="subscript"/>
        <sz val="11"/>
        <rFont val="Aptos"/>
        <family val="2"/>
      </rPr>
      <t>2</t>
    </r>
  </si>
  <si>
    <r>
      <t>CO</t>
    </r>
    <r>
      <rPr>
        <vertAlign val="subscript"/>
        <sz val="11"/>
        <rFont val="Aptos"/>
        <family val="2"/>
      </rPr>
      <t>2</t>
    </r>
  </si>
  <si>
    <r>
      <t>O</t>
    </r>
    <r>
      <rPr>
        <vertAlign val="subscript"/>
        <sz val="11"/>
        <rFont val="Aptos"/>
        <family val="2"/>
      </rPr>
      <t>2</t>
    </r>
  </si>
  <si>
    <r>
      <t>FE</t>
    </r>
    <r>
      <rPr>
        <vertAlign val="subscript"/>
        <sz val="11"/>
        <rFont val="Aptos"/>
        <family val="2"/>
      </rPr>
      <t>OA</t>
    </r>
  </si>
  <si>
    <r>
      <t>X</t>
    </r>
    <r>
      <rPr>
        <vertAlign val="subscript"/>
        <sz val="11"/>
        <rFont val="Aptos"/>
        <family val="2"/>
      </rPr>
      <t>CO2</t>
    </r>
  </si>
  <si>
    <r>
      <t>C</t>
    </r>
    <r>
      <rPr>
        <vertAlign val="subscript"/>
        <sz val="11"/>
        <rFont val="Aptos"/>
        <family val="2"/>
      </rPr>
      <t>2</t>
    </r>
    <r>
      <rPr>
        <sz val="11"/>
        <rFont val="Aptos"/>
        <family val="2"/>
      </rPr>
      <t>H</t>
    </r>
    <r>
      <rPr>
        <vertAlign val="subscript"/>
        <sz val="11"/>
        <rFont val="Aptos"/>
        <family val="2"/>
      </rPr>
      <t>4</t>
    </r>
  </si>
  <si>
    <r>
      <t>Density (kg/m</t>
    </r>
    <r>
      <rPr>
        <b/>
        <vertAlign val="superscript"/>
        <sz val="11"/>
        <rFont val="Aptos"/>
        <family val="2"/>
      </rPr>
      <t>3</t>
    </r>
    <r>
      <rPr>
        <b/>
        <sz val="11"/>
        <rFont val="Aptos"/>
        <family val="2"/>
      </rPr>
      <t>)</t>
    </r>
  </si>
  <si>
    <r>
      <t>K</t>
    </r>
    <r>
      <rPr>
        <vertAlign val="subscript"/>
        <sz val="11"/>
        <rFont val="Aptos"/>
        <family val="2"/>
      </rPr>
      <t>2</t>
    </r>
    <r>
      <rPr>
        <sz val="11"/>
        <rFont val="Aptos"/>
        <family val="2"/>
      </rPr>
      <t>CO</t>
    </r>
    <r>
      <rPr>
        <vertAlign val="subscript"/>
        <sz val="11"/>
        <rFont val="Aptos"/>
        <family val="2"/>
      </rPr>
      <t>3</t>
    </r>
  </si>
  <si>
    <t>Ethylene</t>
  </si>
  <si>
    <r>
      <t>CO</t>
    </r>
    <r>
      <rPr>
        <b/>
        <vertAlign val="subscript"/>
        <sz val="11"/>
        <rFont val="Aptos"/>
        <family val="2"/>
      </rPr>
      <t>2</t>
    </r>
    <r>
      <rPr>
        <b/>
        <sz val="11"/>
        <rFont val="Aptos"/>
        <family val="2"/>
      </rPr>
      <t xml:space="preserve"> fed (kg/day)</t>
    </r>
  </si>
  <si>
    <t>1.5E6 A</t>
  </si>
  <si>
    <t>Mass flow rate of product (kg/day)</t>
  </si>
  <si>
    <t>Levelized - CO - aq ($/kg)</t>
  </si>
  <si>
    <t>Levelized - CO - DMF ($/kg)</t>
  </si>
  <si>
    <t>Levelized - OA - DMSO ($/kg)</t>
  </si>
  <si>
    <t>Capex - CO - aq ($)</t>
  </si>
  <si>
    <r>
      <t>Capex - C</t>
    </r>
    <r>
      <rPr>
        <b/>
        <vertAlign val="subscript"/>
        <sz val="11"/>
        <color theme="8" tint="0.39997558519241921"/>
        <rFont val="Aptos"/>
        <family val="2"/>
      </rPr>
      <t>2</t>
    </r>
    <r>
      <rPr>
        <b/>
        <sz val="11"/>
        <color theme="8" tint="0.39997558519241921"/>
        <rFont val="Aptos"/>
        <family val="2"/>
      </rPr>
      <t>H</t>
    </r>
    <r>
      <rPr>
        <b/>
        <vertAlign val="subscript"/>
        <sz val="11"/>
        <color theme="8" tint="0.39997558519241921"/>
        <rFont val="Aptos"/>
        <family val="2"/>
      </rPr>
      <t>4</t>
    </r>
    <r>
      <rPr>
        <b/>
        <sz val="11"/>
        <color theme="8" tint="0.39997558519241921"/>
        <rFont val="Aptos"/>
        <family val="2"/>
      </rPr>
      <t xml:space="preserve"> - aq ($)</t>
    </r>
  </si>
  <si>
    <t>Capex - CO - DMF ($)</t>
  </si>
  <si>
    <t>Capex - OA - DMSO ($)</t>
  </si>
  <si>
    <t>Opex - CO - aq ($/kg)</t>
  </si>
  <si>
    <r>
      <t>Opex - C</t>
    </r>
    <r>
      <rPr>
        <b/>
        <vertAlign val="subscript"/>
        <sz val="11"/>
        <color theme="8" tint="0.39994506668294322"/>
        <rFont val="Aptos"/>
        <family val="2"/>
      </rPr>
      <t>2</t>
    </r>
    <r>
      <rPr>
        <b/>
        <sz val="11"/>
        <color theme="8" tint="0.39997558519241921"/>
        <rFont val="Aptos"/>
        <family val="2"/>
      </rPr>
      <t>H</t>
    </r>
    <r>
      <rPr>
        <b/>
        <vertAlign val="subscript"/>
        <sz val="11"/>
        <color theme="8" tint="0.39994506668294322"/>
        <rFont val="Aptos"/>
        <family val="2"/>
      </rPr>
      <t>4</t>
    </r>
    <r>
      <rPr>
        <b/>
        <sz val="11"/>
        <color theme="8" tint="0.39997558519241921"/>
        <rFont val="Aptos"/>
        <family val="2"/>
      </rPr>
      <t xml:space="preserve"> - aq ($/kg)</t>
    </r>
  </si>
  <si>
    <t>Opex - CO - DMF ($/kg)</t>
  </si>
  <si>
    <t>Opex - OA - DMSO ($/kg)</t>
  </si>
  <si>
    <r>
      <t>FE</t>
    </r>
    <r>
      <rPr>
        <vertAlign val="subscript"/>
        <sz val="11"/>
        <rFont val="Aptos"/>
        <family val="2"/>
      </rPr>
      <t>ethylene</t>
    </r>
  </si>
  <si>
    <r>
      <t>FE</t>
    </r>
    <r>
      <rPr>
        <vertAlign val="subscript"/>
        <sz val="11"/>
        <rFont val="Aptos"/>
        <family val="2"/>
      </rPr>
      <t>CO</t>
    </r>
    <r>
      <rPr>
        <sz val="11"/>
        <rFont val="Aptos"/>
        <family val="2"/>
      </rPr>
      <t>, non-aqueous</t>
    </r>
  </si>
  <si>
    <r>
      <t>FE</t>
    </r>
    <r>
      <rPr>
        <vertAlign val="subscript"/>
        <sz val="11"/>
        <rFont val="Aptos"/>
        <family val="2"/>
      </rPr>
      <t>CO</t>
    </r>
    <r>
      <rPr>
        <sz val="11"/>
        <rFont val="Aptos"/>
        <family val="2"/>
      </rPr>
      <t>, aqueous</t>
    </r>
  </si>
  <si>
    <t>CO, aqueous</t>
  </si>
  <si>
    <t>CO, non-aqueous</t>
  </si>
  <si>
    <t>Final units of levelized cost</t>
  </si>
  <si>
    <t>Levelized - CO - aq (adjusted unit)</t>
  </si>
  <si>
    <r>
      <t>Levelized - C</t>
    </r>
    <r>
      <rPr>
        <b/>
        <vertAlign val="subscript"/>
        <sz val="11"/>
        <color theme="8" tint="0.39997558519241921"/>
        <rFont val="Aptos"/>
        <family val="2"/>
      </rPr>
      <t>2</t>
    </r>
    <r>
      <rPr>
        <b/>
        <sz val="11"/>
        <color theme="8" tint="0.39997558519241921"/>
        <rFont val="Aptos"/>
        <family val="2"/>
      </rPr>
      <t>H</t>
    </r>
    <r>
      <rPr>
        <b/>
        <vertAlign val="subscript"/>
        <sz val="11"/>
        <color theme="8" tint="0.39997558519241921"/>
        <rFont val="Aptos"/>
        <family val="2"/>
      </rPr>
      <t>4</t>
    </r>
    <r>
      <rPr>
        <b/>
        <sz val="11"/>
        <color theme="8" tint="0.39997558519241921"/>
        <rFont val="Aptos"/>
        <family val="2"/>
      </rPr>
      <t xml:space="preserve"> - aq (adjusted unit)</t>
    </r>
  </si>
  <si>
    <t>Levelized - CO - DMF (adjusted unit)</t>
  </si>
  <si>
    <t>Levelized - OA - DMSO (adjusted unit)</t>
  </si>
  <si>
    <r>
      <t>Levelized - C</t>
    </r>
    <r>
      <rPr>
        <b/>
        <vertAlign val="subscript"/>
        <sz val="11"/>
        <color theme="8" tint="0.39994506668294322"/>
        <rFont val="Aptos"/>
        <family val="2"/>
      </rPr>
      <t>2</t>
    </r>
    <r>
      <rPr>
        <b/>
        <sz val="11"/>
        <color theme="8" tint="0.39997558519241921"/>
        <rFont val="Aptos"/>
        <family val="2"/>
      </rPr>
      <t>H</t>
    </r>
    <r>
      <rPr>
        <b/>
        <vertAlign val="subscript"/>
        <sz val="11"/>
        <color theme="8" tint="0.39994506668294322"/>
        <rFont val="Aptos"/>
        <family val="2"/>
      </rPr>
      <t>4</t>
    </r>
    <r>
      <rPr>
        <b/>
        <sz val="11"/>
        <color theme="8" tint="0.39997558519241921"/>
        <rFont val="Aptos"/>
        <family val="2"/>
      </rPr>
      <t xml:space="preserve"> - aq ($/kg)</t>
    </r>
  </si>
  <si>
    <t>$/1e6 C</t>
  </si>
  <si>
    <r>
      <t>Current density (mA/cm</t>
    </r>
    <r>
      <rPr>
        <b/>
        <vertAlign val="superscript"/>
        <sz val="11"/>
        <rFont val="Aptos"/>
        <family val="2"/>
      </rPr>
      <t>2</t>
    </r>
    <r>
      <rPr>
        <b/>
        <sz val="11"/>
        <rFont val="Aptos"/>
        <family val="2"/>
      </rPr>
      <t>)</t>
    </r>
  </si>
  <si>
    <r>
      <t>Area (m</t>
    </r>
    <r>
      <rPr>
        <b/>
        <vertAlign val="superscript"/>
        <sz val="11"/>
        <rFont val="Aptos"/>
        <family val="2"/>
      </rPr>
      <t>2</t>
    </r>
    <r>
      <rPr>
        <b/>
        <sz val="11"/>
        <rFont val="Aptos"/>
        <family val="2"/>
      </rPr>
      <t>)</t>
    </r>
  </si>
  <si>
    <r>
      <t>750 m</t>
    </r>
    <r>
      <rPr>
        <vertAlign val="superscript"/>
        <sz val="11"/>
        <color theme="1"/>
        <rFont val="Aptos"/>
        <family val="2"/>
      </rPr>
      <t>2</t>
    </r>
  </si>
  <si>
    <t>Cost on area basis</t>
  </si>
  <si>
    <t>Process energy (kJ/kg)</t>
  </si>
  <si>
    <t>Process energy (MWh/kg)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</si>
</sst>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  <numFmt numFmtId="172" formatCode="#,##0.00000"/>
    <numFmt numFmtId="173" formatCode="0.0000"/>
  </numFmts>
  <fonts count="20" x14ac:knownFonts="1">
    <font>
      <sz val="11"/>
      <color theme="1"/>
      <name val="Open Sans"/>
      <family val="2"/>
      <scheme val="minor"/>
    </font>
    <font>
      <sz val="11"/>
      <color theme="1"/>
      <name val="Open Sans"/>
      <family val="2"/>
      <scheme val="minor"/>
    </font>
    <font>
      <sz val="11"/>
      <color theme="1"/>
      <name val="Aptos"/>
      <family val="2"/>
    </font>
    <font>
      <sz val="11"/>
      <color rgb="FF3B3B3B"/>
      <name val="Aptos"/>
      <family val="2"/>
    </font>
    <font>
      <sz val="11"/>
      <name val="Aptos"/>
      <family val="2"/>
    </font>
    <font>
      <b/>
      <sz val="11"/>
      <color theme="1"/>
      <name val="Aptos"/>
      <family val="2"/>
    </font>
    <font>
      <sz val="11"/>
      <color theme="1"/>
      <name val="Aptos Narrow"/>
      <family val="2"/>
    </font>
    <font>
      <sz val="8"/>
      <name val="Open Sans"/>
      <family val="2"/>
      <scheme val="minor"/>
    </font>
    <font>
      <vertAlign val="superscript"/>
      <sz val="11"/>
      <color theme="1"/>
      <name val="Aptos"/>
      <family val="2"/>
    </font>
    <font>
      <b/>
      <sz val="11"/>
      <color theme="8" tint="0.39997558519241921"/>
      <name val="Aptos"/>
      <family val="2"/>
    </font>
    <font>
      <b/>
      <vertAlign val="subscript"/>
      <sz val="11"/>
      <color theme="8" tint="0.39997558519241921"/>
      <name val="Aptos"/>
      <family val="2"/>
    </font>
    <font>
      <sz val="11"/>
      <color theme="8" tint="0.39997558519241921"/>
      <name val="Aptos"/>
      <family val="2"/>
    </font>
    <font>
      <b/>
      <sz val="11"/>
      <color theme="5"/>
      <name val="Aptos"/>
      <family val="2"/>
    </font>
    <font>
      <sz val="11"/>
      <color theme="5"/>
      <name val="Aptos"/>
      <family val="2"/>
    </font>
    <font>
      <sz val="11"/>
      <color theme="0" tint="-0.499984740745262"/>
      <name val="Aptos"/>
      <family val="2"/>
    </font>
    <font>
      <vertAlign val="subscript"/>
      <sz val="11"/>
      <name val="Aptos"/>
      <family val="2"/>
    </font>
    <font>
      <b/>
      <sz val="11"/>
      <name val="Aptos"/>
      <family val="2"/>
    </font>
    <font>
      <b/>
      <vertAlign val="superscript"/>
      <sz val="11"/>
      <name val="Aptos"/>
      <family val="2"/>
    </font>
    <font>
      <b/>
      <vertAlign val="subscript"/>
      <sz val="11"/>
      <name val="Aptos"/>
      <family val="2"/>
    </font>
    <font>
      <b/>
      <vertAlign val="subscript"/>
      <sz val="11"/>
      <color theme="8" tint="0.39994506668294322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theme="0" tint="-0.14999847407452621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FD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0" applyFont="1" applyAlignment="1">
      <alignment horizontal="left" vertical="center"/>
    </xf>
    <xf numFmtId="44" fontId="2" fillId="0" borderId="0" xfId="1" applyFont="1" applyAlignment="1">
      <alignment horizontal="left" vertical="center"/>
    </xf>
    <xf numFmtId="44" fontId="3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4" fontId="2" fillId="2" borderId="0" xfId="1" applyFont="1" applyFill="1" applyAlignment="1">
      <alignment horizontal="left" vertical="center"/>
    </xf>
    <xf numFmtId="44" fontId="4" fillId="3" borderId="0" xfId="1" applyFont="1" applyFill="1" applyAlignment="1">
      <alignment horizontal="left" vertical="center" wrapText="1"/>
    </xf>
    <xf numFmtId="44" fontId="4" fillId="0" borderId="0" xfId="1" applyFont="1" applyFill="1" applyAlignment="1">
      <alignment horizontal="left" vertical="center"/>
    </xf>
    <xf numFmtId="44" fontId="3" fillId="0" borderId="0" xfId="1" applyFont="1" applyFill="1" applyAlignment="1">
      <alignment horizontal="left" vertical="center"/>
    </xf>
    <xf numFmtId="44" fontId="2" fillId="0" borderId="0" xfId="1" applyFont="1" applyFill="1" applyAlignment="1">
      <alignment horizontal="left" vertical="center"/>
    </xf>
    <xf numFmtId="44" fontId="2" fillId="2" borderId="0" xfId="1" applyFont="1" applyFill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44" fontId="11" fillId="0" borderId="0" xfId="1" applyFont="1" applyFill="1" applyBorder="1" applyAlignment="1">
      <alignment horizontal="center" vertical="center" wrapText="1"/>
    </xf>
    <xf numFmtId="44" fontId="13" fillId="0" borderId="2" xfId="1" applyFont="1" applyFill="1" applyBorder="1" applyAlignment="1">
      <alignment horizontal="center" vertical="center" wrapText="1"/>
    </xf>
    <xf numFmtId="44" fontId="11" fillId="0" borderId="0" xfId="1" applyFont="1" applyBorder="1" applyAlignment="1">
      <alignment horizontal="center" vertical="center" wrapText="1"/>
    </xf>
    <xf numFmtId="44" fontId="13" fillId="0" borderId="0" xfId="1" applyFont="1" applyBorder="1" applyAlignment="1">
      <alignment horizontal="center" vertical="center" wrapText="1"/>
    </xf>
    <xf numFmtId="44" fontId="13" fillId="0" borderId="2" xfId="1" applyFont="1" applyBorder="1" applyAlignment="1">
      <alignment horizontal="center" vertical="center" wrapText="1"/>
    </xf>
    <xf numFmtId="44" fontId="13" fillId="4" borderId="0" xfId="1" applyFont="1" applyFill="1" applyBorder="1" applyAlignment="1">
      <alignment horizontal="center" vertical="center" wrapText="1"/>
    </xf>
    <xf numFmtId="167" fontId="11" fillId="0" borderId="0" xfId="1" applyNumberFormat="1" applyFont="1" applyFill="1" applyBorder="1" applyAlignment="1">
      <alignment horizontal="center" vertical="center" wrapText="1"/>
    </xf>
    <xf numFmtId="167" fontId="13" fillId="0" borderId="2" xfId="1" applyNumberFormat="1" applyFont="1" applyFill="1" applyBorder="1" applyAlignment="1">
      <alignment horizontal="center" vertical="center" wrapText="1"/>
    </xf>
    <xf numFmtId="167" fontId="11" fillId="0" borderId="0" xfId="1" applyNumberFormat="1" applyFont="1" applyBorder="1" applyAlignment="1">
      <alignment horizontal="center" vertical="center" wrapText="1"/>
    </xf>
    <xf numFmtId="167" fontId="13" fillId="0" borderId="2" xfId="1" applyNumberFormat="1" applyFont="1" applyBorder="1" applyAlignment="1">
      <alignment horizontal="center" vertical="center" wrapText="1"/>
    </xf>
    <xf numFmtId="167" fontId="13" fillId="4" borderId="0" xfId="1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67" fontId="9" fillId="0" borderId="1" xfId="1" applyNumberFormat="1" applyFont="1" applyBorder="1" applyAlignment="1">
      <alignment horizontal="center" vertical="center" wrapText="1"/>
    </xf>
    <xf numFmtId="167" fontId="12" fillId="0" borderId="0" xfId="1" applyNumberFormat="1" applyFont="1" applyBorder="1" applyAlignment="1">
      <alignment horizontal="center" vertical="center" wrapText="1"/>
    </xf>
    <xf numFmtId="167" fontId="12" fillId="0" borderId="2" xfId="1" applyNumberFormat="1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7" fontId="11" fillId="0" borderId="5" xfId="1" applyNumberFormat="1" applyFont="1" applyFill="1" applyBorder="1" applyAlignment="1">
      <alignment horizontal="center" vertical="center" wrapText="1"/>
    </xf>
    <xf numFmtId="167" fontId="11" fillId="0" borderId="4" xfId="1" applyNumberFormat="1" applyFont="1" applyFill="1" applyBorder="1" applyAlignment="1">
      <alignment horizontal="center" vertical="center" wrapText="1"/>
    </xf>
    <xf numFmtId="167" fontId="13" fillId="0" borderId="4" xfId="1" applyNumberFormat="1" applyFont="1" applyFill="1" applyBorder="1" applyAlignment="1">
      <alignment horizontal="center" vertical="center" wrapText="1"/>
    </xf>
    <xf numFmtId="167" fontId="13" fillId="0" borderId="6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7" fontId="13" fillId="4" borderId="7" xfId="1" applyNumberFormat="1" applyFont="1" applyFill="1" applyBorder="1" applyAlignment="1">
      <alignment horizontal="center" vertical="center" wrapText="1"/>
    </xf>
    <xf numFmtId="44" fontId="11" fillId="0" borderId="5" xfId="1" applyFont="1" applyFill="1" applyBorder="1" applyAlignment="1">
      <alignment horizontal="center" vertical="center" wrapText="1"/>
    </xf>
    <xf numFmtId="44" fontId="11" fillId="0" borderId="4" xfId="1" applyFont="1" applyFill="1" applyBorder="1" applyAlignment="1">
      <alignment horizontal="center" vertical="center" wrapText="1"/>
    </xf>
    <xf numFmtId="44" fontId="13" fillId="0" borderId="4" xfId="1" applyFont="1" applyFill="1" applyBorder="1" applyAlignment="1">
      <alignment horizontal="center" vertical="center" wrapText="1"/>
    </xf>
    <xf numFmtId="44" fontId="13" fillId="0" borderId="6" xfId="1" applyFont="1" applyFill="1" applyBorder="1" applyAlignment="1">
      <alignment horizontal="center" vertical="center" wrapText="1"/>
    </xf>
    <xf numFmtId="44" fontId="13" fillId="4" borderId="7" xfId="1" applyFont="1" applyFill="1" applyBorder="1" applyAlignment="1">
      <alignment horizontal="center" vertical="center" wrapText="1"/>
    </xf>
    <xf numFmtId="44" fontId="11" fillId="4" borderId="8" xfId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44" fontId="14" fillId="0" borderId="0" xfId="1" applyFont="1" applyBorder="1" applyAlignment="1">
      <alignment horizontal="center" vertical="center" wrapText="1"/>
    </xf>
    <xf numFmtId="44" fontId="14" fillId="4" borderId="0" xfId="1" applyFont="1" applyFill="1" applyBorder="1" applyAlignment="1">
      <alignment horizontal="center" vertical="center" wrapText="1"/>
    </xf>
    <xf numFmtId="44" fontId="14" fillId="0" borderId="2" xfId="1" applyFont="1" applyBorder="1" applyAlignment="1">
      <alignment horizontal="center" vertical="center" wrapText="1"/>
    </xf>
    <xf numFmtId="167" fontId="14" fillId="4" borderId="0" xfId="1" applyNumberFormat="1" applyFont="1" applyFill="1" applyBorder="1" applyAlignment="1">
      <alignment horizontal="center" vertical="center" wrapText="1"/>
    </xf>
    <xf numFmtId="167" fontId="14" fillId="0" borderId="0" xfId="1" applyNumberFormat="1" applyFont="1" applyBorder="1" applyAlignment="1">
      <alignment horizontal="center" vertical="center" wrapText="1"/>
    </xf>
    <xf numFmtId="167" fontId="14" fillId="0" borderId="2" xfId="1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67" fontId="4" fillId="0" borderId="0" xfId="1" applyNumberFormat="1" applyFont="1" applyFill="1" applyBorder="1" applyAlignment="1">
      <alignment horizontal="center" vertical="center" wrapText="1"/>
    </xf>
    <xf numFmtId="11" fontId="4" fillId="0" borderId="0" xfId="0" applyNumberFormat="1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2" fontId="16" fillId="0" borderId="3" xfId="0" applyNumberFormat="1" applyFont="1" applyFill="1" applyBorder="1" applyAlignment="1">
      <alignment horizontal="center" vertical="center" wrapText="1"/>
    </xf>
    <xf numFmtId="172" fontId="16" fillId="0" borderId="3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2" fontId="4" fillId="0" borderId="0" xfId="0" applyNumberFormat="1" applyFont="1" applyFill="1" applyAlignment="1">
      <alignment horizontal="center" vertical="center" wrapText="1"/>
    </xf>
    <xf numFmtId="172" fontId="4" fillId="0" borderId="0" xfId="0" applyNumberFormat="1" applyFont="1" applyFill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 wrapText="1"/>
    </xf>
    <xf numFmtId="11" fontId="4" fillId="0" borderId="0" xfId="0" applyNumberFormat="1" applyFont="1" applyFill="1" applyAlignment="1">
      <alignment horizontal="center" vertical="center" wrapText="1"/>
    </xf>
    <xf numFmtId="173" fontId="4" fillId="0" borderId="0" xfId="0" applyNumberFormat="1" applyFont="1" applyFill="1" applyAlignment="1">
      <alignment horizontal="center" vertical="center" wrapText="1"/>
    </xf>
    <xf numFmtId="4" fontId="4" fillId="0" borderId="0" xfId="0" applyNumberFormat="1" applyFont="1" applyFill="1" applyAlignment="1">
      <alignment horizontal="center" vertical="center" wrapText="1"/>
    </xf>
    <xf numFmtId="4" fontId="4" fillId="0" borderId="0" xfId="0" applyNumberFormat="1" applyFont="1" applyFill="1" applyBorder="1" applyAlignment="1">
      <alignment horizontal="center" vertical="center" wrapText="1"/>
    </xf>
    <xf numFmtId="44" fontId="11" fillId="4" borderId="0" xfId="1" applyFont="1" applyFill="1" applyBorder="1" applyAlignment="1">
      <alignment horizontal="center" vertical="center" wrapText="1"/>
    </xf>
    <xf numFmtId="167" fontId="11" fillId="4" borderId="0" xfId="1" applyNumberFormat="1" applyFont="1" applyFill="1" applyBorder="1" applyAlignment="1">
      <alignment horizontal="center" vertical="center" wrapText="1"/>
    </xf>
    <xf numFmtId="167" fontId="11" fillId="4" borderId="7" xfId="1" applyNumberFormat="1" applyFont="1" applyFill="1" applyBorder="1" applyAlignment="1">
      <alignment horizontal="center" vertical="center" wrapText="1"/>
    </xf>
    <xf numFmtId="44" fontId="11" fillId="4" borderId="7" xfId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" fontId="11" fillId="5" borderId="0" xfId="0" applyNumberFormat="1" applyFont="1" applyFill="1" applyBorder="1" applyAlignment="1">
      <alignment horizontal="center" vertical="center" wrapText="1"/>
    </xf>
    <xf numFmtId="4" fontId="13" fillId="5" borderId="0" xfId="0" applyNumberFormat="1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4" fontId="13" fillId="6" borderId="0" xfId="0" applyNumberFormat="1" applyFont="1" applyFill="1" applyBorder="1" applyAlignment="1">
      <alignment horizontal="center" vertical="center" wrapText="1"/>
    </xf>
    <xf numFmtId="4" fontId="11" fillId="6" borderId="0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" fontId="13" fillId="0" borderId="0" xfId="0" applyNumberFormat="1" applyFont="1" applyFill="1" applyBorder="1" applyAlignment="1">
      <alignment horizontal="center" vertical="center" wrapText="1"/>
    </xf>
    <xf numFmtId="4" fontId="11" fillId="7" borderId="0" xfId="0" applyNumberFormat="1" applyFont="1" applyFill="1" applyBorder="1" applyAlignment="1">
      <alignment horizontal="center" vertical="center" wrapText="1"/>
    </xf>
    <xf numFmtId="4" fontId="13" fillId="7" borderId="0" xfId="0" applyNumberFormat="1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44" fontId="11" fillId="0" borderId="1" xfId="0" applyNumberFormat="1" applyFont="1" applyFill="1" applyBorder="1" applyAlignment="1">
      <alignment horizontal="center" vertical="center" wrapText="1"/>
    </xf>
    <xf numFmtId="44" fontId="11" fillId="0" borderId="0" xfId="0" applyNumberFormat="1" applyFont="1" applyFill="1" applyBorder="1" applyAlignment="1">
      <alignment horizontal="center" vertical="center" wrapText="1"/>
    </xf>
    <xf numFmtId="44" fontId="11" fillId="0" borderId="1" xfId="0" applyNumberFormat="1" applyFont="1" applyBorder="1" applyAlignment="1">
      <alignment horizontal="center" vertical="center" wrapText="1"/>
    </xf>
    <xf numFmtId="44" fontId="11" fillId="0" borderId="0" xfId="0" applyNumberFormat="1" applyFont="1" applyBorder="1" applyAlignment="1">
      <alignment horizontal="center" vertical="center" wrapText="1"/>
    </xf>
    <xf numFmtId="44" fontId="13" fillId="0" borderId="0" xfId="0" applyNumberFormat="1" applyFont="1" applyFill="1" applyBorder="1" applyAlignment="1">
      <alignment horizontal="center" vertical="center" wrapText="1"/>
    </xf>
    <xf numFmtId="44" fontId="13" fillId="0" borderId="2" xfId="0" applyNumberFormat="1" applyFont="1" applyFill="1" applyBorder="1" applyAlignment="1">
      <alignment horizontal="center" vertical="center" wrapText="1"/>
    </xf>
    <xf numFmtId="44" fontId="13" fillId="0" borderId="0" xfId="0" applyNumberFormat="1" applyFont="1" applyBorder="1" applyAlignment="1">
      <alignment horizontal="center" vertical="center" wrapText="1"/>
    </xf>
    <xf numFmtId="44" fontId="13" fillId="0" borderId="2" xfId="0" applyNumberFormat="1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Aptos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0.3999755851924192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0.3999755851924192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0.3999755851924192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0.3999755851924192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0.39997558519241921"/>
        <name val="Aptos"/>
        <family val="2"/>
        <scheme val="none"/>
      </font>
      <numFmt numFmtId="167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0.39997558519241921"/>
        <name val="Aptos"/>
        <family val="2"/>
        <scheme val="none"/>
      </font>
      <numFmt numFmtId="167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Aptos"/>
        <family val="2"/>
        <scheme val="none"/>
      </font>
      <numFmt numFmtId="167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Aptos"/>
        <family val="2"/>
        <scheme val="none"/>
      </font>
      <numFmt numFmtId="167" formatCode="_(&quot;$&quot;* #,##0_);_(&quot;$&quot;* \(#,##0\);_(&quot;$&quot;* &quot;-&quot;??_);_(@_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0.39997558519241921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 tint="0.39997558519241921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"/>
        <family val="2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"/>
        <family val="2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FDFFF"/>
      <color rgb="FFA52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plotSurface>
          <cx:spPr>
            <a:ln w="22225">
              <a:solidFill>
                <a:schemeClr val="tx1"/>
              </a:solidFill>
            </a:ln>
          </cx:spPr>
        </cx:plotSurface>
        <cx:series layoutId="waterfall" uniqueId="{FD01CED1-6DE5-4579-AD86-C26451FE59C7}" formatIdx="0">
          <cx:spPr>
            <a:ln>
              <a:noFill/>
            </a:ln>
          </cx:spPr>
          <cx:dataPt idx="0">
            <cx:spPr>
              <a:solidFill>
                <a:srgbClr val="193770"/>
              </a:solidFill>
              <a:ln>
                <a:noFill/>
              </a:ln>
            </cx:spPr>
          </cx:dataPt>
          <cx:dataPt idx="1">
            <cx:spPr>
              <a:solidFill>
                <a:srgbClr val="E35555">
                  <a:lumMod val="20000"/>
                  <a:lumOff val="80000"/>
                </a:srgbClr>
              </a:solidFill>
            </cx:spPr>
          </cx:dataPt>
          <cx:dataPt idx="2">
            <cx:spPr>
              <a:solidFill>
                <a:srgbClr val="E35555">
                  <a:lumMod val="40000"/>
                  <a:lumOff val="60000"/>
                </a:srgbClr>
              </a:solidFill>
            </cx:spPr>
          </cx:dataPt>
          <cx:dataPt idx="3">
            <cx:spPr>
              <a:solidFill>
                <a:srgbClr val="E35555">
                  <a:lumMod val="60000"/>
                  <a:lumOff val="40000"/>
                </a:srgbClr>
              </a:solidFill>
            </cx:spPr>
          </cx:dataPt>
          <cx:dataPt idx="4">
            <cx:spPr>
              <a:solidFill>
                <a:srgbClr val="E35555"/>
              </a:solidFill>
            </cx:spPr>
          </cx:dataPt>
          <cx:dataPt idx="5">
            <cx:spPr>
              <a:solidFill>
                <a:srgbClr val="E35555">
                  <a:lumMod val="75000"/>
                </a:srgbClr>
              </a:solidFill>
            </cx:spPr>
          </cx:dataPt>
          <cx:dataPt idx="6">
            <cx:spPr>
              <a:solidFill>
                <a:srgbClr val="E35555">
                  <a:lumMod val="50000"/>
                </a:srgbClr>
              </a:solidFill>
            </cx:spPr>
          </cx:dataPt>
          <cx:dataPt idx="7">
            <cx:spPr>
              <a:solidFill>
                <a:srgbClr val="8F275D">
                  <a:lumMod val="75000"/>
                </a:srgbClr>
              </a:solidFill>
            </cx:spPr>
          </cx:dataPt>
          <cx:dataPt idx="8">
            <cx:spPr>
              <a:solidFill>
                <a:srgbClr val="8F275D">
                  <a:lumMod val="60000"/>
                  <a:lumOff val="40000"/>
                </a:srgbClr>
              </a:solidFill>
            </cx:spPr>
          </cx:dataPt>
          <cx:dataPt idx="9">
            <cx:spPr>
              <a:solidFill>
                <a:srgbClr val="8F275D">
                  <a:lumMod val="40000"/>
                  <a:lumOff val="60000"/>
                </a:srgbClr>
              </a:solidFill>
            </cx:spPr>
          </cx:dataPt>
          <cx:dataPt idx="10">
            <cx:spPr>
              <a:solidFill>
                <a:srgbClr val="193770">
                  <a:lumMod val="40000"/>
                  <a:lumOff val="60000"/>
                </a:srgbClr>
              </a:solidFill>
            </cx:spPr>
          </cx:dataPt>
          <cx:dataId val="0"/>
          <cx:layoutPr>
            <cx:visibility connectorLines="0"/>
            <cx:subtotals>
              <cx:idx val="0"/>
              <cx:idx val="10"/>
            </cx:subtotals>
          </cx:layoutPr>
        </cx:series>
      </cx:plotAreaRegion>
      <cx:axis id="0">
        <cx:catScaling gapWidth="0.370000005"/>
        <cx:tickLabels/>
        <cx:spPr>
          <a:ln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050" b="0" i="0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05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  <cx:axis id="1">
        <cx:valScaling max="3"/>
        <cx:majorGridlines>
          <cx:spPr>
            <a:ln w="12700">
              <a:solidFill>
                <a:schemeClr val="tx1"/>
              </a:solidFill>
            </a:ln>
          </cx:spPr>
        </cx:majorGridlines>
        <cx:tickLabels/>
        <cx:numFmt formatCode="$#,##0.00" sourceLinked="0"/>
        <cx:spPr>
          <a:ln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100" b="0" i="0">
                <a:solidFill>
                  <a:sysClr val="windowText" lastClr="000000"/>
                </a:solidFill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en-US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12</xdr:row>
      <xdr:rowOff>128587</xdr:rowOff>
    </xdr:from>
    <xdr:to>
      <xdr:col>2</xdr:col>
      <xdr:colOff>247650</xdr:colOff>
      <xdr:row>41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D2A324-5474-82E1-3198-988AE61545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5800" y="2414587"/>
              <a:ext cx="5200650" cy="5486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25092-4391-47F0-9049-B37DC0879921}" name="Table1" displayName="Table1" ref="A1:C12" totalsRowShown="0" headerRowDxfId="26">
  <autoFilter ref="A1:C12" xr:uid="{83325092-4391-47F0-9049-B37DC0879921}"/>
  <tableColumns count="3">
    <tableColumn id="1" xr3:uid="{CDC67156-E9FB-4B6D-A044-18CFCA785A46}" name="Point" dataDxfId="25"/>
    <tableColumn id="2" xr3:uid="{22B791B5-9B51-475A-A452-3369107F4046}" name="Price" dataDxfId="24" dataCellStyle="Currency"/>
    <tableColumn id="3" xr3:uid="{00CF056D-4F63-40C4-B334-B106F562E8FE}" name="Change" dataDxfId="23" dataCellStyle="Currenc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3B940-5EF0-402E-8630-104E20A8B1B2}" name="Table2" displayName="Table2" ref="A1:S8" totalsRowShown="0" headerRowDxfId="10" dataDxfId="9" headerRowBorderDxfId="21" tableBorderDxfId="22">
  <autoFilter ref="A1:S8" xr:uid="{1EB3B940-5EF0-402E-8630-104E20A8B1B2}"/>
  <tableColumns count="19">
    <tableColumn id="1" xr3:uid="{BED55D56-7D02-482D-A433-7C994CF24B50}" name="Comparison metric" dataDxfId="20"/>
    <tableColumn id="4" xr3:uid="{E48B16A2-7A24-4F52-A56A-C5A9F173F03E}" name="Basis" dataDxfId="19"/>
    <tableColumn id="17" xr3:uid="{C55A0FAE-E172-488F-B2F1-45CAD4B2CB24}" name="Final units of levelized cost" dataDxfId="4"/>
    <tableColumn id="18" xr3:uid="{F6C805B5-5889-4AD2-B50A-5C90DA870DA5}" name="Levelized - CO - aq (adjusted unit)" dataDxfId="3"/>
    <tableColumn id="19" xr3:uid="{3C823219-CDD0-4BBD-9426-19D9689CF451}" name="Levelized - C2H4 - aq (adjusted unit)" dataDxfId="2"/>
    <tableColumn id="20" xr3:uid="{C59D3B4C-967E-401F-BE06-A9CF7332F09B}" name="Levelized - CO - DMF (adjusted unit)" dataDxfId="1"/>
    <tableColumn id="21" xr3:uid="{0030FFB1-3D30-43CC-BE74-C1398352A07D}" name="Levelized - OA - DMSO (adjusted unit)" dataDxfId="0"/>
    <tableColumn id="9" xr3:uid="{3C9D60A5-D60B-454D-836D-A8F6830A8895}" name="Levelized - CO - aq ($/kg)" dataDxfId="18" dataCellStyle="Currency"/>
    <tableColumn id="10" xr3:uid="{71FDF151-A01C-49EC-A09A-EEB66349E8B8}" name="Levelized - C2H4 - aq ($/kg)" dataDxfId="17" dataCellStyle="Currency"/>
    <tableColumn id="11" xr3:uid="{5A7F2338-C618-4360-BDD2-490071D42F5A}" name="Levelized - CO - DMF ($/kg)" dataDxfId="16" dataCellStyle="Currency"/>
    <tableColumn id="12" xr3:uid="{DA0263F0-7143-482A-A379-CD0D5E54CAE5}" name="Levelized - OA - DMSO ($/kg)" dataDxfId="15" dataCellStyle="Currency">
      <calculatedColumnFormula>H2</calculatedColumnFormula>
    </tableColumn>
    <tableColumn id="13" xr3:uid="{C51FF03F-2138-4CA9-BF06-9ED73F7C7924}" name="Capex - CO - aq ($)" dataDxfId="7" dataCellStyle="Currency"/>
    <tableColumn id="14" xr3:uid="{1E91813E-D531-4546-9671-8F91EF518CDE}" name="Capex - C2H4 - aq ($)" dataDxfId="8" dataCellStyle="Currency"/>
    <tableColumn id="15" xr3:uid="{1128DBD3-A88B-42E6-91AD-807FED3D88E8}" name="Capex - CO - DMF ($)" dataDxfId="14" dataCellStyle="Currency"/>
    <tableColumn id="16" xr3:uid="{4C7EF14A-AED3-499A-A8F3-41BF4845293F}" name="Capex - OA - DMSO ($)" dataDxfId="13" dataCellStyle="Currency">
      <calculatedColumnFormula>L2</calculatedColumnFormula>
    </tableColumn>
    <tableColumn id="2" xr3:uid="{CB025A7E-6EA9-4A05-BAC3-8C76FB53929E}" name="Opex - CO - aq ($/kg)" dataDxfId="5" dataCellStyle="Currency"/>
    <tableColumn id="6" xr3:uid="{56084EA1-DD78-437A-802E-88C29F2D989A}" name="Opex - C2H4 - aq ($/kg)" dataDxfId="6" dataCellStyle="Currency"/>
    <tableColumn id="5" xr3:uid="{9A84117A-BB86-416F-BF52-4B92C96CB47D}" name="Opex - CO - DMF ($/kg)" dataDxfId="12" dataCellStyle="Currency"/>
    <tableColumn id="3" xr3:uid="{5446E475-2599-49A4-A5FB-3966E24DB4E5}" name="Opex - OA - DMSO ($/kg)" dataDxfId="11" dataCellStyle="Currency">
      <calculatedColumnFormula>P2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20220124 Theme Cockrell modified">
  <a:themeElements>
    <a:clrScheme name="Cockrell_20221116">
      <a:dk1>
        <a:srgbClr val="191F24"/>
      </a:dk1>
      <a:lt1>
        <a:srgbClr val="FFFFFF"/>
      </a:lt1>
      <a:dk2>
        <a:srgbClr val="BF5700"/>
      </a:dk2>
      <a:lt2>
        <a:srgbClr val="FFFFFF"/>
      </a:lt2>
      <a:accent1>
        <a:srgbClr val="FFC919"/>
      </a:accent1>
      <a:accent2>
        <a:srgbClr val="E35555"/>
      </a:accent2>
      <a:accent3>
        <a:srgbClr val="8F275D"/>
      </a:accent3>
      <a:accent4>
        <a:srgbClr val="73A3B3"/>
      </a:accent4>
      <a:accent5>
        <a:srgbClr val="193770"/>
      </a:accent5>
      <a:accent6>
        <a:srgbClr val="191F24"/>
      </a:accent6>
      <a:hlink>
        <a:srgbClr val="193770"/>
      </a:hlink>
      <a:folHlink>
        <a:srgbClr val="8A225E"/>
      </a:folHlink>
    </a:clrScheme>
    <a:fontScheme name="Montserrat_OpenSans">
      <a:majorFont>
        <a:latin typeface="Montserrat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>
            <a:lumMod val="85000"/>
          </a:schemeClr>
        </a:solidFill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20220124 Theme Cockrell modified" id="{C6966E21-1E83-4C36-9B0D-E11B42107692}" vid="{88423169-5E2A-4B67-AE8D-A3EF3CA0149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87E6-9404-4916-B1B4-71DE45F26D73}">
  <dimension ref="A1:D12"/>
  <sheetViews>
    <sheetView tabSelected="1" topLeftCell="A10" zoomScaleNormal="100" workbookViewId="0">
      <selection activeCell="F19" sqref="F19"/>
    </sheetView>
  </sheetViews>
  <sheetFormatPr defaultRowHeight="15" x14ac:dyDescent="0.3"/>
  <cols>
    <col min="1" max="1" width="52.88671875" style="1" customWidth="1"/>
    <col min="2" max="2" width="12.88671875" style="1" customWidth="1"/>
    <col min="3" max="3" width="9.33203125" style="1" customWidth="1"/>
    <col min="4" max="16384" width="8.88671875" style="1"/>
  </cols>
  <sheetData>
    <row r="1" spans="1:4" s="4" customFormat="1" x14ac:dyDescent="0.3">
      <c r="A1" s="4" t="s">
        <v>2</v>
      </c>
      <c r="B1" s="4" t="s">
        <v>3</v>
      </c>
      <c r="C1" s="4" t="s">
        <v>4</v>
      </c>
    </row>
    <row r="2" spans="1:4" x14ac:dyDescent="0.3">
      <c r="A2" s="5" t="s">
        <v>0</v>
      </c>
      <c r="B2" s="11">
        <v>2.87345804262621</v>
      </c>
      <c r="C2" s="6">
        <f>B2</f>
        <v>2.87345804262621</v>
      </c>
    </row>
    <row r="3" spans="1:4" x14ac:dyDescent="0.3">
      <c r="A3" s="1" t="s">
        <v>8</v>
      </c>
      <c r="B3" s="3">
        <v>2.7461229502007001</v>
      </c>
      <c r="C3" s="2">
        <f>B3-B2</f>
        <v>-0.12733509242550989</v>
      </c>
    </row>
    <row r="4" spans="1:4" x14ac:dyDescent="0.3">
      <c r="A4" s="1" t="s">
        <v>7</v>
      </c>
      <c r="B4" s="8">
        <v>2.38997122768588</v>
      </c>
      <c r="C4" s="2">
        <f t="shared" ref="C4:C9" si="0">B4-B3</f>
        <v>-0.35615172251482008</v>
      </c>
    </row>
    <row r="5" spans="1:4" x14ac:dyDescent="0.3">
      <c r="A5" s="1" t="s">
        <v>5</v>
      </c>
      <c r="B5" s="9">
        <v>2.2669992572879001</v>
      </c>
      <c r="C5" s="10">
        <f t="shared" si="0"/>
        <v>-0.12297197039797991</v>
      </c>
    </row>
    <row r="6" spans="1:4" x14ac:dyDescent="0.3">
      <c r="A6" s="1" t="s">
        <v>10</v>
      </c>
      <c r="B6" s="8">
        <v>2.0777928193580402</v>
      </c>
      <c r="C6" s="10">
        <f t="shared" si="0"/>
        <v>-0.18920643792985992</v>
      </c>
      <c r="D6" s="1" t="s">
        <v>11</v>
      </c>
    </row>
    <row r="7" spans="1:4" x14ac:dyDescent="0.3">
      <c r="A7" s="1" t="s">
        <v>9</v>
      </c>
      <c r="B7" s="10">
        <v>1.96790930415687</v>
      </c>
      <c r="C7" s="10">
        <f t="shared" si="0"/>
        <v>-0.10988351520117012</v>
      </c>
    </row>
    <row r="8" spans="1:4" x14ac:dyDescent="0.3">
      <c r="A8" s="1" t="s">
        <v>14</v>
      </c>
      <c r="B8" s="9">
        <v>0.82148417156092102</v>
      </c>
      <c r="C8" s="10">
        <f t="shared" si="0"/>
        <v>-1.1464251325959491</v>
      </c>
    </row>
    <row r="9" spans="1:4" x14ac:dyDescent="0.3">
      <c r="A9" s="1" t="s">
        <v>6</v>
      </c>
      <c r="B9" s="8">
        <v>0.74127308216130605</v>
      </c>
      <c r="C9" s="10">
        <f t="shared" si="0"/>
        <v>-8.0211089399614965E-2</v>
      </c>
    </row>
    <row r="10" spans="1:4" x14ac:dyDescent="0.3">
      <c r="A10" s="1" t="s">
        <v>13</v>
      </c>
      <c r="B10" s="8">
        <v>0.68074331184958903</v>
      </c>
      <c r="C10" s="10">
        <f>B10-B9</f>
        <v>-6.0529770311717024E-2</v>
      </c>
    </row>
    <row r="11" spans="1:4" x14ac:dyDescent="0.3">
      <c r="A11" s="1" t="s">
        <v>12</v>
      </c>
      <c r="B11" s="8">
        <v>0.63497602585100499</v>
      </c>
      <c r="C11" s="10">
        <f>B11-B10</f>
        <v>-4.576728599858404E-2</v>
      </c>
    </row>
    <row r="12" spans="1:4" x14ac:dyDescent="0.3">
      <c r="A12" s="5" t="s">
        <v>1</v>
      </c>
      <c r="B12" s="6"/>
      <c r="C12" s="7">
        <v>0.7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0799-B4E8-4E0D-AE59-2B66F4A2BB47}">
  <dimension ref="A1:S54"/>
  <sheetViews>
    <sheetView zoomScale="86" zoomScaleNormal="115" workbookViewId="0">
      <selection activeCell="D5" sqref="D5"/>
    </sheetView>
  </sheetViews>
  <sheetFormatPr defaultColWidth="12.6640625" defaultRowHeight="15" x14ac:dyDescent="0.3"/>
  <cols>
    <col min="1" max="1" width="19.33203125" style="58" bestFit="1" customWidth="1"/>
    <col min="2" max="2" width="11.44140625" style="58" bestFit="1" customWidth="1"/>
    <col min="3" max="3" width="12.77734375" style="58" bestFit="1" customWidth="1"/>
    <col min="4" max="7" width="10.88671875" style="58" customWidth="1"/>
    <col min="8" max="11" width="10.88671875" style="60" customWidth="1"/>
    <col min="12" max="15" width="10.88671875" style="58" customWidth="1"/>
    <col min="16" max="16384" width="12.6640625" style="58"/>
  </cols>
  <sheetData>
    <row r="1" spans="1:19" s="14" customFormat="1" ht="63" x14ac:dyDescent="0.3">
      <c r="A1" s="12" t="s">
        <v>15</v>
      </c>
      <c r="B1" s="12" t="s">
        <v>16</v>
      </c>
      <c r="C1" s="12" t="s">
        <v>75</v>
      </c>
      <c r="D1" s="29" t="s">
        <v>76</v>
      </c>
      <c r="E1" s="30" t="s">
        <v>77</v>
      </c>
      <c r="F1" s="31" t="s">
        <v>78</v>
      </c>
      <c r="G1" s="32" t="s">
        <v>79</v>
      </c>
      <c r="H1" s="29" t="s">
        <v>59</v>
      </c>
      <c r="I1" s="30" t="s">
        <v>80</v>
      </c>
      <c r="J1" s="31" t="s">
        <v>60</v>
      </c>
      <c r="K1" s="32" t="s">
        <v>61</v>
      </c>
      <c r="L1" s="33" t="s">
        <v>62</v>
      </c>
      <c r="M1" s="30" t="s">
        <v>63</v>
      </c>
      <c r="N1" s="34" t="s">
        <v>64</v>
      </c>
      <c r="O1" s="35" t="s">
        <v>65</v>
      </c>
      <c r="P1" s="29" t="s">
        <v>66</v>
      </c>
      <c r="Q1" s="30" t="s">
        <v>67</v>
      </c>
      <c r="R1" s="31" t="s">
        <v>68</v>
      </c>
      <c r="S1" s="32" t="s">
        <v>69</v>
      </c>
    </row>
    <row r="2" spans="1:19" s="56" customFormat="1" ht="30" x14ac:dyDescent="0.3">
      <c r="A2" s="36" t="s">
        <v>24</v>
      </c>
      <c r="B2" s="36" t="s">
        <v>17</v>
      </c>
      <c r="C2" s="36" t="s">
        <v>18</v>
      </c>
      <c r="D2" s="91">
        <f>Table2[[#This Row],[Levelized - CO - aq ($/kg)]]</f>
        <v>2.1689195917003228</v>
      </c>
      <c r="E2" s="92">
        <f>Table2[[#This Row],[Levelized - C2H4 - aq ($/kg)]]</f>
        <v>8.103924897583088</v>
      </c>
      <c r="F2" s="95">
        <f>Table2[[#This Row],[Levelized - CO - DMF ($/kg)]]</f>
        <v>3.5536532088830799</v>
      </c>
      <c r="G2" s="96">
        <f>Table2[[#This Row],[Levelized - OA - DMSO ($/kg)]]</f>
        <v>2.8734580426262109</v>
      </c>
      <c r="H2" s="44">
        <v>2.1689195917003228</v>
      </c>
      <c r="I2" s="44">
        <v>8.103924897583088</v>
      </c>
      <c r="J2" s="45">
        <v>3.5536532088830799</v>
      </c>
      <c r="K2" s="46">
        <v>2.8734580426262109</v>
      </c>
      <c r="L2" s="37">
        <v>3062025.1509163468</v>
      </c>
      <c r="M2" s="38">
        <v>11906878.403683551</v>
      </c>
      <c r="N2" s="39">
        <v>4100158.760923604</v>
      </c>
      <c r="O2" s="40">
        <v>5610838.2908665817</v>
      </c>
      <c r="P2" s="43">
        <v>2.0231088702281159</v>
      </c>
      <c r="Q2" s="44">
        <v>7.5369306878838724</v>
      </c>
      <c r="R2" s="45">
        <v>3.1631618983189269</v>
      </c>
      <c r="S2" s="46">
        <v>2.339092491115109</v>
      </c>
    </row>
    <row r="3" spans="1:19" s="13" customFormat="1" ht="45" x14ac:dyDescent="0.3">
      <c r="A3" s="41" t="s">
        <v>26</v>
      </c>
      <c r="B3" s="41" t="s">
        <v>25</v>
      </c>
      <c r="C3" s="41" t="s">
        <v>18</v>
      </c>
      <c r="D3" s="91">
        <f>Table2[[#This Row],[Levelized - CO - aq ($/kg)]]</f>
        <v>1.14263728500358</v>
      </c>
      <c r="E3" s="92">
        <f>Table2[[#This Row],[Levelized - C2H4 - aq ($/kg)]]</f>
        <v>6.7264029966079102</v>
      </c>
      <c r="F3" s="95">
        <f>Table2[[#This Row],[Levelized - CO - DMF ($/kg)]]</f>
        <v>2.4830823973863501</v>
      </c>
      <c r="G3" s="96">
        <f>Table2[[#This Row],[Levelized - OA - DMSO ($/kg)]]</f>
        <v>1.55852270215518</v>
      </c>
      <c r="H3" s="73">
        <v>1.14263728500358</v>
      </c>
      <c r="I3" s="18">
        <v>6.7264029966079102</v>
      </c>
      <c r="J3" s="23">
        <v>2.4830823973863501</v>
      </c>
      <c r="K3" s="19">
        <v>1.55852270215518</v>
      </c>
      <c r="L3" s="74">
        <v>18038321.337891601</v>
      </c>
      <c r="M3" s="24">
        <v>81619090.590650201</v>
      </c>
      <c r="N3" s="28">
        <v>29247004.8979352</v>
      </c>
      <c r="O3" s="25">
        <v>31415011.676033001</v>
      </c>
      <c r="P3" s="73">
        <v>1.05674051672791</v>
      </c>
      <c r="Q3" s="18">
        <v>6.3377406604619502</v>
      </c>
      <c r="R3" s="23">
        <v>2.2045394935964899</v>
      </c>
      <c r="S3" s="19">
        <v>1.2593321147643901</v>
      </c>
    </row>
    <row r="4" spans="1:19" s="13" customFormat="1" x14ac:dyDescent="0.3">
      <c r="A4" s="81" t="s">
        <v>21</v>
      </c>
      <c r="B4" s="13" t="s">
        <v>57</v>
      </c>
      <c r="C4" s="77" t="s">
        <v>81</v>
      </c>
      <c r="D4" s="20">
        <f>(Table2[[#This Row],[Levelized - CO - aq ($/kg)]]/(1/(MW_CO/1000)*2*F_))*1000000</f>
        <v>0.18212315709760865</v>
      </c>
      <c r="E4" s="20">
        <f>(Table2[[#This Row],[Levelized - C2H4 - aq ($/kg)]]/(1/(MW_C2H4/1000)*2*F_))*1000000</f>
        <v>1.2433631587935561</v>
      </c>
      <c r="F4" s="21">
        <f>(Table2[[#This Row],[Levelized - CO - DMF ($/kg)]]/(1/(MW_CO/1000)*2*F_))*1000000</f>
        <v>0.37739098703418877</v>
      </c>
      <c r="G4" s="22">
        <f>(Table2[[#This Row],[Levelized - OA - DMSO ($/kg)]]/(1/(MW_OA/1000)*2*F_))*1000000</f>
        <v>0.69299475177507686</v>
      </c>
      <c r="H4" s="73">
        <v>1.25470547503969</v>
      </c>
      <c r="I4" s="20">
        <v>8.5527836925350798</v>
      </c>
      <c r="J4" s="23">
        <v>2.5999688628758499</v>
      </c>
      <c r="K4" s="22">
        <v>1.48536770661527</v>
      </c>
      <c r="L4" s="74">
        <v>11292550.4745507</v>
      </c>
      <c r="M4" s="26">
        <v>9256757.0093513094</v>
      </c>
      <c r="N4" s="28">
        <v>17569959.004655499</v>
      </c>
      <c r="O4" s="27">
        <v>40907757.908423796</v>
      </c>
      <c r="P4" s="73">
        <v>1.1569969494990899</v>
      </c>
      <c r="Q4" s="20">
        <v>7.9507405156413897</v>
      </c>
      <c r="R4" s="23">
        <v>2.3001325615119201</v>
      </c>
      <c r="S4" s="22">
        <v>1.2092217975356101</v>
      </c>
    </row>
    <row r="5" spans="1:19" s="13" customFormat="1" x14ac:dyDescent="0.3">
      <c r="A5" s="80" t="s">
        <v>20</v>
      </c>
      <c r="B5" s="13" t="s">
        <v>23</v>
      </c>
      <c r="C5" s="77" t="s">
        <v>19</v>
      </c>
      <c r="D5" s="20">
        <f>Table2[[#This Row],[Levelized - CO - aq ($/kg)]]*(MW_CO/MW_CO2)</f>
        <v>0.77801263714860636</v>
      </c>
      <c r="E5" s="20">
        <f>Table2[[#This Row],[Levelized - C2H4 - aq ($/kg)]]*(MW_CO/(MW_CO2*2))</f>
        <v>2.2738760443984347</v>
      </c>
      <c r="F5" s="21">
        <f>Table2[[#This Row],[Levelized - CO - DMF ($/kg)]]*(MW_C2H4/MW_CO2)</f>
        <v>1.6375570579751924</v>
      </c>
      <c r="G5" s="22">
        <f>Table2[[#This Row],[Levelized - OA - DMSO ($/kg)]]*(MW_OA/(MW_CO2*2))</f>
        <v>1.5887574409968079</v>
      </c>
      <c r="H5" s="73">
        <v>1.22241431321529</v>
      </c>
      <c r="I5" s="20">
        <v>7.1454330956299996</v>
      </c>
      <c r="J5" s="23">
        <v>2.5689821518488198</v>
      </c>
      <c r="K5" s="22">
        <v>1.55326936797843</v>
      </c>
      <c r="L5" s="74">
        <v>12648615.1535428</v>
      </c>
      <c r="M5" s="26">
        <v>30921018.430109199</v>
      </c>
      <c r="N5" s="28">
        <v>19694276.5988537</v>
      </c>
      <c r="O5" s="27">
        <v>31962309.375027999</v>
      </c>
      <c r="P5" s="73">
        <v>1.1277784982077601</v>
      </c>
      <c r="Q5" s="20">
        <v>6.6834466157582497</v>
      </c>
      <c r="R5" s="23">
        <v>2.2742804956925702</v>
      </c>
      <c r="S5" s="22">
        <v>1.2556658679166699</v>
      </c>
    </row>
    <row r="6" spans="1:19" s="13" customFormat="1" x14ac:dyDescent="0.3">
      <c r="A6" s="90" t="s">
        <v>27</v>
      </c>
      <c r="B6" s="13" t="s">
        <v>57</v>
      </c>
      <c r="C6" s="13" t="s">
        <v>28</v>
      </c>
      <c r="D6" s="93">
        <f>Table2[[#This Row],[Levelized - CO - aq ($/kg)]]/F11</f>
        <v>181.11178425768918</v>
      </c>
      <c r="E6" s="94">
        <f>Table2[[#This Row],[Levelized - C2H4 - aq ($/kg)]]/F12</f>
        <v>143.08645608131428</v>
      </c>
      <c r="F6" s="97">
        <f>Table2[[#This Row],[Levelized - CO - DMF ($/kg)]]/F13</f>
        <v>227.16989655777911</v>
      </c>
      <c r="G6" s="98">
        <f>Table2[[#This Row],[Levelized - OA - DMSO ($/kg)]]/F14</f>
        <v>269.86485862060391</v>
      </c>
      <c r="H6" s="73">
        <v>1.25470547503969</v>
      </c>
      <c r="I6" s="20">
        <v>8.5527836925350798</v>
      </c>
      <c r="J6" s="23">
        <v>2.5999688628758499</v>
      </c>
      <c r="K6" s="22">
        <v>1.48536770661527</v>
      </c>
      <c r="L6" s="74">
        <v>11292550.4745507</v>
      </c>
      <c r="M6" s="26">
        <v>9256757.0093513094</v>
      </c>
      <c r="N6" s="28">
        <v>17569959.004655499</v>
      </c>
      <c r="O6" s="27">
        <v>40907757.908423796</v>
      </c>
      <c r="P6" s="73">
        <v>1.1569969494990899</v>
      </c>
      <c r="Q6" s="20">
        <v>7.9507405156413897</v>
      </c>
      <c r="R6" s="23">
        <v>2.3001325615119201</v>
      </c>
      <c r="S6" s="22">
        <v>1.2092217975356101</v>
      </c>
    </row>
    <row r="7" spans="1:19" s="13" customFormat="1" ht="16.5" x14ac:dyDescent="0.3">
      <c r="A7" s="88" t="s">
        <v>85</v>
      </c>
      <c r="B7" s="13" t="s">
        <v>84</v>
      </c>
      <c r="C7" s="77" t="s">
        <v>29</v>
      </c>
      <c r="D7" s="94">
        <f>Table2[[#This Row],[Levelized - CO - aq ($/kg)]]*350*10*F23/B23</f>
        <v>198531.00347317246</v>
      </c>
      <c r="E7" s="94">
        <f>Table2[[#This Row],[Levelized - C2H4 - aq ($/kg)]]*350*10*F24/B24</f>
        <v>167455.81521819235</v>
      </c>
      <c r="F7" s="97">
        <f>Table2[[#This Row],[Levelized - CO - DMF ($/kg)]]*350*10*F25/B25</f>
        <v>200717.96871215344</v>
      </c>
      <c r="G7" s="97">
        <f>Table2[[#This Row],[Levelized - OA - DMSO ($/kg)]]*350*10*F26/B26</f>
        <v>306798.0310066315</v>
      </c>
      <c r="H7" s="48">
        <v>1.1094410279320199</v>
      </c>
      <c r="I7" s="20">
        <v>7.6285527906722699</v>
      </c>
      <c r="J7" s="47">
        <v>2.5689821518488198</v>
      </c>
      <c r="K7" s="22">
        <v>1.55326936797843</v>
      </c>
      <c r="L7" s="75">
        <v>21909360.585172899</v>
      </c>
      <c r="M7" s="26">
        <v>17183451.564897299</v>
      </c>
      <c r="N7" s="42">
        <v>17569959.004655499</v>
      </c>
      <c r="O7" s="27">
        <v>40907757.908423796</v>
      </c>
      <c r="P7" s="76">
        <v>1.0278176970859301</v>
      </c>
      <c r="Q7" s="20">
        <v>7.10668469701554</v>
      </c>
      <c r="R7" s="47">
        <v>2.3001325615119201</v>
      </c>
      <c r="S7" s="22">
        <v>1.2092217975356101</v>
      </c>
    </row>
    <row r="8" spans="1:19" s="57" customFormat="1" ht="30" x14ac:dyDescent="0.3">
      <c r="A8" s="49" t="s">
        <v>22</v>
      </c>
      <c r="B8" s="49" t="s">
        <v>30</v>
      </c>
      <c r="C8" s="84"/>
      <c r="D8" s="15"/>
      <c r="E8" s="15"/>
      <c r="F8" s="16"/>
      <c r="G8" s="17"/>
      <c r="H8" s="51"/>
      <c r="I8" s="50"/>
      <c r="J8" s="51"/>
      <c r="K8" s="52"/>
      <c r="L8" s="74"/>
      <c r="M8" s="54"/>
      <c r="N8" s="53"/>
      <c r="O8" s="55"/>
      <c r="P8" s="73"/>
      <c r="Q8" s="50"/>
      <c r="R8" s="51"/>
      <c r="S8" s="52"/>
    </row>
    <row r="10" spans="1:19" ht="60" x14ac:dyDescent="0.3">
      <c r="B10" s="59" t="s">
        <v>31</v>
      </c>
      <c r="C10" s="59" t="s">
        <v>32</v>
      </c>
      <c r="D10" s="59" t="s">
        <v>58</v>
      </c>
      <c r="E10" s="59" t="s">
        <v>86</v>
      </c>
      <c r="F10" s="59" t="s">
        <v>87</v>
      </c>
    </row>
    <row r="11" spans="1:19" x14ac:dyDescent="0.3">
      <c r="A11" s="58" t="s">
        <v>73</v>
      </c>
      <c r="B11" s="72">
        <v>1500000</v>
      </c>
      <c r="C11" s="72">
        <f>B11*FE_CO_aq/(2*F_)</f>
        <v>6.8223376548538521</v>
      </c>
      <c r="D11" s="83">
        <f>C11*(24*60*60)*(MW_CO/1000)</f>
        <v>16510.552699353575</v>
      </c>
      <c r="E11" s="72">
        <v>24940.065212521451</v>
      </c>
      <c r="F11" s="89">
        <f>E11/1000/3600</f>
        <v>6.9277958923670696E-3</v>
      </c>
    </row>
    <row r="12" spans="1:19" ht="18" x14ac:dyDescent="0.3">
      <c r="A12" s="58" t="s">
        <v>52</v>
      </c>
      <c r="B12" s="72">
        <v>1500000</v>
      </c>
      <c r="C12" s="72">
        <f>B12*FE_C2H4/(12*F_)</f>
        <v>0.90622843907980621</v>
      </c>
      <c r="D12" s="83" cm="1">
        <f t="array" ref="D12">C12*(24*60*60)*(MW_C2H4/1000)</f>
        <v>2196.5101687920428</v>
      </c>
      <c r="E12" s="72">
        <v>215184.736112471</v>
      </c>
      <c r="F12" s="89">
        <f t="shared" ref="F12:F14" si="0">E12/1000/3600</f>
        <v>5.9773537809019721E-2</v>
      </c>
    </row>
    <row r="13" spans="1:19" x14ac:dyDescent="0.3">
      <c r="A13" s="58" t="s">
        <v>74</v>
      </c>
      <c r="B13" s="72">
        <v>1500000</v>
      </c>
      <c r="C13" s="72">
        <f>B13*FE_CO_nonaq/(2*F_)</f>
        <v>6.918150147799671</v>
      </c>
      <c r="D13" s="82">
        <f>C13*(24*60*60)*(MW_CO/1000)</f>
        <v>16742.425892101943</v>
      </c>
      <c r="E13" s="72">
        <v>41202.14891224567</v>
      </c>
      <c r="F13" s="89">
        <f t="shared" si="0"/>
        <v>1.1445041364512685E-2</v>
      </c>
    </row>
    <row r="14" spans="1:19" x14ac:dyDescent="0.3">
      <c r="A14" s="58" t="s">
        <v>34</v>
      </c>
      <c r="B14" s="72">
        <v>1500000</v>
      </c>
      <c r="C14" s="72">
        <f>B14*FE_OA/(2*F_)</f>
        <v>5.4412416892806394</v>
      </c>
      <c r="D14" s="82">
        <f>C14*(24*60*60)*(MW_OA/1000)</f>
        <v>42325.199074304866</v>
      </c>
      <c r="E14" s="72">
        <v>19814.820540723449</v>
      </c>
      <c r="F14" s="89">
        <f t="shared" si="0"/>
        <v>5.5041168168676246E-3</v>
      </c>
    </row>
    <row r="15" spans="1:19" x14ac:dyDescent="0.3">
      <c r="B15" s="61"/>
    </row>
    <row r="16" spans="1:19" ht="45" x14ac:dyDescent="0.3">
      <c r="B16" s="59" t="s">
        <v>56</v>
      </c>
      <c r="C16" s="59" t="s">
        <v>58</v>
      </c>
      <c r="E16" s="59"/>
    </row>
    <row r="17" spans="1:6" x14ac:dyDescent="0.3">
      <c r="A17" s="58" t="s">
        <v>73</v>
      </c>
      <c r="B17" s="72">
        <v>30000</v>
      </c>
      <c r="C17" s="78">
        <f>B17*MW_CO/MW_CO2</f>
        <v>19093.672956975199</v>
      </c>
    </row>
    <row r="18" spans="1:6" ht="18" x14ac:dyDescent="0.3">
      <c r="A18" s="58" t="s">
        <v>52</v>
      </c>
      <c r="B18" s="72">
        <v>30000</v>
      </c>
      <c r="C18" s="78">
        <f>(B18/2)*MW_C2H4/MW_CO2</f>
        <v>9561.5128551789949</v>
      </c>
    </row>
    <row r="19" spans="1:6" x14ac:dyDescent="0.3">
      <c r="A19" s="58" t="s">
        <v>74</v>
      </c>
      <c r="B19" s="72">
        <v>30000</v>
      </c>
      <c r="C19" s="79">
        <f>B19*MW_CO/MW_CO2</f>
        <v>19093.672956975199</v>
      </c>
    </row>
    <row r="20" spans="1:6" x14ac:dyDescent="0.3">
      <c r="A20" s="58" t="s">
        <v>34</v>
      </c>
      <c r="B20" s="72">
        <v>30000</v>
      </c>
      <c r="C20" s="79">
        <f>(B20/2)*MW_OA/MW_CO2</f>
        <v>30685.420193367339</v>
      </c>
    </row>
    <row r="21" spans="1:6" x14ac:dyDescent="0.3">
      <c r="B21" s="72"/>
      <c r="C21" s="85"/>
    </row>
    <row r="22" spans="1:6" ht="60" x14ac:dyDescent="0.3">
      <c r="B22" s="59" t="s">
        <v>83</v>
      </c>
      <c r="C22" s="59" t="s">
        <v>82</v>
      </c>
      <c r="D22" s="59" t="s">
        <v>31</v>
      </c>
      <c r="E22" s="59" t="s">
        <v>32</v>
      </c>
      <c r="F22" s="59" t="s">
        <v>58</v>
      </c>
    </row>
    <row r="23" spans="1:6" x14ac:dyDescent="0.3">
      <c r="A23" s="58" t="s">
        <v>73</v>
      </c>
      <c r="B23" s="58">
        <v>750</v>
      </c>
      <c r="C23" s="58">
        <v>464.5</v>
      </c>
      <c r="D23" s="72">
        <f t="shared" ref="D23:D26" si="1">C23/1000*B23*10000</f>
        <v>3483750</v>
      </c>
      <c r="E23" s="72">
        <f>D23*FE_CO_aq/(2*F_)</f>
        <v>15.844879203398071</v>
      </c>
      <c r="F23" s="86">
        <f>E23*(24*60*60)*(MW_CO/1000)</f>
        <v>38345.758644248672</v>
      </c>
    </row>
    <row r="24" spans="1:6" ht="18" x14ac:dyDescent="0.3">
      <c r="A24" s="58" t="s">
        <v>52</v>
      </c>
      <c r="B24" s="58">
        <v>750</v>
      </c>
      <c r="C24" s="58">
        <v>428.3</v>
      </c>
      <c r="D24" s="72">
        <f t="shared" si="1"/>
        <v>3212250</v>
      </c>
      <c r="E24" s="72">
        <f>D24*FE_C2H4/(12*F_)</f>
        <v>1.940688202289405</v>
      </c>
      <c r="F24" s="86" cm="1">
        <f t="array" ref="F24">E24*(24*60*60)*(MW_C2H4/1000)</f>
        <v>4703.8265264681604</v>
      </c>
    </row>
    <row r="25" spans="1:6" x14ac:dyDescent="0.3">
      <c r="A25" s="58" t="s">
        <v>74</v>
      </c>
      <c r="B25" s="58">
        <v>750</v>
      </c>
      <c r="C25" s="58">
        <v>200</v>
      </c>
      <c r="D25" s="72">
        <f>C25/1000*B25*10000</f>
        <v>1500000</v>
      </c>
      <c r="E25" s="72">
        <f>D25*FE_CO_nonaq/(2*F_)</f>
        <v>6.918150147799671</v>
      </c>
      <c r="F25" s="87">
        <f>E25*(24*60*60)*(MW_CO/1000)</f>
        <v>16742.425892101943</v>
      </c>
    </row>
    <row r="26" spans="1:6" x14ac:dyDescent="0.3">
      <c r="A26" s="58" t="s">
        <v>34</v>
      </c>
      <c r="B26" s="58">
        <v>750</v>
      </c>
      <c r="C26" s="58">
        <v>200</v>
      </c>
      <c r="D26" s="72">
        <f t="shared" si="1"/>
        <v>1500000</v>
      </c>
      <c r="E26" s="72">
        <f>D26*FE_OA/(2*F_)</f>
        <v>5.4412416892806394</v>
      </c>
      <c r="F26" s="87">
        <f>E26*(24*60*60)*(MW_OA/1000)</f>
        <v>42325.199074304866</v>
      </c>
    </row>
    <row r="27" spans="1:6" x14ac:dyDescent="0.3">
      <c r="B27" s="72"/>
      <c r="C27" s="85"/>
      <c r="E27" s="72"/>
    </row>
    <row r="28" spans="1:6" x14ac:dyDescent="0.3">
      <c r="B28" s="72"/>
      <c r="C28" s="85"/>
    </row>
    <row r="29" spans="1:6" x14ac:dyDescent="0.3">
      <c r="B29" s="72"/>
      <c r="C29" s="85"/>
    </row>
    <row r="30" spans="1:6" x14ac:dyDescent="0.3">
      <c r="B30" s="72"/>
      <c r="C30" s="72"/>
      <c r="D30" s="72"/>
    </row>
    <row r="31" spans="1:6" ht="30" x14ac:dyDescent="0.3">
      <c r="A31" s="62" t="s">
        <v>35</v>
      </c>
      <c r="B31" s="62" t="s">
        <v>36</v>
      </c>
      <c r="C31" s="63" t="s">
        <v>53</v>
      </c>
      <c r="D31" s="64" t="s">
        <v>37</v>
      </c>
    </row>
    <row r="32" spans="1:6" ht="18" x14ac:dyDescent="0.3">
      <c r="A32" s="65" t="s">
        <v>47</v>
      </c>
      <c r="B32" s="66">
        <v>2.0158939999999999</v>
      </c>
      <c r="C32" s="66"/>
      <c r="D32" s="67">
        <v>2</v>
      </c>
    </row>
    <row r="33" spans="1:4" x14ac:dyDescent="0.3">
      <c r="A33" s="65" t="s">
        <v>33</v>
      </c>
      <c r="B33" s="66">
        <v>28.010100000000001</v>
      </c>
      <c r="C33" s="66"/>
      <c r="D33" s="67">
        <v>0.84502629276592345</v>
      </c>
    </row>
    <row r="34" spans="1:4" x14ac:dyDescent="0.3">
      <c r="A34" s="65" t="s">
        <v>55</v>
      </c>
      <c r="B34" s="66">
        <v>28.053159999999998</v>
      </c>
      <c r="C34" s="66"/>
      <c r="D34" s="67"/>
    </row>
    <row r="35" spans="1:4" x14ac:dyDescent="0.3">
      <c r="A35" s="65" t="s">
        <v>38</v>
      </c>
      <c r="B35" s="66">
        <v>90.03</v>
      </c>
      <c r="C35" s="66"/>
      <c r="D35" s="67">
        <v>0.7</v>
      </c>
    </row>
    <row r="36" spans="1:4" ht="18" x14ac:dyDescent="0.3">
      <c r="A36" s="65" t="s">
        <v>48</v>
      </c>
      <c r="B36" s="66">
        <v>44.009500000000003</v>
      </c>
      <c r="C36" s="66"/>
      <c r="D36" s="67">
        <v>7.4999999999999997E-2</v>
      </c>
    </row>
    <row r="37" spans="1:4" ht="18" x14ac:dyDescent="0.3">
      <c r="A37" s="65" t="s">
        <v>54</v>
      </c>
      <c r="B37" s="66">
        <v>138.2055</v>
      </c>
      <c r="C37" s="66"/>
      <c r="D37" s="67"/>
    </row>
    <row r="38" spans="1:4" ht="18" x14ac:dyDescent="0.3">
      <c r="A38" s="65" t="s">
        <v>49</v>
      </c>
      <c r="B38" s="66">
        <v>31.998799999999999</v>
      </c>
      <c r="C38" s="66"/>
      <c r="D38" s="67"/>
    </row>
    <row r="39" spans="1:4" x14ac:dyDescent="0.3">
      <c r="A39" s="65" t="s">
        <v>39</v>
      </c>
      <c r="B39" s="66">
        <v>18.015799999999999</v>
      </c>
      <c r="C39" s="68">
        <v>1000</v>
      </c>
      <c r="D39" s="67">
        <v>1.4500000000000001E-2</v>
      </c>
    </row>
    <row r="40" spans="1:4" x14ac:dyDescent="0.3">
      <c r="A40" s="66" t="s">
        <v>40</v>
      </c>
      <c r="B40" s="66">
        <v>73.093999999999994</v>
      </c>
      <c r="C40" s="68">
        <v>944.5</v>
      </c>
      <c r="D40" s="67">
        <v>1</v>
      </c>
    </row>
    <row r="41" spans="1:4" x14ac:dyDescent="0.3">
      <c r="A41" s="66" t="s">
        <v>41</v>
      </c>
      <c r="B41" s="66">
        <v>78.132999999999996</v>
      </c>
      <c r="C41" s="68">
        <v>1101</v>
      </c>
      <c r="D41" s="67">
        <v>2.66</v>
      </c>
    </row>
    <row r="42" spans="1:4" x14ac:dyDescent="0.3">
      <c r="A42" s="66" t="s">
        <v>42</v>
      </c>
      <c r="B42" s="66">
        <v>165.74</v>
      </c>
      <c r="C42" s="66"/>
      <c r="D42" s="67">
        <v>10</v>
      </c>
    </row>
    <row r="43" spans="1:4" x14ac:dyDescent="0.3">
      <c r="A43" s="66"/>
      <c r="B43" s="66"/>
      <c r="C43" s="66"/>
      <c r="D43" s="67"/>
    </row>
    <row r="44" spans="1:4" ht="18" x14ac:dyDescent="0.3">
      <c r="A44" s="65" t="s">
        <v>72</v>
      </c>
      <c r="B44" s="66">
        <v>0.87767399999999995</v>
      </c>
      <c r="C44" s="66"/>
      <c r="D44" s="67"/>
    </row>
    <row r="45" spans="1:4" ht="18" x14ac:dyDescent="0.3">
      <c r="A45" s="65" t="s">
        <v>70</v>
      </c>
      <c r="B45" s="66">
        <v>0.69950199999999996</v>
      </c>
      <c r="C45" s="66"/>
      <c r="D45" s="67"/>
    </row>
    <row r="46" spans="1:4" ht="18" x14ac:dyDescent="0.3">
      <c r="A46" s="65" t="s">
        <v>71</v>
      </c>
      <c r="B46" s="66">
        <v>0.89</v>
      </c>
      <c r="C46" s="66"/>
      <c r="D46" s="67"/>
    </row>
    <row r="47" spans="1:4" ht="18" x14ac:dyDescent="0.3">
      <c r="A47" s="65" t="s">
        <v>50</v>
      </c>
      <c r="B47" s="66">
        <v>0.7</v>
      </c>
      <c r="C47" s="66"/>
      <c r="D47" s="67"/>
    </row>
    <row r="48" spans="1:4" x14ac:dyDescent="0.3">
      <c r="A48" s="66"/>
      <c r="B48" s="66"/>
      <c r="C48" s="66"/>
      <c r="D48" s="67"/>
    </row>
    <row r="49" spans="1:4" ht="18" x14ac:dyDescent="0.3">
      <c r="A49" s="65" t="s">
        <v>51</v>
      </c>
      <c r="B49" s="66">
        <v>0.66700000000000004</v>
      </c>
      <c r="C49" s="66"/>
      <c r="D49" s="67"/>
    </row>
    <row r="50" spans="1:4" x14ac:dyDescent="0.3">
      <c r="A50" s="66"/>
      <c r="B50" s="66"/>
      <c r="C50" s="66"/>
      <c r="D50" s="67"/>
    </row>
    <row r="51" spans="1:4" x14ac:dyDescent="0.3">
      <c r="A51" s="66" t="s">
        <v>43</v>
      </c>
      <c r="B51" s="69">
        <v>101325</v>
      </c>
      <c r="C51" s="66"/>
      <c r="D51" s="67"/>
    </row>
    <row r="52" spans="1:4" x14ac:dyDescent="0.3">
      <c r="A52" s="66" t="s">
        <v>44</v>
      </c>
      <c r="B52" s="66">
        <v>8.3144720000000003</v>
      </c>
      <c r="C52" s="66"/>
      <c r="D52" s="67"/>
    </row>
    <row r="53" spans="1:4" x14ac:dyDescent="0.3">
      <c r="A53" s="68" t="s">
        <v>45</v>
      </c>
      <c r="B53" s="70">
        <v>313.14999999999998</v>
      </c>
      <c r="C53" s="71"/>
      <c r="D53" s="67"/>
    </row>
    <row r="54" spans="1:4" x14ac:dyDescent="0.3">
      <c r="A54" s="68" t="s">
        <v>46</v>
      </c>
      <c r="B54" s="70">
        <v>96485.33</v>
      </c>
      <c r="C54" s="71"/>
      <c r="D54" s="67"/>
    </row>
  </sheetData>
  <phoneticPr fontId="7" type="noConversion"/>
  <conditionalFormatting sqref="H5:K5">
    <cfRule type="colorScale" priority="64">
      <colorScale>
        <cfvo type="min"/>
        <cfvo type="max"/>
        <color rgb="FF92D050"/>
        <color theme="3" tint="0.39997558519241921"/>
      </colorScale>
    </cfRule>
  </conditionalFormatting>
  <conditionalFormatting sqref="H4:K4">
    <cfRule type="colorScale" priority="60">
      <colorScale>
        <cfvo type="min"/>
        <cfvo type="max"/>
        <color rgb="FF92D050"/>
        <color theme="3" tint="0.39997558519241921"/>
      </colorScale>
    </cfRule>
  </conditionalFormatting>
  <conditionalFormatting sqref="H6:K6">
    <cfRule type="colorScale" priority="65">
      <colorScale>
        <cfvo type="min"/>
        <cfvo type="max"/>
        <color rgb="FF92D050"/>
        <color theme="3" tint="0.39997558519241921"/>
      </colorScale>
    </cfRule>
  </conditionalFormatting>
  <conditionalFormatting sqref="H2:K2">
    <cfRule type="colorScale" priority="58">
      <colorScale>
        <cfvo type="min"/>
        <cfvo type="max"/>
        <color rgb="FF92D050"/>
        <color theme="3" tint="0.39997558519241921"/>
      </colorScale>
    </cfRule>
  </conditionalFormatting>
  <conditionalFormatting sqref="H3:K3">
    <cfRule type="colorScale" priority="59">
      <colorScale>
        <cfvo type="min"/>
        <cfvo type="max"/>
        <color rgb="FF92D050"/>
        <color theme="3" tint="0.39997558519241921"/>
      </colorScale>
    </cfRule>
  </conditionalFormatting>
  <conditionalFormatting sqref="L2:O2">
    <cfRule type="colorScale" priority="22">
      <colorScale>
        <cfvo type="min"/>
        <cfvo type="max"/>
        <color rgb="FF92D050"/>
        <color theme="3" tint="0.39997558519241921"/>
      </colorScale>
    </cfRule>
  </conditionalFormatting>
  <conditionalFormatting sqref="P2:S2">
    <cfRule type="colorScale" priority="14">
      <colorScale>
        <cfvo type="min"/>
        <cfvo type="max"/>
        <color rgb="FF92D050"/>
        <color theme="3" tint="0.39997558519241921"/>
      </colorScale>
    </cfRule>
  </conditionalFormatting>
  <conditionalFormatting sqref="L3:O3">
    <cfRule type="colorScale" priority="23">
      <colorScale>
        <cfvo type="min"/>
        <cfvo type="max"/>
        <color rgb="FF92D050"/>
        <color theme="3" tint="0.39997558519241921"/>
      </colorScale>
    </cfRule>
  </conditionalFormatting>
  <conditionalFormatting sqref="L4:O4">
    <cfRule type="colorScale" priority="24">
      <colorScale>
        <cfvo type="min"/>
        <cfvo type="max"/>
        <color rgb="FF92D050"/>
        <color theme="3" tint="0.39997558519241921"/>
      </colorScale>
    </cfRule>
  </conditionalFormatting>
  <conditionalFormatting sqref="L5:O5">
    <cfRule type="colorScale" priority="25">
      <colorScale>
        <cfvo type="min"/>
        <cfvo type="max"/>
        <color rgb="FF92D050"/>
        <color theme="3" tint="0.39997558519241921"/>
      </colorScale>
    </cfRule>
  </conditionalFormatting>
  <conditionalFormatting sqref="L6:O6">
    <cfRule type="colorScale" priority="26">
      <colorScale>
        <cfvo type="min"/>
        <cfvo type="max"/>
        <color rgb="FF92D050"/>
        <color theme="3" tint="0.39997558519241921"/>
      </colorScale>
    </cfRule>
  </conditionalFormatting>
  <conditionalFormatting sqref="P3:S3">
    <cfRule type="colorScale" priority="15">
      <colorScale>
        <cfvo type="min"/>
        <cfvo type="max"/>
        <color rgb="FF92D050"/>
        <color theme="3" tint="0.39997558519241921"/>
      </colorScale>
    </cfRule>
  </conditionalFormatting>
  <conditionalFormatting sqref="P4:S4">
    <cfRule type="colorScale" priority="16">
      <colorScale>
        <cfvo type="min"/>
        <cfvo type="max"/>
        <color rgb="FF92D050"/>
        <color theme="3" tint="0.39997558519241921"/>
      </colorScale>
    </cfRule>
  </conditionalFormatting>
  <conditionalFormatting sqref="P5:S5">
    <cfRule type="colorScale" priority="17">
      <colorScale>
        <cfvo type="min"/>
        <cfvo type="max"/>
        <color rgb="FF92D050"/>
        <color theme="3" tint="0.39997558519241921"/>
      </colorScale>
    </cfRule>
  </conditionalFormatting>
  <conditionalFormatting sqref="P6:S6">
    <cfRule type="colorScale" priority="18">
      <colorScale>
        <cfvo type="min"/>
        <cfvo type="max"/>
        <color rgb="FF92D050"/>
        <color theme="3" tint="0.39997558519241921"/>
      </colorScale>
    </cfRule>
  </conditionalFormatting>
  <conditionalFormatting sqref="D2:G2">
    <cfRule type="colorScale" priority="4">
      <colorScale>
        <cfvo type="min"/>
        <cfvo type="max"/>
        <color rgb="FF92D050"/>
        <color theme="3" tint="0.39997558519241921"/>
      </colorScale>
    </cfRule>
  </conditionalFormatting>
  <conditionalFormatting sqref="D3:G3">
    <cfRule type="colorScale" priority="5">
      <colorScale>
        <cfvo type="min"/>
        <cfvo type="max"/>
        <color rgb="FF92D050"/>
        <color theme="3" tint="0.39997558519241921"/>
      </colorScale>
    </cfRule>
  </conditionalFormatting>
  <conditionalFormatting sqref="D4:G4">
    <cfRule type="colorScale" priority="6">
      <colorScale>
        <cfvo type="min"/>
        <cfvo type="max"/>
        <color rgb="FF92D050"/>
        <color theme="3" tint="0.39997558519241921"/>
      </colorScale>
    </cfRule>
  </conditionalFormatting>
  <conditionalFormatting sqref="D6:G6">
    <cfRule type="colorScale" priority="9">
      <colorScale>
        <cfvo type="min"/>
        <cfvo type="max"/>
        <color rgb="FF92D050"/>
        <color theme="3" tint="0.39997558519241921"/>
      </colorScale>
    </cfRule>
  </conditionalFormatting>
  <conditionalFormatting sqref="D5:G5">
    <cfRule type="colorScale" priority="7">
      <colorScale>
        <cfvo type="min"/>
        <cfvo type="max"/>
        <color rgb="FF92D050"/>
        <color theme="3" tint="0.39997558519241921"/>
      </colorScale>
    </cfRule>
  </conditionalFormatting>
  <conditionalFormatting sqref="H7:K7">
    <cfRule type="colorScale" priority="67">
      <colorScale>
        <cfvo type="min"/>
        <cfvo type="max"/>
        <color rgb="FF92D050"/>
        <color theme="3" tint="0.39997558519241921"/>
      </colorScale>
    </cfRule>
  </conditionalFormatting>
  <conditionalFormatting sqref="L7:O7">
    <cfRule type="colorScale" priority="68">
      <colorScale>
        <cfvo type="min"/>
        <cfvo type="max"/>
        <color rgb="FF92D050"/>
        <color theme="3" tint="0.39997558519241921"/>
      </colorScale>
    </cfRule>
  </conditionalFormatting>
  <conditionalFormatting sqref="P7:S7">
    <cfRule type="colorScale" priority="69">
      <colorScale>
        <cfvo type="min"/>
        <cfvo type="max"/>
        <color rgb="FF92D050"/>
        <color theme="3" tint="0.39997558519241921"/>
      </colorScale>
    </cfRule>
  </conditionalFormatting>
  <conditionalFormatting sqref="D7:G7">
    <cfRule type="colorScale" priority="70">
      <colorScale>
        <cfvo type="min"/>
        <cfvo type="max"/>
        <color rgb="FF92D050"/>
        <color theme="3" tint="0.39997558519241921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Waterfall</vt:lpstr>
      <vt:lpstr>Functional units</vt:lpstr>
      <vt:lpstr>F_</vt:lpstr>
      <vt:lpstr>FE_C2H4</vt:lpstr>
      <vt:lpstr>FE_CO_aq</vt:lpstr>
      <vt:lpstr>FE_CO_nonaq</vt:lpstr>
      <vt:lpstr>FE_OA</vt:lpstr>
      <vt:lpstr>MW_C2H4</vt:lpstr>
      <vt:lpstr>MW_CO</vt:lpstr>
      <vt:lpstr>MW_CO2</vt:lpstr>
      <vt:lpstr>MW_DMF</vt:lpstr>
      <vt:lpstr>MW_DMSO</vt:lpstr>
      <vt:lpstr>MW_H2</vt:lpstr>
      <vt:lpstr>MW_K2CO3</vt:lpstr>
      <vt:lpstr>MW_O2</vt:lpstr>
      <vt:lpstr>MW_OA</vt:lpstr>
      <vt:lpstr>MW_TEACl</vt:lpstr>
      <vt:lpstr>MW_water</vt:lpstr>
      <vt:lpstr>P_</vt:lpstr>
      <vt:lpstr>R_</vt:lpstr>
      <vt:lpstr>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Cunha, Shashwati C</dc:creator>
  <cp:lastModifiedBy>Da Cunha, Shashwati C</cp:lastModifiedBy>
  <dcterms:created xsi:type="dcterms:W3CDTF">2025-02-27T00:22:01Z</dcterms:created>
  <dcterms:modified xsi:type="dcterms:W3CDTF">2025-03-21T22:21:49Z</dcterms:modified>
</cp:coreProperties>
</file>