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494" documentId="8_{31750E0B-A732-4503-8EA8-2753BAB2D178}" xr6:coauthVersionLast="47" xr6:coauthVersionMax="47" xr10:uidLastSave="{DD92307B-E5B6-4F22-964E-EFB013005356}"/>
  <bookViews>
    <workbookView xWindow="14295" yWindow="0" windowWidth="14610" windowHeight="15585" firstSheet="1" activeTab="1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3" i="7"/>
  <c r="C8" i="2" l="1"/>
  <c r="F3" i="9" l="1"/>
  <c r="H3" i="9" s="1"/>
  <c r="J4" i="9"/>
  <c r="I4" i="9"/>
  <c r="J2" i="9"/>
  <c r="J5" i="9"/>
  <c r="I5" i="9"/>
  <c r="J3" i="9"/>
  <c r="I3" i="9"/>
  <c r="I2" i="9"/>
  <c r="F4" i="9"/>
  <c r="H4" i="9" s="1"/>
  <c r="F5" i="9"/>
  <c r="H5" i="9" s="1"/>
  <c r="F2" i="9"/>
  <c r="H2" i="9" s="1"/>
  <c r="C7" i="2" s="1"/>
  <c r="J4" i="7"/>
  <c r="C11" i="3"/>
  <c r="G3" i="7"/>
  <c r="B7" i="3" l="1"/>
  <c r="C6" i="2"/>
  <c r="C14" i="2" l="1"/>
  <c r="C5" i="2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tc={590A5A62-3982-41DC-A19D-6D062F91F28E}</author>
    <author>tc={ADC85B62-F8B0-4820-A968-870FAF95942C}</author>
  </authors>
  <commentList>
    <comment ref="C2" authorId="0" shapeId="0" xr:uid="{590A5A62-3982-41DC-A19D-6D062F91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  <comment ref="C3" authorId="1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I4" authorId="7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8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9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0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1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  <comment ref="F5" authorId="12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Muller, Stolten (J. CO2 Utilization, 2025)</t>
      </text>
    </comment>
    <comment ref="L5" authorId="13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 datapoints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4" authorId="18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4" authorId="21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5" authorId="26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5" authorId="29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tc={47E6C014-E881-40B4-899B-38C111AE0A6F}</author>
    <author>tc={8D382F3B-8433-4D50-AD8B-3CDB4C5E2091}</author>
    <author>tc={99B3EF73-D9AF-4165-9BAA-2D78D6A936A3}</author>
    <author>tc={B4637678-D1A7-4B9C-AD8E-35E6DF64669E}</author>
  </authors>
  <commentList>
    <comment ref="E2" authorId="0" shapeId="0" xr:uid="{47E6C014-E881-40B4-899B-38C111AE0A6F}">
      <text>
        <t>[Threaded comment]
Your version of Excel allows you to read this threaded comment; however, any edits to it will get removed if the file is opened in a newer version of Excel. Learn more: https://go.microsoft.com/fwlink/?linkid=870924
Comment:
    Debye-Huckel-Onsager model; Mukherjee Boden J Phys Chem 1969</t>
      </text>
    </comment>
    <comment ref="E3" authorId="1" shapeId="0" xr:uid="{8D382F3B-8433-4D50-AD8B-3CDB4C5E2091}">
      <text>
        <t>[Threaded comment]
Your version of Excel allows you to read this threaded comment; however, any edits to it will get removed if the file is opened in a newer version of Excel. Learn more: https://go.microsoft.com/fwlink/?linkid=870924
Comment:
    Debye-Huckel-Onsager model; Mukherjee Boden J Phys Chem 1969</t>
      </text>
    </comment>
    <comment ref="E4" authorId="2" shapeId="0" xr:uid="{99B3EF73-D9AF-4165-9BAA-2D78D6A936A3}">
      <text>
        <t>[Threaded comment]
Your version of Excel allows you to read this threaded comment; however, any edits to it will get removed if the file is opened in a newer version of Excel. Learn more: https://go.microsoft.com/fwlink/?linkid=870924
Comment:
    Debye-Huckel-Onsager model; Mukherjee Boden J Phys Chem 1969</t>
      </text>
    </comment>
    <comment ref="E5" authorId="3" shapeId="0" xr:uid="{B4637678-D1A7-4B9C-AD8E-35E6DF64669E}">
      <text>
        <t>[Threaded comment]
Your version of Excel allows you to read this threaded comment; however, any edits to it will get removed if the file is opened in a newer version of Excel. Learn more: https://go.microsoft.com/fwlink/?linkid=870924
Comment:
    Debye-Huckel-Onsager model; Gong Yan Energy Environ Sci 2015</t>
      </text>
    </comment>
  </commentList>
</comments>
</file>

<file path=xl/sharedStrings.xml><?xml version="1.0" encoding="utf-8"?>
<sst xmlns="http://schemas.openxmlformats.org/spreadsheetml/2006/main" count="255" uniqueCount="213">
  <si>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</si>
  <si>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</si>
  <si>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</si>
  <si>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</si>
  <si>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</si>
  <si>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</si>
  <si>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</si>
  <si>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</si>
  <si>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</si>
  <si>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</si>
  <si>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</si>
  <si>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</si>
  <si>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</si>
  <si>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</si>
  <si>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</si>
  <si>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</si>
  <si>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</si>
  <si>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</si>
  <si>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</si>
  <si>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</si>
  <si>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</si>
  <si>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</si>
  <si>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</si>
  <si>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</si>
  <si>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</si>
  <si>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</si>
  <si>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</si>
  <si>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</si>
  <si>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</si>
  <si>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</si>
  <si>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</si>
  <si>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</si>
  <si>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</si>
  <si>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</si>
  <si>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</si>
  <si>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</si>
  <si>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</si>
  <si>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</si>
  <si>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</si>
  <si>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</si>
  <si>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</si>
  <si>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</si>
  <si>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</si>
  <si>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</si>
  <si>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</si>
  <si>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</si>
  <si>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</si>
  <si>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</si>
  <si>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</si>
  <si>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</si>
  <si>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</si>
  <si>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</si>
  <si>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</si>
  <si>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</si>
  <si>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</si>
  <si>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</si>
  <si>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</si>
  <si>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</si>
  <si>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</si>
  <si>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</si>
  <si>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</si>
  <si>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</si>
  <si>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</si>
  <si>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</si>
  <si>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</si>
  <si>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</si>
  <si>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</si>
  <si>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</si>
  <si>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</si>
  <si>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</si>
  <si>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</si>
  <si>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</si>
  <si>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</si>
  <si>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</si>
  <si>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</si>
  <si>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</si>
  <si>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</si>
  <si>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</si>
  <si>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</si>
  <si>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</si>
  <si>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</si>
  <si>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</si>
  <si>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</si>
  <si>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</si>
  <si>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</si>
  <si>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</si>
  <si>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</si>
  <si>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</si>
  <si>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</si>
  <si>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</si>
  <si>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</si>
  <si>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</si>
  <si>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</si>
  <si>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</si>
  <si>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</si>
  <si>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</si>
  <si>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</si>
  <si>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</si>
  <si>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</si>
  <si>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</si>
  <si>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</si>
  <si>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</si>
  <si>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</si>
  <si>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</si>
  <si>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</si>
  <si>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</si>
  <si>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</si>
  <si>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</si>
  <si>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</si>
  <si>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</si>
  <si>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</si>
  <si>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</si>
  <si>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</si>
  <si>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</si>
  <si>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</si>
  <si>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</si>
  <si>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</si>
  <si>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</si>
  <si>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</si>
  <si>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</si>
  <si>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</si>
  <si>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</si>
  <si>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</si>
  <si>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</si>
  <si>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</si>
  <si>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</si>
  <si>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</si>
  <si>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</si>
  <si>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</si>
  <si>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</si>
  <si>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</si>
  <si>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</si>
  <si>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</si>
  <si>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</si>
  <si>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</si>
  <si>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</si>
  <si>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</si>
  <si>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</si>
  <si>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</si>
  <si>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</si>
  <si>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</si>
  <si>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</si>
  <si>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</si>
  <si>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</si>
  <si>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</si>
  <si>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</si>
  <si>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</si>
  <si>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</si>
  <si>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</si>
  <si>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</si>
  <si>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</si>
  <si>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</si>
  <si>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</si>
  <si>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</si>
  <si>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</si>
  <si>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</si>
  <si>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</si>
  <si>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</si>
  <si>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</si>
  <si>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</si>
  <si>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</si>
  <si>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</si>
  <si>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</si>
  <si>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</si>
  <si>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</si>
  <si>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</si>
  <si>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</si>
  <si>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</si>
  <si>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</si>
  <si>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</si>
  <si>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U.S. Energy Information Administration (2024 Jan - Jun average) - industrial retail; GREET (2022)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</si>
  <si>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</si>
  <si>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</si>
  <si>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</si>
  <si>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</si>
  <si>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r>
      <t>mol/s solvent per mol/s CO</t>
    </r>
    <r>
      <rPr>
        <vertAlign val="subscript"/>
        <sz val="11"/>
        <color theme="1"/>
        <rFont val="Arial Nova"/>
        <family val="2"/>
      </rPr>
      <t>2</t>
    </r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</si>
  <si>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</si>
  <si>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</si>
  <si>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</si>
  <si>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</si>
  <si>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</si>
  <si>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</si>
  <si>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</si>
  <si>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</si>
  <si>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</si>
  <si>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</si>
  <si>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</si>
  <si>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</si>
  <si>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</si>
  <si>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Optimal j @ 8.2 c/kWh, no tradeoff (mA/cm2)</t>
  </si>
  <si>
    <r>
      <t>Limiting molar conductivity in PC (S 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/mol)</t>
    </r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</si>
  <si>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</si>
  <si>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</si>
  <si>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</si>
  <si>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</si>
  <si>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</si>
  <si>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</si>
  <si>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</si>
  <si>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</si>
  <si>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</si>
  <si>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</si>
  <si>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</si>
  <si>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</si>
  <si>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 xml:space="preserve"> Nafion N117 180 um</t>
  </si>
  <si>
    <t>Official Journal of the European Union (2018/931)</t>
  </si>
  <si>
    <t>iMarc (June 2024)</t>
  </si>
  <si>
    <t>George (Kirk-Othmer Encyclopedia 2001) adjusted by 1% inflation</t>
  </si>
  <si>
    <t>From Debye-Huckel-Onsager relations (Supplementary Workbook 3)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</si>
  <si>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</si>
  <si>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</si>
  <si>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</si>
  <si>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</si>
  <si>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This work - cost near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</si>
</sst>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0" fontId="7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" fontId="20" fillId="3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9" fontId="7" fillId="3" borderId="0" xfId="2" applyFont="1" applyFill="1" applyBorder="1" applyAlignment="1">
      <alignment horizontal="center" vertical="center" wrapText="1"/>
    </xf>
    <xf numFmtId="3" fontId="21" fillId="3" borderId="0" xfId="0" applyNumberFormat="1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 wrapText="1"/>
    </xf>
    <xf numFmtId="166" fontId="7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4" formatCode="0.0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3" dataDxfId="52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1"/>
    <tableColumn id="5" xr3:uid="{447AB61C-D6A8-4C69-B914-F84CC2DD3D7F}" name="Variable name" dataDxfId="50"/>
    <tableColumn id="2" xr3:uid="{8D0B10A0-AAB3-497D-AACC-B47886E623F4}" name="Value" dataDxfId="49"/>
    <tableColumn id="3" xr3:uid="{13805BE1-5D36-4E51-B5A1-6DAB8482D1CA}" name="Unit" dataDxfId="48"/>
    <tableColumn id="4" xr3:uid="{D9E6851E-6681-4B84-8DD9-9DC84337FA8D}" name="References" dataDxfId="4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5" totalsRowShown="0" headerRowDxfId="46" dataDxfId="45">
  <autoFilter ref="A1:Q5" xr:uid="{89323130-A0D1-49F6-A5DF-27B490E4A7F3}"/>
  <tableColumns count="17">
    <tableColumn id="1" xr3:uid="{3C50D7C6-76ED-4D16-B177-C24A6EDEF5E8}" name="Product" dataDxfId="44"/>
    <tableColumn id="13" xr3:uid="{E3E543EF-1CAC-4E7C-917B-9F6A2A12C5A5}" name="Phase" dataDxfId="43"/>
    <tableColumn id="5" xr3:uid="{60087321-E31A-4465-97EA-5E82B4930DEF}" name="Molecular weight (g/mol)" dataDxfId="42"/>
    <tableColumn id="2" xr3:uid="{73F411CA-0C00-43A6-8E8A-2C96DEBEAE56}" name="n (mol e-/ mol product)" dataDxfId="41"/>
    <tableColumn id="12" xr3:uid="{35098869-B8D6-4322-9A6F-55D84BD00AAD}" name="z (mol CO2/ mol product)" dataDxfId="40"/>
    <tableColumn id="3" xr3:uid="{42FF57EE-C82B-4BEE-B6E3-5CDCD61D73F4}" name="LHV (kJ/kg product)" dataDxfId="39"/>
    <tableColumn id="14" xr3:uid="{E9D086E2-203C-4567-AACC-7D8FDCBCFD52}" name="Cost ($/kg product)" dataDxfId="38"/>
    <tableColumn id="6" xr3:uid="{F6536296-A5EF-4707-BAA4-8ED36A0299FD}" name="Standard potential, pH = 0 (V vs SHE)" dataDxfId="37"/>
    <tableColumn id="9" xr3:uid="{44F64A4D-679B-4F83-A0F1-9FD50BE9A102}" name="Reference overpotential (V)" dataDxfId="36"/>
    <tableColumn id="8" xr3:uid="{63FE646D-E5BD-46A5-B63F-54D7C89DFC20}" name="Tafel slope (mV/dec)" dataDxfId="35"/>
    <tableColumn id="7" xr3:uid="{8762D60F-6494-4D48-BF71-09EE6526135E}" name="Reference current density (mA/cm2)" dataDxfId="34"/>
    <tableColumn id="15" xr3:uid="{C96EBEF2-D837-4395-8D46-7E2BC536E261}" name="FECO2R at SPC = 0" dataDxfId="33"/>
    <tableColumn id="16" xr3:uid="{F3E3F633-1F65-481C-8C36-D0FBD783D2AB}" name="Chosen SPC, no tradeoff" dataDxfId="32"/>
    <tableColumn id="17" xr3:uid="{06806002-8BCC-442F-99A4-15A00506143C}" name="Optimal j @ 8.2 c/kWh, no tradeoff (mA/cm2)" dataDxfId="31"/>
    <tableColumn id="4" xr3:uid="{EA53ED90-0A02-4FC0-8D2F-B62ACD3411A0}" name="References" dataDxfId="30"/>
    <tableColumn id="10" xr3:uid="{15AF80F1-11B7-4792-895F-6EC0B2B7A7A4}" name="References 2a" dataDxfId="29"/>
    <tableColumn id="11" xr3:uid="{F302EFF0-A13D-4A4C-8A0B-F721AD1E47B9}" name="References 2b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7" dataDxfId="26">
  <autoFilter ref="A1:L5" xr:uid="{FDE89AE4-9617-4085-AD63-8D726E2ECE27}"/>
  <tableColumns count="12">
    <tableColumn id="1" xr3:uid="{996983E7-48A1-4F2C-AAE8-BB6499F82011}" name="Solvent" dataDxfId="25"/>
    <tableColumn id="5" xr3:uid="{7587D408-6B96-4220-A9BE-2B71A4248C30}" name="Molecular weight (g/mol)" dataDxfId="24"/>
    <tableColumn id="14" xr3:uid="{8CB95F86-8F61-4051-8BEA-3EA0B1243627}" name="Cost ($/kg solvent)" dataDxfId="23"/>
    <tableColumn id="3" xr3:uid="{CCFBA968-B535-4D6B-82F9-71090461EE43}" name="Density (kg/m3)" dataDxfId="22"/>
    <tableColumn id="4" xr3:uid="{6DE0BEDB-FDAC-4FA2-8AC5-B102FC6EEC22}" name="Viscosity (cP)" dataDxfId="21"/>
    <tableColumn id="11" xr3:uid="{7E968132-802A-4590-8623-AF835C5600CC}" name="Henry's constant at 298K, CO2 (mole fraction/atm)" dataDxfId="20"/>
    <tableColumn id="12" xr3:uid="{C14326B4-157A-4FBF-9FD5-58F36F9782B3}" name="Conductivity factor relative to ACN" dataDxfId="19"/>
    <tableColumn id="2" xr3:uid="{4B98493F-7EF6-4DC3-A55A-0A71F419BBB2}" name="CO2 solubility, 10 bar (mol CO2/ mol solvent)" dataDxfId="18"/>
    <tableColumn id="6" xr3:uid="{1008D39B-F74C-44B5-9C39-9094D52EB44D}" name="Boiling point (K)" dataDxfId="17"/>
    <tableColumn id="9" xr3:uid="{4E983CB5-D8FE-442A-8A07-6298EE4689D9}" name="Vapor pressure (Pa)" dataDxfId="16"/>
    <tableColumn id="10" xr3:uid="{57E55551-0CF1-45DA-9F74-4502CD642FB0}" name="Solvent loss fraction ((mol/s offgas)/ (mol/s solvent))" dataDxfId="15"/>
    <tableColumn id="8" xr3:uid="{57ADEF7D-1DC8-4D29-B0B1-B07EDD74B7FC}" name="Solubility in water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E5" totalsRowShown="0" headerRowDxfId="13" dataDxfId="12">
  <autoFilter ref="A1:E5" xr:uid="{0BE243CA-C135-4CB6-B37F-4749B7F8C437}"/>
  <tableColumns count="5">
    <tableColumn id="1" xr3:uid="{5E12D873-28F4-4BAA-A124-01ED2F10306F}" name="Supporting electrolyte" dataDxfId="11"/>
    <tableColumn id="5" xr3:uid="{8BFB1102-BA9E-4FA2-8287-970DFEAD7F45}" name="Molecular weight (g/mol)" dataDxfId="10"/>
    <tableColumn id="14" xr3:uid="{40345891-0EC3-4D4A-9A2E-09812C6C59BF}" name="Cost ($/kg supporting)" dataDxfId="9"/>
    <tableColumn id="3" xr3:uid="{580C116E-F5E0-41C5-8884-D2C8E1385F89}" name="Conductivity in ACN, 0.3 M (S/cm)" dataDxfId="8"/>
    <tableColumn id="4" xr3:uid="{71DE59C7-7F1E-4C7B-9873-8A66974BE6BD}" name="Limiting molar conductivity in PC (S cm2/mol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1-15T15:42:52.81" personId="{97EB442A-BA5A-4BA8-A59A-7061902B9186}" id="{590A5A62-3982-41DC-A19D-6D062F91F28E}">
    <text>Based on Dos Reis data</text>
  </threadedComment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  <threadedComment ref="F5" dT="2025-01-15T16:01:46.09" personId="{97EB442A-BA5A-4BA8-A59A-7061902B9186}" id="{CF7FF991-BD99-42BD-BE0C-DD9BF8B9A73E}">
    <text>Muller, Stolten (J. CO2 Utilization, 2025)</text>
  </threadedComment>
  <threadedComment ref="L5" dT="2025-01-15T15:37:52.15" personId="{97EB442A-BA5A-4BA8-A59A-7061902B9186}" id="{F3E0BD3F-9F26-4F73-B97C-92F5976365D6}">
    <text>Average for top 5 datapoints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8.19" personId="{97EB442A-BA5A-4BA8-A59A-7061902B9186}" id="{918158CC-13D0-4406-9FA6-83AE98F2FB61}">
    <text>CRC Handbook of Chem and Phys 105th Ed.</text>
  </threadedComment>
  <threadedComment ref="C4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4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4" dT="2025-01-15T16:58:00.41" personId="{97EB442A-BA5A-4BA8-A59A-7061902B9186}" id="{0F76214F-3170-4DB8-9A38-572C212649EE}" parentId="{5D6620EE-D7DA-4BD1-9DEC-F1DFA3B16F63}">
    <text>Averaged the above roughly</text>
  </threadedComment>
  <threadedComment ref="D4" dT="2025-01-20T21:27:00.06" personId="{97EB442A-BA5A-4BA8-A59A-7061902B9186}" id="{7EC05627-69D0-4FD7-BD41-0D34F6398A4A}">
    <text>CRC Handbook of Chem and Phys 105th Ed.</text>
  </threadedComment>
  <threadedComment ref="E4" dT="2025-01-20T21:27:11.44" personId="{97EB442A-BA5A-4BA8-A59A-7061902B9186}" id="{86D5D7AE-BF34-4CC2-BAB5-EB71EAF53309}">
    <text>CRC Handbook of Chem and Phys 105th Ed.</text>
  </threadedComment>
  <threadedComment ref="F4" dT="2025-01-20T21:04:12.01" personId="{97EB442A-BA5A-4BA8-A59A-7061902B9186}" id="{3A5F5CB1-C285-495B-87E8-AE2A789DD37B}">
    <text>Gennaro, Vianello (J. Electroanal. Chem. And Interfacial Electrochem. 1990)</text>
  </threadedComment>
  <threadedComment ref="I4" dT="2025-01-20T21:27:30.00" personId="{97EB442A-BA5A-4BA8-A59A-7061902B9186}" id="{4E6C45D9-A547-4A85-8E31-46455E39B2F7}">
    <text>CRC Handbook of Chem and Phys 105th Ed.</text>
  </threadedComment>
  <threadedComment ref="J4" dT="2025-01-20T21:27:46.12" personId="{97EB442A-BA5A-4BA8-A59A-7061902B9186}" id="{C9E7B65A-8DF8-424A-AFB0-85F34FB8C5A3}">
    <text>CRC Handbook of Chem and Phys 105th Ed.</text>
  </threadedComment>
  <threadedComment ref="L4" dT="2025-01-20T21:27:59.71" personId="{97EB442A-BA5A-4BA8-A59A-7061902B9186}" id="{699871B5-28D8-4F74-810A-11C06F2FFAC4}">
    <text>CRC Handbook of Chem and Phys 105th Ed.</text>
  </threadedComment>
  <threadedComment ref="B5" dT="2025-01-20T21:26:24.25" personId="{97EB442A-BA5A-4BA8-A59A-7061902B9186}" id="{DD06A995-3E0B-473D-8CCE-79C9FDD92985}">
    <text>CRC Handbook of Chem and Phys 105th Ed.</text>
  </threadedComment>
  <threadedComment ref="C5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5" dT="2025-01-20T21:26:45.46" personId="{97EB442A-BA5A-4BA8-A59A-7061902B9186}" id="{24A6F79D-F1B1-486E-8E16-0DF2EB3ECD76}">
    <text>CRC Handbook of Chem and Phys 105th Ed.</text>
  </threadedComment>
  <threadedComment ref="E5" dT="2025-01-20T21:27:07.86" personId="{97EB442A-BA5A-4BA8-A59A-7061902B9186}" id="{3E35980D-20DB-4345-B9FE-BEA0317F7EBB}">
    <text>CRC Handbook of Chem and Phys 105th Ed.</text>
  </threadedComment>
  <threadedComment ref="F5" dT="2025-01-20T20:26:40.91" personId="{97EB442A-BA5A-4BA8-A59A-7061902B9186}" id="{A557D283-8D16-4ED2-AC97-8D87D241B088}">
    <text>Harifi-Mood (J. Chem. Thermo., 2020, Table 3)</text>
  </threadedComment>
  <threadedComment ref="F5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5" dT="2025-01-20T21:27:27.28" personId="{97EB442A-BA5A-4BA8-A59A-7061902B9186}" id="{1983A994-3FCC-4917-A080-32AC954B27A3}">
    <text>CRC Handbook of Chem and Phys 105th Ed.</text>
  </threadedComment>
  <threadedComment ref="J5" dT="2025-01-20T21:27:42.09" personId="{97EB442A-BA5A-4BA8-A59A-7061902B9186}" id="{F163D6D5-0931-443B-A93F-1C0E825E55FE}">
    <text>CRC Handbook of Chem and Phys 105th Ed.</text>
  </threadedComment>
  <threadedComment ref="L5" dT="2025-01-20T21:27:55.05" personId="{97EB442A-BA5A-4BA8-A59A-7061902B9186}" id="{5EA6F35C-447A-4F92-B17C-594D64D62197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2" dT="2025-02-26T23:57:44.14" personId="{97EB442A-BA5A-4BA8-A59A-7061902B9186}" id="{47E6C014-E881-40B4-899B-38C111AE0A6F}">
    <text>Debye-Huckel-Onsager model; Mukherjee Boden J Phys Chem 1969</text>
  </threadedComment>
  <threadedComment ref="E3" dT="2025-02-26T23:57:34.23" personId="{97EB442A-BA5A-4BA8-A59A-7061902B9186}" id="{8D382F3B-8433-4D50-AD8B-3CDB4C5E2091}">
    <text>Debye-Huckel-Onsager model; Mukherjee Boden J Phys Chem 1969</text>
  </threadedComment>
  <threadedComment ref="E4" dT="2025-02-26T23:57:39.00" personId="{97EB442A-BA5A-4BA8-A59A-7061902B9186}" id="{99B3EF73-D9AF-4165-9BAA-2D78D6A936A3}">
    <text>Debye-Huckel-Onsager model; Mukherjee Boden J Phys Chem 1969</text>
  </threadedComment>
  <threadedComment ref="E5" dT="2025-02-28T18:59:02.70" personId="{97EB442A-BA5A-4BA8-A59A-7061902B9186}" id="{B4637678-D1A7-4B9C-AD8E-35E6DF64669E}">
    <text>Debye-Huckel-Onsager model; Gong Yan Energy Environ Sci 2015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arcgroup.com/formic-acid-pricing-report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hyperlink" Target="https://www.nature.com/articles/s41893-021-00739-x" TargetMode="External"/><Relationship Id="rId1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opLeftCell="A15" zoomScale="115" zoomScaleNormal="115" workbookViewId="0">
      <selection activeCell="E1" sqref="E1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8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46" t="s">
        <v>191</v>
      </c>
    </row>
    <row r="2" spans="1:6" ht="28.5" x14ac:dyDescent="0.2">
      <c r="A2" s="5" t="s">
        <v>146</v>
      </c>
      <c r="B2" s="5" t="s">
        <v>149</v>
      </c>
      <c r="C2" s="18">
        <v>1</v>
      </c>
      <c r="D2" s="5" t="s">
        <v>71</v>
      </c>
      <c r="E2" s="15"/>
      <c r="F2" s="47"/>
    </row>
    <row r="3" spans="1:6" ht="42.75" x14ac:dyDescent="0.2">
      <c r="A3" s="5" t="s">
        <v>147</v>
      </c>
      <c r="B3" s="5" t="s">
        <v>148</v>
      </c>
      <c r="C3" s="18">
        <v>0.3</v>
      </c>
      <c r="D3" s="5" t="s">
        <v>71</v>
      </c>
      <c r="E3" s="5" t="s">
        <v>194</v>
      </c>
      <c r="F3" s="47" t="s">
        <v>195</v>
      </c>
    </row>
    <row r="4" spans="1:6" ht="42.75" x14ac:dyDescent="0.2">
      <c r="A4" s="4" t="s">
        <v>80</v>
      </c>
      <c r="B4" s="5" t="s">
        <v>64</v>
      </c>
      <c r="C4" s="8">
        <v>75</v>
      </c>
      <c r="D4" s="4" t="s">
        <v>65</v>
      </c>
      <c r="E4" s="15" t="s">
        <v>123</v>
      </c>
      <c r="F4" s="47" t="s">
        <v>122</v>
      </c>
    </row>
    <row r="5" spans="1:6" ht="42.75" x14ac:dyDescent="0.2">
      <c r="A5" s="4" t="s">
        <v>95</v>
      </c>
      <c r="B5" s="5" t="s">
        <v>112</v>
      </c>
      <c r="C5" s="26">
        <f>0.0145</f>
        <v>1.4500000000000001E-2</v>
      </c>
      <c r="D5" s="4" t="s">
        <v>109</v>
      </c>
      <c r="E5" s="15" t="s">
        <v>114</v>
      </c>
      <c r="F5" s="47" t="s">
        <v>113</v>
      </c>
    </row>
    <row r="6" spans="1:6" ht="57" x14ac:dyDescent="0.2">
      <c r="A6" s="4" t="s">
        <v>115</v>
      </c>
      <c r="B6" s="5" t="s">
        <v>116</v>
      </c>
      <c r="C6" s="16">
        <f>5000*800/773.1</f>
        <v>5173.9749062217043</v>
      </c>
      <c r="D6" s="4" t="s">
        <v>117</v>
      </c>
      <c r="E6" s="15" t="s">
        <v>124</v>
      </c>
      <c r="F6" s="47" t="s">
        <v>168</v>
      </c>
    </row>
    <row r="7" spans="1:6" ht="85.5" x14ac:dyDescent="0.2">
      <c r="A7" s="4" t="s">
        <v>161</v>
      </c>
      <c r="B7" s="5" t="s">
        <v>165</v>
      </c>
      <c r="C7" s="16">
        <f>1.3*950000*1.24*(800/444.2)*((1000)/(2160/(Solvents!H2*C19/1000)))^0.7</f>
        <v>57368.495093584941</v>
      </c>
      <c r="D7" s="4" t="s">
        <v>164</v>
      </c>
      <c r="E7" s="15" t="s">
        <v>201</v>
      </c>
      <c r="F7" s="47" t="s">
        <v>192</v>
      </c>
    </row>
    <row r="8" spans="1:6" ht="57" x14ac:dyDescent="0.2">
      <c r="A8" s="4" t="s">
        <v>160</v>
      </c>
      <c r="B8" s="5" t="s">
        <v>162</v>
      </c>
      <c r="C8" s="16">
        <f>1.3*1989043*800/596.2</f>
        <v>3469648.9768534047</v>
      </c>
      <c r="D8" s="4" t="s">
        <v>163</v>
      </c>
      <c r="E8" s="15" t="s">
        <v>19</v>
      </c>
      <c r="F8" s="47" t="s">
        <v>169</v>
      </c>
    </row>
    <row r="9" spans="1:6" ht="28.5" x14ac:dyDescent="0.2">
      <c r="A9" s="4" t="s">
        <v>82</v>
      </c>
      <c r="B9" s="4" t="s">
        <v>32</v>
      </c>
      <c r="C9" s="8">
        <v>0</v>
      </c>
      <c r="D9" s="4" t="s">
        <v>16</v>
      </c>
      <c r="E9" s="4"/>
      <c r="F9" s="47" t="s">
        <v>141</v>
      </c>
    </row>
    <row r="10" spans="1:6" ht="28.5" x14ac:dyDescent="0.2">
      <c r="A10" s="4" t="s">
        <v>144</v>
      </c>
      <c r="B10" s="4" t="s">
        <v>145</v>
      </c>
      <c r="C10" s="7">
        <v>1000</v>
      </c>
      <c r="D10" s="4" t="s">
        <v>46</v>
      </c>
      <c r="E10" s="4"/>
      <c r="F10" s="47"/>
    </row>
    <row r="11" spans="1:6" ht="42.75" x14ac:dyDescent="0.2">
      <c r="A11" s="5" t="s">
        <v>79</v>
      </c>
      <c r="B11" s="5" t="s">
        <v>74</v>
      </c>
      <c r="C11" s="10">
        <v>0.9</v>
      </c>
      <c r="D11" s="5"/>
      <c r="E11" s="15" t="s">
        <v>75</v>
      </c>
      <c r="F11" s="47"/>
    </row>
    <row r="12" spans="1:6" ht="28.5" x14ac:dyDescent="0.2">
      <c r="A12" s="23" t="s">
        <v>92</v>
      </c>
      <c r="B12" s="23" t="s">
        <v>158</v>
      </c>
      <c r="C12" s="30">
        <v>0.3</v>
      </c>
      <c r="D12" s="23"/>
      <c r="E12" s="24"/>
      <c r="F12" s="47"/>
    </row>
    <row r="13" spans="1:6" ht="28.5" x14ac:dyDescent="0.2">
      <c r="A13" s="5" t="s">
        <v>92</v>
      </c>
      <c r="B13" s="5" t="s">
        <v>62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136</v>
      </c>
      <c r="B14" s="5" t="s">
        <v>139</v>
      </c>
      <c r="C14" s="9">
        <f>0.8/10</f>
        <v>0.08</v>
      </c>
      <c r="D14" s="5" t="s">
        <v>137</v>
      </c>
      <c r="E14" s="15" t="s">
        <v>138</v>
      </c>
    </row>
    <row r="15" spans="1:6" ht="42.75" x14ac:dyDescent="0.2">
      <c r="A15" s="5" t="s">
        <v>134</v>
      </c>
      <c r="B15" s="5" t="s">
        <v>135</v>
      </c>
      <c r="C15" s="9">
        <v>0.22</v>
      </c>
      <c r="D15" s="5" t="s">
        <v>21</v>
      </c>
      <c r="E15" s="15" t="s">
        <v>202</v>
      </c>
      <c r="F15" s="51" t="s">
        <v>203</v>
      </c>
    </row>
    <row r="16" spans="1:6" ht="42.75" x14ac:dyDescent="0.2">
      <c r="A16" s="5" t="s">
        <v>77</v>
      </c>
      <c r="B16" s="5" t="s">
        <v>33</v>
      </c>
      <c r="C16" s="9">
        <v>1.23</v>
      </c>
      <c r="D16" s="5" t="s">
        <v>53</v>
      </c>
      <c r="E16" s="15" t="s">
        <v>18</v>
      </c>
    </row>
    <row r="17" spans="1:6" ht="15.75" x14ac:dyDescent="0.2">
      <c r="A17" s="4" t="s">
        <v>83</v>
      </c>
      <c r="B17" s="4" t="s">
        <v>11</v>
      </c>
      <c r="C17" s="7">
        <v>96485.33212331</v>
      </c>
      <c r="D17" s="4" t="s">
        <v>12</v>
      </c>
      <c r="E17" s="4"/>
      <c r="F17" s="47"/>
    </row>
    <row r="18" spans="1:6" x14ac:dyDescent="0.2">
      <c r="A18" s="4" t="s">
        <v>133</v>
      </c>
      <c r="B18" s="4" t="s">
        <v>9</v>
      </c>
      <c r="C18" s="4">
        <v>8.3144720000000003</v>
      </c>
      <c r="D18" s="4" t="s">
        <v>10</v>
      </c>
      <c r="E18" s="4"/>
      <c r="F18" s="47"/>
    </row>
    <row r="19" spans="1:6" ht="17.25" x14ac:dyDescent="0.2">
      <c r="A19" s="4" t="s">
        <v>81</v>
      </c>
      <c r="B19" s="4" t="s">
        <v>42</v>
      </c>
      <c r="C19" s="8">
        <v>44.009500000000003</v>
      </c>
      <c r="D19" s="4" t="s">
        <v>28</v>
      </c>
      <c r="E19" s="4"/>
      <c r="F19" s="47"/>
    </row>
    <row r="20" spans="1:6" ht="17.25" x14ac:dyDescent="0.2">
      <c r="A20" s="5" t="s">
        <v>90</v>
      </c>
      <c r="B20" s="5" t="s">
        <v>68</v>
      </c>
      <c r="C20" s="8">
        <v>138.2055</v>
      </c>
      <c r="D20" s="4" t="s">
        <v>28</v>
      </c>
      <c r="E20" s="4"/>
      <c r="F20" s="47"/>
    </row>
    <row r="21" spans="1:6" ht="17.25" x14ac:dyDescent="0.2">
      <c r="A21" s="4" t="s">
        <v>88</v>
      </c>
      <c r="B21" s="5" t="s">
        <v>45</v>
      </c>
      <c r="C21" s="8">
        <v>31.998799999999999</v>
      </c>
      <c r="D21" s="4" t="s">
        <v>28</v>
      </c>
      <c r="E21" s="4"/>
      <c r="F21" s="47"/>
    </row>
    <row r="22" spans="1:6" x14ac:dyDescent="0.2">
      <c r="A22" s="4" t="s">
        <v>97</v>
      </c>
      <c r="B22" s="4" t="s">
        <v>43</v>
      </c>
      <c r="C22" s="8">
        <v>18.015799999999999</v>
      </c>
      <c r="D22" s="4" t="s">
        <v>28</v>
      </c>
      <c r="E22" s="4"/>
      <c r="F22" s="47"/>
    </row>
    <row r="23" spans="1:6" x14ac:dyDescent="0.2">
      <c r="A23" s="4" t="s">
        <v>89</v>
      </c>
      <c r="B23" s="4" t="s">
        <v>14</v>
      </c>
      <c r="C23" s="7">
        <v>101325</v>
      </c>
      <c r="D23" s="4" t="s">
        <v>15</v>
      </c>
      <c r="E23" s="4"/>
      <c r="F23" s="47"/>
    </row>
    <row r="24" spans="1:6" ht="28.5" x14ac:dyDescent="0.2">
      <c r="A24" s="4" t="s">
        <v>102</v>
      </c>
      <c r="B24" s="4" t="s">
        <v>103</v>
      </c>
      <c r="C24" s="10">
        <f>350/365</f>
        <v>0.95890410958904104</v>
      </c>
      <c r="D24" s="4"/>
      <c r="E24" s="4"/>
      <c r="F24" s="47"/>
    </row>
    <row r="25" spans="1:6" ht="28.5" x14ac:dyDescent="0.2">
      <c r="A25" s="4" t="s">
        <v>107</v>
      </c>
      <c r="B25" s="4" t="s">
        <v>108</v>
      </c>
      <c r="C25" s="18">
        <v>0</v>
      </c>
      <c r="D25" s="4"/>
      <c r="E25" s="4"/>
      <c r="F25" s="47"/>
    </row>
    <row r="26" spans="1:6" ht="28.5" x14ac:dyDescent="0.2">
      <c r="A26" s="4" t="s">
        <v>104</v>
      </c>
      <c r="B26" s="4" t="s">
        <v>105</v>
      </c>
      <c r="C26" s="20">
        <v>10</v>
      </c>
      <c r="D26" s="4" t="s">
        <v>106</v>
      </c>
      <c r="E26" s="4"/>
      <c r="F26" s="47"/>
    </row>
    <row r="27" spans="1:6" ht="28.5" x14ac:dyDescent="0.2">
      <c r="A27" s="4" t="s">
        <v>99</v>
      </c>
      <c r="B27" s="4" t="s">
        <v>100</v>
      </c>
      <c r="C27" s="19">
        <v>2500</v>
      </c>
      <c r="D27" s="4" t="s">
        <v>101</v>
      </c>
      <c r="E27" s="4"/>
      <c r="F27" s="47"/>
    </row>
    <row r="28" spans="1:6" ht="28.5" x14ac:dyDescent="0.2">
      <c r="A28" s="4" t="s">
        <v>120</v>
      </c>
      <c r="B28" s="5" t="s">
        <v>121</v>
      </c>
      <c r="C28" s="19">
        <v>1</v>
      </c>
      <c r="D28" s="4" t="s">
        <v>106</v>
      </c>
      <c r="E28" s="4"/>
      <c r="F28" s="47"/>
    </row>
    <row r="29" spans="1:6" ht="42.75" x14ac:dyDescent="0.2">
      <c r="A29" s="5" t="s">
        <v>98</v>
      </c>
      <c r="B29" s="5" t="s">
        <v>70</v>
      </c>
      <c r="C29" s="10">
        <v>0.05</v>
      </c>
      <c r="D29" s="5"/>
      <c r="E29" s="15"/>
      <c r="F29" s="47"/>
    </row>
    <row r="30" spans="1:6" ht="42.75" x14ac:dyDescent="0.2">
      <c r="A30" s="5" t="s">
        <v>166</v>
      </c>
      <c r="B30" s="5" t="s">
        <v>167</v>
      </c>
      <c r="C30" s="18">
        <v>500</v>
      </c>
      <c r="D30" s="5" t="s">
        <v>175</v>
      </c>
      <c r="E30" s="15"/>
      <c r="F30" s="47" t="s">
        <v>193</v>
      </c>
    </row>
    <row r="31" spans="1:6" ht="28.5" x14ac:dyDescent="0.2">
      <c r="A31" s="5" t="s">
        <v>96</v>
      </c>
      <c r="B31" s="5" t="s">
        <v>69</v>
      </c>
      <c r="C31" s="18">
        <v>2500</v>
      </c>
      <c r="D31" s="5" t="s">
        <v>111</v>
      </c>
      <c r="E31" s="15"/>
      <c r="F31" s="47"/>
    </row>
    <row r="32" spans="1:6" ht="28.5" x14ac:dyDescent="0.2">
      <c r="A32" s="5" t="s">
        <v>91</v>
      </c>
      <c r="B32" s="5" t="s">
        <v>36</v>
      </c>
      <c r="C32" s="5">
        <v>10</v>
      </c>
      <c r="D32" s="5" t="s">
        <v>20</v>
      </c>
      <c r="E32" s="15" t="s">
        <v>19</v>
      </c>
      <c r="F32" s="47"/>
    </row>
    <row r="33" spans="1:6" ht="28.5" x14ac:dyDescent="0.2">
      <c r="A33" s="5" t="s">
        <v>78</v>
      </c>
      <c r="B33" s="5" t="s">
        <v>34</v>
      </c>
      <c r="C33" s="5">
        <v>0.247</v>
      </c>
      <c r="D33" s="5" t="s">
        <v>17</v>
      </c>
      <c r="E33" s="15" t="s">
        <v>19</v>
      </c>
      <c r="F33" s="47"/>
    </row>
    <row r="34" spans="1:6" ht="28.5" x14ac:dyDescent="0.2">
      <c r="A34" s="5" t="s">
        <v>76</v>
      </c>
      <c r="B34" s="5" t="s">
        <v>35</v>
      </c>
      <c r="C34" s="5">
        <f>0.041*1000</f>
        <v>41</v>
      </c>
      <c r="D34" s="5" t="s">
        <v>119</v>
      </c>
      <c r="E34" s="15" t="s">
        <v>19</v>
      </c>
      <c r="F34" s="47"/>
    </row>
    <row r="35" spans="1:6" ht="28.5" x14ac:dyDescent="0.2">
      <c r="A35" s="5" t="s">
        <v>93</v>
      </c>
      <c r="B35" s="5" t="s">
        <v>37</v>
      </c>
      <c r="C35" s="9">
        <v>313.14999999999998</v>
      </c>
      <c r="D35" s="5" t="s">
        <v>13</v>
      </c>
      <c r="E35" s="15" t="s">
        <v>22</v>
      </c>
      <c r="F35" s="47"/>
    </row>
    <row r="36" spans="1:6" x14ac:dyDescent="0.2">
      <c r="A36" s="4" t="s">
        <v>94</v>
      </c>
      <c r="B36" s="4" t="s">
        <v>118</v>
      </c>
      <c r="C36" s="9">
        <v>313.14999999999998</v>
      </c>
      <c r="D36" s="4" t="s">
        <v>13</v>
      </c>
      <c r="E36" s="4"/>
      <c r="F36" s="47"/>
    </row>
    <row r="37" spans="1:6" ht="15" x14ac:dyDescent="0.2">
      <c r="A37" s="14" t="s">
        <v>84</v>
      </c>
      <c r="B37" s="5" t="s">
        <v>38</v>
      </c>
      <c r="C37" s="14">
        <v>273.14999999999998</v>
      </c>
      <c r="D37" s="14" t="s">
        <v>13</v>
      </c>
      <c r="E37" s="4"/>
      <c r="F37" s="47"/>
    </row>
    <row r="38" spans="1:6" ht="28.5" x14ac:dyDescent="0.2">
      <c r="A38" s="4" t="s">
        <v>85</v>
      </c>
      <c r="B38" s="5" t="s">
        <v>39</v>
      </c>
      <c r="C38" s="7">
        <f>3600</f>
        <v>3600</v>
      </c>
      <c r="D38" s="4" t="s">
        <v>26</v>
      </c>
      <c r="E38" s="4"/>
      <c r="F38" s="47"/>
    </row>
    <row r="39" spans="1:6" ht="28.5" x14ac:dyDescent="0.2">
      <c r="A39" s="4" t="s">
        <v>86</v>
      </c>
      <c r="B39" s="5" t="s">
        <v>41</v>
      </c>
      <c r="C39" s="7">
        <f>1055870</f>
        <v>1055870</v>
      </c>
      <c r="D39" s="4" t="s">
        <v>27</v>
      </c>
      <c r="E39" s="4"/>
      <c r="F39" s="47"/>
    </row>
    <row r="40" spans="1:6" ht="28.5" x14ac:dyDescent="0.2">
      <c r="A40" s="4" t="s">
        <v>87</v>
      </c>
      <c r="B40" s="5" t="s">
        <v>40</v>
      </c>
      <c r="C40" s="7">
        <f>kJ_per_mmBtu/kJ_per_kWh</f>
        <v>293.29722222222222</v>
      </c>
      <c r="D40" s="4" t="s">
        <v>30</v>
      </c>
      <c r="E40" s="4"/>
      <c r="F40" s="47"/>
    </row>
    <row r="41" spans="1:6" x14ac:dyDescent="0.2">
      <c r="A41" s="3"/>
      <c r="F41" s="47"/>
    </row>
    <row r="42" spans="1:6" x14ac:dyDescent="0.2">
      <c r="A42" s="3"/>
      <c r="F42" s="47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tabSelected="1" zoomScaleNormal="100" workbookViewId="0">
      <pane xSplit="1" topLeftCell="H1" activePane="topRight" state="frozen"/>
      <selection pane="topRight" activeCell="J4" sqref="J4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54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48</v>
      </c>
      <c r="B1" s="6" t="s">
        <v>59</v>
      </c>
      <c r="C1" s="6" t="s">
        <v>49</v>
      </c>
      <c r="D1" s="6" t="s">
        <v>55</v>
      </c>
      <c r="E1" s="6" t="s">
        <v>56</v>
      </c>
      <c r="F1" s="6" t="s">
        <v>50</v>
      </c>
      <c r="G1" s="17" t="s">
        <v>63</v>
      </c>
      <c r="H1" s="6" t="s">
        <v>58</v>
      </c>
      <c r="I1" s="6" t="s">
        <v>51</v>
      </c>
      <c r="J1" s="6" t="s">
        <v>52</v>
      </c>
      <c r="K1" s="6" t="s">
        <v>57</v>
      </c>
      <c r="L1" s="6" t="s">
        <v>67</v>
      </c>
      <c r="M1" s="6" t="s">
        <v>171</v>
      </c>
      <c r="N1" s="6" t="s">
        <v>189</v>
      </c>
      <c r="O1" s="11" t="s">
        <v>23</v>
      </c>
      <c r="P1" s="11" t="s">
        <v>197</v>
      </c>
      <c r="Q1" s="11" t="s">
        <v>198</v>
      </c>
    </row>
    <row r="2" spans="1:17" ht="17.25" x14ac:dyDescent="0.2">
      <c r="A2" s="27" t="s">
        <v>54</v>
      </c>
      <c r="B2" s="4" t="s">
        <v>60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7" t="s">
        <v>47</v>
      </c>
      <c r="B3" s="4" t="s">
        <v>60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56">
        <f>-1.9+0.197-Products[[#This Row],[Standard potential, pH = 0 (V vs SHE)]]</f>
        <v>-1.6429999999999998</v>
      </c>
      <c r="J3" s="23">
        <v>-184</v>
      </c>
      <c r="K3" s="57">
        <v>0.1</v>
      </c>
      <c r="L3" s="9">
        <v>0.89</v>
      </c>
      <c r="M3" s="35">
        <v>0.66700000000000004</v>
      </c>
      <c r="N3" s="33">
        <v>200</v>
      </c>
      <c r="O3" s="15" t="s">
        <v>19</v>
      </c>
      <c r="P3" s="53" t="s">
        <v>206</v>
      </c>
      <c r="Q3" s="4"/>
    </row>
    <row r="4" spans="1:17" ht="71.25" x14ac:dyDescent="0.2">
      <c r="A4" s="27" t="s">
        <v>157</v>
      </c>
      <c r="B4" s="5" t="s">
        <v>143</v>
      </c>
      <c r="C4" s="9">
        <v>90.03</v>
      </c>
      <c r="D4" s="4">
        <v>2</v>
      </c>
      <c r="E4" s="4">
        <v>2</v>
      </c>
      <c r="F4" s="31">
        <v>10000</v>
      </c>
      <c r="G4" s="8">
        <v>0.7</v>
      </c>
      <c r="H4" s="9">
        <v>-0.51</v>
      </c>
      <c r="I4" s="56">
        <f ca="1">-2.5+0.197-Products[[#This Row],[Standard potential, pH = 0 (V vs SHE)]]</f>
        <v>-1.7929999999999999</v>
      </c>
      <c r="J4" s="23">
        <f>0.2*1000/(3.2-5.2)</f>
        <v>-100</v>
      </c>
      <c r="K4" s="57">
        <v>5.2</v>
      </c>
      <c r="L4" s="5">
        <v>0.7</v>
      </c>
      <c r="M4" s="35">
        <v>0.66700000000000004</v>
      </c>
      <c r="N4" s="33">
        <v>200</v>
      </c>
      <c r="O4" s="15" t="s">
        <v>176</v>
      </c>
      <c r="P4" s="53" t="s">
        <v>204</v>
      </c>
      <c r="Q4" s="15" t="s">
        <v>174</v>
      </c>
    </row>
    <row r="5" spans="1:17" s="21" customFormat="1" ht="28.5" x14ac:dyDescent="0.2">
      <c r="A5" s="29" t="s">
        <v>142</v>
      </c>
      <c r="B5" s="4" t="s">
        <v>143</v>
      </c>
      <c r="C5" s="8">
        <v>46.024999999999999</v>
      </c>
      <c r="D5" s="4">
        <v>2</v>
      </c>
      <c r="E5" s="4">
        <v>1</v>
      </c>
      <c r="F5" s="16">
        <v>5400</v>
      </c>
      <c r="G5" s="8">
        <v>0.83</v>
      </c>
      <c r="H5" s="9">
        <v>-7.0000000000000007E-2</v>
      </c>
      <c r="I5" s="32"/>
      <c r="J5" s="32"/>
      <c r="K5" s="32"/>
      <c r="L5" s="5">
        <v>0.69</v>
      </c>
      <c r="M5" s="35">
        <v>0.66700000000000004</v>
      </c>
      <c r="N5" s="25"/>
      <c r="O5" s="15" t="s">
        <v>19</v>
      </c>
      <c r="P5" s="53" t="s">
        <v>205</v>
      </c>
      <c r="Q5" s="15"/>
    </row>
    <row r="6" spans="1:17" ht="57" x14ac:dyDescent="0.2">
      <c r="A6" s="27" t="s">
        <v>23</v>
      </c>
      <c r="B6" s="5" t="s">
        <v>61</v>
      </c>
      <c r="C6" s="5" t="s">
        <v>61</v>
      </c>
      <c r="D6" s="15" t="s">
        <v>125</v>
      </c>
      <c r="E6" s="5" t="s">
        <v>61</v>
      </c>
      <c r="F6" s="4" t="s">
        <v>196</v>
      </c>
      <c r="G6" s="5" t="s">
        <v>199</v>
      </c>
      <c r="H6" s="15" t="s">
        <v>126</v>
      </c>
      <c r="I6" s="5" t="s">
        <v>196</v>
      </c>
      <c r="J6" s="5" t="s">
        <v>196</v>
      </c>
      <c r="K6" s="5" t="s">
        <v>196</v>
      </c>
      <c r="L6" s="5" t="s">
        <v>194</v>
      </c>
      <c r="M6" s="5"/>
      <c r="N6" s="19" t="s">
        <v>212</v>
      </c>
      <c r="O6" s="4"/>
      <c r="P6" s="4"/>
      <c r="Q6" s="4"/>
    </row>
  </sheetData>
  <phoneticPr fontId="17" type="noConversion"/>
  <hyperlinks>
    <hyperlink ref="D6" r:id="rId1" display="Nitopi Jaramillo Chem Rev 2019" xr:uid="{A6CEC16A-5A29-4C4B-B6DC-2F13839F3E5E}"/>
    <hyperlink ref="H6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  <hyperlink ref="P5" r:id="rId8" display="iMarc, June 2024" xr:uid="{D048CC37-2D11-4A65-9080-6BC0AFBCF8DF}"/>
    <hyperlink ref="O5" r:id="rId9" xr:uid="{8DCF1B3E-E4C0-4519-B0A4-B9CFE6918586}"/>
  </hyperlinks>
  <pageMargins left="0.7" right="0.7" top="0.75" bottom="0.75" header="0.3" footer="0.3"/>
  <pageSetup orientation="portrait" r:id="rId10"/>
  <legacyDrawing r:id="rId11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0"/>
  <sheetViews>
    <sheetView zoomScaleNormal="100" workbookViewId="0">
      <pane xSplit="1" topLeftCell="D1" activePane="topRight" state="frozen"/>
      <selection pane="topRight" activeCell="D11" sqref="D11"/>
    </sheetView>
  </sheetViews>
  <sheetFormatPr defaultColWidth="9.140625" defaultRowHeight="14.25" x14ac:dyDescent="0.25"/>
  <cols>
    <col min="1" max="1" width="14.5703125" style="49" customWidth="1"/>
    <col min="2" max="12" width="15.7109375" style="49" customWidth="1"/>
    <col min="13" max="16384" width="9.140625" style="49"/>
  </cols>
  <sheetData>
    <row r="1" spans="1:12" ht="74.25" x14ac:dyDescent="0.25">
      <c r="A1" s="28" t="s">
        <v>150</v>
      </c>
      <c r="B1" s="6" t="s">
        <v>49</v>
      </c>
      <c r="C1" s="17" t="s">
        <v>151</v>
      </c>
      <c r="D1" s="4" t="s">
        <v>173</v>
      </c>
      <c r="E1" s="5" t="s">
        <v>153</v>
      </c>
      <c r="F1" s="5" t="s">
        <v>181</v>
      </c>
      <c r="G1" s="5" t="s">
        <v>211</v>
      </c>
      <c r="H1" s="5" t="s">
        <v>159</v>
      </c>
      <c r="I1" s="5" t="s">
        <v>177</v>
      </c>
      <c r="J1" s="5" t="s">
        <v>179</v>
      </c>
      <c r="K1" s="5" t="s">
        <v>184</v>
      </c>
      <c r="L1" s="5" t="s">
        <v>178</v>
      </c>
    </row>
    <row r="2" spans="1:12" x14ac:dyDescent="0.25">
      <c r="A2" s="27" t="s">
        <v>140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36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180</v>
      </c>
    </row>
    <row r="3" spans="1:12" ht="28.5" x14ac:dyDescent="0.25">
      <c r="A3" s="27" t="s">
        <v>155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36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183</v>
      </c>
    </row>
    <row r="4" spans="1:12" x14ac:dyDescent="0.25">
      <c r="A4" s="29" t="s">
        <v>172</v>
      </c>
      <c r="B4" s="8">
        <v>73.093999999999994</v>
      </c>
      <c r="C4" s="8">
        <v>1</v>
      </c>
      <c r="D4" s="19">
        <v>944.5</v>
      </c>
      <c r="E4" s="9">
        <v>0.79400000000000004</v>
      </c>
      <c r="F4" s="9">
        <f>1/65.3</f>
        <v>1.5313935681470138E-2</v>
      </c>
      <c r="G4" s="36">
        <v>0.46069532626431126</v>
      </c>
      <c r="H4" s="9">
        <f>Products6[[#This Row],[Henry''s constant at 298K, CO2 (mole fraction/atm)]]*9.8692/(1-Products6[[#This Row],[Henry''s constant at 298K, CO2 (mole fraction/atm)]]*9.8692)</f>
        <v>0.17804541879244029</v>
      </c>
      <c r="I4" s="9">
        <f>273.15+152.8</f>
        <v>425.95</v>
      </c>
      <c r="J4" s="7">
        <f>0.439*1000</f>
        <v>439</v>
      </c>
      <c r="K4" s="7">
        <v>1.0000000000000001E-5</v>
      </c>
      <c r="L4" s="7" t="s">
        <v>180</v>
      </c>
    </row>
    <row r="5" spans="1:12" x14ac:dyDescent="0.25">
      <c r="A5" s="29" t="s">
        <v>156</v>
      </c>
      <c r="B5" s="8">
        <v>78.132999999999996</v>
      </c>
      <c r="C5" s="8">
        <v>2.66</v>
      </c>
      <c r="D5" s="19">
        <v>1101</v>
      </c>
      <c r="E5" s="9">
        <v>1.9870000000000001</v>
      </c>
      <c r="F5" s="9">
        <f>1/101.6</f>
        <v>9.8425196850393699E-3</v>
      </c>
      <c r="G5" s="55">
        <v>0.27641668300511479</v>
      </c>
      <c r="H5" s="9">
        <f>Products6[[#This Row],[Henry''s constant at 298K, CO2 (mole fraction/atm)]]*9.8692/(1-Products6[[#This Row],[Henry''s constant at 298K, CO2 (mole fraction/atm)]]*9.8692)</f>
        <v>0.10758872701426347</v>
      </c>
      <c r="I5" s="9">
        <f>273.15+191.9</f>
        <v>465.04999999999995</v>
      </c>
      <c r="J5" s="7">
        <f>0.084*1000</f>
        <v>84</v>
      </c>
      <c r="K5" s="7">
        <v>1.0000000000000001E-5</v>
      </c>
      <c r="L5" s="7" t="s">
        <v>182</v>
      </c>
    </row>
    <row r="6" spans="1:12" s="5" customFormat="1" ht="85.5" x14ac:dyDescent="0.25">
      <c r="A6" s="27" t="s">
        <v>23</v>
      </c>
      <c r="B6" s="5" t="s">
        <v>200</v>
      </c>
      <c r="C6" s="5" t="s">
        <v>196</v>
      </c>
      <c r="D6" s="5" t="s">
        <v>200</v>
      </c>
      <c r="E6" s="5" t="s">
        <v>196</v>
      </c>
      <c r="F6" s="5" t="s">
        <v>196</v>
      </c>
      <c r="G6" s="8" t="s">
        <v>207</v>
      </c>
      <c r="H6" s="5" t="s">
        <v>208</v>
      </c>
      <c r="I6" s="5" t="s">
        <v>200</v>
      </c>
      <c r="J6" s="5" t="s">
        <v>200</v>
      </c>
      <c r="K6" s="7"/>
      <c r="L6" s="5" t="s">
        <v>200</v>
      </c>
    </row>
    <row r="7" spans="1:12" x14ac:dyDescent="0.25">
      <c r="I7" s="50"/>
    </row>
    <row r="8" spans="1:12" x14ac:dyDescent="0.25">
      <c r="I8" s="50"/>
    </row>
    <row r="9" spans="1:12" x14ac:dyDescent="0.25">
      <c r="I9" s="50"/>
    </row>
    <row r="10" spans="1:12" x14ac:dyDescent="0.25">
      <c r="I10" s="50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G6"/>
  <sheetViews>
    <sheetView zoomScale="97" zoomScaleNormal="160" workbookViewId="0">
      <pane xSplit="1" topLeftCell="B1" activePane="topRight" state="frozen"/>
      <selection pane="topRight" activeCell="C14" sqref="C14"/>
    </sheetView>
  </sheetViews>
  <sheetFormatPr defaultColWidth="9.140625" defaultRowHeight="14.25" x14ac:dyDescent="0.25"/>
  <cols>
    <col min="1" max="1" width="17.140625" style="49" bestFit="1" customWidth="1"/>
    <col min="2" max="2" width="17" style="49" customWidth="1"/>
    <col min="3" max="3" width="18" style="49" bestFit="1" customWidth="1"/>
    <col min="4" max="4" width="18.7109375" style="49" bestFit="1" customWidth="1"/>
    <col min="5" max="5" width="20.28515625" style="49" customWidth="1"/>
    <col min="6" max="6" width="22.5703125" style="49" customWidth="1"/>
    <col min="7" max="7" width="19.140625" style="49" customWidth="1"/>
    <col min="8" max="16384" width="9.140625" style="49"/>
  </cols>
  <sheetData>
    <row r="1" spans="1:7" ht="44.25" x14ac:dyDescent="0.25">
      <c r="A1" s="28" t="s">
        <v>152</v>
      </c>
      <c r="B1" s="6" t="s">
        <v>49</v>
      </c>
      <c r="C1" s="17" t="s">
        <v>154</v>
      </c>
      <c r="D1" s="5" t="s">
        <v>210</v>
      </c>
      <c r="E1" s="5" t="s">
        <v>190</v>
      </c>
    </row>
    <row r="2" spans="1:7" x14ac:dyDescent="0.25">
      <c r="A2" s="27" t="s">
        <v>185</v>
      </c>
      <c r="B2" s="8">
        <v>165.74</v>
      </c>
      <c r="C2" s="8">
        <v>10</v>
      </c>
      <c r="D2" s="55">
        <v>2.9542007879697955E-2</v>
      </c>
      <c r="E2" s="36">
        <v>31.95</v>
      </c>
      <c r="F2" s="4"/>
      <c r="G2" s="4"/>
    </row>
    <row r="3" spans="1:7" x14ac:dyDescent="0.25">
      <c r="A3" s="27" t="s">
        <v>186</v>
      </c>
      <c r="B3" s="8">
        <v>341.91</v>
      </c>
      <c r="C3" s="8">
        <v>10</v>
      </c>
      <c r="D3" s="55">
        <v>1.6752999999999997E-2</v>
      </c>
      <c r="E3" s="37">
        <v>27.92</v>
      </c>
    </row>
    <row r="4" spans="1:7" x14ac:dyDescent="0.25">
      <c r="A4" s="27" t="s">
        <v>187</v>
      </c>
      <c r="B4" s="8">
        <v>229.74</v>
      </c>
      <c r="C4" s="8">
        <v>10</v>
      </c>
      <c r="D4" s="55">
        <v>2.0932000000000003E-2</v>
      </c>
      <c r="E4" s="37">
        <v>32.119999999999997</v>
      </c>
      <c r="F4" s="34"/>
    </row>
    <row r="5" spans="1:7" x14ac:dyDescent="0.25">
      <c r="A5" s="27" t="s">
        <v>188</v>
      </c>
      <c r="B5" s="8">
        <v>329.27</v>
      </c>
      <c r="C5" s="8">
        <v>10</v>
      </c>
      <c r="D5" s="55">
        <v>2.1827000000000003E-2</v>
      </c>
      <c r="E5" s="37">
        <v>29.41</v>
      </c>
      <c r="F5" s="34"/>
    </row>
    <row r="6" spans="1:7" ht="99.75" x14ac:dyDescent="0.25">
      <c r="A6" s="27" t="s">
        <v>23</v>
      </c>
      <c r="B6" s="52" t="s">
        <v>61</v>
      </c>
      <c r="C6" s="5" t="s">
        <v>209</v>
      </c>
      <c r="D6" s="8" t="s">
        <v>207</v>
      </c>
      <c r="E6" s="8" t="s">
        <v>207</v>
      </c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E6" sqref="E6"/>
    </sheetView>
  </sheetViews>
  <sheetFormatPr defaultColWidth="9.140625" defaultRowHeight="15" x14ac:dyDescent="0.25"/>
  <cols>
    <col min="1" max="1" width="28.28515625" style="12" bestFit="1" customWidth="1"/>
    <col min="2" max="2" width="19.5703125" style="42" bestFit="1" customWidth="1"/>
    <col min="3" max="3" width="23.7109375" style="42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45" t="s">
        <v>0</v>
      </c>
      <c r="B1" s="38" t="s">
        <v>4</v>
      </c>
      <c r="C1" s="38" t="s">
        <v>29</v>
      </c>
      <c r="D1" s="39" t="s">
        <v>23</v>
      </c>
    </row>
    <row r="2" spans="1:6" x14ac:dyDescent="0.25">
      <c r="A2" s="43"/>
      <c r="B2" s="40"/>
      <c r="C2" s="35"/>
      <c r="D2" s="5"/>
    </row>
    <row r="3" spans="1:6" ht="75" customHeight="1" x14ac:dyDescent="0.25">
      <c r="A3" s="44" t="s">
        <v>5</v>
      </c>
      <c r="B3" s="40">
        <v>2.4E-2</v>
      </c>
      <c r="C3" s="35">
        <v>50</v>
      </c>
      <c r="D3" s="41" t="s">
        <v>127</v>
      </c>
      <c r="E3" s="59" t="s">
        <v>129</v>
      </c>
      <c r="F3" s="58" t="s">
        <v>130</v>
      </c>
    </row>
    <row r="4" spans="1:6" ht="28.5" x14ac:dyDescent="0.25">
      <c r="A4" s="44" t="s">
        <v>73</v>
      </c>
      <c r="B4" s="40">
        <v>2.4E-2</v>
      </c>
      <c r="C4" s="35">
        <v>20</v>
      </c>
      <c r="D4" s="41" t="s">
        <v>127</v>
      </c>
      <c r="E4" s="59"/>
      <c r="F4" s="58"/>
    </row>
    <row r="5" spans="1:6" ht="28.5" x14ac:dyDescent="0.25">
      <c r="A5" s="44" t="s">
        <v>72</v>
      </c>
      <c r="B5" s="40">
        <v>4.2000000000000003E-2</v>
      </c>
      <c r="C5" s="35"/>
      <c r="D5" s="41" t="s">
        <v>128</v>
      </c>
    </row>
    <row r="6" spans="1:6" ht="57" x14ac:dyDescent="0.25">
      <c r="A6" s="44" t="s">
        <v>2</v>
      </c>
      <c r="B6" s="40">
        <f>16.05/100</f>
        <v>0.1605</v>
      </c>
      <c r="C6" s="35">
        <v>230.93061430996579</v>
      </c>
      <c r="D6" s="41" t="s">
        <v>131</v>
      </c>
    </row>
    <row r="7" spans="1:6" ht="71.25" x14ac:dyDescent="0.25">
      <c r="A7" s="44" t="s">
        <v>1</v>
      </c>
      <c r="B7" s="40">
        <f>8.19/100</f>
        <v>8.1900000000000001E-2</v>
      </c>
      <c r="C7" s="35">
        <v>414.10433834299573</v>
      </c>
      <c r="D7" s="41" t="s">
        <v>170</v>
      </c>
    </row>
    <row r="8" spans="1:6" ht="71.25" x14ac:dyDescent="0.25">
      <c r="A8" s="44" t="s">
        <v>3</v>
      </c>
      <c r="B8" s="40">
        <f>2.22/kWh_per_mmBtu</f>
        <v>7.5691136219420956E-3</v>
      </c>
      <c r="C8" s="35">
        <f>70.66/1000*kJ_per_kWh</f>
        <v>254.376</v>
      </c>
      <c r="D8" s="5" t="s">
        <v>132</v>
      </c>
    </row>
    <row r="9" spans="1:6" ht="28.5" x14ac:dyDescent="0.25">
      <c r="A9" s="44" t="s">
        <v>44</v>
      </c>
      <c r="B9" s="40">
        <v>0.03</v>
      </c>
      <c r="C9" s="35"/>
      <c r="D9" s="15" t="s">
        <v>19</v>
      </c>
    </row>
    <row r="10" spans="1:6" x14ac:dyDescent="0.25">
      <c r="A10" s="44"/>
      <c r="B10" s="40"/>
      <c r="C10" s="35"/>
      <c r="D10" s="5"/>
    </row>
    <row r="11" spans="1:6" x14ac:dyDescent="0.25">
      <c r="A11" s="44" t="s">
        <v>24</v>
      </c>
      <c r="B11" s="40">
        <f>B7</f>
        <v>8.1900000000000001E-2</v>
      </c>
      <c r="C11" s="35">
        <f>C7</f>
        <v>414.10433834299573</v>
      </c>
      <c r="D11" s="5"/>
    </row>
    <row r="12" spans="1:6" x14ac:dyDescent="0.25">
      <c r="A12" s="44" t="s">
        <v>25</v>
      </c>
      <c r="B12" s="40">
        <f>B8</f>
        <v>7.5691136219420956E-3</v>
      </c>
      <c r="C12" s="35">
        <f>C8</f>
        <v>254.376</v>
      </c>
      <c r="D12" s="5"/>
    </row>
    <row r="13" spans="1:6" x14ac:dyDescent="0.25">
      <c r="A13" s="44"/>
      <c r="B13" s="40"/>
      <c r="C13" s="35"/>
      <c r="D13" s="5"/>
    </row>
    <row r="14" spans="1:6" x14ac:dyDescent="0.25">
      <c r="A14" s="44" t="s">
        <v>66</v>
      </c>
      <c r="B14" s="40">
        <v>200</v>
      </c>
      <c r="C14" s="35"/>
      <c r="D14" s="15" t="s">
        <v>110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2025-03-04T19:33:32Z</dcterms:modified>
</cp:coreProperties>
</file>